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Personal)/GPCRDB_Project_Alignments_and_Similarities/"/>
    </mc:Choice>
  </mc:AlternateContent>
  <bookViews>
    <workbookView xWindow="1000" yWindow="460" windowWidth="32600" windowHeight="20540" tabRatio="500"/>
  </bookViews>
  <sheets>
    <sheet name="SegEnds_Xtal_Prot#" sheetId="1" r:id="rId1"/>
    <sheet name="SegEnds_Xtal_BW#" sheetId="2" r:id="rId2"/>
    <sheet name="ICL3" sheetId="3" r:id="rId3"/>
    <sheet name="SegEnds_NonXtal_BW#" sheetId="4" r:id="rId4"/>
    <sheet name="SegEnds_NonXtal_Prot#" sheetId="5" r:id="rId5"/>
    <sheet name="Bulges_Constr_NonXtal_GPCRdb#" sheetId="6" r:id="rId6"/>
    <sheet name="Seqs" sheetId="7" r:id="rId7"/>
    <sheet name="Seqs4TemplSearch" sheetId="8" r:id="rId8"/>
    <sheet name="Xtal_Templ" sheetId="9" r:id="rId9"/>
    <sheet name="Classification" sheetId="10" r:id="rId10"/>
    <sheet name="OLD-Templates_ICL3" sheetId="11" r:id="rId11"/>
    <sheet name="SegLen" sheetId="12" r:id="rId12"/>
  </sheets>
  <definedNames>
    <definedName name="_xlnm._FilterDatabase" localSheetId="5" hidden="1">'Bulges_Constr_NonXtal_GPCRdb#'!$A$1:$AD$407</definedName>
    <definedName name="_xlnm._FilterDatabase" localSheetId="3" hidden="1">'SegEnds_NonXtal_BW#'!$A$1:$AJ$407</definedName>
    <definedName name="_xlnm._FilterDatabase" localSheetId="0" hidden="1">'SegEnds_Xtal_Prot#'!$A$1:$CS$210</definedName>
    <definedName name="GPCRdb_alignment" localSheetId="6">Seqs!$A$409:$B$410</definedName>
    <definedName name="human_GPCR_fasta.fas" localSheetId="6">Seqs!$A$8:$B$407</definedName>
    <definedName name="Z_3E3401AF_8459_8641_BD70_AD04F80E86ED_.wvu.FilterData" localSheetId="5" hidden="1">'Bulges_Constr_NonXtal_GPCRdb#'!$A$1:$AD$407</definedName>
    <definedName name="Z_3E3401AF_8459_8641_BD70_AD04F80E86ED_.wvu.FilterData" localSheetId="3" hidden="1">'SegEnds_NonXtal_BW#'!$A$1:$AJ$407</definedName>
    <definedName name="Z_3E3401AF_8459_8641_BD70_AD04F80E86ED_.wvu.FilterData" localSheetId="0" hidden="1">'SegEnds_Xtal_Prot#'!$A$1:$CS$210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99" i="1" l="1"/>
  <c r="A99" i="1"/>
  <c r="D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Z99" i="1"/>
  <c r="BA99" i="1"/>
  <c r="BB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BC99" i="1"/>
  <c r="CS99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Z98" i="1"/>
  <c r="BA98" i="1"/>
  <c r="BB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BC98" i="1"/>
  <c r="CS98" i="1"/>
  <c r="BC91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Z91" i="1"/>
  <c r="BA91" i="1"/>
  <c r="BB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S91" i="1"/>
  <c r="AH300" i="4"/>
  <c r="AH294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T44" i="2"/>
  <c r="B301" i="4"/>
  <c r="T301" i="4"/>
  <c r="AH301" i="4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U294" i="4" a="1"/>
  <c r="U294" i="4"/>
  <c r="AH295" i="4"/>
  <c r="T295" i="4" a="1"/>
  <c r="T295" i="4"/>
  <c r="U46" i="2"/>
  <c r="B311" i="4"/>
  <c r="U311" i="4"/>
  <c r="U44" i="2"/>
  <c r="B304" i="4"/>
  <c r="U304" i="4"/>
  <c r="T46" i="2"/>
  <c r="T311" i="4"/>
  <c r="T304" i="4"/>
  <c r="A18" i="3"/>
  <c r="B18" i="3"/>
  <c r="C18" i="3"/>
  <c r="AD407" i="5"/>
  <c r="AC407" i="5"/>
  <c r="E18" i="3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Z195" i="1"/>
  <c r="BA195" i="1"/>
  <c r="BB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BC195" i="1"/>
  <c r="CS195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Z196" i="1"/>
  <c r="BA196" i="1"/>
  <c r="BB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BC196" i="1"/>
  <c r="CS196" i="1"/>
  <c r="AM46" i="2"/>
  <c r="M45" i="2"/>
  <c r="B302" i="4"/>
  <c r="M44" i="2"/>
  <c r="M302" i="4"/>
  <c r="R342" i="5"/>
  <c r="L45" i="2"/>
  <c r="L44" i="2"/>
  <c r="L302" i="4"/>
  <c r="Q342" i="5"/>
  <c r="M46" i="2"/>
  <c r="M311" i="4"/>
  <c r="R407" i="5"/>
  <c r="L46" i="2"/>
  <c r="L311" i="4"/>
  <c r="Q407" i="5"/>
  <c r="AL46" i="2"/>
  <c r="O342" i="5"/>
  <c r="J45" i="2"/>
  <c r="J44" i="2"/>
  <c r="J302" i="4"/>
  <c r="N342" i="5"/>
  <c r="O407" i="5"/>
  <c r="J46" i="2"/>
  <c r="J311" i="4"/>
  <c r="N407" i="5"/>
  <c r="AK46" i="2"/>
  <c r="AJ46" i="2"/>
  <c r="K342" i="5"/>
  <c r="K407" i="5"/>
  <c r="AI46" i="2"/>
  <c r="AH46" i="2"/>
  <c r="AG46" i="2"/>
  <c r="I45" i="2"/>
  <c r="I44" i="2"/>
  <c r="I302" i="4"/>
  <c r="L342" i="5"/>
  <c r="I46" i="2"/>
  <c r="I311" i="4"/>
  <c r="L407" i="5"/>
  <c r="AF46" i="2"/>
  <c r="AE46" i="2"/>
  <c r="H407" i="5"/>
  <c r="I407" i="5"/>
  <c r="AD46" i="2"/>
  <c r="D45" i="2"/>
  <c r="D44" i="2"/>
  <c r="D302" i="4"/>
  <c r="E342" i="5"/>
  <c r="D46" i="2"/>
  <c r="D311" i="4"/>
  <c r="E407" i="5"/>
  <c r="F407" i="5"/>
  <c r="AC46" i="2"/>
  <c r="AB46" i="2"/>
  <c r="AA46" i="2"/>
  <c r="Z46" i="2"/>
  <c r="Y46" i="2"/>
  <c r="X46" i="2"/>
  <c r="W46" i="2"/>
  <c r="V46" i="2"/>
  <c r="S46" i="2"/>
  <c r="R46" i="2"/>
  <c r="Q46" i="2"/>
  <c r="P46" i="2"/>
  <c r="O46" i="2"/>
  <c r="N46" i="2"/>
  <c r="K46" i="2"/>
  <c r="H46" i="2"/>
  <c r="G46" i="2"/>
  <c r="F46" i="2"/>
  <c r="E46" i="2"/>
  <c r="C46" i="2"/>
  <c r="C44" i="2"/>
  <c r="C311" i="4"/>
  <c r="E44" i="2"/>
  <c r="E311" i="4"/>
  <c r="F44" i="2"/>
  <c r="F311" i="4"/>
  <c r="N44" i="2"/>
  <c r="N311" i="4"/>
  <c r="O44" i="2"/>
  <c r="O311" i="4"/>
  <c r="P44" i="2"/>
  <c r="P311" i="4"/>
  <c r="Q44" i="2"/>
  <c r="Q311" i="4"/>
  <c r="R44" i="2"/>
  <c r="R311" i="4"/>
  <c r="V44" i="2"/>
  <c r="V311" i="4"/>
  <c r="X44" i="2"/>
  <c r="X311" i="4"/>
  <c r="Y44" i="2"/>
  <c r="Y311" i="4"/>
  <c r="Z44" i="2"/>
  <c r="Z311" i="4"/>
  <c r="AA311" i="4"/>
  <c r="AB311" i="4"/>
  <c r="AC311" i="4"/>
  <c r="AD311" i="4"/>
  <c r="AE311" i="4"/>
  <c r="AF311" i="4"/>
  <c r="AG311" i="4"/>
  <c r="AH311" i="4"/>
  <c r="AI311" i="4"/>
  <c r="AJ311" i="4"/>
  <c r="B407" i="5"/>
  <c r="B310" i="4"/>
  <c r="C310" i="4"/>
  <c r="C407" i="5"/>
  <c r="D310" i="4"/>
  <c r="I310" i="4"/>
  <c r="J310" i="4"/>
  <c r="L310" i="4"/>
  <c r="M310" i="4"/>
  <c r="N310" i="4"/>
  <c r="T407" i="5"/>
  <c r="O310" i="4"/>
  <c r="U407" i="5"/>
  <c r="P310" i="4"/>
  <c r="W407" i="5"/>
  <c r="Q310" i="4"/>
  <c r="X407" i="5"/>
  <c r="Z407" i="5"/>
  <c r="AA407" i="5"/>
  <c r="V310" i="4"/>
  <c r="AF407" i="5"/>
  <c r="AG407" i="5"/>
  <c r="X310" i="4"/>
  <c r="AI407" i="5"/>
  <c r="Y310" i="4"/>
  <c r="AJ407" i="5"/>
  <c r="Z310" i="4"/>
  <c r="AL407" i="5"/>
  <c r="AM407" i="5"/>
  <c r="AN407" i="5"/>
  <c r="AO407" i="5"/>
  <c r="AP407" i="5"/>
  <c r="AQ407" i="5"/>
  <c r="AR407" i="5"/>
  <c r="AS407" i="5"/>
  <c r="AT407" i="5"/>
  <c r="AU407" i="5"/>
  <c r="AV407" i="5"/>
  <c r="AW407" i="5"/>
  <c r="AX407" i="5"/>
  <c r="AY407" i="5"/>
  <c r="AZ407" i="5"/>
  <c r="BA407" i="5"/>
  <c r="BB407" i="5"/>
  <c r="BC407" i="5"/>
  <c r="BD407" i="5"/>
  <c r="BE407" i="5"/>
  <c r="B311" i="6"/>
  <c r="C311" i="6"/>
  <c r="D311" i="6"/>
  <c r="U311" i="6"/>
  <c r="V311" i="6"/>
  <c r="W311" i="6"/>
  <c r="X311" i="6"/>
  <c r="Y311" i="6"/>
  <c r="Z311" i="6"/>
  <c r="AA311" i="6"/>
  <c r="AB311" i="6"/>
  <c r="AC311" i="6"/>
  <c r="AD311" i="6"/>
  <c r="AE311" i="6"/>
  <c r="AF311" i="6"/>
  <c r="AG311" i="6"/>
  <c r="D407" i="9"/>
  <c r="E407" i="9"/>
  <c r="F407" i="9"/>
  <c r="G407" i="9"/>
  <c r="C114" i="7"/>
  <c r="D114" i="7"/>
  <c r="E114" i="7"/>
  <c r="A28" i="3"/>
  <c r="B28" i="3"/>
  <c r="C28" i="3"/>
  <c r="U49" i="2"/>
  <c r="B377" i="4"/>
  <c r="U20" i="2"/>
  <c r="U377" i="4"/>
  <c r="AD399" i="5"/>
  <c r="T49" i="2"/>
  <c r="T20" i="2"/>
  <c r="T377" i="4"/>
  <c r="AC399" i="5"/>
  <c r="E28" i="3"/>
  <c r="A17" i="3"/>
  <c r="B17" i="3"/>
  <c r="C17" i="3"/>
  <c r="AD344" i="5"/>
  <c r="AC344" i="5"/>
  <c r="E17" i="3"/>
  <c r="L26" i="5"/>
  <c r="L27" i="5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Z194" i="1"/>
  <c r="BA194" i="1"/>
  <c r="BB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BC194" i="1"/>
  <c r="CS194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Z112" i="1"/>
  <c r="BA112" i="1"/>
  <c r="BB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BC112" i="1"/>
  <c r="CS112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Z111" i="1"/>
  <c r="BA111" i="1"/>
  <c r="BB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BC111" i="1"/>
  <c r="CS111" i="1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E16" i="2"/>
  <c r="B9" i="4"/>
  <c r="E15" i="2"/>
  <c r="E9" i="4"/>
  <c r="F2" i="5"/>
  <c r="D16" i="2"/>
  <c r="D15" i="2"/>
  <c r="D9" i="4"/>
  <c r="E2" i="5"/>
  <c r="B71" i="4"/>
  <c r="E71" i="4"/>
  <c r="F73" i="5"/>
  <c r="D71" i="4"/>
  <c r="E73" i="5"/>
  <c r="AC17" i="2"/>
  <c r="I2" i="5"/>
  <c r="F16" i="2"/>
  <c r="F15" i="2"/>
  <c r="F9" i="4"/>
  <c r="H2" i="5"/>
  <c r="I73" i="5"/>
  <c r="F71" i="4"/>
  <c r="H73" i="5"/>
  <c r="AD17" i="2"/>
  <c r="AE17" i="2"/>
  <c r="H16" i="2"/>
  <c r="H15" i="2"/>
  <c r="H9" i="4"/>
  <c r="K2" i="5"/>
  <c r="H71" i="4"/>
  <c r="K73" i="5"/>
  <c r="AF17" i="2"/>
  <c r="AG17" i="2"/>
  <c r="AH17" i="2"/>
  <c r="AI17" i="2"/>
  <c r="AJ17" i="2"/>
  <c r="AK17" i="2"/>
  <c r="M16" i="2"/>
  <c r="M15" i="2"/>
  <c r="M9" i="4"/>
  <c r="R2" i="5"/>
  <c r="L16" i="2"/>
  <c r="L15" i="2"/>
  <c r="L9" i="4"/>
  <c r="Q2" i="5"/>
  <c r="M71" i="4"/>
  <c r="R73" i="5"/>
  <c r="L71" i="4"/>
  <c r="Q73" i="5"/>
  <c r="AL17" i="2"/>
  <c r="AM17" i="2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Z85" i="1"/>
  <c r="BA85" i="1"/>
  <c r="BB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BC85" i="1"/>
  <c r="CS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Z86" i="1"/>
  <c r="BA86" i="1"/>
  <c r="BB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BC86" i="1"/>
  <c r="CS86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Z35" i="1"/>
  <c r="BA35" i="1"/>
  <c r="BB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BC35" i="1"/>
  <c r="CS35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Z34" i="1"/>
  <c r="BA34" i="1"/>
  <c r="BB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BC34" i="1"/>
  <c r="CS34" i="1"/>
  <c r="S29" i="2"/>
  <c r="P29" i="2"/>
  <c r="O12" i="2"/>
  <c r="B107" i="4"/>
  <c r="O24" i="2"/>
  <c r="O107" i="4"/>
  <c r="B247" i="4"/>
  <c r="O247" i="4"/>
  <c r="B163" i="4"/>
  <c r="O163" i="4"/>
  <c r="O13" i="2"/>
  <c r="B164" i="4"/>
  <c r="O33" i="2"/>
  <c r="O164" i="4"/>
  <c r="O15" i="2"/>
  <c r="B162" i="4"/>
  <c r="O2" i="2"/>
  <c r="O162" i="4"/>
  <c r="O34" i="2"/>
  <c r="B168" i="4"/>
  <c r="O168" i="4"/>
  <c r="O14" i="2"/>
  <c r="B266" i="4"/>
  <c r="O37" i="2"/>
  <c r="O266" i="4"/>
  <c r="B154" i="4"/>
  <c r="O4" i="2"/>
  <c r="O154" i="4"/>
  <c r="O26" i="2"/>
  <c r="B268" i="4"/>
  <c r="O268" i="4"/>
  <c r="B59" i="4"/>
  <c r="O25" i="2"/>
  <c r="O59" i="4"/>
  <c r="B175" i="4"/>
  <c r="O11" i="2"/>
  <c r="O175" i="4"/>
  <c r="B173" i="4"/>
  <c r="O173" i="4"/>
  <c r="B219" i="4"/>
  <c r="O27" i="2"/>
  <c r="O219" i="4"/>
  <c r="B186" i="4"/>
  <c r="O186" i="4"/>
  <c r="B28" i="4"/>
  <c r="O28" i="4"/>
  <c r="B27" i="4"/>
  <c r="O27" i="4"/>
  <c r="B225" i="4"/>
  <c r="O40" i="2"/>
  <c r="O225" i="4"/>
  <c r="O32" i="2"/>
  <c r="B150" i="4"/>
  <c r="O31" i="2"/>
  <c r="O150" i="4"/>
  <c r="B252" i="4"/>
  <c r="O6" i="2"/>
  <c r="O252" i="4"/>
  <c r="B223" i="4"/>
  <c r="O18" i="2"/>
  <c r="O223" i="4"/>
  <c r="O16" i="2"/>
  <c r="B226" i="4"/>
  <c r="O36" i="2"/>
  <c r="O226" i="4"/>
  <c r="O22" i="2"/>
  <c r="B97" i="4"/>
  <c r="O97" i="4"/>
  <c r="B174" i="4"/>
  <c r="O174" i="4"/>
  <c r="Q25" i="2"/>
  <c r="B274" i="4"/>
  <c r="O274" i="4"/>
  <c r="B271" i="4"/>
  <c r="O271" i="4"/>
  <c r="B118" i="4"/>
  <c r="O118" i="4"/>
  <c r="B238" i="4"/>
  <c r="O238" i="4"/>
  <c r="B120" i="4"/>
  <c r="O5" i="2"/>
  <c r="O120" i="4"/>
  <c r="B222" i="4"/>
  <c r="O222" i="4"/>
  <c r="B194" i="4"/>
  <c r="O194" i="4"/>
  <c r="B195" i="4"/>
  <c r="O195" i="4"/>
  <c r="B196" i="4"/>
  <c r="O196" i="4"/>
  <c r="B142" i="4"/>
  <c r="O142" i="4"/>
  <c r="B292" i="4"/>
  <c r="O292" i="4"/>
  <c r="B148" i="4"/>
  <c r="O148" i="4"/>
  <c r="B293" i="4"/>
  <c r="O293" i="4"/>
  <c r="O39" i="2"/>
  <c r="B270" i="4"/>
  <c r="O270" i="4"/>
  <c r="B193" i="4"/>
  <c r="O193" i="4"/>
  <c r="B192" i="4"/>
  <c r="O192" i="4"/>
  <c r="B122" i="4"/>
  <c r="O122" i="4"/>
  <c r="B205" i="4"/>
  <c r="O205" i="4"/>
  <c r="B152" i="4"/>
  <c r="O152" i="4"/>
  <c r="B8" i="4"/>
  <c r="O8" i="4"/>
  <c r="O19" i="2"/>
  <c r="B269" i="4"/>
  <c r="O269" i="4"/>
  <c r="B41" i="4"/>
  <c r="O41" i="4"/>
  <c r="B43" i="4"/>
  <c r="O43" i="4"/>
  <c r="B171" i="4"/>
  <c r="O38" i="2"/>
  <c r="O171" i="4"/>
  <c r="B260" i="4"/>
  <c r="O260" i="4"/>
  <c r="B95" i="4"/>
  <c r="O95" i="4"/>
  <c r="B12" i="4"/>
  <c r="O12" i="4"/>
  <c r="O20" i="2"/>
  <c r="B73" i="4"/>
  <c r="O73" i="4"/>
  <c r="B45" i="4"/>
  <c r="O45" i="4"/>
  <c r="B47" i="4"/>
  <c r="O47" i="4"/>
  <c r="B276" i="4"/>
  <c r="O276" i="4"/>
  <c r="B42" i="4"/>
  <c r="O42" i="4"/>
  <c r="B13" i="4"/>
  <c r="O30" i="2"/>
  <c r="O13" i="4"/>
  <c r="M20" i="2"/>
  <c r="O41" i="2"/>
  <c r="B26" i="4"/>
  <c r="O26" i="4"/>
  <c r="B217" i="4"/>
  <c r="O29" i="2"/>
  <c r="O217" i="4"/>
  <c r="B143" i="4"/>
  <c r="O143" i="4"/>
  <c r="B265" i="4"/>
  <c r="O265" i="4"/>
  <c r="B144" i="4"/>
  <c r="O144" i="4"/>
  <c r="B211" i="4"/>
  <c r="O211" i="4"/>
  <c r="B216" i="4"/>
  <c r="O216" i="4"/>
  <c r="B139" i="4"/>
  <c r="O139" i="4"/>
  <c r="B101" i="4"/>
  <c r="O101" i="4"/>
  <c r="B183" i="4"/>
  <c r="O183" i="4"/>
  <c r="B218" i="4"/>
  <c r="O218" i="4"/>
  <c r="B121" i="4"/>
  <c r="O121" i="4"/>
  <c r="B153" i="4"/>
  <c r="O153" i="4"/>
  <c r="B213" i="4"/>
  <c r="O213" i="4"/>
  <c r="B215" i="4"/>
  <c r="O215" i="4"/>
  <c r="B214" i="4"/>
  <c r="O214" i="4"/>
  <c r="B102" i="4"/>
  <c r="O102" i="4"/>
  <c r="B278" i="4"/>
  <c r="O278" i="4"/>
  <c r="B288" i="4"/>
  <c r="O288" i="4"/>
  <c r="B287" i="4"/>
  <c r="O287" i="4"/>
  <c r="B229" i="4"/>
  <c r="O229" i="4"/>
  <c r="B284" i="4"/>
  <c r="O284" i="4"/>
  <c r="B7" i="4"/>
  <c r="O7" i="4"/>
  <c r="B289" i="4"/>
  <c r="O289" i="4"/>
  <c r="B156" i="4"/>
  <c r="O156" i="4"/>
  <c r="B86" i="4"/>
  <c r="O86" i="4"/>
  <c r="B207" i="4"/>
  <c r="O207" i="4"/>
  <c r="B210" i="4"/>
  <c r="O210" i="4"/>
  <c r="B209" i="4"/>
  <c r="O209" i="4"/>
  <c r="B129" i="4"/>
  <c r="O129" i="4"/>
  <c r="B255" i="4"/>
  <c r="O255" i="4"/>
  <c r="B208" i="4"/>
  <c r="O208" i="4"/>
  <c r="B227" i="4"/>
  <c r="O227" i="4"/>
  <c r="B212" i="4"/>
  <c r="O212" i="4"/>
  <c r="B108" i="4"/>
  <c r="O108" i="4"/>
  <c r="B279" i="4"/>
  <c r="O279" i="4"/>
  <c r="B286" i="4"/>
  <c r="O286" i="4"/>
  <c r="B285" i="4"/>
  <c r="O285" i="4"/>
  <c r="B78" i="4"/>
  <c r="O78" i="4"/>
  <c r="B283" i="4"/>
  <c r="O283" i="4"/>
  <c r="B6" i="4"/>
  <c r="O6" i="4"/>
  <c r="B277" i="4"/>
  <c r="O277" i="4"/>
  <c r="B3" i="4"/>
  <c r="O3" i="4"/>
  <c r="B188" i="4"/>
  <c r="O188" i="4"/>
  <c r="B190" i="4"/>
  <c r="O190" i="4"/>
  <c r="B189" i="4"/>
  <c r="O189" i="4"/>
  <c r="B280" i="4"/>
  <c r="O280" i="4"/>
  <c r="B111" i="4"/>
  <c r="O111" i="4"/>
  <c r="B34" i="4"/>
  <c r="O34" i="4"/>
  <c r="B253" i="4"/>
  <c r="O8" i="2"/>
  <c r="O253" i="4"/>
  <c r="B4" i="4"/>
  <c r="O4" i="4"/>
  <c r="B248" i="4"/>
  <c r="O248" i="4"/>
  <c r="B187" i="4"/>
  <c r="O187" i="4"/>
  <c r="B117" i="4"/>
  <c r="O117" i="4"/>
  <c r="B112" i="4"/>
  <c r="O112" i="4"/>
  <c r="B177" i="4"/>
  <c r="O177" i="4"/>
  <c r="O28" i="2"/>
  <c r="B136" i="4"/>
  <c r="O136" i="4"/>
  <c r="B109" i="4"/>
  <c r="O109" i="4"/>
  <c r="B110" i="4"/>
  <c r="O110" i="4"/>
  <c r="B206" i="4"/>
  <c r="O206" i="4"/>
  <c r="B161" i="4"/>
  <c r="O161" i="4"/>
  <c r="B157" i="4"/>
  <c r="O157" i="4"/>
  <c r="B158" i="4"/>
  <c r="O158" i="4"/>
  <c r="B124" i="4"/>
  <c r="O124" i="4"/>
  <c r="B246" i="4"/>
  <c r="O246" i="4"/>
  <c r="B290" i="4"/>
  <c r="O35" i="2"/>
  <c r="O290" i="4"/>
  <c r="B21" i="4"/>
  <c r="O21" i="4"/>
  <c r="B20" i="4"/>
  <c r="O20" i="4"/>
  <c r="B24" i="4"/>
  <c r="O24" i="4"/>
  <c r="B23" i="4"/>
  <c r="O23" i="4"/>
  <c r="B22" i="4"/>
  <c r="O22" i="4"/>
  <c r="B198" i="4"/>
  <c r="O198" i="4"/>
  <c r="B19" i="4"/>
  <c r="O19" i="4"/>
  <c r="H27" i="2"/>
  <c r="B85" i="4"/>
  <c r="O85" i="4"/>
  <c r="B133" i="4"/>
  <c r="O133" i="4"/>
  <c r="B230" i="4"/>
  <c r="O230" i="4"/>
  <c r="B262" i="4"/>
  <c r="O262" i="4"/>
  <c r="B294" i="4"/>
  <c r="O294" i="4"/>
  <c r="B14" i="4"/>
  <c r="O14" i="4"/>
  <c r="B197" i="4"/>
  <c r="O197" i="4"/>
  <c r="B220" i="4"/>
  <c r="O220" i="4"/>
  <c r="O9" i="4"/>
  <c r="E36" i="2"/>
  <c r="E14" i="4"/>
  <c r="B35" i="4"/>
  <c r="O35" i="4"/>
  <c r="B241" i="4"/>
  <c r="O241" i="4"/>
  <c r="B240" i="4"/>
  <c r="O240" i="4"/>
  <c r="H14" i="2"/>
  <c r="H26" i="2"/>
  <c r="H29" i="2"/>
  <c r="H35" i="4"/>
  <c r="H6" i="2"/>
  <c r="H11" i="2"/>
  <c r="B221" i="4"/>
  <c r="O221" i="4"/>
  <c r="B30" i="4"/>
  <c r="O30" i="4"/>
  <c r="B31" i="4"/>
  <c r="O31" i="4"/>
  <c r="B29" i="4"/>
  <c r="O29" i="4"/>
  <c r="B32" i="4"/>
  <c r="O49" i="2"/>
  <c r="O32" i="4"/>
  <c r="Q18" i="2"/>
  <c r="B103" i="4"/>
  <c r="O103" i="4"/>
  <c r="B15" i="4"/>
  <c r="O15" i="4"/>
  <c r="B237" i="4"/>
  <c r="O237" i="4"/>
  <c r="B25" i="4"/>
  <c r="O25" i="4"/>
  <c r="B17" i="4"/>
  <c r="O17" i="4"/>
  <c r="B18" i="4"/>
  <c r="O18" i="4"/>
  <c r="B89" i="4"/>
  <c r="O89" i="4"/>
  <c r="O21" i="2"/>
  <c r="B81" i="4"/>
  <c r="O81" i="4"/>
  <c r="B79" i="4"/>
  <c r="O79" i="4"/>
  <c r="B167" i="4"/>
  <c r="O167" i="4"/>
  <c r="B33" i="4"/>
  <c r="O33" i="4"/>
  <c r="M41" i="2"/>
  <c r="B166" i="4"/>
  <c r="M166" i="4"/>
  <c r="B125" i="4"/>
  <c r="O125" i="4"/>
  <c r="O3" i="2"/>
  <c r="B10" i="4"/>
  <c r="O10" i="4"/>
  <c r="N3" i="2"/>
  <c r="X12" i="2"/>
  <c r="B50" i="4"/>
  <c r="X18" i="2"/>
  <c r="X50" i="4"/>
  <c r="R168" i="5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7" i="9"/>
  <c r="F347" i="9"/>
  <c r="G347" i="9"/>
  <c r="E347" i="9"/>
  <c r="D346" i="9"/>
  <c r="F346" i="9"/>
  <c r="G346" i="9"/>
  <c r="E346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Z190" i="1"/>
  <c r="BA190" i="1"/>
  <c r="BB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BC190" i="1"/>
  <c r="CS190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Z189" i="1"/>
  <c r="BA189" i="1"/>
  <c r="BB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BC189" i="1"/>
  <c r="CS189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Z192" i="1"/>
  <c r="BA192" i="1"/>
  <c r="BB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BC192" i="1"/>
  <c r="CS192" i="1"/>
  <c r="S15" i="2"/>
  <c r="P15" i="2"/>
  <c r="B378" i="4"/>
  <c r="P378" i="4"/>
  <c r="H25" i="2"/>
  <c r="H18" i="2"/>
  <c r="H18" i="4"/>
  <c r="H17" i="4"/>
  <c r="Q26" i="2"/>
  <c r="S8" i="2"/>
  <c r="D20" i="2"/>
  <c r="D41" i="2"/>
  <c r="D166" i="4"/>
  <c r="U42" i="2"/>
  <c r="B297" i="4"/>
  <c r="U43" i="2"/>
  <c r="U297" i="4"/>
  <c r="A16" i="3"/>
  <c r="B16" i="3"/>
  <c r="C16" i="3"/>
  <c r="AH213" i="4"/>
  <c r="A6" i="3"/>
  <c r="A7" i="3"/>
  <c r="A8" i="3"/>
  <c r="A9" i="3"/>
  <c r="A10" i="3"/>
  <c r="A11" i="3"/>
  <c r="A12" i="3"/>
  <c r="A13" i="3"/>
  <c r="A14" i="3"/>
  <c r="A15" i="3"/>
  <c r="A19" i="3"/>
  <c r="A20" i="3"/>
  <c r="A21" i="3"/>
  <c r="A22" i="3"/>
  <c r="A23" i="3"/>
  <c r="A24" i="3"/>
  <c r="A25" i="3"/>
  <c r="A27" i="3"/>
  <c r="A29" i="3"/>
  <c r="A30" i="3"/>
  <c r="A31" i="3"/>
  <c r="A32" i="3"/>
  <c r="A33" i="3"/>
  <c r="A34" i="3"/>
  <c r="A35" i="3"/>
  <c r="A36" i="3"/>
  <c r="A37" i="3"/>
  <c r="A38" i="3"/>
  <c r="A39" i="3"/>
  <c r="A40" i="3"/>
  <c r="U213" i="4" a="1"/>
  <c r="U213" i="4"/>
  <c r="AD215" i="5"/>
  <c r="T213" i="4" a="1"/>
  <c r="T213" i="4"/>
  <c r="AC215" i="5"/>
  <c r="U45" i="2"/>
  <c r="U302" i="4"/>
  <c r="AD342" i="5"/>
  <c r="T45" i="2"/>
  <c r="T302" i="4"/>
  <c r="AC342" i="5"/>
  <c r="E16" i="3"/>
  <c r="C45" i="2"/>
  <c r="E45" i="2"/>
  <c r="F45" i="2"/>
  <c r="G45" i="2"/>
  <c r="H45" i="2"/>
  <c r="K45" i="2"/>
  <c r="N45" i="2"/>
  <c r="O45" i="2"/>
  <c r="P45" i="2"/>
  <c r="Q45" i="2"/>
  <c r="R45" i="2"/>
  <c r="S45" i="2"/>
  <c r="V45" i="2"/>
  <c r="W45" i="2"/>
  <c r="X45" i="2"/>
  <c r="Y45" i="2"/>
  <c r="Z45" i="2"/>
  <c r="AA45" i="2"/>
  <c r="AB45" i="2"/>
  <c r="D304" i="4"/>
  <c r="E344" i="5"/>
  <c r="F342" i="5"/>
  <c r="AC45" i="2"/>
  <c r="H342" i="5"/>
  <c r="I342" i="5"/>
  <c r="AD45" i="2"/>
  <c r="AE45" i="2"/>
  <c r="I304" i="4"/>
  <c r="L344" i="5"/>
  <c r="K344" i="5"/>
  <c r="AF45" i="2"/>
  <c r="AG45" i="2"/>
  <c r="AH45" i="2"/>
  <c r="AI45" i="2"/>
  <c r="AJ45" i="2"/>
  <c r="O344" i="5"/>
  <c r="J304" i="4"/>
  <c r="N344" i="5"/>
  <c r="AK45" i="2"/>
  <c r="M304" i="4"/>
  <c r="R344" i="5"/>
  <c r="L304" i="4"/>
  <c r="Q344" i="5"/>
  <c r="AL45" i="2"/>
  <c r="AM45" i="2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Z191" i="1"/>
  <c r="BA191" i="1"/>
  <c r="BB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BC191" i="1"/>
  <c r="CS191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Z193" i="1"/>
  <c r="BA193" i="1"/>
  <c r="BB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BC193" i="1"/>
  <c r="CS193" i="1"/>
  <c r="E213" i="1"/>
  <c r="I19" i="5"/>
  <c r="F41" i="2"/>
  <c r="F40" i="2"/>
  <c r="F26" i="4"/>
  <c r="H19" i="5"/>
  <c r="E41" i="2"/>
  <c r="E40" i="2"/>
  <c r="E26" i="4"/>
  <c r="F19" i="5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V42" i="2"/>
  <c r="W42" i="2"/>
  <c r="X42" i="2"/>
  <c r="Y42" i="2"/>
  <c r="Z42" i="2"/>
  <c r="AA42" i="2"/>
  <c r="AB42" i="2"/>
  <c r="D40" i="2"/>
  <c r="D26" i="4"/>
  <c r="E19" i="5"/>
  <c r="B296" i="4"/>
  <c r="D296" i="4"/>
  <c r="E317" i="5"/>
  <c r="F317" i="5"/>
  <c r="AC42" i="2"/>
  <c r="H317" i="5"/>
  <c r="I317" i="5"/>
  <c r="AD42" i="2"/>
  <c r="AE42" i="2"/>
  <c r="H41" i="2"/>
  <c r="H40" i="2"/>
  <c r="H26" i="4"/>
  <c r="K19" i="5"/>
  <c r="I15" i="2"/>
  <c r="I296" i="4"/>
  <c r="L317" i="5"/>
  <c r="K317" i="5"/>
  <c r="AF42" i="2"/>
  <c r="AG42" i="2"/>
  <c r="AH42" i="2"/>
  <c r="AI42" i="2"/>
  <c r="AJ42" i="2"/>
  <c r="O317" i="5"/>
  <c r="J15" i="2"/>
  <c r="J296" i="4"/>
  <c r="N317" i="5"/>
  <c r="AK42" i="2"/>
  <c r="M40" i="2"/>
  <c r="M26" i="4"/>
  <c r="R19" i="5"/>
  <c r="L41" i="2"/>
  <c r="L40" i="2"/>
  <c r="L26" i="4"/>
  <c r="Q19" i="5"/>
  <c r="M296" i="4"/>
  <c r="R317" i="5"/>
  <c r="L296" i="4"/>
  <c r="Q317" i="5"/>
  <c r="AL42" i="2"/>
  <c r="AM42" i="2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Z178" i="1"/>
  <c r="BA178" i="1"/>
  <c r="BB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BC178" i="1"/>
  <c r="CS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Z179" i="1"/>
  <c r="BA179" i="1"/>
  <c r="BB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BC179" i="1"/>
  <c r="CS17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Z150" i="1"/>
  <c r="BA150" i="1"/>
  <c r="BB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BC150" i="1"/>
  <c r="CS150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Z149" i="1"/>
  <c r="BA149" i="1"/>
  <c r="BB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BC149" i="1"/>
  <c r="CS149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Z172" i="1"/>
  <c r="BA172" i="1"/>
  <c r="BB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BC172" i="1"/>
  <c r="CS172" i="1"/>
  <c r="N41" i="2"/>
  <c r="N40" i="2"/>
  <c r="N26" i="4"/>
  <c r="C41" i="2"/>
  <c r="G41" i="2"/>
  <c r="I41" i="2"/>
  <c r="J41" i="2"/>
  <c r="K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D29" i="2"/>
  <c r="D216" i="4"/>
  <c r="E218" i="5"/>
  <c r="AC41" i="2"/>
  <c r="AD41" i="2"/>
  <c r="AE41" i="2"/>
  <c r="H216" i="4"/>
  <c r="K218" i="5"/>
  <c r="L19" i="5"/>
  <c r="AF41" i="2"/>
  <c r="AG41" i="2"/>
  <c r="AH41" i="2"/>
  <c r="AI41" i="2"/>
  <c r="AJ41" i="2"/>
  <c r="N19" i="5"/>
  <c r="O19" i="5"/>
  <c r="AK41" i="2"/>
  <c r="M29" i="2"/>
  <c r="M216" i="4"/>
  <c r="R218" i="5"/>
  <c r="L29" i="2"/>
  <c r="L216" i="4"/>
  <c r="Q218" i="5"/>
  <c r="AL41" i="2"/>
  <c r="AM41" i="2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Z171" i="1"/>
  <c r="BA171" i="1"/>
  <c r="BB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BC171" i="1"/>
  <c r="CS171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Z169" i="1"/>
  <c r="BA169" i="1"/>
  <c r="BB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BC169" i="1"/>
  <c r="CS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Z170" i="1"/>
  <c r="BA170" i="1"/>
  <c r="BB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BC170" i="1"/>
  <c r="CS170" i="1"/>
  <c r="AH175" i="4"/>
  <c r="AH59" i="4"/>
  <c r="U59" i="4" a="1"/>
  <c r="U59" i="4"/>
  <c r="AH174" i="4"/>
  <c r="AH186" i="4"/>
  <c r="AH173" i="4"/>
  <c r="T175" i="4" a="1"/>
  <c r="T175" i="4"/>
  <c r="T59" i="4" a="1"/>
  <c r="T59" i="4"/>
  <c r="T174" i="4" a="1"/>
  <c r="T174" i="4"/>
  <c r="T186" i="4" a="1"/>
  <c r="T186" i="4"/>
  <c r="T173" i="4" a="1"/>
  <c r="T173" i="4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Z84" i="1"/>
  <c r="BA84" i="1"/>
  <c r="BB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BC84" i="1"/>
  <c r="CS84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Z83" i="1"/>
  <c r="BA83" i="1"/>
  <c r="BB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BC83" i="1"/>
  <c r="CS83" i="1"/>
  <c r="B13" i="3"/>
  <c r="C13" i="3"/>
  <c r="AD210" i="5"/>
  <c r="AC210" i="5"/>
  <c r="AH9" i="4"/>
  <c r="U9" i="4" a="1"/>
  <c r="U9" i="4"/>
  <c r="AD2" i="5"/>
  <c r="T9" i="4" a="1"/>
  <c r="T9" i="4"/>
  <c r="AC2" i="5"/>
  <c r="E13" i="3"/>
  <c r="J16" i="2"/>
  <c r="C16" i="2"/>
  <c r="G16" i="2"/>
  <c r="I16" i="2"/>
  <c r="K16" i="2"/>
  <c r="N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B70" i="4"/>
  <c r="D70" i="4"/>
  <c r="E72" i="5"/>
  <c r="AC16" i="2"/>
  <c r="AD16" i="2"/>
  <c r="AE16" i="2"/>
  <c r="H70" i="4"/>
  <c r="K72" i="5"/>
  <c r="L2" i="5"/>
  <c r="AF16" i="2"/>
  <c r="AG16" i="2"/>
  <c r="AH16" i="2"/>
  <c r="AI16" i="2"/>
  <c r="AJ16" i="2"/>
  <c r="N2" i="5"/>
  <c r="O2" i="5"/>
  <c r="AK16" i="2"/>
  <c r="M70" i="4"/>
  <c r="R72" i="5"/>
  <c r="L70" i="4"/>
  <c r="Q72" i="5"/>
  <c r="AL16" i="2"/>
  <c r="AM16" i="2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Z81" i="1"/>
  <c r="BA81" i="1"/>
  <c r="BB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BC81" i="1"/>
  <c r="CS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BA82" i="1"/>
  <c r="BB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BC82" i="1"/>
  <c r="CS82" i="1"/>
  <c r="J93" i="1"/>
  <c r="C15" i="2"/>
  <c r="C9" i="4"/>
  <c r="C2" i="5"/>
  <c r="T2" i="5"/>
  <c r="U2" i="5"/>
  <c r="P9" i="4"/>
  <c r="W2" i="5"/>
  <c r="Q15" i="2"/>
  <c r="Q9" i="4"/>
  <c r="X2" i="5"/>
  <c r="S9" i="4"/>
  <c r="AA2" i="5"/>
  <c r="AF2" i="5"/>
  <c r="AG2" i="5"/>
  <c r="X15" i="2"/>
  <c r="X9" i="4"/>
  <c r="AI2" i="5"/>
  <c r="Y15" i="2"/>
  <c r="Y9" i="4"/>
  <c r="AJ2" i="5"/>
  <c r="Z15" i="2"/>
  <c r="Z9" i="4"/>
  <c r="AL2" i="5"/>
  <c r="Z2" i="5"/>
  <c r="AN2" i="5"/>
  <c r="C21" i="2"/>
  <c r="C3" i="2"/>
  <c r="C10" i="4"/>
  <c r="C3" i="5"/>
  <c r="D21" i="2"/>
  <c r="D3" i="2"/>
  <c r="D10" i="4"/>
  <c r="E3" i="5"/>
  <c r="K3" i="5"/>
  <c r="L21" i="2"/>
  <c r="L3" i="2"/>
  <c r="L10" i="4"/>
  <c r="Q3" i="5"/>
  <c r="M21" i="2"/>
  <c r="M3" i="2"/>
  <c r="M10" i="4"/>
  <c r="R3" i="5"/>
  <c r="T3" i="5"/>
  <c r="U3" i="5"/>
  <c r="P21" i="2"/>
  <c r="P3" i="2"/>
  <c r="P10" i="4"/>
  <c r="W3" i="5"/>
  <c r="Q21" i="2"/>
  <c r="Q3" i="2"/>
  <c r="Q10" i="4"/>
  <c r="X3" i="5"/>
  <c r="S21" i="2"/>
  <c r="S3" i="2"/>
  <c r="S10" i="4"/>
  <c r="AA3" i="5"/>
  <c r="AH10" i="4"/>
  <c r="T10" i="4" a="1"/>
  <c r="T10" i="4"/>
  <c r="AC3" i="5"/>
  <c r="U10" i="4" a="1"/>
  <c r="U10" i="4"/>
  <c r="AD3" i="5"/>
  <c r="AF3" i="5"/>
  <c r="AG3" i="5"/>
  <c r="X21" i="2"/>
  <c r="X3" i="2"/>
  <c r="X10" i="4"/>
  <c r="AI3" i="5"/>
  <c r="Y21" i="2"/>
  <c r="Y3" i="2"/>
  <c r="Y10" i="4"/>
  <c r="AJ3" i="5"/>
  <c r="Z21" i="2"/>
  <c r="Z3" i="2"/>
  <c r="Z10" i="4"/>
  <c r="AL3" i="5"/>
  <c r="F3" i="5"/>
  <c r="H3" i="5"/>
  <c r="I3" i="5"/>
  <c r="L3" i="5"/>
  <c r="N3" i="5"/>
  <c r="O3" i="5"/>
  <c r="Z3" i="5"/>
  <c r="AN3" i="5"/>
  <c r="B11" i="4"/>
  <c r="C2" i="2"/>
  <c r="C11" i="4"/>
  <c r="C4" i="5"/>
  <c r="D2" i="2"/>
  <c r="D11" i="4"/>
  <c r="E4" i="5"/>
  <c r="K4" i="5"/>
  <c r="L2" i="2"/>
  <c r="L11" i="4"/>
  <c r="Q4" i="5"/>
  <c r="M2" i="2"/>
  <c r="M11" i="4"/>
  <c r="R4" i="5"/>
  <c r="T4" i="5"/>
  <c r="U4" i="5"/>
  <c r="P2" i="2"/>
  <c r="P11" i="4"/>
  <c r="W4" i="5"/>
  <c r="Q2" i="2"/>
  <c r="Q11" i="4"/>
  <c r="X4" i="5"/>
  <c r="S2" i="2"/>
  <c r="S11" i="4"/>
  <c r="AA4" i="5"/>
  <c r="AH11" i="4"/>
  <c r="T11" i="4" a="1"/>
  <c r="T11" i="4"/>
  <c r="AC4" i="5"/>
  <c r="U11" i="4" a="1"/>
  <c r="U11" i="4"/>
  <c r="AD4" i="5"/>
  <c r="AF4" i="5"/>
  <c r="AG4" i="5"/>
  <c r="X2" i="2"/>
  <c r="X11" i="4"/>
  <c r="AI4" i="5"/>
  <c r="Y2" i="2"/>
  <c r="Y11" i="4"/>
  <c r="AJ4" i="5"/>
  <c r="Z2" i="2"/>
  <c r="Z11" i="4"/>
  <c r="AL4" i="5"/>
  <c r="F4" i="5"/>
  <c r="H4" i="5"/>
  <c r="I4" i="5"/>
  <c r="L4" i="5"/>
  <c r="N4" i="5"/>
  <c r="O4" i="5"/>
  <c r="Z4" i="5"/>
  <c r="AN4" i="5"/>
  <c r="S27" i="2"/>
  <c r="S12" i="4"/>
  <c r="AA5" i="5"/>
  <c r="P27" i="2"/>
  <c r="P12" i="4"/>
  <c r="W5" i="5"/>
  <c r="O5" i="5"/>
  <c r="K5" i="5"/>
  <c r="C27" i="2"/>
  <c r="C12" i="4"/>
  <c r="C5" i="5"/>
  <c r="D27" i="2"/>
  <c r="D12" i="4"/>
  <c r="E5" i="5"/>
  <c r="E27" i="2"/>
  <c r="E12" i="4"/>
  <c r="F5" i="5"/>
  <c r="F27" i="2"/>
  <c r="F12" i="4"/>
  <c r="H5" i="5"/>
  <c r="I5" i="5"/>
  <c r="L27" i="2"/>
  <c r="L12" i="4"/>
  <c r="Q5" i="5"/>
  <c r="M27" i="2"/>
  <c r="M12" i="4"/>
  <c r="R5" i="5"/>
  <c r="T5" i="5"/>
  <c r="U5" i="5"/>
  <c r="Q27" i="2"/>
  <c r="Q12" i="4"/>
  <c r="X5" i="5"/>
  <c r="R27" i="2"/>
  <c r="R12" i="4"/>
  <c r="Z5" i="5"/>
  <c r="AH12" i="4"/>
  <c r="T12" i="4" a="1"/>
  <c r="T12" i="4"/>
  <c r="AC5" i="5"/>
  <c r="U12" i="4" a="1"/>
  <c r="U12" i="4"/>
  <c r="AD5" i="5"/>
  <c r="AF5" i="5"/>
  <c r="AG5" i="5"/>
  <c r="X27" i="2"/>
  <c r="X12" i="4"/>
  <c r="AI5" i="5"/>
  <c r="Y27" i="2"/>
  <c r="Y12" i="4"/>
  <c r="AJ5" i="5"/>
  <c r="Z27" i="2"/>
  <c r="Z12" i="4"/>
  <c r="AL5" i="5"/>
  <c r="AN5" i="5"/>
  <c r="S30" i="2"/>
  <c r="S6" i="2"/>
  <c r="S13" i="4"/>
  <c r="AA6" i="5"/>
  <c r="P30" i="2"/>
  <c r="P6" i="2"/>
  <c r="P13" i="4"/>
  <c r="W6" i="5"/>
  <c r="O6" i="5"/>
  <c r="K6" i="5"/>
  <c r="C30" i="2"/>
  <c r="C6" i="2"/>
  <c r="C13" i="4"/>
  <c r="C6" i="5"/>
  <c r="D30" i="2"/>
  <c r="D6" i="2"/>
  <c r="D13" i="4"/>
  <c r="E6" i="5"/>
  <c r="E30" i="2"/>
  <c r="E6" i="2"/>
  <c r="E13" i="4"/>
  <c r="F6" i="5"/>
  <c r="F30" i="2"/>
  <c r="F6" i="2"/>
  <c r="F13" i="4"/>
  <c r="H6" i="5"/>
  <c r="I6" i="5"/>
  <c r="I30" i="2"/>
  <c r="I6" i="2"/>
  <c r="I27" i="2"/>
  <c r="I13" i="4"/>
  <c r="L6" i="5"/>
  <c r="J30" i="2"/>
  <c r="J6" i="2"/>
  <c r="J27" i="2"/>
  <c r="J13" i="4"/>
  <c r="N6" i="5"/>
  <c r="L30" i="2"/>
  <c r="L6" i="2"/>
  <c r="L13" i="4"/>
  <c r="Q6" i="5"/>
  <c r="M30" i="2"/>
  <c r="M6" i="2"/>
  <c r="M13" i="4"/>
  <c r="R6" i="5"/>
  <c r="T6" i="5"/>
  <c r="U6" i="5"/>
  <c r="Q30" i="2"/>
  <c r="Q6" i="2"/>
  <c r="Q13" i="4"/>
  <c r="X6" i="5"/>
  <c r="R30" i="2"/>
  <c r="R6" i="2"/>
  <c r="R13" i="4"/>
  <c r="Z6" i="5"/>
  <c r="AH13" i="4"/>
  <c r="T13" i="4" a="1"/>
  <c r="T13" i="4"/>
  <c r="AC6" i="5"/>
  <c r="U13" i="4" a="1"/>
  <c r="U13" i="4"/>
  <c r="AD6" i="5"/>
  <c r="AF6" i="5"/>
  <c r="AG6" i="5"/>
  <c r="X30" i="2"/>
  <c r="X6" i="2"/>
  <c r="X13" i="4"/>
  <c r="AI6" i="5"/>
  <c r="Y30" i="2"/>
  <c r="Y6" i="2"/>
  <c r="Y13" i="4"/>
  <c r="AJ6" i="5"/>
  <c r="Z30" i="2"/>
  <c r="Z6" i="2"/>
  <c r="Z13" i="4"/>
  <c r="AL6" i="5"/>
  <c r="AN6" i="5"/>
  <c r="C36" i="2"/>
  <c r="C14" i="4"/>
  <c r="C7" i="5"/>
  <c r="D36" i="2"/>
  <c r="D14" i="4"/>
  <c r="E7" i="5"/>
  <c r="F7" i="5"/>
  <c r="F36" i="2"/>
  <c r="F14" i="4"/>
  <c r="H7" i="5"/>
  <c r="I7" i="5"/>
  <c r="H36" i="2"/>
  <c r="H14" i="4"/>
  <c r="K7" i="5"/>
  <c r="L36" i="2"/>
  <c r="L14" i="4"/>
  <c r="Q7" i="5"/>
  <c r="M36" i="2"/>
  <c r="M14" i="4"/>
  <c r="R7" i="5"/>
  <c r="T7" i="5"/>
  <c r="U7" i="5"/>
  <c r="P36" i="2"/>
  <c r="P14" i="4"/>
  <c r="W7" i="5"/>
  <c r="Q36" i="2"/>
  <c r="Q14" i="4"/>
  <c r="X7" i="5"/>
  <c r="S36" i="2"/>
  <c r="S14" i="4"/>
  <c r="AA7" i="5"/>
  <c r="AH14" i="4"/>
  <c r="T14" i="4" a="1"/>
  <c r="T14" i="4"/>
  <c r="AC7" i="5"/>
  <c r="U14" i="4" a="1"/>
  <c r="U14" i="4"/>
  <c r="AD7" i="5"/>
  <c r="AF7" i="5"/>
  <c r="AG7" i="5"/>
  <c r="X36" i="2"/>
  <c r="X14" i="4"/>
  <c r="AI7" i="5"/>
  <c r="Y36" i="2"/>
  <c r="Y14" i="4"/>
  <c r="AJ7" i="5"/>
  <c r="Z36" i="2"/>
  <c r="Z14" i="4"/>
  <c r="AL7" i="5"/>
  <c r="L7" i="5"/>
  <c r="N7" i="5"/>
  <c r="O7" i="5"/>
  <c r="Z7" i="5"/>
  <c r="AN7" i="5"/>
  <c r="C38" i="2"/>
  <c r="C15" i="4"/>
  <c r="C8" i="5"/>
  <c r="D38" i="2"/>
  <c r="D15" i="4"/>
  <c r="E8" i="5"/>
  <c r="E38" i="2"/>
  <c r="E15" i="4"/>
  <c r="F8" i="5"/>
  <c r="F38" i="2"/>
  <c r="F15" i="4"/>
  <c r="H8" i="5"/>
  <c r="I8" i="5"/>
  <c r="K8" i="5"/>
  <c r="L38" i="2"/>
  <c r="L15" i="4"/>
  <c r="Q8" i="5"/>
  <c r="M38" i="2"/>
  <c r="M15" i="4"/>
  <c r="R8" i="5"/>
  <c r="T8" i="5"/>
  <c r="U8" i="5"/>
  <c r="P38" i="2"/>
  <c r="P15" i="4"/>
  <c r="W8" i="5"/>
  <c r="Q38" i="2"/>
  <c r="Q15" i="4"/>
  <c r="X8" i="5"/>
  <c r="S38" i="2"/>
  <c r="S15" i="4"/>
  <c r="AA8" i="5"/>
  <c r="AH15" i="4"/>
  <c r="T15" i="4" a="1"/>
  <c r="T15" i="4"/>
  <c r="AC8" i="5"/>
  <c r="U15" i="4" a="1"/>
  <c r="U15" i="4"/>
  <c r="AD8" i="5"/>
  <c r="AF8" i="5"/>
  <c r="AG8" i="5"/>
  <c r="X38" i="2"/>
  <c r="X15" i="4"/>
  <c r="AI8" i="5"/>
  <c r="Y38" i="2"/>
  <c r="Y15" i="4"/>
  <c r="AJ8" i="5"/>
  <c r="Z38" i="2"/>
  <c r="Z15" i="4"/>
  <c r="AL8" i="5"/>
  <c r="L8" i="5"/>
  <c r="N8" i="5"/>
  <c r="O8" i="5"/>
  <c r="Z8" i="5"/>
  <c r="AN8" i="5"/>
  <c r="S25" i="2"/>
  <c r="B16" i="4"/>
  <c r="S16" i="4"/>
  <c r="AA9" i="5"/>
  <c r="P25" i="2"/>
  <c r="P16" i="4"/>
  <c r="W9" i="5"/>
  <c r="C25" i="2"/>
  <c r="C16" i="4"/>
  <c r="C9" i="5"/>
  <c r="D25" i="2"/>
  <c r="D16" i="4"/>
  <c r="E9" i="5"/>
  <c r="K9" i="5"/>
  <c r="L25" i="2"/>
  <c r="L16" i="4"/>
  <c r="Q9" i="5"/>
  <c r="M25" i="2"/>
  <c r="M16" i="4"/>
  <c r="R9" i="5"/>
  <c r="N25" i="2"/>
  <c r="N16" i="4"/>
  <c r="T9" i="5"/>
  <c r="O16" i="4"/>
  <c r="U9" i="5"/>
  <c r="Q16" i="4"/>
  <c r="X9" i="5"/>
  <c r="R25" i="2"/>
  <c r="R16" i="4"/>
  <c r="Z9" i="5"/>
  <c r="AH16" i="4"/>
  <c r="T16" i="4" a="1"/>
  <c r="T16" i="4"/>
  <c r="AC9" i="5"/>
  <c r="U16" i="4" a="1"/>
  <c r="U16" i="4"/>
  <c r="AD9" i="5"/>
  <c r="AF9" i="5"/>
  <c r="AG9" i="5"/>
  <c r="X25" i="2"/>
  <c r="X16" i="4"/>
  <c r="AI9" i="5"/>
  <c r="Y25" i="2"/>
  <c r="Y16" i="4"/>
  <c r="AJ9" i="5"/>
  <c r="Z25" i="2"/>
  <c r="Z16" i="4"/>
  <c r="AL9" i="5"/>
  <c r="L9" i="5"/>
  <c r="N9" i="5"/>
  <c r="O9" i="5"/>
  <c r="AN9" i="5"/>
  <c r="S17" i="4"/>
  <c r="AA10" i="5"/>
  <c r="P17" i="4"/>
  <c r="W10" i="5"/>
  <c r="C17" i="4"/>
  <c r="C10" i="5"/>
  <c r="D17" i="4"/>
  <c r="E10" i="5"/>
  <c r="K10" i="5"/>
  <c r="L17" i="4"/>
  <c r="Q10" i="5"/>
  <c r="M17" i="4"/>
  <c r="R10" i="5"/>
  <c r="T10" i="5"/>
  <c r="U10" i="5"/>
  <c r="Q17" i="4"/>
  <c r="X10" i="5"/>
  <c r="R17" i="4"/>
  <c r="Z10" i="5"/>
  <c r="AH17" i="4"/>
  <c r="T17" i="4" a="1"/>
  <c r="T17" i="4"/>
  <c r="AC10" i="5"/>
  <c r="U17" i="4" a="1"/>
  <c r="U17" i="4"/>
  <c r="AD10" i="5"/>
  <c r="AF10" i="5"/>
  <c r="AG10" i="5"/>
  <c r="X17" i="4"/>
  <c r="AI10" i="5"/>
  <c r="Y17" i="4"/>
  <c r="AJ10" i="5"/>
  <c r="Z17" i="4"/>
  <c r="AL10" i="5"/>
  <c r="L10" i="5"/>
  <c r="N10" i="5"/>
  <c r="O10" i="5"/>
  <c r="AN10" i="5"/>
  <c r="S18" i="2"/>
  <c r="S18" i="4"/>
  <c r="AA11" i="5"/>
  <c r="P18" i="2"/>
  <c r="P18" i="4"/>
  <c r="W11" i="5"/>
  <c r="C18" i="2"/>
  <c r="C18" i="4"/>
  <c r="C11" i="5"/>
  <c r="D18" i="2"/>
  <c r="D18" i="4"/>
  <c r="E11" i="5"/>
  <c r="K11" i="5"/>
  <c r="L18" i="2"/>
  <c r="L18" i="4"/>
  <c r="Q11" i="5"/>
  <c r="M18" i="2"/>
  <c r="M18" i="4"/>
  <c r="R11" i="5"/>
  <c r="T11" i="5"/>
  <c r="U11" i="5"/>
  <c r="Q18" i="4"/>
  <c r="X11" i="5"/>
  <c r="R18" i="2"/>
  <c r="R18" i="4"/>
  <c r="Z11" i="5"/>
  <c r="AH18" i="4"/>
  <c r="T18" i="4" a="1"/>
  <c r="T18" i="4"/>
  <c r="AC11" i="5"/>
  <c r="U18" i="4" a="1"/>
  <c r="U18" i="4"/>
  <c r="AD11" i="5"/>
  <c r="AF11" i="5"/>
  <c r="AG11" i="5"/>
  <c r="X18" i="4"/>
  <c r="AI11" i="5"/>
  <c r="Y18" i="2"/>
  <c r="Y18" i="4"/>
  <c r="AJ11" i="5"/>
  <c r="Z18" i="2"/>
  <c r="Z18" i="4"/>
  <c r="AL11" i="5"/>
  <c r="L11" i="5"/>
  <c r="N11" i="5"/>
  <c r="O11" i="5"/>
  <c r="AN11" i="5"/>
  <c r="C34" i="2"/>
  <c r="C14" i="2"/>
  <c r="C33" i="2"/>
  <c r="C35" i="2"/>
  <c r="C19" i="4"/>
  <c r="C12" i="5"/>
  <c r="D34" i="2"/>
  <c r="D14" i="2"/>
  <c r="D33" i="2"/>
  <c r="D35" i="2"/>
  <c r="D19" i="4"/>
  <c r="E12" i="5"/>
  <c r="L34" i="2"/>
  <c r="L14" i="2"/>
  <c r="L33" i="2"/>
  <c r="L35" i="2"/>
  <c r="L19" i="4"/>
  <c r="Q12" i="5"/>
  <c r="M34" i="2"/>
  <c r="M14" i="2"/>
  <c r="M33" i="2"/>
  <c r="M35" i="2"/>
  <c r="M19" i="4"/>
  <c r="R12" i="5"/>
  <c r="T12" i="5"/>
  <c r="U12" i="5"/>
  <c r="P34" i="2"/>
  <c r="P14" i="2"/>
  <c r="P33" i="2"/>
  <c r="P35" i="2"/>
  <c r="P19" i="4"/>
  <c r="W12" i="5"/>
  <c r="Q34" i="2"/>
  <c r="Q14" i="2"/>
  <c r="Q33" i="2"/>
  <c r="Q35" i="2"/>
  <c r="Q19" i="4"/>
  <c r="X12" i="5"/>
  <c r="S34" i="2"/>
  <c r="S14" i="2"/>
  <c r="S33" i="2"/>
  <c r="S35" i="2"/>
  <c r="S19" i="4"/>
  <c r="AA12" i="5"/>
  <c r="AH19" i="4"/>
  <c r="T19" i="4" a="1"/>
  <c r="T19" i="4"/>
  <c r="AC12" i="5"/>
  <c r="U19" i="4" a="1"/>
  <c r="U19" i="4"/>
  <c r="AD12" i="5"/>
  <c r="AF12" i="5"/>
  <c r="AG12" i="5"/>
  <c r="X34" i="2"/>
  <c r="X14" i="2"/>
  <c r="X33" i="2"/>
  <c r="X35" i="2"/>
  <c r="X19" i="4"/>
  <c r="AI12" i="5"/>
  <c r="Y34" i="2"/>
  <c r="Y14" i="2"/>
  <c r="Y33" i="2"/>
  <c r="Y35" i="2"/>
  <c r="Y19" i="4"/>
  <c r="AJ12" i="5"/>
  <c r="Z34" i="2"/>
  <c r="Z14" i="2"/>
  <c r="Z33" i="2"/>
  <c r="Z35" i="2"/>
  <c r="Z19" i="4"/>
  <c r="AL12" i="5"/>
  <c r="L12" i="5"/>
  <c r="N12" i="5"/>
  <c r="O12" i="5"/>
  <c r="AN12" i="5"/>
  <c r="C13" i="2"/>
  <c r="C20" i="4"/>
  <c r="C13" i="5"/>
  <c r="D13" i="2"/>
  <c r="D20" i="4"/>
  <c r="E13" i="5"/>
  <c r="H35" i="2"/>
  <c r="H33" i="2"/>
  <c r="H13" i="2"/>
  <c r="H20" i="4"/>
  <c r="K13" i="5"/>
  <c r="L13" i="2"/>
  <c r="L20" i="4"/>
  <c r="Q13" i="5"/>
  <c r="M13" i="2"/>
  <c r="M20" i="4"/>
  <c r="R13" i="5"/>
  <c r="T13" i="5"/>
  <c r="U13" i="5"/>
  <c r="P13" i="2"/>
  <c r="P20" i="4"/>
  <c r="W13" i="5"/>
  <c r="Q13" i="2"/>
  <c r="Q20" i="4"/>
  <c r="X13" i="5"/>
  <c r="S13" i="2"/>
  <c r="S20" i="4"/>
  <c r="AA13" i="5"/>
  <c r="AH20" i="4"/>
  <c r="T20" i="4" a="1"/>
  <c r="T20" i="4"/>
  <c r="AC13" i="5"/>
  <c r="U20" i="4" a="1"/>
  <c r="U20" i="4"/>
  <c r="AD13" i="5"/>
  <c r="AF13" i="5"/>
  <c r="AG13" i="5"/>
  <c r="X13" i="2"/>
  <c r="X20" i="4"/>
  <c r="AI13" i="5"/>
  <c r="Y13" i="2"/>
  <c r="Y20" i="4"/>
  <c r="AJ13" i="5"/>
  <c r="Z13" i="2"/>
  <c r="Z20" i="4"/>
  <c r="AL13" i="5"/>
  <c r="L13" i="5"/>
  <c r="N13" i="5"/>
  <c r="O13" i="5"/>
  <c r="AN13" i="5"/>
  <c r="C29" i="2"/>
  <c r="C21" i="4"/>
  <c r="C14" i="5"/>
  <c r="D21" i="4"/>
  <c r="E14" i="5"/>
  <c r="H21" i="4"/>
  <c r="K14" i="5"/>
  <c r="I33" i="2"/>
  <c r="I29" i="2"/>
  <c r="I21" i="4"/>
  <c r="L14" i="5"/>
  <c r="J33" i="2"/>
  <c r="J29" i="2"/>
  <c r="J21" i="4"/>
  <c r="N14" i="5"/>
  <c r="O14" i="5"/>
  <c r="L21" i="4"/>
  <c r="Q14" i="5"/>
  <c r="M21" i="4"/>
  <c r="R14" i="5"/>
  <c r="N33" i="2"/>
  <c r="N29" i="2"/>
  <c r="N21" i="4"/>
  <c r="T14" i="5"/>
  <c r="U14" i="5"/>
  <c r="P21" i="4"/>
  <c r="W14" i="5"/>
  <c r="Q29" i="2"/>
  <c r="Q21" i="4"/>
  <c r="X14" i="5"/>
  <c r="S21" i="4"/>
  <c r="AA14" i="5"/>
  <c r="AH21" i="4"/>
  <c r="T21" i="4" a="1"/>
  <c r="T21" i="4"/>
  <c r="AC14" i="5"/>
  <c r="U21" i="4" a="1"/>
  <c r="U21" i="4"/>
  <c r="AD14" i="5"/>
  <c r="AF14" i="5"/>
  <c r="AG14" i="5"/>
  <c r="X29" i="2"/>
  <c r="X21" i="4"/>
  <c r="AI14" i="5"/>
  <c r="Y29" i="2"/>
  <c r="Y21" i="4"/>
  <c r="AJ14" i="5"/>
  <c r="Z29" i="2"/>
  <c r="Z21" i="4"/>
  <c r="AL14" i="5"/>
  <c r="AN14" i="5"/>
  <c r="C22" i="4"/>
  <c r="C15" i="5"/>
  <c r="D22" i="4"/>
  <c r="E15" i="5"/>
  <c r="H22" i="4"/>
  <c r="K15" i="5"/>
  <c r="L22" i="4"/>
  <c r="Q15" i="5"/>
  <c r="M22" i="4"/>
  <c r="R15" i="5"/>
  <c r="N35" i="2"/>
  <c r="N22" i="4"/>
  <c r="T15" i="5"/>
  <c r="U15" i="5"/>
  <c r="P22" i="4"/>
  <c r="W15" i="5"/>
  <c r="Q22" i="4"/>
  <c r="X15" i="5"/>
  <c r="S22" i="4"/>
  <c r="AA15" i="5"/>
  <c r="AH22" i="4"/>
  <c r="T22" i="4" a="1"/>
  <c r="T22" i="4"/>
  <c r="AC15" i="5"/>
  <c r="U22" i="4" a="1"/>
  <c r="U22" i="4"/>
  <c r="AD15" i="5"/>
  <c r="AF15" i="5"/>
  <c r="AG15" i="5"/>
  <c r="X22" i="4"/>
  <c r="AI15" i="5"/>
  <c r="Y22" i="4"/>
  <c r="AJ15" i="5"/>
  <c r="Z22" i="4"/>
  <c r="AL15" i="5"/>
  <c r="L15" i="5"/>
  <c r="N15" i="5"/>
  <c r="O15" i="5"/>
  <c r="AN15" i="5"/>
  <c r="C23" i="4"/>
  <c r="C16" i="5"/>
  <c r="D23" i="4"/>
  <c r="E16" i="5"/>
  <c r="H23" i="4"/>
  <c r="K16" i="5"/>
  <c r="L23" i="4"/>
  <c r="Q16" i="5"/>
  <c r="M23" i="4"/>
  <c r="R16" i="5"/>
  <c r="T16" i="5"/>
  <c r="U16" i="5"/>
  <c r="P23" i="4"/>
  <c r="W16" i="5"/>
  <c r="Q23" i="4"/>
  <c r="X16" i="5"/>
  <c r="S23" i="4"/>
  <c r="AA16" i="5"/>
  <c r="AH23" i="4"/>
  <c r="T23" i="4" a="1"/>
  <c r="T23" i="4"/>
  <c r="AC16" i="5"/>
  <c r="U23" i="4" a="1"/>
  <c r="U23" i="4"/>
  <c r="AD16" i="5"/>
  <c r="AF16" i="5"/>
  <c r="AG16" i="5"/>
  <c r="X23" i="4"/>
  <c r="AI16" i="5"/>
  <c r="Y23" i="4"/>
  <c r="AJ16" i="5"/>
  <c r="Z23" i="4"/>
  <c r="AL16" i="5"/>
  <c r="L16" i="5"/>
  <c r="N16" i="5"/>
  <c r="O16" i="5"/>
  <c r="AN16" i="5"/>
  <c r="C24" i="4"/>
  <c r="C17" i="5"/>
  <c r="D24" i="4"/>
  <c r="E17" i="5"/>
  <c r="H24" i="4"/>
  <c r="K17" i="5"/>
  <c r="L24" i="4"/>
  <c r="Q17" i="5"/>
  <c r="M24" i="4"/>
  <c r="R17" i="5"/>
  <c r="T17" i="5"/>
  <c r="U17" i="5"/>
  <c r="P24" i="4"/>
  <c r="W17" i="5"/>
  <c r="Q24" i="4"/>
  <c r="X17" i="5"/>
  <c r="S24" i="4"/>
  <c r="AA17" i="5"/>
  <c r="AH24" i="4"/>
  <c r="T24" i="4" a="1"/>
  <c r="T24" i="4"/>
  <c r="AC17" i="5"/>
  <c r="U24" i="4" a="1"/>
  <c r="U24" i="4"/>
  <c r="AD17" i="5"/>
  <c r="AF17" i="5"/>
  <c r="AG17" i="5"/>
  <c r="X24" i="4"/>
  <c r="AI17" i="5"/>
  <c r="Y24" i="4"/>
  <c r="AJ17" i="5"/>
  <c r="Z24" i="4"/>
  <c r="AL17" i="5"/>
  <c r="L17" i="5"/>
  <c r="N17" i="5"/>
  <c r="O17" i="5"/>
  <c r="AN17" i="5"/>
  <c r="C25" i="4"/>
  <c r="C18" i="5"/>
  <c r="D25" i="4"/>
  <c r="E18" i="5"/>
  <c r="E25" i="4"/>
  <c r="F18" i="5"/>
  <c r="F25" i="4"/>
  <c r="H18" i="5"/>
  <c r="I18" i="5"/>
  <c r="K18" i="5"/>
  <c r="L25" i="4"/>
  <c r="Q18" i="5"/>
  <c r="M25" i="4"/>
  <c r="R18" i="5"/>
  <c r="T18" i="5"/>
  <c r="U18" i="5"/>
  <c r="P25" i="4"/>
  <c r="W18" i="5"/>
  <c r="Q25" i="4"/>
  <c r="X18" i="5"/>
  <c r="S25" i="4"/>
  <c r="AA18" i="5"/>
  <c r="AH25" i="4"/>
  <c r="T25" i="4" a="1"/>
  <c r="T25" i="4"/>
  <c r="AC18" i="5"/>
  <c r="U25" i="4" a="1"/>
  <c r="U25" i="4"/>
  <c r="AD18" i="5"/>
  <c r="AF18" i="5"/>
  <c r="AG18" i="5"/>
  <c r="X25" i="4"/>
  <c r="AI18" i="5"/>
  <c r="Y25" i="4"/>
  <c r="AJ18" i="5"/>
  <c r="Z25" i="4"/>
  <c r="AL18" i="5"/>
  <c r="L18" i="5"/>
  <c r="N18" i="5"/>
  <c r="O18" i="5"/>
  <c r="AN18" i="5"/>
  <c r="C40" i="2"/>
  <c r="C26" i="4"/>
  <c r="C19" i="5"/>
  <c r="T19" i="5"/>
  <c r="U19" i="5"/>
  <c r="P40" i="2"/>
  <c r="P26" i="4"/>
  <c r="W19" i="5"/>
  <c r="Q40" i="2"/>
  <c r="Q26" i="4"/>
  <c r="X19" i="5"/>
  <c r="S40" i="2"/>
  <c r="S26" i="4"/>
  <c r="AA19" i="5"/>
  <c r="AH26" i="4"/>
  <c r="T26" i="4" a="1"/>
  <c r="T26" i="4"/>
  <c r="AC19" i="5"/>
  <c r="U26" i="4" a="1"/>
  <c r="U26" i="4"/>
  <c r="AD19" i="5"/>
  <c r="AF19" i="5"/>
  <c r="AG19" i="5"/>
  <c r="X40" i="2"/>
  <c r="X26" i="4"/>
  <c r="AI19" i="5"/>
  <c r="Y40" i="2"/>
  <c r="Y26" i="4"/>
  <c r="AJ19" i="5"/>
  <c r="Z40" i="2"/>
  <c r="Z26" i="4"/>
  <c r="AL19" i="5"/>
  <c r="AN19" i="5"/>
  <c r="O20" i="5"/>
  <c r="H27" i="4"/>
  <c r="K20" i="5"/>
  <c r="C11" i="2"/>
  <c r="C27" i="4"/>
  <c r="C20" i="5"/>
  <c r="D11" i="2"/>
  <c r="D27" i="4"/>
  <c r="E20" i="5"/>
  <c r="I13" i="2"/>
  <c r="I11" i="2"/>
  <c r="I27" i="4"/>
  <c r="L20" i="5"/>
  <c r="J13" i="2"/>
  <c r="J11" i="2"/>
  <c r="J27" i="4"/>
  <c r="N20" i="5"/>
  <c r="L11" i="2"/>
  <c r="L27" i="4"/>
  <c r="Q20" i="5"/>
  <c r="M11" i="2"/>
  <c r="M27" i="4"/>
  <c r="R20" i="5"/>
  <c r="T20" i="5"/>
  <c r="U20" i="5"/>
  <c r="P11" i="2"/>
  <c r="P27" i="4"/>
  <c r="W20" i="5"/>
  <c r="Q11" i="2"/>
  <c r="Q27" i="4"/>
  <c r="X20" i="5"/>
  <c r="AA20" i="5"/>
  <c r="AH27" i="4"/>
  <c r="T27" i="4" a="1"/>
  <c r="T27" i="4"/>
  <c r="AC20" i="5"/>
  <c r="U27" i="4" a="1"/>
  <c r="U27" i="4"/>
  <c r="AD20" i="5"/>
  <c r="AF20" i="5"/>
  <c r="AG20" i="5"/>
  <c r="Y11" i="2"/>
  <c r="Y27" i="4"/>
  <c r="AJ20" i="5"/>
  <c r="Z11" i="2"/>
  <c r="Z27" i="4"/>
  <c r="AL20" i="5"/>
  <c r="AN20" i="5"/>
  <c r="C28" i="4"/>
  <c r="C21" i="5"/>
  <c r="D28" i="4"/>
  <c r="E21" i="5"/>
  <c r="H28" i="4"/>
  <c r="K21" i="5"/>
  <c r="L28" i="4"/>
  <c r="Q21" i="5"/>
  <c r="M28" i="4"/>
  <c r="R21" i="5"/>
  <c r="T21" i="5"/>
  <c r="U21" i="5"/>
  <c r="P28" i="4"/>
  <c r="W21" i="5"/>
  <c r="Q28" i="4"/>
  <c r="X21" i="5"/>
  <c r="AA21" i="5"/>
  <c r="AH28" i="4"/>
  <c r="T28" i="4" a="1"/>
  <c r="T28" i="4"/>
  <c r="AC21" i="5"/>
  <c r="U28" i="4" a="1"/>
  <c r="U28" i="4"/>
  <c r="AD21" i="5"/>
  <c r="AF21" i="5"/>
  <c r="AG21" i="5"/>
  <c r="Y28" i="4"/>
  <c r="AJ21" i="5"/>
  <c r="Z28" i="4"/>
  <c r="AL21" i="5"/>
  <c r="L21" i="5"/>
  <c r="N21" i="5"/>
  <c r="O21" i="5"/>
  <c r="AN21" i="5"/>
  <c r="S26" i="2"/>
  <c r="S29" i="4"/>
  <c r="AA22" i="5"/>
  <c r="P26" i="2"/>
  <c r="P29" i="4"/>
  <c r="W22" i="5"/>
  <c r="C26" i="2"/>
  <c r="C29" i="4"/>
  <c r="C22" i="5"/>
  <c r="D26" i="2"/>
  <c r="D29" i="4"/>
  <c r="E22" i="5"/>
  <c r="K22" i="5"/>
  <c r="L26" i="2"/>
  <c r="L29" i="4"/>
  <c r="Q22" i="5"/>
  <c r="M26" i="2"/>
  <c r="M29" i="4"/>
  <c r="R22" i="5"/>
  <c r="N26" i="2"/>
  <c r="N29" i="4"/>
  <c r="T22" i="5"/>
  <c r="U22" i="5"/>
  <c r="Q29" i="4"/>
  <c r="X22" i="5"/>
  <c r="R26" i="2"/>
  <c r="R29" i="4"/>
  <c r="Z22" i="5"/>
  <c r="AH29" i="4"/>
  <c r="T29" i="4" a="1"/>
  <c r="T29" i="4"/>
  <c r="AC22" i="5"/>
  <c r="U29" i="4" a="1"/>
  <c r="U29" i="4"/>
  <c r="AD22" i="5"/>
  <c r="AF22" i="5"/>
  <c r="AG22" i="5"/>
  <c r="X26" i="2"/>
  <c r="X29" i="4"/>
  <c r="AI22" i="5"/>
  <c r="Y26" i="2"/>
  <c r="Y29" i="4"/>
  <c r="AJ22" i="5"/>
  <c r="Z26" i="2"/>
  <c r="Z29" i="4"/>
  <c r="AL22" i="5"/>
  <c r="L22" i="5"/>
  <c r="N22" i="5"/>
  <c r="O22" i="5"/>
  <c r="AN22" i="5"/>
  <c r="S11" i="2"/>
  <c r="S30" i="4"/>
  <c r="AA23" i="5"/>
  <c r="P30" i="4"/>
  <c r="W23" i="5"/>
  <c r="C30" i="4"/>
  <c r="C23" i="5"/>
  <c r="D30" i="4"/>
  <c r="E23" i="5"/>
  <c r="K23" i="5"/>
  <c r="L30" i="4"/>
  <c r="Q23" i="5"/>
  <c r="M30" i="4"/>
  <c r="R23" i="5"/>
  <c r="T23" i="5"/>
  <c r="U23" i="5"/>
  <c r="Q30" i="4"/>
  <c r="X23" i="5"/>
  <c r="R11" i="2"/>
  <c r="R30" i="4"/>
  <c r="Z23" i="5"/>
  <c r="AH30" i="4"/>
  <c r="T30" i="4" a="1"/>
  <c r="T30" i="4"/>
  <c r="AC23" i="5"/>
  <c r="U30" i="4" a="1"/>
  <c r="U30" i="4"/>
  <c r="AD23" i="5"/>
  <c r="AF23" i="5"/>
  <c r="AG23" i="5"/>
  <c r="X11" i="2"/>
  <c r="X30" i="4"/>
  <c r="AI23" i="5"/>
  <c r="Y30" i="4"/>
  <c r="AJ23" i="5"/>
  <c r="Z30" i="4"/>
  <c r="AL23" i="5"/>
  <c r="L23" i="5"/>
  <c r="N23" i="5"/>
  <c r="O23" i="5"/>
  <c r="AN23" i="5"/>
  <c r="S31" i="4"/>
  <c r="AA24" i="5"/>
  <c r="P31" i="4"/>
  <c r="W24" i="5"/>
  <c r="C31" i="4"/>
  <c r="C24" i="5"/>
  <c r="D31" i="4"/>
  <c r="E24" i="5"/>
  <c r="K24" i="5"/>
  <c r="L31" i="4"/>
  <c r="Q24" i="5"/>
  <c r="M31" i="4"/>
  <c r="R24" i="5"/>
  <c r="T24" i="5"/>
  <c r="U24" i="5"/>
  <c r="Q31" i="4"/>
  <c r="X24" i="5"/>
  <c r="R31" i="4"/>
  <c r="Z24" i="5"/>
  <c r="AH31" i="4"/>
  <c r="T31" i="4" a="1"/>
  <c r="T31" i="4"/>
  <c r="AC24" i="5"/>
  <c r="U31" i="4" a="1"/>
  <c r="U31" i="4"/>
  <c r="AD24" i="5"/>
  <c r="AF24" i="5"/>
  <c r="AG24" i="5"/>
  <c r="X31" i="4"/>
  <c r="AI24" i="5"/>
  <c r="Y31" i="4"/>
  <c r="AJ24" i="5"/>
  <c r="Z31" i="4"/>
  <c r="AL24" i="5"/>
  <c r="L24" i="5"/>
  <c r="N24" i="5"/>
  <c r="O24" i="5"/>
  <c r="AN24" i="5"/>
  <c r="C33" i="4"/>
  <c r="C25" i="5"/>
  <c r="D33" i="4"/>
  <c r="E25" i="5"/>
  <c r="K25" i="5"/>
  <c r="L33" i="4"/>
  <c r="Q25" i="5"/>
  <c r="M33" i="4"/>
  <c r="R25" i="5"/>
  <c r="T25" i="5"/>
  <c r="U25" i="5"/>
  <c r="P33" i="4"/>
  <c r="W25" i="5"/>
  <c r="Q33" i="4"/>
  <c r="X25" i="5"/>
  <c r="S33" i="4"/>
  <c r="AA25" i="5"/>
  <c r="AH33" i="4"/>
  <c r="T33" i="4" a="1"/>
  <c r="T33" i="4"/>
  <c r="AC25" i="5"/>
  <c r="U33" i="4" a="1"/>
  <c r="U33" i="4"/>
  <c r="AD25" i="5"/>
  <c r="AF25" i="5"/>
  <c r="AG25" i="5"/>
  <c r="X33" i="4"/>
  <c r="AI25" i="5"/>
  <c r="Y33" i="4"/>
  <c r="AJ25" i="5"/>
  <c r="Z33" i="4"/>
  <c r="AL25" i="5"/>
  <c r="Z25" i="5"/>
  <c r="AN25" i="5"/>
  <c r="C31" i="2"/>
  <c r="C34" i="4"/>
  <c r="C26" i="5"/>
  <c r="D31" i="2"/>
  <c r="D34" i="4"/>
  <c r="E26" i="5"/>
  <c r="H31" i="2"/>
  <c r="H34" i="4"/>
  <c r="K26" i="5"/>
  <c r="L31" i="2"/>
  <c r="L34" i="4"/>
  <c r="Q26" i="5"/>
  <c r="M31" i="2"/>
  <c r="M34" i="4"/>
  <c r="R26" i="5"/>
  <c r="T26" i="5"/>
  <c r="U26" i="5"/>
  <c r="P31" i="2"/>
  <c r="P34" i="4"/>
  <c r="W26" i="5"/>
  <c r="Q31" i="2"/>
  <c r="Q34" i="4"/>
  <c r="X26" i="5"/>
  <c r="S31" i="2"/>
  <c r="S34" i="4"/>
  <c r="AA26" i="5"/>
  <c r="AH34" i="4"/>
  <c r="T34" i="4" a="1"/>
  <c r="T34" i="4"/>
  <c r="AC26" i="5"/>
  <c r="U34" i="4" a="1"/>
  <c r="U34" i="4"/>
  <c r="AD26" i="5"/>
  <c r="AF26" i="5"/>
  <c r="AG26" i="5"/>
  <c r="X31" i="2"/>
  <c r="X34" i="4"/>
  <c r="AI26" i="5"/>
  <c r="Y31" i="2"/>
  <c r="Y34" i="4"/>
  <c r="AJ26" i="5"/>
  <c r="Z31" i="2"/>
  <c r="Z34" i="4"/>
  <c r="AL26" i="5"/>
  <c r="Z26" i="5"/>
  <c r="AN26" i="5"/>
  <c r="C35" i="4"/>
  <c r="C27" i="5"/>
  <c r="D35" i="4"/>
  <c r="E27" i="5"/>
  <c r="H30" i="2"/>
  <c r="K27" i="5"/>
  <c r="L35" i="4"/>
  <c r="Q27" i="5"/>
  <c r="M35" i="4"/>
  <c r="R27" i="5"/>
  <c r="T27" i="5"/>
  <c r="U27" i="5"/>
  <c r="P35" i="4"/>
  <c r="W27" i="5"/>
  <c r="Q35" i="4"/>
  <c r="X27" i="5"/>
  <c r="S35" i="4"/>
  <c r="AA27" i="5"/>
  <c r="AH35" i="4"/>
  <c r="T35" i="4" a="1"/>
  <c r="T35" i="4"/>
  <c r="AC27" i="5"/>
  <c r="U35" i="4" a="1"/>
  <c r="U35" i="4"/>
  <c r="AD27" i="5"/>
  <c r="AF27" i="5"/>
  <c r="AG27" i="5"/>
  <c r="X35" i="4"/>
  <c r="AI27" i="5"/>
  <c r="Y35" i="4"/>
  <c r="AJ27" i="5"/>
  <c r="Z35" i="4"/>
  <c r="AL27" i="5"/>
  <c r="Z27" i="5"/>
  <c r="AN27" i="5"/>
  <c r="B258" i="4"/>
  <c r="C258" i="4"/>
  <c r="C28" i="5"/>
  <c r="D258" i="4"/>
  <c r="E28" i="5"/>
  <c r="K28" i="5"/>
  <c r="L258" i="4"/>
  <c r="Q28" i="5"/>
  <c r="M258" i="4"/>
  <c r="R28" i="5"/>
  <c r="N2" i="2"/>
  <c r="N258" i="4"/>
  <c r="T28" i="5"/>
  <c r="O258" i="4"/>
  <c r="U28" i="5"/>
  <c r="P258" i="4"/>
  <c r="W28" i="5"/>
  <c r="Q258" i="4"/>
  <c r="X28" i="5"/>
  <c r="S258" i="4"/>
  <c r="AA28" i="5"/>
  <c r="AH258" i="4"/>
  <c r="T258" i="4" a="1"/>
  <c r="T258" i="4"/>
  <c r="AC28" i="5"/>
  <c r="U258" i="4" a="1"/>
  <c r="U258" i="4"/>
  <c r="AD28" i="5"/>
  <c r="AF28" i="5"/>
  <c r="AG28" i="5"/>
  <c r="X258" i="4"/>
  <c r="AI28" i="5"/>
  <c r="Y258" i="4"/>
  <c r="AJ28" i="5"/>
  <c r="Z258" i="4"/>
  <c r="AL28" i="5"/>
  <c r="Z28" i="5"/>
  <c r="AN28" i="5"/>
  <c r="S289" i="4"/>
  <c r="AA29" i="5"/>
  <c r="P289" i="4"/>
  <c r="W29" i="5"/>
  <c r="C289" i="4"/>
  <c r="C29" i="5"/>
  <c r="D289" i="4"/>
  <c r="E29" i="5"/>
  <c r="H38" i="2"/>
  <c r="H289" i="4"/>
  <c r="K29" i="5"/>
  <c r="L289" i="4"/>
  <c r="Q29" i="5"/>
  <c r="M289" i="4"/>
  <c r="R29" i="5"/>
  <c r="N36" i="2"/>
  <c r="N38" i="2"/>
  <c r="N289" i="4"/>
  <c r="T29" i="5"/>
  <c r="U29" i="5"/>
  <c r="Q289" i="4"/>
  <c r="X29" i="5"/>
  <c r="R36" i="2"/>
  <c r="R38" i="2"/>
  <c r="R289" i="4"/>
  <c r="Z29" i="5"/>
  <c r="AH289" i="4"/>
  <c r="T289" i="4" a="1"/>
  <c r="T289" i="4"/>
  <c r="AC29" i="5"/>
  <c r="U289" i="4" a="1"/>
  <c r="U289" i="4"/>
  <c r="AD29" i="5"/>
  <c r="AF29" i="5"/>
  <c r="AG29" i="5"/>
  <c r="X289" i="4"/>
  <c r="AI29" i="5"/>
  <c r="Y289" i="4"/>
  <c r="AJ29" i="5"/>
  <c r="Z289" i="4"/>
  <c r="AL29" i="5"/>
  <c r="AN29" i="5"/>
  <c r="B2" i="4"/>
  <c r="C24" i="2"/>
  <c r="C2" i="4"/>
  <c r="C30" i="5"/>
  <c r="D24" i="2"/>
  <c r="D2" i="4"/>
  <c r="E30" i="5"/>
  <c r="K30" i="5"/>
  <c r="L24" i="2"/>
  <c r="L2" i="4"/>
  <c r="Q30" i="5"/>
  <c r="M24" i="2"/>
  <c r="M2" i="4"/>
  <c r="R30" i="5"/>
  <c r="T30" i="5"/>
  <c r="U30" i="5"/>
  <c r="P24" i="2"/>
  <c r="P2" i="4"/>
  <c r="W30" i="5"/>
  <c r="Q24" i="2"/>
  <c r="Q2" i="4"/>
  <c r="X30" i="5"/>
  <c r="S24" i="2"/>
  <c r="S2" i="4"/>
  <c r="AA30" i="5"/>
  <c r="AH2" i="4"/>
  <c r="T2" i="4" a="1"/>
  <c r="T2" i="4"/>
  <c r="AC30" i="5"/>
  <c r="U2" i="4" a="1"/>
  <c r="U2" i="4"/>
  <c r="AD30" i="5"/>
  <c r="AF30" i="5"/>
  <c r="AG30" i="5"/>
  <c r="X24" i="2"/>
  <c r="X2" i="4"/>
  <c r="AI30" i="5"/>
  <c r="Y24" i="2"/>
  <c r="Y2" i="4"/>
  <c r="AJ30" i="5"/>
  <c r="Z24" i="2"/>
  <c r="Z2" i="4"/>
  <c r="AL30" i="5"/>
  <c r="AN30" i="5"/>
  <c r="C3" i="4"/>
  <c r="C31" i="5"/>
  <c r="D3" i="4"/>
  <c r="E31" i="5"/>
  <c r="H3" i="4"/>
  <c r="K31" i="5"/>
  <c r="L3" i="4"/>
  <c r="Q31" i="5"/>
  <c r="M3" i="4"/>
  <c r="R31" i="5"/>
  <c r="T31" i="5"/>
  <c r="U31" i="5"/>
  <c r="P3" i="4"/>
  <c r="W31" i="5"/>
  <c r="Q3" i="4"/>
  <c r="X31" i="5"/>
  <c r="S3" i="4"/>
  <c r="AA31" i="5"/>
  <c r="AH3" i="4"/>
  <c r="T3" i="4" a="1"/>
  <c r="T3" i="4"/>
  <c r="AC31" i="5"/>
  <c r="U3" i="4" a="1"/>
  <c r="U3" i="4"/>
  <c r="AD31" i="5"/>
  <c r="AF31" i="5"/>
  <c r="AG31" i="5"/>
  <c r="X3" i="4"/>
  <c r="AI31" i="5"/>
  <c r="Y3" i="4"/>
  <c r="AJ31" i="5"/>
  <c r="Z3" i="4"/>
  <c r="AL31" i="5"/>
  <c r="AN31" i="5"/>
  <c r="O32" i="5"/>
  <c r="H24" i="2"/>
  <c r="H39" i="2"/>
  <c r="H4" i="4"/>
  <c r="K32" i="5"/>
  <c r="C39" i="2"/>
  <c r="C4" i="4"/>
  <c r="C32" i="5"/>
  <c r="D39" i="2"/>
  <c r="D4" i="4"/>
  <c r="E32" i="5"/>
  <c r="I24" i="2"/>
  <c r="I39" i="2"/>
  <c r="I26" i="2"/>
  <c r="I4" i="4"/>
  <c r="L32" i="5"/>
  <c r="J24" i="2"/>
  <c r="J39" i="2"/>
  <c r="J26" i="2"/>
  <c r="J4" i="4"/>
  <c r="N32" i="5"/>
  <c r="L39" i="2"/>
  <c r="L4" i="4"/>
  <c r="Q32" i="5"/>
  <c r="M39" i="2"/>
  <c r="M4" i="4"/>
  <c r="R32" i="5"/>
  <c r="T32" i="5"/>
  <c r="U32" i="5"/>
  <c r="W32" i="5"/>
  <c r="Q39" i="2"/>
  <c r="Q4" i="4"/>
  <c r="X32" i="5"/>
  <c r="AA32" i="5"/>
  <c r="AH4" i="4"/>
  <c r="T4" i="4" a="1"/>
  <c r="T4" i="4"/>
  <c r="AC32" i="5"/>
  <c r="U4" i="4" a="1"/>
  <c r="U4" i="4"/>
  <c r="AD32" i="5"/>
  <c r="AF32" i="5"/>
  <c r="AG32" i="5"/>
  <c r="X39" i="2"/>
  <c r="X4" i="4"/>
  <c r="AI32" i="5"/>
  <c r="Y39" i="2"/>
  <c r="Y4" i="4"/>
  <c r="AJ32" i="5"/>
  <c r="Z39" i="2"/>
  <c r="Z4" i="4"/>
  <c r="AL32" i="5"/>
  <c r="AN32" i="5"/>
  <c r="B5" i="4"/>
  <c r="C5" i="4"/>
  <c r="C33" i="5"/>
  <c r="D5" i="4"/>
  <c r="E33" i="5"/>
  <c r="E14" i="2"/>
  <c r="E24" i="2"/>
  <c r="E5" i="4"/>
  <c r="F33" i="5"/>
  <c r="F14" i="2"/>
  <c r="F24" i="2"/>
  <c r="F5" i="4"/>
  <c r="H33" i="5"/>
  <c r="I33" i="5"/>
  <c r="H5" i="4"/>
  <c r="K33" i="5"/>
  <c r="L5" i="4"/>
  <c r="Q33" i="5"/>
  <c r="M5" i="4"/>
  <c r="R33" i="5"/>
  <c r="T33" i="5"/>
  <c r="U33" i="5"/>
  <c r="P5" i="4"/>
  <c r="W33" i="5"/>
  <c r="Q5" i="4"/>
  <c r="X33" i="5"/>
  <c r="S5" i="4"/>
  <c r="AA33" i="5"/>
  <c r="AH5" i="4"/>
  <c r="T5" i="4" a="1"/>
  <c r="T5" i="4"/>
  <c r="AC33" i="5"/>
  <c r="U5" i="4" a="1"/>
  <c r="U5" i="4"/>
  <c r="AD33" i="5"/>
  <c r="AF33" i="5"/>
  <c r="AG33" i="5"/>
  <c r="X5" i="4"/>
  <c r="AI33" i="5"/>
  <c r="Y5" i="4"/>
  <c r="AJ33" i="5"/>
  <c r="Z5" i="4"/>
  <c r="AL33" i="5"/>
  <c r="L33" i="5"/>
  <c r="N33" i="5"/>
  <c r="O33" i="5"/>
  <c r="AN33" i="5"/>
  <c r="C37" i="2"/>
  <c r="C6" i="4"/>
  <c r="C34" i="5"/>
  <c r="D37" i="2"/>
  <c r="D6" i="4"/>
  <c r="E34" i="5"/>
  <c r="H37" i="2"/>
  <c r="H6" i="4"/>
  <c r="K34" i="5"/>
  <c r="L37" i="2"/>
  <c r="L6" i="4"/>
  <c r="Q34" i="5"/>
  <c r="M37" i="2"/>
  <c r="M6" i="4"/>
  <c r="R34" i="5"/>
  <c r="N37" i="2"/>
  <c r="N14" i="2"/>
  <c r="N6" i="4"/>
  <c r="T34" i="5"/>
  <c r="U34" i="5"/>
  <c r="P37" i="2"/>
  <c r="P6" i="4"/>
  <c r="W34" i="5"/>
  <c r="Q37" i="2"/>
  <c r="Q6" i="4"/>
  <c r="X34" i="5"/>
  <c r="S37" i="2"/>
  <c r="S6" i="4"/>
  <c r="AA34" i="5"/>
  <c r="AD34" i="5"/>
  <c r="AF34" i="5"/>
  <c r="AG34" i="5"/>
  <c r="X37" i="2"/>
  <c r="X6" i="4"/>
  <c r="AI34" i="5"/>
  <c r="Y37" i="2"/>
  <c r="Y6" i="4"/>
  <c r="AJ34" i="5"/>
  <c r="Z37" i="2"/>
  <c r="Z6" i="4"/>
  <c r="AL34" i="5"/>
  <c r="L34" i="5"/>
  <c r="N34" i="5"/>
  <c r="O34" i="5"/>
  <c r="AN34" i="5"/>
  <c r="C7" i="4"/>
  <c r="C35" i="5"/>
  <c r="D7" i="4"/>
  <c r="E35" i="5"/>
  <c r="H7" i="4"/>
  <c r="K35" i="5"/>
  <c r="L7" i="4"/>
  <c r="Q35" i="5"/>
  <c r="M7" i="4"/>
  <c r="R35" i="5"/>
  <c r="N7" i="4"/>
  <c r="T35" i="5"/>
  <c r="U35" i="5"/>
  <c r="P7" i="4"/>
  <c r="W35" i="5"/>
  <c r="Q7" i="4"/>
  <c r="X35" i="5"/>
  <c r="S7" i="4"/>
  <c r="AA35" i="5"/>
  <c r="AD35" i="5"/>
  <c r="AF35" i="5"/>
  <c r="AG35" i="5"/>
  <c r="X7" i="4"/>
  <c r="AI35" i="5"/>
  <c r="Y7" i="4"/>
  <c r="AJ35" i="5"/>
  <c r="Z7" i="4"/>
  <c r="AL35" i="5"/>
  <c r="L35" i="5"/>
  <c r="N35" i="5"/>
  <c r="O35" i="5"/>
  <c r="AN35" i="5"/>
  <c r="C8" i="4"/>
  <c r="C36" i="5"/>
  <c r="D8" i="4"/>
  <c r="E36" i="5"/>
  <c r="H8" i="4"/>
  <c r="K36" i="5"/>
  <c r="L8" i="4"/>
  <c r="Q36" i="5"/>
  <c r="M8" i="4"/>
  <c r="R36" i="5"/>
  <c r="T36" i="5"/>
  <c r="U36" i="5"/>
  <c r="P8" i="4"/>
  <c r="W36" i="5"/>
  <c r="Q8" i="4"/>
  <c r="X36" i="5"/>
  <c r="S8" i="4"/>
  <c r="AA36" i="5"/>
  <c r="AH8" i="4"/>
  <c r="T8" i="4" a="1"/>
  <c r="T8" i="4"/>
  <c r="AC36" i="5"/>
  <c r="U8" i="4" a="1"/>
  <c r="U8" i="4"/>
  <c r="AD36" i="5"/>
  <c r="AF36" i="5"/>
  <c r="AG36" i="5"/>
  <c r="X8" i="4"/>
  <c r="AI36" i="5"/>
  <c r="Y8" i="4"/>
  <c r="AJ36" i="5"/>
  <c r="Z8" i="4"/>
  <c r="AL36" i="5"/>
  <c r="L36" i="5"/>
  <c r="N36" i="5"/>
  <c r="O36" i="5"/>
  <c r="AN36" i="5"/>
  <c r="S49" i="2"/>
  <c r="S32" i="4"/>
  <c r="AA37" i="5"/>
  <c r="P49" i="2"/>
  <c r="P32" i="4"/>
  <c r="W37" i="5"/>
  <c r="C49" i="2"/>
  <c r="C32" i="4"/>
  <c r="C37" i="5"/>
  <c r="D49" i="2"/>
  <c r="D32" i="4"/>
  <c r="E37" i="5"/>
  <c r="K37" i="5"/>
  <c r="L49" i="2"/>
  <c r="L32" i="4"/>
  <c r="Q37" i="5"/>
  <c r="M49" i="2"/>
  <c r="M32" i="4"/>
  <c r="R37" i="5"/>
  <c r="T37" i="5"/>
  <c r="U37" i="5"/>
  <c r="Q49" i="2"/>
  <c r="Q32" i="4"/>
  <c r="X37" i="5"/>
  <c r="R49" i="2"/>
  <c r="R32" i="4"/>
  <c r="Z37" i="5"/>
  <c r="AH32" i="4"/>
  <c r="T32" i="4" a="1"/>
  <c r="T32" i="4"/>
  <c r="AC37" i="5"/>
  <c r="U32" i="4" a="1"/>
  <c r="U32" i="4"/>
  <c r="AD37" i="5"/>
  <c r="AF37" i="5"/>
  <c r="AG37" i="5"/>
  <c r="X49" i="2"/>
  <c r="X32" i="4"/>
  <c r="AI37" i="5"/>
  <c r="Y49" i="2"/>
  <c r="Y32" i="4"/>
  <c r="AJ37" i="5"/>
  <c r="Z49" i="2"/>
  <c r="Z32" i="4"/>
  <c r="AL37" i="5"/>
  <c r="L37" i="5"/>
  <c r="N37" i="5"/>
  <c r="O37" i="5"/>
  <c r="AN37" i="5"/>
  <c r="C5" i="2"/>
  <c r="B36" i="4"/>
  <c r="C4" i="2"/>
  <c r="C36" i="4"/>
  <c r="C38" i="5"/>
  <c r="D5" i="2"/>
  <c r="D4" i="2"/>
  <c r="D36" i="4"/>
  <c r="E38" i="5"/>
  <c r="H5" i="2"/>
  <c r="H4" i="2"/>
  <c r="H36" i="4"/>
  <c r="K38" i="5"/>
  <c r="L5" i="2"/>
  <c r="L4" i="2"/>
  <c r="L36" i="4"/>
  <c r="Q38" i="5"/>
  <c r="M5" i="2"/>
  <c r="M4" i="2"/>
  <c r="M36" i="4"/>
  <c r="R38" i="5"/>
  <c r="T38" i="5"/>
  <c r="U38" i="5"/>
  <c r="P5" i="2"/>
  <c r="P4" i="2"/>
  <c r="P36" i="4"/>
  <c r="W38" i="5"/>
  <c r="Q5" i="2"/>
  <c r="Q4" i="2"/>
  <c r="Q36" i="4"/>
  <c r="X38" i="5"/>
  <c r="AA38" i="5"/>
  <c r="AH36" i="4"/>
  <c r="T36" i="4" a="1"/>
  <c r="T36" i="4"/>
  <c r="AC38" i="5"/>
  <c r="U36" i="4" a="1"/>
  <c r="U36" i="4"/>
  <c r="AD38" i="5"/>
  <c r="AF38" i="5"/>
  <c r="AG38" i="5"/>
  <c r="X5" i="2"/>
  <c r="X4" i="2"/>
  <c r="X36" i="4"/>
  <c r="AI38" i="5"/>
  <c r="Y5" i="2"/>
  <c r="Y4" i="2"/>
  <c r="Y36" i="4"/>
  <c r="AJ38" i="5"/>
  <c r="Z5" i="2"/>
  <c r="Z4" i="2"/>
  <c r="Z36" i="4"/>
  <c r="AL38" i="5"/>
  <c r="AN38" i="5"/>
  <c r="B37" i="4"/>
  <c r="C37" i="4"/>
  <c r="C39" i="5"/>
  <c r="D37" i="4"/>
  <c r="E39" i="5"/>
  <c r="H37" i="4"/>
  <c r="K39" i="5"/>
  <c r="L37" i="4"/>
  <c r="Q39" i="5"/>
  <c r="M37" i="4"/>
  <c r="R39" i="5"/>
  <c r="N5" i="2"/>
  <c r="N37" i="4"/>
  <c r="T39" i="5"/>
  <c r="O37" i="4"/>
  <c r="U39" i="5"/>
  <c r="P37" i="4"/>
  <c r="W39" i="5"/>
  <c r="Q37" i="4"/>
  <c r="X39" i="5"/>
  <c r="AA39" i="5"/>
  <c r="AH37" i="4"/>
  <c r="T37" i="4" a="1"/>
  <c r="T37" i="4"/>
  <c r="AC39" i="5"/>
  <c r="U37" i="4" a="1"/>
  <c r="U37" i="4"/>
  <c r="AD39" i="5"/>
  <c r="AF39" i="5"/>
  <c r="AG39" i="5"/>
  <c r="X37" i="4"/>
  <c r="AI39" i="5"/>
  <c r="Y37" i="4"/>
  <c r="AJ39" i="5"/>
  <c r="Z37" i="4"/>
  <c r="AL39" i="5"/>
  <c r="AN39" i="5"/>
  <c r="B38" i="4"/>
  <c r="C38" i="4"/>
  <c r="C40" i="5"/>
  <c r="D38" i="4"/>
  <c r="E40" i="5"/>
  <c r="H38" i="4"/>
  <c r="K40" i="5"/>
  <c r="L38" i="4"/>
  <c r="Q40" i="5"/>
  <c r="M38" i="4"/>
  <c r="R40" i="5"/>
  <c r="T40" i="5"/>
  <c r="U40" i="5"/>
  <c r="P38" i="4"/>
  <c r="W40" i="5"/>
  <c r="Q38" i="4"/>
  <c r="X40" i="5"/>
  <c r="AA40" i="5"/>
  <c r="AH38" i="4"/>
  <c r="T38" i="4" a="1"/>
  <c r="T38" i="4"/>
  <c r="AC40" i="5"/>
  <c r="U38" i="4" a="1"/>
  <c r="U38" i="4"/>
  <c r="AD40" i="5"/>
  <c r="AF40" i="5"/>
  <c r="AG40" i="5"/>
  <c r="X38" i="4"/>
  <c r="AI40" i="5"/>
  <c r="Y38" i="4"/>
  <c r="AJ40" i="5"/>
  <c r="Z38" i="4"/>
  <c r="AL40" i="5"/>
  <c r="AN40" i="5"/>
  <c r="B39" i="4"/>
  <c r="C39" i="4"/>
  <c r="C41" i="5"/>
  <c r="D39" i="4"/>
  <c r="E41" i="5"/>
  <c r="H39" i="4"/>
  <c r="K41" i="5"/>
  <c r="L39" i="4"/>
  <c r="Q41" i="5"/>
  <c r="M39" i="4"/>
  <c r="R41" i="5"/>
  <c r="T41" i="5"/>
  <c r="U41" i="5"/>
  <c r="P39" i="4"/>
  <c r="W41" i="5"/>
  <c r="Q39" i="4"/>
  <c r="X41" i="5"/>
  <c r="AA41" i="5"/>
  <c r="AH39" i="4"/>
  <c r="T39" i="4" a="1"/>
  <c r="T39" i="4"/>
  <c r="AC41" i="5"/>
  <c r="U39" i="4" a="1"/>
  <c r="U39" i="4"/>
  <c r="AD41" i="5"/>
  <c r="AF41" i="5"/>
  <c r="AG41" i="5"/>
  <c r="X39" i="4"/>
  <c r="AI41" i="5"/>
  <c r="Y39" i="4"/>
  <c r="AJ41" i="5"/>
  <c r="Z39" i="4"/>
  <c r="AL41" i="5"/>
  <c r="AN41" i="5"/>
  <c r="B40" i="4"/>
  <c r="C40" i="4"/>
  <c r="C42" i="5"/>
  <c r="D40" i="4"/>
  <c r="E42" i="5"/>
  <c r="H40" i="4"/>
  <c r="K42" i="5"/>
  <c r="L40" i="4"/>
  <c r="Q42" i="5"/>
  <c r="M40" i="4"/>
  <c r="R42" i="5"/>
  <c r="T42" i="5"/>
  <c r="U42" i="5"/>
  <c r="P40" i="4"/>
  <c r="W42" i="5"/>
  <c r="Q40" i="4"/>
  <c r="X42" i="5"/>
  <c r="AA42" i="5"/>
  <c r="AH40" i="4"/>
  <c r="T40" i="4" a="1"/>
  <c r="T40" i="4"/>
  <c r="AC42" i="5"/>
  <c r="U40" i="4" a="1"/>
  <c r="U40" i="4"/>
  <c r="AD42" i="5"/>
  <c r="AF42" i="5"/>
  <c r="AG42" i="5"/>
  <c r="X40" i="4"/>
  <c r="AI42" i="5"/>
  <c r="Y40" i="4"/>
  <c r="AJ42" i="5"/>
  <c r="Z40" i="4"/>
  <c r="AL42" i="5"/>
  <c r="AN42" i="5"/>
  <c r="C41" i="4"/>
  <c r="C43" i="5"/>
  <c r="D41" i="4"/>
  <c r="E43" i="5"/>
  <c r="H41" i="4"/>
  <c r="K43" i="5"/>
  <c r="L41" i="4"/>
  <c r="Q43" i="5"/>
  <c r="M41" i="4"/>
  <c r="R43" i="5"/>
  <c r="T43" i="5"/>
  <c r="U43" i="5"/>
  <c r="P41" i="4"/>
  <c r="W43" i="5"/>
  <c r="Q41" i="4"/>
  <c r="X43" i="5"/>
  <c r="AA43" i="5"/>
  <c r="AH41" i="4"/>
  <c r="T41" i="4" a="1"/>
  <c r="T41" i="4"/>
  <c r="AC43" i="5"/>
  <c r="U41" i="4" a="1"/>
  <c r="U41" i="4"/>
  <c r="AD43" i="5"/>
  <c r="AF43" i="5"/>
  <c r="AG43" i="5"/>
  <c r="X41" i="4"/>
  <c r="AI43" i="5"/>
  <c r="Y41" i="4"/>
  <c r="AJ43" i="5"/>
  <c r="Z41" i="4"/>
  <c r="AL43" i="5"/>
  <c r="AN43" i="5"/>
  <c r="C42" i="4"/>
  <c r="C44" i="5"/>
  <c r="D42" i="4"/>
  <c r="E44" i="5"/>
  <c r="H42" i="4"/>
  <c r="K44" i="5"/>
  <c r="L42" i="4"/>
  <c r="Q44" i="5"/>
  <c r="M42" i="4"/>
  <c r="R44" i="5"/>
  <c r="N6" i="2"/>
  <c r="N42" i="4"/>
  <c r="T44" i="5"/>
  <c r="U44" i="5"/>
  <c r="P42" i="4"/>
  <c r="W44" i="5"/>
  <c r="Q42" i="4"/>
  <c r="X44" i="5"/>
  <c r="AA44" i="5"/>
  <c r="AH42" i="4"/>
  <c r="T42" i="4" a="1"/>
  <c r="T42" i="4"/>
  <c r="AC44" i="5"/>
  <c r="U42" i="4" a="1"/>
  <c r="U42" i="4"/>
  <c r="AD44" i="5"/>
  <c r="AF44" i="5"/>
  <c r="AG44" i="5"/>
  <c r="X42" i="4"/>
  <c r="AI44" i="5"/>
  <c r="Y42" i="4"/>
  <c r="AJ44" i="5"/>
  <c r="Z42" i="4"/>
  <c r="AL44" i="5"/>
  <c r="AN44" i="5"/>
  <c r="C43" i="4"/>
  <c r="C45" i="5"/>
  <c r="D43" i="4"/>
  <c r="E45" i="5"/>
  <c r="H43" i="4"/>
  <c r="K45" i="5"/>
  <c r="L43" i="4"/>
  <c r="Q45" i="5"/>
  <c r="M43" i="4"/>
  <c r="R45" i="5"/>
  <c r="T45" i="5"/>
  <c r="U45" i="5"/>
  <c r="P43" i="4"/>
  <c r="W45" i="5"/>
  <c r="Q43" i="4"/>
  <c r="X45" i="5"/>
  <c r="AA45" i="5"/>
  <c r="AH43" i="4"/>
  <c r="T43" i="4" a="1"/>
  <c r="T43" i="4"/>
  <c r="AC45" i="5"/>
  <c r="U43" i="4" a="1"/>
  <c r="U43" i="4"/>
  <c r="AD45" i="5"/>
  <c r="AF45" i="5"/>
  <c r="AG45" i="5"/>
  <c r="X43" i="4"/>
  <c r="AI45" i="5"/>
  <c r="Y43" i="4"/>
  <c r="AJ45" i="5"/>
  <c r="Z43" i="4"/>
  <c r="AL45" i="5"/>
  <c r="AN45" i="5"/>
  <c r="B44" i="4"/>
  <c r="C44" i="4"/>
  <c r="C46" i="5"/>
  <c r="D44" i="4"/>
  <c r="E46" i="5"/>
  <c r="H44" i="4"/>
  <c r="K46" i="5"/>
  <c r="L44" i="4"/>
  <c r="Q46" i="5"/>
  <c r="M44" i="4"/>
  <c r="R46" i="5"/>
  <c r="T46" i="5"/>
  <c r="U46" i="5"/>
  <c r="P44" i="4"/>
  <c r="W46" i="5"/>
  <c r="Q44" i="4"/>
  <c r="X46" i="5"/>
  <c r="AA46" i="5"/>
  <c r="AH44" i="4"/>
  <c r="T44" i="4" a="1"/>
  <c r="T44" i="4"/>
  <c r="AC46" i="5"/>
  <c r="U44" i="4" a="1"/>
  <c r="U44" i="4"/>
  <c r="AD46" i="5"/>
  <c r="AF46" i="5"/>
  <c r="AG46" i="5"/>
  <c r="Y44" i="4"/>
  <c r="AJ46" i="5"/>
  <c r="Z44" i="4"/>
  <c r="AL46" i="5"/>
  <c r="AN46" i="5"/>
  <c r="C45" i="4"/>
  <c r="C47" i="5"/>
  <c r="D45" i="4"/>
  <c r="E47" i="5"/>
  <c r="H45" i="4"/>
  <c r="K47" i="5"/>
  <c r="L45" i="4"/>
  <c r="Q47" i="5"/>
  <c r="M45" i="4"/>
  <c r="R47" i="5"/>
  <c r="T47" i="5"/>
  <c r="U47" i="5"/>
  <c r="P45" i="4"/>
  <c r="W47" i="5"/>
  <c r="Q45" i="4"/>
  <c r="X47" i="5"/>
  <c r="AA47" i="5"/>
  <c r="AH45" i="4"/>
  <c r="T45" i="4" a="1"/>
  <c r="T45" i="4"/>
  <c r="AC47" i="5"/>
  <c r="U45" i="4" a="1"/>
  <c r="U45" i="4"/>
  <c r="AD47" i="5"/>
  <c r="AF47" i="5"/>
  <c r="AG47" i="5"/>
  <c r="X45" i="4"/>
  <c r="AI47" i="5"/>
  <c r="Y45" i="4"/>
  <c r="AJ47" i="5"/>
  <c r="Z45" i="4"/>
  <c r="AL47" i="5"/>
  <c r="AN47" i="5"/>
  <c r="B46" i="4"/>
  <c r="C46" i="4"/>
  <c r="C48" i="5"/>
  <c r="D46" i="4"/>
  <c r="E48" i="5"/>
  <c r="H46" i="4"/>
  <c r="K48" i="5"/>
  <c r="L46" i="4"/>
  <c r="Q48" i="5"/>
  <c r="M46" i="4"/>
  <c r="R48" i="5"/>
  <c r="T48" i="5"/>
  <c r="U48" i="5"/>
  <c r="P46" i="4"/>
  <c r="W48" i="5"/>
  <c r="Q46" i="4"/>
  <c r="X48" i="5"/>
  <c r="AA48" i="5"/>
  <c r="AH46" i="4"/>
  <c r="T46" i="4" a="1"/>
  <c r="T46" i="4"/>
  <c r="AC48" i="5"/>
  <c r="U46" i="4" a="1"/>
  <c r="U46" i="4"/>
  <c r="AD48" i="5"/>
  <c r="AF48" i="5"/>
  <c r="AG48" i="5"/>
  <c r="X46" i="4"/>
  <c r="AI48" i="5"/>
  <c r="Y46" i="4"/>
  <c r="AJ48" i="5"/>
  <c r="Z46" i="4"/>
  <c r="AL48" i="5"/>
  <c r="AN48" i="5"/>
  <c r="C47" i="4"/>
  <c r="C49" i="5"/>
  <c r="D47" i="4"/>
  <c r="E49" i="5"/>
  <c r="H47" i="4"/>
  <c r="K49" i="5"/>
  <c r="L47" i="4"/>
  <c r="Q49" i="5"/>
  <c r="M47" i="4"/>
  <c r="R49" i="5"/>
  <c r="T49" i="5"/>
  <c r="U49" i="5"/>
  <c r="P47" i="4"/>
  <c r="W49" i="5"/>
  <c r="Q47" i="4"/>
  <c r="X49" i="5"/>
  <c r="AA49" i="5"/>
  <c r="AH47" i="4"/>
  <c r="T47" i="4" a="1"/>
  <c r="T47" i="4"/>
  <c r="AC49" i="5"/>
  <c r="U47" i="4" a="1"/>
  <c r="U47" i="4"/>
  <c r="AD49" i="5"/>
  <c r="AF49" i="5"/>
  <c r="AG49" i="5"/>
  <c r="X47" i="4"/>
  <c r="AI49" i="5"/>
  <c r="Y47" i="4"/>
  <c r="AJ49" i="5"/>
  <c r="Z47" i="4"/>
  <c r="AL49" i="5"/>
  <c r="AN49" i="5"/>
  <c r="B48" i="4"/>
  <c r="C12" i="2"/>
  <c r="C48" i="4"/>
  <c r="C50" i="5"/>
  <c r="D12" i="2"/>
  <c r="D48" i="4"/>
  <c r="E50" i="5"/>
  <c r="L12" i="2"/>
  <c r="L48" i="4"/>
  <c r="Q50" i="5"/>
  <c r="M12" i="2"/>
  <c r="M48" i="4"/>
  <c r="R50" i="5"/>
  <c r="T50" i="5"/>
  <c r="U50" i="5"/>
  <c r="P12" i="2"/>
  <c r="P48" i="4"/>
  <c r="W50" i="5"/>
  <c r="Q12" i="2"/>
  <c r="Q48" i="4"/>
  <c r="X50" i="5"/>
  <c r="S12" i="2"/>
  <c r="S48" i="4"/>
  <c r="AA50" i="5"/>
  <c r="AH48" i="4"/>
  <c r="T48" i="4" a="1"/>
  <c r="T48" i="4"/>
  <c r="AC50" i="5"/>
  <c r="U48" i="4" a="1"/>
  <c r="U48" i="4"/>
  <c r="AD50" i="5"/>
  <c r="AF50" i="5"/>
  <c r="AG50" i="5"/>
  <c r="X48" i="4"/>
  <c r="AI50" i="5"/>
  <c r="Y12" i="2"/>
  <c r="Y48" i="4"/>
  <c r="AJ50" i="5"/>
  <c r="Z12" i="2"/>
  <c r="Z48" i="4"/>
  <c r="AL50" i="5"/>
  <c r="L50" i="5"/>
  <c r="AN50" i="5"/>
  <c r="B49" i="4"/>
  <c r="C49" i="4"/>
  <c r="C51" i="5"/>
  <c r="D49" i="4"/>
  <c r="E51" i="5"/>
  <c r="L49" i="4"/>
  <c r="Q51" i="5"/>
  <c r="M49" i="4"/>
  <c r="R51" i="5"/>
  <c r="N12" i="2"/>
  <c r="N24" i="2"/>
  <c r="N49" i="4"/>
  <c r="T51" i="5"/>
  <c r="O49" i="4"/>
  <c r="U51" i="5"/>
  <c r="P49" i="4"/>
  <c r="W51" i="5"/>
  <c r="Q49" i="4"/>
  <c r="X51" i="5"/>
  <c r="S49" i="4"/>
  <c r="AA51" i="5"/>
  <c r="AH49" i="4"/>
  <c r="T49" i="4" a="1"/>
  <c r="T49" i="4"/>
  <c r="AC51" i="5"/>
  <c r="U49" i="4" a="1"/>
  <c r="U49" i="4"/>
  <c r="AD51" i="5"/>
  <c r="AF51" i="5"/>
  <c r="AG51" i="5"/>
  <c r="X49" i="4"/>
  <c r="AI51" i="5"/>
  <c r="Y49" i="4"/>
  <c r="AJ51" i="5"/>
  <c r="Z49" i="4"/>
  <c r="AL51" i="5"/>
  <c r="L51" i="5"/>
  <c r="AN51" i="5"/>
  <c r="C50" i="4"/>
  <c r="C52" i="5"/>
  <c r="D50" i="4"/>
  <c r="E52" i="5"/>
  <c r="L50" i="4"/>
  <c r="Q52" i="5"/>
  <c r="M50" i="4"/>
  <c r="R52" i="5"/>
  <c r="T52" i="5"/>
  <c r="U52" i="5"/>
  <c r="P50" i="4"/>
  <c r="W52" i="5"/>
  <c r="Q50" i="4"/>
  <c r="X52" i="5"/>
  <c r="S50" i="4"/>
  <c r="AA52" i="5"/>
  <c r="AH50" i="4"/>
  <c r="T50" i="4" a="1"/>
  <c r="T50" i="4"/>
  <c r="AC52" i="5"/>
  <c r="U50" i="4" a="1"/>
  <c r="U50" i="4"/>
  <c r="AD52" i="5"/>
  <c r="AF52" i="5"/>
  <c r="AG52" i="5"/>
  <c r="AI52" i="5"/>
  <c r="Y50" i="4"/>
  <c r="AJ52" i="5"/>
  <c r="Z50" i="4"/>
  <c r="AL52" i="5"/>
  <c r="L52" i="5"/>
  <c r="AN52" i="5"/>
  <c r="B51" i="4"/>
  <c r="C51" i="4"/>
  <c r="C53" i="5"/>
  <c r="D51" i="4"/>
  <c r="E53" i="5"/>
  <c r="L51" i="4"/>
  <c r="Q53" i="5"/>
  <c r="M51" i="4"/>
  <c r="R53" i="5"/>
  <c r="T53" i="5"/>
  <c r="U53" i="5"/>
  <c r="P51" i="4"/>
  <c r="W53" i="5"/>
  <c r="Q51" i="4"/>
  <c r="X53" i="5"/>
  <c r="S51" i="4"/>
  <c r="AA53" i="5"/>
  <c r="AH51" i="4"/>
  <c r="T51" i="4" a="1"/>
  <c r="T51" i="4"/>
  <c r="AC53" i="5"/>
  <c r="U51" i="4" a="1"/>
  <c r="U51" i="4"/>
  <c r="AD53" i="5"/>
  <c r="AF53" i="5"/>
  <c r="AG53" i="5"/>
  <c r="X51" i="4"/>
  <c r="AI53" i="5"/>
  <c r="Y51" i="4"/>
  <c r="AJ53" i="5"/>
  <c r="Z51" i="4"/>
  <c r="AL53" i="5"/>
  <c r="L53" i="5"/>
  <c r="AN53" i="5"/>
  <c r="O54" i="5"/>
  <c r="K54" i="5"/>
  <c r="B52" i="4"/>
  <c r="C43" i="2"/>
  <c r="C52" i="4"/>
  <c r="C54" i="5"/>
  <c r="D43" i="2"/>
  <c r="D52" i="4"/>
  <c r="E54" i="5"/>
  <c r="I21" i="2"/>
  <c r="I3" i="2"/>
  <c r="I43" i="2"/>
  <c r="I52" i="4"/>
  <c r="L54" i="5"/>
  <c r="J21" i="2"/>
  <c r="J3" i="2"/>
  <c r="J43" i="2"/>
  <c r="J52" i="4"/>
  <c r="N54" i="5"/>
  <c r="L43" i="2"/>
  <c r="L52" i="4"/>
  <c r="Q54" i="5"/>
  <c r="M43" i="2"/>
  <c r="M52" i="4"/>
  <c r="R54" i="5"/>
  <c r="T54" i="5"/>
  <c r="U54" i="5"/>
  <c r="P43" i="2"/>
  <c r="P52" i="4"/>
  <c r="W54" i="5"/>
  <c r="Q43" i="2"/>
  <c r="Q52" i="4"/>
  <c r="X54" i="5"/>
  <c r="S43" i="2"/>
  <c r="S52" i="4"/>
  <c r="AA54" i="5"/>
  <c r="AH52" i="4"/>
  <c r="T52" i="4" a="1"/>
  <c r="T52" i="4"/>
  <c r="AC54" i="5"/>
  <c r="U52" i="4" a="1"/>
  <c r="U52" i="4"/>
  <c r="AD54" i="5"/>
  <c r="AF54" i="5"/>
  <c r="AG54" i="5"/>
  <c r="X43" i="2"/>
  <c r="X52" i="4"/>
  <c r="AI54" i="5"/>
  <c r="Y43" i="2"/>
  <c r="Y52" i="4"/>
  <c r="AJ54" i="5"/>
  <c r="Z43" i="2"/>
  <c r="Z52" i="4"/>
  <c r="AL54" i="5"/>
  <c r="AN54" i="5"/>
  <c r="C8" i="2"/>
  <c r="B53" i="4"/>
  <c r="C53" i="4"/>
  <c r="C55" i="5"/>
  <c r="D8" i="2"/>
  <c r="D53" i="4"/>
  <c r="E55" i="5"/>
  <c r="H8" i="2"/>
  <c r="H53" i="4"/>
  <c r="K55" i="5"/>
  <c r="L8" i="2"/>
  <c r="L53" i="4"/>
  <c r="Q55" i="5"/>
  <c r="M8" i="2"/>
  <c r="M53" i="4"/>
  <c r="R55" i="5"/>
  <c r="N8" i="2"/>
  <c r="N53" i="4"/>
  <c r="T55" i="5"/>
  <c r="O53" i="4"/>
  <c r="U55" i="5"/>
  <c r="P8" i="2"/>
  <c r="P53" i="4"/>
  <c r="W55" i="5"/>
  <c r="Q8" i="2"/>
  <c r="Q53" i="4"/>
  <c r="X55" i="5"/>
  <c r="AA55" i="5"/>
  <c r="AH53" i="4"/>
  <c r="T53" i="4" a="1"/>
  <c r="T53" i="4"/>
  <c r="AC55" i="5"/>
  <c r="U53" i="4" a="1"/>
  <c r="U53" i="4"/>
  <c r="AD55" i="5"/>
  <c r="AF55" i="5"/>
  <c r="AG55" i="5"/>
  <c r="X8" i="2"/>
  <c r="X53" i="4"/>
  <c r="AI55" i="5"/>
  <c r="Y8" i="2"/>
  <c r="Y53" i="4"/>
  <c r="AJ55" i="5"/>
  <c r="Z8" i="2"/>
  <c r="Z53" i="4"/>
  <c r="AL55" i="5"/>
  <c r="L55" i="5"/>
  <c r="N55" i="5"/>
  <c r="O55" i="5"/>
  <c r="AN55" i="5"/>
  <c r="C10" i="2"/>
  <c r="B54" i="4"/>
  <c r="C9" i="2"/>
  <c r="C54" i="4"/>
  <c r="C56" i="5"/>
  <c r="D10" i="2"/>
  <c r="D9" i="2"/>
  <c r="D54" i="4"/>
  <c r="E56" i="5"/>
  <c r="H10" i="2"/>
  <c r="H9" i="2"/>
  <c r="H54" i="4"/>
  <c r="K56" i="5"/>
  <c r="L10" i="2"/>
  <c r="L9" i="2"/>
  <c r="L54" i="4"/>
  <c r="Q56" i="5"/>
  <c r="M10" i="2"/>
  <c r="M9" i="2"/>
  <c r="M54" i="4"/>
  <c r="R56" i="5"/>
  <c r="N10" i="2"/>
  <c r="N9" i="2"/>
  <c r="N54" i="4"/>
  <c r="T56" i="5"/>
  <c r="O10" i="2"/>
  <c r="O9" i="2"/>
  <c r="O54" i="4"/>
  <c r="U56" i="5"/>
  <c r="P10" i="2"/>
  <c r="P9" i="2"/>
  <c r="P54" i="4"/>
  <c r="W56" i="5"/>
  <c r="Q10" i="2"/>
  <c r="Q9" i="2"/>
  <c r="Q54" i="4"/>
  <c r="X56" i="5"/>
  <c r="AA56" i="5"/>
  <c r="AH54" i="4"/>
  <c r="T54" i="4" a="1"/>
  <c r="T54" i="4"/>
  <c r="AC56" i="5"/>
  <c r="U54" i="4" a="1"/>
  <c r="U54" i="4"/>
  <c r="AD56" i="5"/>
  <c r="AF56" i="5"/>
  <c r="AG56" i="5"/>
  <c r="X10" i="2"/>
  <c r="X9" i="2"/>
  <c r="X54" i="4"/>
  <c r="AI56" i="5"/>
  <c r="Y10" i="2"/>
  <c r="Y9" i="2"/>
  <c r="Y54" i="4"/>
  <c r="AJ56" i="5"/>
  <c r="Z10" i="2"/>
  <c r="Z9" i="2"/>
  <c r="Z54" i="4"/>
  <c r="AL56" i="5"/>
  <c r="L56" i="5"/>
  <c r="N56" i="5"/>
  <c r="O56" i="5"/>
  <c r="AN56" i="5"/>
  <c r="B55" i="4"/>
  <c r="C7" i="2"/>
  <c r="C55" i="4"/>
  <c r="C57" i="5"/>
  <c r="D7" i="2"/>
  <c r="D55" i="4"/>
  <c r="E57" i="5"/>
  <c r="H7" i="2"/>
  <c r="H55" i="4"/>
  <c r="K57" i="5"/>
  <c r="L7" i="2"/>
  <c r="L55" i="4"/>
  <c r="Q57" i="5"/>
  <c r="M7" i="2"/>
  <c r="M55" i="4"/>
  <c r="R57" i="5"/>
  <c r="T57" i="5"/>
  <c r="U57" i="5"/>
  <c r="P7" i="2"/>
  <c r="P55" i="4"/>
  <c r="W57" i="5"/>
  <c r="Q7" i="2"/>
  <c r="Q55" i="4"/>
  <c r="X57" i="5"/>
  <c r="AA57" i="5"/>
  <c r="AH55" i="4"/>
  <c r="T55" i="4" a="1"/>
  <c r="T55" i="4"/>
  <c r="AC57" i="5"/>
  <c r="U55" i="4" a="1"/>
  <c r="U55" i="4"/>
  <c r="AD57" i="5"/>
  <c r="AF57" i="5"/>
  <c r="AG57" i="5"/>
  <c r="X7" i="2"/>
  <c r="X55" i="4"/>
  <c r="AI57" i="5"/>
  <c r="Y7" i="2"/>
  <c r="Y55" i="4"/>
  <c r="AJ57" i="5"/>
  <c r="Z7" i="2"/>
  <c r="Z55" i="4"/>
  <c r="AL57" i="5"/>
  <c r="L57" i="5"/>
  <c r="N57" i="5"/>
  <c r="O57" i="5"/>
  <c r="AN57" i="5"/>
  <c r="B56" i="4"/>
  <c r="C56" i="4"/>
  <c r="C58" i="5"/>
  <c r="D56" i="4"/>
  <c r="E58" i="5"/>
  <c r="H56" i="4"/>
  <c r="K58" i="5"/>
  <c r="I9" i="2"/>
  <c r="I56" i="4"/>
  <c r="L58" i="5"/>
  <c r="J9" i="2"/>
  <c r="J56" i="4"/>
  <c r="N58" i="5"/>
  <c r="O58" i="5"/>
  <c r="L56" i="4"/>
  <c r="Q58" i="5"/>
  <c r="M56" i="4"/>
  <c r="R58" i="5"/>
  <c r="N56" i="4"/>
  <c r="T58" i="5"/>
  <c r="O56" i="4"/>
  <c r="U58" i="5"/>
  <c r="P56" i="4"/>
  <c r="W58" i="5"/>
  <c r="Q56" i="4"/>
  <c r="X58" i="5"/>
  <c r="AA58" i="5"/>
  <c r="AH56" i="4"/>
  <c r="T56" i="4" a="1"/>
  <c r="T56" i="4"/>
  <c r="AC58" i="5"/>
  <c r="U56" i="4" a="1"/>
  <c r="U56" i="4"/>
  <c r="AD58" i="5"/>
  <c r="AF58" i="5"/>
  <c r="AG58" i="5"/>
  <c r="X56" i="4"/>
  <c r="AI58" i="5"/>
  <c r="Y56" i="4"/>
  <c r="AJ58" i="5"/>
  <c r="Z56" i="4"/>
  <c r="AL58" i="5"/>
  <c r="AN58" i="5"/>
  <c r="B57" i="4"/>
  <c r="C57" i="4"/>
  <c r="C59" i="5"/>
  <c r="D57" i="4"/>
  <c r="E59" i="5"/>
  <c r="H57" i="4"/>
  <c r="K59" i="5"/>
  <c r="L57" i="4"/>
  <c r="Q59" i="5"/>
  <c r="M57" i="4"/>
  <c r="R59" i="5"/>
  <c r="N7" i="2"/>
  <c r="N57" i="4"/>
  <c r="T59" i="5"/>
  <c r="O7" i="2"/>
  <c r="O57" i="4"/>
  <c r="U59" i="5"/>
  <c r="P57" i="4"/>
  <c r="W59" i="5"/>
  <c r="Q57" i="4"/>
  <c r="X59" i="5"/>
  <c r="AA59" i="5"/>
  <c r="AH57" i="4"/>
  <c r="T57" i="4" a="1"/>
  <c r="T57" i="4"/>
  <c r="AC59" i="5"/>
  <c r="U57" i="4" a="1"/>
  <c r="U57" i="4"/>
  <c r="AD59" i="5"/>
  <c r="AF59" i="5"/>
  <c r="AG59" i="5"/>
  <c r="X57" i="4"/>
  <c r="AI59" i="5"/>
  <c r="Y57" i="4"/>
  <c r="AJ59" i="5"/>
  <c r="Z57" i="4"/>
  <c r="AL59" i="5"/>
  <c r="L59" i="5"/>
  <c r="N59" i="5"/>
  <c r="O59" i="5"/>
  <c r="AN59" i="5"/>
  <c r="B58" i="4"/>
  <c r="C58" i="4"/>
  <c r="C60" i="5"/>
  <c r="D58" i="4"/>
  <c r="E60" i="5"/>
  <c r="H58" i="4"/>
  <c r="K60" i="5"/>
  <c r="L58" i="4"/>
  <c r="Q60" i="5"/>
  <c r="M58" i="4"/>
  <c r="R60" i="5"/>
  <c r="T60" i="5"/>
  <c r="U60" i="5"/>
  <c r="P58" i="4"/>
  <c r="W60" i="5"/>
  <c r="Q58" i="4"/>
  <c r="X60" i="5"/>
  <c r="AA60" i="5"/>
  <c r="AH58" i="4"/>
  <c r="T58" i="4" a="1"/>
  <c r="T58" i="4"/>
  <c r="AC60" i="5"/>
  <c r="U58" i="4" a="1"/>
  <c r="U58" i="4"/>
  <c r="AD60" i="5"/>
  <c r="AF60" i="5"/>
  <c r="AG60" i="5"/>
  <c r="X58" i="4"/>
  <c r="AI60" i="5"/>
  <c r="Y58" i="4"/>
  <c r="AJ60" i="5"/>
  <c r="Z58" i="4"/>
  <c r="AL60" i="5"/>
  <c r="L60" i="5"/>
  <c r="N60" i="5"/>
  <c r="O60" i="5"/>
  <c r="AN60" i="5"/>
  <c r="AA61" i="5"/>
  <c r="P59" i="4"/>
  <c r="W61" i="5"/>
  <c r="O61" i="5"/>
  <c r="K61" i="5"/>
  <c r="C59" i="4"/>
  <c r="C61" i="5"/>
  <c r="D59" i="4"/>
  <c r="E61" i="5"/>
  <c r="L61" i="5"/>
  <c r="N61" i="5"/>
  <c r="L59" i="4"/>
  <c r="Q61" i="5"/>
  <c r="U61" i="5"/>
  <c r="Q59" i="4"/>
  <c r="X61" i="5"/>
  <c r="R9" i="2"/>
  <c r="R8" i="2"/>
  <c r="R59" i="4"/>
  <c r="Z61" i="5"/>
  <c r="AC61" i="5"/>
  <c r="AD61" i="5"/>
  <c r="AF61" i="5"/>
  <c r="AG61" i="5"/>
  <c r="X59" i="4"/>
  <c r="AI61" i="5"/>
  <c r="Y59" i="4"/>
  <c r="AJ61" i="5"/>
  <c r="Z59" i="4"/>
  <c r="AL61" i="5"/>
  <c r="R61" i="5"/>
  <c r="T61" i="5"/>
  <c r="AN61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H60" i="4"/>
  <c r="T60" i="4" a="1"/>
  <c r="T60" i="4"/>
  <c r="AC62" i="5"/>
  <c r="U60" i="4" a="1"/>
  <c r="U60" i="4"/>
  <c r="AD62" i="5"/>
  <c r="AF62" i="5"/>
  <c r="AG62" i="5"/>
  <c r="X60" i="4"/>
  <c r="AI62" i="5"/>
  <c r="Y60" i="4"/>
  <c r="AJ62" i="5"/>
  <c r="Z60" i="4"/>
  <c r="AL62" i="5"/>
  <c r="AN62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H61" i="4"/>
  <c r="T61" i="4" a="1"/>
  <c r="T61" i="4"/>
  <c r="AC63" i="5"/>
  <c r="U61" i="4" a="1"/>
  <c r="U61" i="4"/>
  <c r="AD63" i="5"/>
  <c r="AF63" i="5"/>
  <c r="AG63" i="5"/>
  <c r="Y61" i="4"/>
  <c r="AJ63" i="5"/>
  <c r="Z61" i="4"/>
  <c r="AL63" i="5"/>
  <c r="AN63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H62" i="4"/>
  <c r="T62" i="4" a="1"/>
  <c r="T62" i="4"/>
  <c r="AC64" i="5"/>
  <c r="U62" i="4" a="1"/>
  <c r="U62" i="4"/>
  <c r="AD64" i="5"/>
  <c r="AF64" i="5"/>
  <c r="AG64" i="5"/>
  <c r="Y62" i="4"/>
  <c r="AJ64" i="5"/>
  <c r="Z62" i="4"/>
  <c r="AL64" i="5"/>
  <c r="AN64" i="5"/>
  <c r="B63" i="4"/>
  <c r="C63" i="4"/>
  <c r="C65" i="5"/>
  <c r="D63" i="4"/>
  <c r="E65" i="5"/>
  <c r="H63" i="4"/>
  <c r="K65" i="5"/>
  <c r="L63" i="4"/>
  <c r="Q65" i="5"/>
  <c r="M63" i="4"/>
  <c r="R65" i="5"/>
  <c r="T65" i="5"/>
  <c r="U65" i="5"/>
  <c r="P63" i="4"/>
  <c r="W65" i="5"/>
  <c r="Q63" i="4"/>
  <c r="X65" i="5"/>
  <c r="AA65" i="5"/>
  <c r="AH63" i="4"/>
  <c r="T63" i="4" a="1"/>
  <c r="T63" i="4"/>
  <c r="AC65" i="5"/>
  <c r="U63" i="4" a="1"/>
  <c r="U63" i="4"/>
  <c r="AD65" i="5"/>
  <c r="AF65" i="5"/>
  <c r="AG65" i="5"/>
  <c r="X63" i="4"/>
  <c r="AI65" i="5"/>
  <c r="Y63" i="4"/>
  <c r="AJ65" i="5"/>
  <c r="Z63" i="4"/>
  <c r="AL65" i="5"/>
  <c r="AN65" i="5"/>
  <c r="B64" i="4"/>
  <c r="C64" i="4"/>
  <c r="C66" i="5"/>
  <c r="D64" i="4"/>
  <c r="E66" i="5"/>
  <c r="H64" i="4"/>
  <c r="K66" i="5"/>
  <c r="L64" i="4"/>
  <c r="Q66" i="5"/>
  <c r="M64" i="4"/>
  <c r="R66" i="5"/>
  <c r="T66" i="5"/>
  <c r="U66" i="5"/>
  <c r="P64" i="4"/>
  <c r="W66" i="5"/>
  <c r="Q64" i="4"/>
  <c r="X66" i="5"/>
  <c r="AA66" i="5"/>
  <c r="AH64" i="4"/>
  <c r="T64" i="4" a="1"/>
  <c r="T64" i="4"/>
  <c r="AC66" i="5"/>
  <c r="U64" i="4" a="1"/>
  <c r="U64" i="4"/>
  <c r="AD66" i="5"/>
  <c r="AF66" i="5"/>
  <c r="AG66" i="5"/>
  <c r="X64" i="4"/>
  <c r="AI66" i="5"/>
  <c r="Y64" i="4"/>
  <c r="AJ66" i="5"/>
  <c r="Z64" i="4"/>
  <c r="AL66" i="5"/>
  <c r="AN66" i="5"/>
  <c r="B65" i="4"/>
  <c r="C65" i="4"/>
  <c r="C67" i="5"/>
  <c r="D65" i="4"/>
  <c r="E67" i="5"/>
  <c r="H65" i="4"/>
  <c r="K67" i="5"/>
  <c r="L65" i="4"/>
  <c r="Q67" i="5"/>
  <c r="M65" i="4"/>
  <c r="R67" i="5"/>
  <c r="T67" i="5"/>
  <c r="U67" i="5"/>
  <c r="P65" i="4"/>
  <c r="W67" i="5"/>
  <c r="Q65" i="4"/>
  <c r="X67" i="5"/>
  <c r="AA67" i="5"/>
  <c r="AH65" i="4"/>
  <c r="T65" i="4" a="1"/>
  <c r="T65" i="4"/>
  <c r="AC67" i="5"/>
  <c r="U65" i="4" a="1"/>
  <c r="U65" i="4"/>
  <c r="AD67" i="5"/>
  <c r="AF67" i="5"/>
  <c r="AG67" i="5"/>
  <c r="X65" i="4"/>
  <c r="AI67" i="5"/>
  <c r="Y65" i="4"/>
  <c r="AJ67" i="5"/>
  <c r="Z65" i="4"/>
  <c r="AL67" i="5"/>
  <c r="AN67" i="5"/>
  <c r="B66" i="4"/>
  <c r="C66" i="4"/>
  <c r="C68" i="5"/>
  <c r="D66" i="4"/>
  <c r="E68" i="5"/>
  <c r="H66" i="4"/>
  <c r="K68" i="5"/>
  <c r="L66" i="4"/>
  <c r="Q68" i="5"/>
  <c r="M66" i="4"/>
  <c r="R68" i="5"/>
  <c r="T68" i="5"/>
  <c r="U68" i="5"/>
  <c r="P66" i="4"/>
  <c r="W68" i="5"/>
  <c r="Q66" i="4"/>
  <c r="X68" i="5"/>
  <c r="AA68" i="5"/>
  <c r="AH66" i="4"/>
  <c r="T66" i="4" a="1"/>
  <c r="T66" i="4"/>
  <c r="AC68" i="5"/>
  <c r="U66" i="4" a="1"/>
  <c r="U66" i="4"/>
  <c r="AD68" i="5"/>
  <c r="AF68" i="5"/>
  <c r="AG68" i="5"/>
  <c r="Y66" i="4"/>
  <c r="AJ68" i="5"/>
  <c r="Z66" i="4"/>
  <c r="AL68" i="5"/>
  <c r="AN68" i="5"/>
  <c r="B67" i="4"/>
  <c r="C67" i="4"/>
  <c r="C69" i="5"/>
  <c r="D67" i="4"/>
  <c r="E69" i="5"/>
  <c r="H67" i="4"/>
  <c r="K69" i="5"/>
  <c r="I14" i="2"/>
  <c r="I67" i="4"/>
  <c r="L69" i="5"/>
  <c r="J14" i="2"/>
  <c r="J67" i="4"/>
  <c r="N69" i="5"/>
  <c r="O69" i="5"/>
  <c r="L67" i="4"/>
  <c r="Q69" i="5"/>
  <c r="M67" i="4"/>
  <c r="R69" i="5"/>
  <c r="N13" i="2"/>
  <c r="N67" i="4"/>
  <c r="T69" i="5"/>
  <c r="O67" i="4"/>
  <c r="U69" i="5"/>
  <c r="P67" i="4"/>
  <c r="W69" i="5"/>
  <c r="Q67" i="4"/>
  <c r="X69" i="5"/>
  <c r="AA69" i="5"/>
  <c r="AH67" i="4"/>
  <c r="T67" i="4" a="1"/>
  <c r="T67" i="4"/>
  <c r="AC69" i="5"/>
  <c r="AD69" i="5"/>
  <c r="AF69" i="5"/>
  <c r="AG69" i="5"/>
  <c r="X67" i="4"/>
  <c r="AI69" i="5"/>
  <c r="Y67" i="4"/>
  <c r="AJ69" i="5"/>
  <c r="Z67" i="4"/>
  <c r="AL69" i="5"/>
  <c r="AN69" i="5"/>
  <c r="B68" i="4"/>
  <c r="C68" i="4"/>
  <c r="C70" i="5"/>
  <c r="D68" i="4"/>
  <c r="E70" i="5"/>
  <c r="H68" i="4"/>
  <c r="K70" i="5"/>
  <c r="L68" i="4"/>
  <c r="Q70" i="5"/>
  <c r="M68" i="4"/>
  <c r="R70" i="5"/>
  <c r="N11" i="2"/>
  <c r="N15" i="2"/>
  <c r="N68" i="4"/>
  <c r="T70" i="5"/>
  <c r="O68" i="4"/>
  <c r="U70" i="5"/>
  <c r="P68" i="4"/>
  <c r="W70" i="5"/>
  <c r="Q68" i="4"/>
  <c r="X70" i="5"/>
  <c r="AA70" i="5"/>
  <c r="AH68" i="4"/>
  <c r="T68" i="4" a="1"/>
  <c r="T68" i="4"/>
  <c r="AC70" i="5"/>
  <c r="U68" i="4" a="1"/>
  <c r="U68" i="4"/>
  <c r="AD70" i="5"/>
  <c r="AF70" i="5"/>
  <c r="AG70" i="5"/>
  <c r="Y68" i="4"/>
  <c r="AJ70" i="5"/>
  <c r="Z68" i="4"/>
  <c r="AL70" i="5"/>
  <c r="AN70" i="5"/>
  <c r="B69" i="4"/>
  <c r="C69" i="4"/>
  <c r="C71" i="5"/>
  <c r="D69" i="4"/>
  <c r="E71" i="5"/>
  <c r="H69" i="4"/>
  <c r="K71" i="5"/>
  <c r="L69" i="4"/>
  <c r="Q71" i="5"/>
  <c r="M69" i="4"/>
  <c r="R71" i="5"/>
  <c r="T71" i="5"/>
  <c r="U71" i="5"/>
  <c r="P69" i="4"/>
  <c r="W71" i="5"/>
  <c r="Q69" i="4"/>
  <c r="X71" i="5"/>
  <c r="AA71" i="5"/>
  <c r="AH69" i="4"/>
  <c r="T69" i="4" a="1"/>
  <c r="T69" i="4"/>
  <c r="AC71" i="5"/>
  <c r="U69" i="4" a="1"/>
  <c r="U69" i="4"/>
  <c r="AD71" i="5"/>
  <c r="AF71" i="5"/>
  <c r="AG71" i="5"/>
  <c r="Y69" i="4"/>
  <c r="AJ71" i="5"/>
  <c r="Z69" i="4"/>
  <c r="AL71" i="5"/>
  <c r="AN71" i="5"/>
  <c r="C70" i="4"/>
  <c r="C72" i="5"/>
  <c r="N70" i="4"/>
  <c r="T72" i="5"/>
  <c r="O70" i="4"/>
  <c r="U72" i="5"/>
  <c r="P70" i="4"/>
  <c r="W72" i="5"/>
  <c r="Q70" i="4"/>
  <c r="X72" i="5"/>
  <c r="S70" i="4"/>
  <c r="AA72" i="5"/>
  <c r="AH70" i="4"/>
  <c r="T70" i="4" a="1"/>
  <c r="T70" i="4"/>
  <c r="AC72" i="5"/>
  <c r="U70" i="4" a="1"/>
  <c r="U70" i="4"/>
  <c r="AD72" i="5"/>
  <c r="AF72" i="5"/>
  <c r="AG72" i="5"/>
  <c r="X70" i="4"/>
  <c r="AI72" i="5"/>
  <c r="Y70" i="4"/>
  <c r="AJ72" i="5"/>
  <c r="Z70" i="4"/>
  <c r="AL72" i="5"/>
  <c r="AN72" i="5"/>
  <c r="C71" i="4"/>
  <c r="C73" i="5"/>
  <c r="T73" i="5"/>
  <c r="U73" i="5"/>
  <c r="P71" i="4"/>
  <c r="W73" i="5"/>
  <c r="Q71" i="4"/>
  <c r="X73" i="5"/>
  <c r="S71" i="4"/>
  <c r="AA73" i="5"/>
  <c r="AH71" i="4"/>
  <c r="T71" i="4" a="1"/>
  <c r="T71" i="4"/>
  <c r="AC73" i="5"/>
  <c r="U71" i="4" a="1"/>
  <c r="U71" i="4"/>
  <c r="AD73" i="5"/>
  <c r="AF73" i="5"/>
  <c r="AG73" i="5"/>
  <c r="X71" i="4"/>
  <c r="AI73" i="5"/>
  <c r="Y71" i="4"/>
  <c r="AJ73" i="5"/>
  <c r="Z71" i="4"/>
  <c r="AL73" i="5"/>
  <c r="AN73" i="5"/>
  <c r="B72" i="4"/>
  <c r="C72" i="4"/>
  <c r="C74" i="5"/>
  <c r="D72" i="4"/>
  <c r="E74" i="5"/>
  <c r="H72" i="4"/>
  <c r="K74" i="5"/>
  <c r="L72" i="4"/>
  <c r="Q74" i="5"/>
  <c r="M72" i="4"/>
  <c r="R74" i="5"/>
  <c r="T74" i="5"/>
  <c r="U74" i="5"/>
  <c r="P72" i="4"/>
  <c r="W74" i="5"/>
  <c r="Q72" i="4"/>
  <c r="X74" i="5"/>
  <c r="S72" i="4"/>
  <c r="AA74" i="5"/>
  <c r="AH72" i="4"/>
  <c r="T72" i="4" a="1"/>
  <c r="T72" i="4"/>
  <c r="AC74" i="5"/>
  <c r="U72" i="4" a="1"/>
  <c r="U72" i="4"/>
  <c r="AD74" i="5"/>
  <c r="AF74" i="5"/>
  <c r="AG74" i="5"/>
  <c r="X72" i="4"/>
  <c r="AI74" i="5"/>
  <c r="Y72" i="4"/>
  <c r="AJ74" i="5"/>
  <c r="Z72" i="4"/>
  <c r="AL74" i="5"/>
  <c r="F74" i="5"/>
  <c r="AN74" i="5"/>
  <c r="C20" i="2"/>
  <c r="C73" i="4"/>
  <c r="C75" i="5"/>
  <c r="D73" i="4"/>
  <c r="E75" i="5"/>
  <c r="H20" i="2"/>
  <c r="H73" i="4"/>
  <c r="K75" i="5"/>
  <c r="L20" i="2"/>
  <c r="L73" i="4"/>
  <c r="Q75" i="5"/>
  <c r="R75" i="5"/>
  <c r="T75" i="5"/>
  <c r="U75" i="5"/>
  <c r="P20" i="2"/>
  <c r="P73" i="4"/>
  <c r="W75" i="5"/>
  <c r="Q20" i="2"/>
  <c r="Q73" i="4"/>
  <c r="X75" i="5"/>
  <c r="S20" i="2"/>
  <c r="S73" i="4"/>
  <c r="AA75" i="5"/>
  <c r="AH73" i="4"/>
  <c r="T73" i="4" a="1"/>
  <c r="T73" i="4"/>
  <c r="AC75" i="5"/>
  <c r="U73" i="4" a="1"/>
  <c r="U73" i="4"/>
  <c r="AD75" i="5"/>
  <c r="AF75" i="5"/>
  <c r="AG75" i="5"/>
  <c r="X20" i="2"/>
  <c r="X73" i="4"/>
  <c r="AI75" i="5"/>
  <c r="Y20" i="2"/>
  <c r="Y73" i="4"/>
  <c r="AJ75" i="5"/>
  <c r="Z20" i="2"/>
  <c r="Z73" i="4"/>
  <c r="AL75" i="5"/>
  <c r="F75" i="5"/>
  <c r="AN75" i="5"/>
  <c r="B74" i="4"/>
  <c r="C22" i="2"/>
  <c r="C74" i="4"/>
  <c r="C76" i="5"/>
  <c r="D22" i="2"/>
  <c r="D74" i="4"/>
  <c r="E76" i="5"/>
  <c r="H22" i="2"/>
  <c r="H74" i="4"/>
  <c r="K76" i="5"/>
  <c r="L22" i="2"/>
  <c r="L74" i="4"/>
  <c r="Q76" i="5"/>
  <c r="M22" i="2"/>
  <c r="M74" i="4"/>
  <c r="R76" i="5"/>
  <c r="T76" i="5"/>
  <c r="U76" i="5"/>
  <c r="P22" i="2"/>
  <c r="P74" i="4"/>
  <c r="W76" i="5"/>
  <c r="Q22" i="2"/>
  <c r="Q74" i="4"/>
  <c r="X76" i="5"/>
  <c r="S22" i="2"/>
  <c r="S74" i="4"/>
  <c r="AA76" i="5"/>
  <c r="AH74" i="4"/>
  <c r="T74" i="4" a="1"/>
  <c r="T74" i="4"/>
  <c r="AC76" i="5"/>
  <c r="U74" i="4" a="1"/>
  <c r="U74" i="4"/>
  <c r="AD76" i="5"/>
  <c r="AF76" i="5"/>
  <c r="AG76" i="5"/>
  <c r="X22" i="2"/>
  <c r="X74" i="4"/>
  <c r="AI76" i="5"/>
  <c r="Y22" i="2"/>
  <c r="Y74" i="4"/>
  <c r="AJ76" i="5"/>
  <c r="Z22" i="2"/>
  <c r="Z74" i="4"/>
  <c r="AL76" i="5"/>
  <c r="F76" i="5"/>
  <c r="AN76" i="5"/>
  <c r="B75" i="4"/>
  <c r="C75" i="4"/>
  <c r="C77" i="5"/>
  <c r="D75" i="4"/>
  <c r="E77" i="5"/>
  <c r="E29" i="2"/>
  <c r="E31" i="2"/>
  <c r="E75" i="4"/>
  <c r="F77" i="5"/>
  <c r="F29" i="2"/>
  <c r="F31" i="2"/>
  <c r="F75" i="4"/>
  <c r="H77" i="5"/>
  <c r="I77" i="5"/>
  <c r="H75" i="4"/>
  <c r="K77" i="5"/>
  <c r="L75" i="4"/>
  <c r="Q77" i="5"/>
  <c r="M75" i="4"/>
  <c r="R77" i="5"/>
  <c r="T77" i="5"/>
  <c r="U77" i="5"/>
  <c r="P75" i="4"/>
  <c r="W77" i="5"/>
  <c r="Q75" i="4"/>
  <c r="X77" i="5"/>
  <c r="S75" i="4"/>
  <c r="AA77" i="5"/>
  <c r="AH75" i="4"/>
  <c r="T75" i="4" a="1"/>
  <c r="T75" i="4"/>
  <c r="AC77" i="5"/>
  <c r="U75" i="4" a="1"/>
  <c r="U75" i="4"/>
  <c r="AD77" i="5"/>
  <c r="AF77" i="5"/>
  <c r="AG77" i="5"/>
  <c r="X75" i="4"/>
  <c r="AI77" i="5"/>
  <c r="Y75" i="4"/>
  <c r="AJ77" i="5"/>
  <c r="Z75" i="4"/>
  <c r="AL77" i="5"/>
  <c r="AN77" i="5"/>
  <c r="B76" i="4"/>
  <c r="C76" i="4"/>
  <c r="C78" i="5"/>
  <c r="D76" i="4"/>
  <c r="E78" i="5"/>
  <c r="E76" i="4"/>
  <c r="F78" i="5"/>
  <c r="F76" i="4"/>
  <c r="H78" i="5"/>
  <c r="I78" i="5"/>
  <c r="H76" i="4"/>
  <c r="K78" i="5"/>
  <c r="L76" i="4"/>
  <c r="Q78" i="5"/>
  <c r="M76" i="4"/>
  <c r="R78" i="5"/>
  <c r="T78" i="5"/>
  <c r="U78" i="5"/>
  <c r="P76" i="4"/>
  <c r="W78" i="5"/>
  <c r="Q76" i="4"/>
  <c r="X78" i="5"/>
  <c r="S76" i="4"/>
  <c r="AA78" i="5"/>
  <c r="AH76" i="4"/>
  <c r="T76" i="4" a="1"/>
  <c r="T76" i="4"/>
  <c r="AC78" i="5"/>
  <c r="U76" i="4" a="1"/>
  <c r="U76" i="4"/>
  <c r="AD78" i="5"/>
  <c r="AF78" i="5"/>
  <c r="AG78" i="5"/>
  <c r="X76" i="4"/>
  <c r="AI78" i="5"/>
  <c r="Y76" i="4"/>
  <c r="AJ78" i="5"/>
  <c r="Z76" i="4"/>
  <c r="AL78" i="5"/>
  <c r="AN78" i="5"/>
  <c r="C19" i="2"/>
  <c r="B77" i="4"/>
  <c r="C77" i="4"/>
  <c r="C79" i="5"/>
  <c r="D19" i="2"/>
  <c r="D77" i="4"/>
  <c r="E79" i="5"/>
  <c r="E19" i="2"/>
  <c r="E77" i="4"/>
  <c r="F79" i="5"/>
  <c r="F19" i="2"/>
  <c r="F77" i="4"/>
  <c r="H79" i="5"/>
  <c r="I79" i="5"/>
  <c r="H19" i="2"/>
  <c r="H77" i="4"/>
  <c r="K79" i="5"/>
  <c r="L19" i="2"/>
  <c r="L77" i="4"/>
  <c r="Q79" i="5"/>
  <c r="M19" i="2"/>
  <c r="M77" i="4"/>
  <c r="R79" i="5"/>
  <c r="T79" i="5"/>
  <c r="U79" i="5"/>
  <c r="P19" i="2"/>
  <c r="P77" i="4"/>
  <c r="W79" i="5"/>
  <c r="Q19" i="2"/>
  <c r="Q77" i="4"/>
  <c r="X79" i="5"/>
  <c r="S19" i="2"/>
  <c r="S77" i="4"/>
  <c r="AA79" i="5"/>
  <c r="AH77" i="4"/>
  <c r="T77" i="4" a="1"/>
  <c r="T77" i="4"/>
  <c r="AC79" i="5"/>
  <c r="U77" i="4" a="1"/>
  <c r="U77" i="4"/>
  <c r="AD79" i="5"/>
  <c r="AF79" i="5"/>
  <c r="AG79" i="5"/>
  <c r="X19" i="2"/>
  <c r="X77" i="4"/>
  <c r="AI79" i="5"/>
  <c r="Y19" i="2"/>
  <c r="Y77" i="4"/>
  <c r="AJ79" i="5"/>
  <c r="Z19" i="2"/>
  <c r="Z77" i="4"/>
  <c r="AL79" i="5"/>
  <c r="AN79" i="5"/>
  <c r="C78" i="4"/>
  <c r="C80" i="5"/>
  <c r="D78" i="4"/>
  <c r="E80" i="5"/>
  <c r="H78" i="4"/>
  <c r="K80" i="5"/>
  <c r="L78" i="4"/>
  <c r="Q80" i="5"/>
  <c r="M78" i="4"/>
  <c r="R80" i="5"/>
  <c r="T80" i="5"/>
  <c r="U80" i="5"/>
  <c r="P78" i="4"/>
  <c r="W80" i="5"/>
  <c r="Q78" i="4"/>
  <c r="X80" i="5"/>
  <c r="S78" i="4"/>
  <c r="AA80" i="5"/>
  <c r="AH78" i="4"/>
  <c r="T78" i="4" a="1"/>
  <c r="T78" i="4"/>
  <c r="AC80" i="5"/>
  <c r="U78" i="4" a="1"/>
  <c r="U78" i="4"/>
  <c r="AD80" i="5"/>
  <c r="AF80" i="5"/>
  <c r="AG80" i="5"/>
  <c r="X78" i="4"/>
  <c r="AI80" i="5"/>
  <c r="Y78" i="4"/>
  <c r="AJ80" i="5"/>
  <c r="Z78" i="4"/>
  <c r="AL80" i="5"/>
  <c r="AN80" i="5"/>
  <c r="C79" i="4"/>
  <c r="C81" i="5"/>
  <c r="D79" i="4"/>
  <c r="E81" i="5"/>
  <c r="K81" i="5"/>
  <c r="L79" i="4"/>
  <c r="Q81" i="5"/>
  <c r="M79" i="4"/>
  <c r="R81" i="5"/>
  <c r="T81" i="5"/>
  <c r="U81" i="5"/>
  <c r="P79" i="4"/>
  <c r="W81" i="5"/>
  <c r="Q79" i="4"/>
  <c r="X81" i="5"/>
  <c r="S79" i="4"/>
  <c r="AA81" i="5"/>
  <c r="AH79" i="4"/>
  <c r="T79" i="4" a="1"/>
  <c r="T79" i="4"/>
  <c r="AC81" i="5"/>
  <c r="U79" i="4" a="1"/>
  <c r="U79" i="4"/>
  <c r="AD81" i="5"/>
  <c r="AF81" i="5"/>
  <c r="AG81" i="5"/>
  <c r="X79" i="4"/>
  <c r="AI81" i="5"/>
  <c r="Y79" i="4"/>
  <c r="AJ81" i="5"/>
  <c r="Z79" i="4"/>
  <c r="AL81" i="5"/>
  <c r="AN81" i="5"/>
  <c r="B80" i="4"/>
  <c r="C80" i="4"/>
  <c r="C82" i="5"/>
  <c r="D80" i="4"/>
  <c r="E82" i="5"/>
  <c r="K82" i="5"/>
  <c r="L80" i="4"/>
  <c r="Q82" i="5"/>
  <c r="M80" i="4"/>
  <c r="R82" i="5"/>
  <c r="N21" i="2"/>
  <c r="N80" i="4"/>
  <c r="T82" i="5"/>
  <c r="O80" i="4"/>
  <c r="U82" i="5"/>
  <c r="P80" i="4"/>
  <c r="W82" i="5"/>
  <c r="Q80" i="4"/>
  <c r="X82" i="5"/>
  <c r="S80" i="4"/>
  <c r="AA82" i="5"/>
  <c r="AH80" i="4"/>
  <c r="T80" i="4" a="1"/>
  <c r="T80" i="4"/>
  <c r="AC82" i="5"/>
  <c r="U80" i="4" a="1"/>
  <c r="U80" i="4"/>
  <c r="AD82" i="5"/>
  <c r="AF82" i="5"/>
  <c r="AG82" i="5"/>
  <c r="X80" i="4"/>
  <c r="AI82" i="5"/>
  <c r="Y80" i="4"/>
  <c r="AJ82" i="5"/>
  <c r="Z80" i="4"/>
  <c r="AL82" i="5"/>
  <c r="AN82" i="5"/>
  <c r="C81" i="4"/>
  <c r="C83" i="5"/>
  <c r="D81" i="4"/>
  <c r="E83" i="5"/>
  <c r="K83" i="5"/>
  <c r="L81" i="4"/>
  <c r="Q83" i="5"/>
  <c r="M81" i="4"/>
  <c r="R83" i="5"/>
  <c r="T83" i="5"/>
  <c r="U83" i="5"/>
  <c r="P81" i="4"/>
  <c r="W83" i="5"/>
  <c r="Q81" i="4"/>
  <c r="X83" i="5"/>
  <c r="S81" i="4"/>
  <c r="AA83" i="5"/>
  <c r="AH81" i="4"/>
  <c r="T81" i="4" a="1"/>
  <c r="T81" i="4"/>
  <c r="AC83" i="5"/>
  <c r="U81" i="4" a="1"/>
  <c r="U81" i="4"/>
  <c r="AD83" i="5"/>
  <c r="AF83" i="5"/>
  <c r="AG83" i="5"/>
  <c r="X81" i="4"/>
  <c r="AI83" i="5"/>
  <c r="Y81" i="4"/>
  <c r="AJ83" i="5"/>
  <c r="Z81" i="4"/>
  <c r="AL83" i="5"/>
  <c r="AN83" i="5"/>
  <c r="B82" i="4"/>
  <c r="C82" i="4"/>
  <c r="C84" i="5"/>
  <c r="D82" i="4"/>
  <c r="E84" i="5"/>
  <c r="K84" i="5"/>
  <c r="L82" i="4"/>
  <c r="Q84" i="5"/>
  <c r="M82" i="4"/>
  <c r="R84" i="5"/>
  <c r="T84" i="5"/>
  <c r="U84" i="5"/>
  <c r="P82" i="4"/>
  <c r="W84" i="5"/>
  <c r="Q82" i="4"/>
  <c r="X84" i="5"/>
  <c r="S82" i="4"/>
  <c r="AA84" i="5"/>
  <c r="AH82" i="4"/>
  <c r="T82" i="4" a="1"/>
  <c r="T82" i="4"/>
  <c r="AC84" i="5"/>
  <c r="U82" i="4" a="1"/>
  <c r="U82" i="4"/>
  <c r="AD84" i="5"/>
  <c r="AF84" i="5"/>
  <c r="AG84" i="5"/>
  <c r="X82" i="4"/>
  <c r="AI84" i="5"/>
  <c r="Y82" i="4"/>
  <c r="AJ84" i="5"/>
  <c r="Z82" i="4"/>
  <c r="AL84" i="5"/>
  <c r="AN84" i="5"/>
  <c r="B83" i="4"/>
  <c r="C83" i="4"/>
  <c r="C85" i="5"/>
  <c r="D83" i="4"/>
  <c r="E85" i="5"/>
  <c r="K85" i="5"/>
  <c r="L83" i="4"/>
  <c r="Q85" i="5"/>
  <c r="M83" i="4"/>
  <c r="R85" i="5"/>
  <c r="N83" i="4"/>
  <c r="T85" i="5"/>
  <c r="O83" i="4"/>
  <c r="U85" i="5"/>
  <c r="P83" i="4"/>
  <c r="W85" i="5"/>
  <c r="Q83" i="4"/>
  <c r="X85" i="5"/>
  <c r="S83" i="4"/>
  <c r="AA85" i="5"/>
  <c r="AH83" i="4"/>
  <c r="T83" i="4" a="1"/>
  <c r="T83" i="4"/>
  <c r="AC85" i="5"/>
  <c r="U83" i="4" a="1"/>
  <c r="U83" i="4"/>
  <c r="AD85" i="5"/>
  <c r="AF85" i="5"/>
  <c r="AG85" i="5"/>
  <c r="X83" i="4"/>
  <c r="AI85" i="5"/>
  <c r="Y83" i="4"/>
  <c r="AJ85" i="5"/>
  <c r="Z83" i="4"/>
  <c r="AL85" i="5"/>
  <c r="AN85" i="5"/>
  <c r="B84" i="4"/>
  <c r="C84" i="4"/>
  <c r="C86" i="5"/>
  <c r="D84" i="4"/>
  <c r="E86" i="5"/>
  <c r="K86" i="5"/>
  <c r="L84" i="4"/>
  <c r="Q86" i="5"/>
  <c r="M84" i="4"/>
  <c r="R86" i="5"/>
  <c r="T86" i="5"/>
  <c r="U86" i="5"/>
  <c r="P84" i="4"/>
  <c r="W86" i="5"/>
  <c r="Q84" i="4"/>
  <c r="X86" i="5"/>
  <c r="S84" i="4"/>
  <c r="AA86" i="5"/>
  <c r="AH84" i="4"/>
  <c r="T84" i="4" a="1"/>
  <c r="T84" i="4"/>
  <c r="AC86" i="5"/>
  <c r="U84" i="4" a="1"/>
  <c r="U84" i="4"/>
  <c r="AD86" i="5"/>
  <c r="AF86" i="5"/>
  <c r="AG86" i="5"/>
  <c r="X84" i="4"/>
  <c r="AI86" i="5"/>
  <c r="Y84" i="4"/>
  <c r="AJ86" i="5"/>
  <c r="Z84" i="4"/>
  <c r="AL86" i="5"/>
  <c r="AN86" i="5"/>
  <c r="C85" i="4"/>
  <c r="C87" i="5"/>
  <c r="D85" i="4"/>
  <c r="E87" i="5"/>
  <c r="E85" i="4"/>
  <c r="F87" i="5"/>
  <c r="F85" i="4"/>
  <c r="H87" i="5"/>
  <c r="I87" i="5"/>
  <c r="H85" i="4"/>
  <c r="K87" i="5"/>
  <c r="L85" i="4"/>
  <c r="Q87" i="5"/>
  <c r="M85" i="4"/>
  <c r="R87" i="5"/>
  <c r="T87" i="5"/>
  <c r="U87" i="5"/>
  <c r="P85" i="4"/>
  <c r="W87" i="5"/>
  <c r="Q85" i="4"/>
  <c r="X87" i="5"/>
  <c r="S85" i="4"/>
  <c r="AA87" i="5"/>
  <c r="AH85" i="4"/>
  <c r="T85" i="4" a="1"/>
  <c r="T85" i="4"/>
  <c r="AC87" i="5"/>
  <c r="U85" i="4" a="1"/>
  <c r="U85" i="4"/>
  <c r="AD87" i="5"/>
  <c r="AF87" i="5"/>
  <c r="AG87" i="5"/>
  <c r="X85" i="4"/>
  <c r="AI87" i="5"/>
  <c r="Y85" i="4"/>
  <c r="AJ87" i="5"/>
  <c r="Z85" i="4"/>
  <c r="AL87" i="5"/>
  <c r="AN87" i="5"/>
  <c r="C86" i="4"/>
  <c r="C88" i="5"/>
  <c r="D86" i="4"/>
  <c r="E88" i="5"/>
  <c r="E86" i="4"/>
  <c r="F88" i="5"/>
  <c r="F86" i="4"/>
  <c r="H88" i="5"/>
  <c r="I88" i="5"/>
  <c r="H86" i="4"/>
  <c r="K88" i="5"/>
  <c r="L86" i="4"/>
  <c r="Q88" i="5"/>
  <c r="M86" i="4"/>
  <c r="R88" i="5"/>
  <c r="T88" i="5"/>
  <c r="U88" i="5"/>
  <c r="P86" i="4"/>
  <c r="W88" i="5"/>
  <c r="Q86" i="4"/>
  <c r="X88" i="5"/>
  <c r="S86" i="4"/>
  <c r="AA88" i="5"/>
  <c r="AH86" i="4"/>
  <c r="T86" i="4" a="1"/>
  <c r="T86" i="4"/>
  <c r="AC88" i="5"/>
  <c r="U86" i="4" a="1"/>
  <c r="U86" i="4"/>
  <c r="AD88" i="5"/>
  <c r="AF88" i="5"/>
  <c r="AG88" i="5"/>
  <c r="X86" i="4"/>
  <c r="AI88" i="5"/>
  <c r="Y86" i="4"/>
  <c r="AJ88" i="5"/>
  <c r="Z86" i="4"/>
  <c r="AL88" i="5"/>
  <c r="AN88" i="5"/>
  <c r="B87" i="4"/>
  <c r="C87" i="4"/>
  <c r="C89" i="5"/>
  <c r="D87" i="4"/>
  <c r="E89" i="5"/>
  <c r="E87" i="4"/>
  <c r="F89" i="5"/>
  <c r="F87" i="4"/>
  <c r="H89" i="5"/>
  <c r="I89" i="5"/>
  <c r="H87" i="4"/>
  <c r="K89" i="5"/>
  <c r="L87" i="4"/>
  <c r="Q89" i="5"/>
  <c r="M87" i="4"/>
  <c r="R89" i="5"/>
  <c r="T89" i="5"/>
  <c r="U89" i="5"/>
  <c r="P87" i="4"/>
  <c r="W89" i="5"/>
  <c r="Q87" i="4"/>
  <c r="X89" i="5"/>
  <c r="S87" i="4"/>
  <c r="AA89" i="5"/>
  <c r="AH87" i="4"/>
  <c r="T87" i="4" a="1"/>
  <c r="T87" i="4"/>
  <c r="AC89" i="5"/>
  <c r="U87" i="4" a="1"/>
  <c r="U87" i="4"/>
  <c r="AD89" i="5"/>
  <c r="AF89" i="5"/>
  <c r="AG89" i="5"/>
  <c r="X87" i="4"/>
  <c r="AI89" i="5"/>
  <c r="Y87" i="4"/>
  <c r="AJ89" i="5"/>
  <c r="Z87" i="4"/>
  <c r="AL89" i="5"/>
  <c r="AN89" i="5"/>
  <c r="B88" i="4"/>
  <c r="S88" i="4"/>
  <c r="AA90" i="5"/>
  <c r="P88" i="4"/>
  <c r="W90" i="5"/>
  <c r="K18" i="2"/>
  <c r="K27" i="2"/>
  <c r="K88" i="4"/>
  <c r="O90" i="5"/>
  <c r="H88" i="4"/>
  <c r="K90" i="5"/>
  <c r="C88" i="4"/>
  <c r="C90" i="5"/>
  <c r="D88" i="4"/>
  <c r="E90" i="5"/>
  <c r="G18" i="2"/>
  <c r="G27" i="2"/>
  <c r="G88" i="4"/>
  <c r="I90" i="5"/>
  <c r="I18" i="2"/>
  <c r="I88" i="4"/>
  <c r="L90" i="5"/>
  <c r="J18" i="2"/>
  <c r="J88" i="4"/>
  <c r="N90" i="5"/>
  <c r="L88" i="4"/>
  <c r="Q90" i="5"/>
  <c r="O88" i="4"/>
  <c r="U90" i="5"/>
  <c r="Q88" i="4"/>
  <c r="X90" i="5"/>
  <c r="R88" i="4"/>
  <c r="Z90" i="5"/>
  <c r="AH88" i="4"/>
  <c r="T88" i="4" a="1"/>
  <c r="T88" i="4"/>
  <c r="AC90" i="5"/>
  <c r="U88" i="4" a="1"/>
  <c r="U88" i="4"/>
  <c r="AD90" i="5"/>
  <c r="V18" i="2"/>
  <c r="V27" i="2"/>
  <c r="V88" i="4"/>
  <c r="AF90" i="5"/>
  <c r="W18" i="2"/>
  <c r="W27" i="2"/>
  <c r="W88" i="4"/>
  <c r="AG90" i="5"/>
  <c r="X88" i="4"/>
  <c r="AI90" i="5"/>
  <c r="Y88" i="4"/>
  <c r="AJ90" i="5"/>
  <c r="Z88" i="4"/>
  <c r="AL90" i="5"/>
  <c r="R90" i="5"/>
  <c r="T90" i="5"/>
  <c r="AN90" i="5"/>
  <c r="S89" i="4"/>
  <c r="AA91" i="5"/>
  <c r="P89" i="4"/>
  <c r="W91" i="5"/>
  <c r="O91" i="5"/>
  <c r="K91" i="5"/>
  <c r="C89" i="4"/>
  <c r="C91" i="5"/>
  <c r="D89" i="4"/>
  <c r="E91" i="5"/>
  <c r="L91" i="5"/>
  <c r="N91" i="5"/>
  <c r="L89" i="4"/>
  <c r="Q91" i="5"/>
  <c r="U91" i="5"/>
  <c r="Q89" i="4"/>
  <c r="X91" i="5"/>
  <c r="R89" i="4"/>
  <c r="Z91" i="5"/>
  <c r="AH89" i="4"/>
  <c r="T89" i="4" a="1"/>
  <c r="T89" i="4"/>
  <c r="AC91" i="5"/>
  <c r="U89" i="4" a="1"/>
  <c r="U89" i="4"/>
  <c r="AD91" i="5"/>
  <c r="AF91" i="5"/>
  <c r="AG91" i="5"/>
  <c r="X89" i="4"/>
  <c r="AI91" i="5"/>
  <c r="Y89" i="4"/>
  <c r="AJ91" i="5"/>
  <c r="Z89" i="4"/>
  <c r="AL91" i="5"/>
  <c r="R91" i="5"/>
  <c r="T91" i="5"/>
  <c r="AN91" i="5"/>
  <c r="O92" i="5"/>
  <c r="K92" i="5"/>
  <c r="B90" i="4"/>
  <c r="C90" i="4"/>
  <c r="C92" i="5"/>
  <c r="D90" i="4"/>
  <c r="E92" i="5"/>
  <c r="I2" i="2"/>
  <c r="I90" i="4"/>
  <c r="L92" i="5"/>
  <c r="J2" i="2"/>
  <c r="J90" i="4"/>
  <c r="N92" i="5"/>
  <c r="L90" i="4"/>
  <c r="Q92" i="5"/>
  <c r="M90" i="4"/>
  <c r="R92" i="5"/>
  <c r="T92" i="5"/>
  <c r="U92" i="5"/>
  <c r="P90" i="4"/>
  <c r="W92" i="5"/>
  <c r="Q90" i="4"/>
  <c r="X92" i="5"/>
  <c r="S90" i="4"/>
  <c r="AA92" i="5"/>
  <c r="AH90" i="4"/>
  <c r="T90" i="4" a="1"/>
  <c r="T90" i="4"/>
  <c r="AC92" i="5"/>
  <c r="U90" i="4" a="1"/>
  <c r="U90" i="4"/>
  <c r="AD92" i="5"/>
  <c r="AF92" i="5"/>
  <c r="AG92" i="5"/>
  <c r="X90" i="4"/>
  <c r="AI92" i="5"/>
  <c r="Y90" i="4"/>
  <c r="AJ92" i="5"/>
  <c r="Z90" i="4"/>
  <c r="AL92" i="5"/>
  <c r="AN92" i="5"/>
  <c r="B91" i="4"/>
  <c r="C91" i="4"/>
  <c r="C93" i="5"/>
  <c r="D91" i="4"/>
  <c r="E93" i="5"/>
  <c r="K93" i="5"/>
  <c r="L91" i="4"/>
  <c r="Q93" i="5"/>
  <c r="M91" i="4"/>
  <c r="R93" i="5"/>
  <c r="T93" i="5"/>
  <c r="U93" i="5"/>
  <c r="P91" i="4"/>
  <c r="W93" i="5"/>
  <c r="Q91" i="4"/>
  <c r="X93" i="5"/>
  <c r="S91" i="4"/>
  <c r="AA93" i="5"/>
  <c r="AH91" i="4"/>
  <c r="T91" i="4" a="1"/>
  <c r="T91" i="4"/>
  <c r="AC93" i="5"/>
  <c r="U91" i="4" a="1"/>
  <c r="U91" i="4"/>
  <c r="AD93" i="5"/>
  <c r="AF93" i="5"/>
  <c r="AG93" i="5"/>
  <c r="X91" i="4"/>
  <c r="AI93" i="5"/>
  <c r="Y91" i="4"/>
  <c r="AJ93" i="5"/>
  <c r="Z91" i="4"/>
  <c r="AL93" i="5"/>
  <c r="AN93" i="5"/>
  <c r="B92" i="4"/>
  <c r="C92" i="4"/>
  <c r="C94" i="5"/>
  <c r="D92" i="4"/>
  <c r="E94" i="5"/>
  <c r="K94" i="5"/>
  <c r="L92" i="4"/>
  <c r="Q94" i="5"/>
  <c r="M92" i="4"/>
  <c r="R94" i="5"/>
  <c r="N19" i="2"/>
  <c r="N92" i="4"/>
  <c r="T94" i="5"/>
  <c r="O92" i="4"/>
  <c r="U94" i="5"/>
  <c r="P92" i="4"/>
  <c r="W94" i="5"/>
  <c r="Q92" i="4"/>
  <c r="X94" i="5"/>
  <c r="S92" i="4"/>
  <c r="AA94" i="5"/>
  <c r="AH92" i="4"/>
  <c r="T92" i="4" a="1"/>
  <c r="T92" i="4"/>
  <c r="AC94" i="5"/>
  <c r="U92" i="4" a="1"/>
  <c r="U92" i="4"/>
  <c r="AD94" i="5"/>
  <c r="AF94" i="5"/>
  <c r="AG94" i="5"/>
  <c r="X92" i="4"/>
  <c r="AI94" i="5"/>
  <c r="Y92" i="4"/>
  <c r="AJ94" i="5"/>
  <c r="Z92" i="4"/>
  <c r="AL94" i="5"/>
  <c r="AN94" i="5"/>
  <c r="B93" i="4"/>
  <c r="C93" i="4"/>
  <c r="C95" i="5"/>
  <c r="D93" i="4"/>
  <c r="E95" i="5"/>
  <c r="K95" i="5"/>
  <c r="L93" i="4"/>
  <c r="Q95" i="5"/>
  <c r="M93" i="4"/>
  <c r="R95" i="5"/>
  <c r="T95" i="5"/>
  <c r="U95" i="5"/>
  <c r="P93" i="4"/>
  <c r="W95" i="5"/>
  <c r="Q93" i="4"/>
  <c r="X95" i="5"/>
  <c r="S93" i="4"/>
  <c r="AA95" i="5"/>
  <c r="AH93" i="4"/>
  <c r="T93" i="4" a="1"/>
  <c r="T93" i="4"/>
  <c r="AC95" i="5"/>
  <c r="U93" i="4" a="1"/>
  <c r="U93" i="4"/>
  <c r="AD95" i="5"/>
  <c r="AF95" i="5"/>
  <c r="AG95" i="5"/>
  <c r="X93" i="4"/>
  <c r="AI95" i="5"/>
  <c r="Y93" i="4"/>
  <c r="AJ95" i="5"/>
  <c r="Z93" i="4"/>
  <c r="AL95" i="5"/>
  <c r="AN95" i="5"/>
  <c r="B94" i="4"/>
  <c r="C94" i="4"/>
  <c r="C96" i="5"/>
  <c r="D94" i="4"/>
  <c r="E96" i="5"/>
  <c r="K96" i="5"/>
  <c r="L94" i="4"/>
  <c r="Q96" i="5"/>
  <c r="M94" i="4"/>
  <c r="R96" i="5"/>
  <c r="T96" i="5"/>
  <c r="U96" i="5"/>
  <c r="P94" i="4"/>
  <c r="W96" i="5"/>
  <c r="Q94" i="4"/>
  <c r="X96" i="5"/>
  <c r="AA96" i="5"/>
  <c r="AH94" i="4"/>
  <c r="T94" i="4" a="1"/>
  <c r="T94" i="4"/>
  <c r="AC96" i="5"/>
  <c r="U94" i="4" a="1"/>
  <c r="U94" i="4"/>
  <c r="AD96" i="5"/>
  <c r="AF96" i="5"/>
  <c r="AG96" i="5"/>
  <c r="Y94" i="4"/>
  <c r="AJ96" i="5"/>
  <c r="Z94" i="4"/>
  <c r="AL96" i="5"/>
  <c r="AN96" i="5"/>
  <c r="C95" i="4"/>
  <c r="C97" i="5"/>
  <c r="D95" i="4"/>
  <c r="E97" i="5"/>
  <c r="H95" i="4"/>
  <c r="K97" i="5"/>
  <c r="L95" i="4"/>
  <c r="Q97" i="5"/>
  <c r="M95" i="4"/>
  <c r="R97" i="5"/>
  <c r="T97" i="5"/>
  <c r="U97" i="5"/>
  <c r="P95" i="4"/>
  <c r="W97" i="5"/>
  <c r="Q95" i="4"/>
  <c r="X97" i="5"/>
  <c r="AA97" i="5"/>
  <c r="AH95" i="4"/>
  <c r="T95" i="4" a="1"/>
  <c r="T95" i="4"/>
  <c r="AC97" i="5"/>
  <c r="U95" i="4" a="1"/>
  <c r="U95" i="4"/>
  <c r="AD97" i="5"/>
  <c r="AF97" i="5"/>
  <c r="AG97" i="5"/>
  <c r="X95" i="4"/>
  <c r="AI97" i="5"/>
  <c r="Y95" i="4"/>
  <c r="AJ97" i="5"/>
  <c r="Z95" i="4"/>
  <c r="AL97" i="5"/>
  <c r="AN97" i="5"/>
  <c r="B96" i="4"/>
  <c r="C96" i="4"/>
  <c r="C98" i="5"/>
  <c r="D96" i="4"/>
  <c r="E98" i="5"/>
  <c r="K98" i="5"/>
  <c r="L96" i="4"/>
  <c r="Q98" i="5"/>
  <c r="M96" i="4"/>
  <c r="R98" i="5"/>
  <c r="T98" i="5"/>
  <c r="U98" i="5"/>
  <c r="P96" i="4"/>
  <c r="W98" i="5"/>
  <c r="Q96" i="4"/>
  <c r="X98" i="5"/>
  <c r="AA98" i="5"/>
  <c r="AH96" i="4"/>
  <c r="T96" i="4" a="1"/>
  <c r="T96" i="4"/>
  <c r="AC98" i="5"/>
  <c r="U96" i="4" a="1"/>
  <c r="U96" i="4"/>
  <c r="AD98" i="5"/>
  <c r="AF98" i="5"/>
  <c r="AG98" i="5"/>
  <c r="Y96" i="4"/>
  <c r="AJ98" i="5"/>
  <c r="Z96" i="4"/>
  <c r="AL98" i="5"/>
  <c r="AN98" i="5"/>
  <c r="C97" i="4"/>
  <c r="C99" i="5"/>
  <c r="D97" i="4"/>
  <c r="E99" i="5"/>
  <c r="K99" i="5"/>
  <c r="L97" i="4"/>
  <c r="Q99" i="5"/>
  <c r="M97" i="4"/>
  <c r="R99" i="5"/>
  <c r="T99" i="5"/>
  <c r="U99" i="5"/>
  <c r="P97" i="4"/>
  <c r="W99" i="5"/>
  <c r="Q97" i="4"/>
  <c r="X99" i="5"/>
  <c r="S97" i="4"/>
  <c r="AA99" i="5"/>
  <c r="AH97" i="4"/>
  <c r="T97" i="4" a="1"/>
  <c r="T97" i="4"/>
  <c r="AC99" i="5"/>
  <c r="U97" i="4" a="1"/>
  <c r="U97" i="4"/>
  <c r="AD99" i="5"/>
  <c r="AF99" i="5"/>
  <c r="AG99" i="5"/>
  <c r="X97" i="4"/>
  <c r="AI99" i="5"/>
  <c r="Y97" i="4"/>
  <c r="AJ99" i="5"/>
  <c r="Z97" i="4"/>
  <c r="AL99" i="5"/>
  <c r="AN99" i="5"/>
  <c r="B98" i="4"/>
  <c r="C98" i="4"/>
  <c r="C100" i="5"/>
  <c r="D98" i="4"/>
  <c r="E100" i="5"/>
  <c r="H98" i="4"/>
  <c r="K100" i="5"/>
  <c r="L98" i="4"/>
  <c r="Q100" i="5"/>
  <c r="M98" i="4"/>
  <c r="R100" i="5"/>
  <c r="N22" i="2"/>
  <c r="N98" i="4"/>
  <c r="T100" i="5"/>
  <c r="O98" i="4"/>
  <c r="U100" i="5"/>
  <c r="P98" i="4"/>
  <c r="W100" i="5"/>
  <c r="Q98" i="4"/>
  <c r="X100" i="5"/>
  <c r="S98" i="4"/>
  <c r="AA100" i="5"/>
  <c r="AH98" i="4"/>
  <c r="T98" i="4" a="1"/>
  <c r="T98" i="4"/>
  <c r="AC100" i="5"/>
  <c r="U98" i="4" a="1"/>
  <c r="U98" i="4"/>
  <c r="AD100" i="5"/>
  <c r="AF100" i="5"/>
  <c r="AG100" i="5"/>
  <c r="X98" i="4"/>
  <c r="AI100" i="5"/>
  <c r="Y98" i="4"/>
  <c r="AJ100" i="5"/>
  <c r="Z98" i="4"/>
  <c r="AL100" i="5"/>
  <c r="AN100" i="5"/>
  <c r="O101" i="5"/>
  <c r="B99" i="4"/>
  <c r="H99" i="4"/>
  <c r="K101" i="5"/>
  <c r="C99" i="4"/>
  <c r="C101" i="5"/>
  <c r="D99" i="4"/>
  <c r="E101" i="5"/>
  <c r="I22" i="2"/>
  <c r="I99" i="4"/>
  <c r="L101" i="5"/>
  <c r="J22" i="2"/>
  <c r="J99" i="4"/>
  <c r="N101" i="5"/>
  <c r="L99" i="4"/>
  <c r="Q101" i="5"/>
  <c r="M99" i="4"/>
  <c r="R101" i="5"/>
  <c r="T101" i="5"/>
  <c r="U101" i="5"/>
  <c r="P99" i="4"/>
  <c r="W101" i="5"/>
  <c r="Q99" i="4"/>
  <c r="X101" i="5"/>
  <c r="S99" i="4"/>
  <c r="AA101" i="5"/>
  <c r="AH99" i="4"/>
  <c r="T99" i="4" a="1"/>
  <c r="T99" i="4"/>
  <c r="AC101" i="5"/>
  <c r="U99" i="4" a="1"/>
  <c r="U99" i="4"/>
  <c r="AD101" i="5"/>
  <c r="AF101" i="5"/>
  <c r="AG101" i="5"/>
  <c r="X99" i="4"/>
  <c r="AI101" i="5"/>
  <c r="Y99" i="4"/>
  <c r="AJ101" i="5"/>
  <c r="Z99" i="4"/>
  <c r="AL101" i="5"/>
  <c r="H101" i="5"/>
  <c r="I101" i="5"/>
  <c r="AN101" i="5"/>
  <c r="C23" i="2"/>
  <c r="B100" i="4"/>
  <c r="C100" i="4"/>
  <c r="C102" i="5"/>
  <c r="D23" i="2"/>
  <c r="D100" i="4"/>
  <c r="E102" i="5"/>
  <c r="E23" i="2"/>
  <c r="E22" i="2"/>
  <c r="E100" i="4"/>
  <c r="F102" i="5"/>
  <c r="F23" i="2"/>
  <c r="F22" i="2"/>
  <c r="F100" i="4"/>
  <c r="H102" i="5"/>
  <c r="I102" i="5"/>
  <c r="H23" i="2"/>
  <c r="H100" i="4"/>
  <c r="K102" i="5"/>
  <c r="L23" i="2"/>
  <c r="L100" i="4"/>
  <c r="Q102" i="5"/>
  <c r="M23" i="2"/>
  <c r="M100" i="4"/>
  <c r="R102" i="5"/>
  <c r="N23" i="2"/>
  <c r="N100" i="4"/>
  <c r="T102" i="5"/>
  <c r="O23" i="2"/>
  <c r="O100" i="4"/>
  <c r="U102" i="5"/>
  <c r="P23" i="2"/>
  <c r="P100" i="4"/>
  <c r="W102" i="5"/>
  <c r="Q23" i="2"/>
  <c r="Q100" i="4"/>
  <c r="X102" i="5"/>
  <c r="S23" i="2"/>
  <c r="S100" i="4"/>
  <c r="AA102" i="5"/>
  <c r="AH100" i="4"/>
  <c r="T100" i="4" a="1"/>
  <c r="T100" i="4"/>
  <c r="AC102" i="5"/>
  <c r="U100" i="4" a="1"/>
  <c r="U100" i="4"/>
  <c r="AD102" i="5"/>
  <c r="AF102" i="5"/>
  <c r="AG102" i="5"/>
  <c r="X23" i="2"/>
  <c r="X100" i="4"/>
  <c r="AI102" i="5"/>
  <c r="Y23" i="2"/>
  <c r="Y100" i="4"/>
  <c r="AJ102" i="5"/>
  <c r="Z23" i="2"/>
  <c r="Z100" i="4"/>
  <c r="AL102" i="5"/>
  <c r="AN102" i="5"/>
  <c r="C101" i="4"/>
  <c r="C103" i="5"/>
  <c r="D101" i="4"/>
  <c r="E103" i="5"/>
  <c r="E101" i="4"/>
  <c r="F103" i="5"/>
  <c r="F101" i="4"/>
  <c r="H103" i="5"/>
  <c r="I103" i="5"/>
  <c r="H44" i="2"/>
  <c r="H101" i="4"/>
  <c r="K103" i="5"/>
  <c r="L101" i="4"/>
  <c r="Q103" i="5"/>
  <c r="M101" i="4"/>
  <c r="R103" i="5"/>
  <c r="T103" i="5"/>
  <c r="U103" i="5"/>
  <c r="P101" i="4"/>
  <c r="W103" i="5"/>
  <c r="Q101" i="4"/>
  <c r="X103" i="5"/>
  <c r="S44" i="2"/>
  <c r="S101" i="4"/>
  <c r="AA103" i="5"/>
  <c r="AH101" i="4"/>
  <c r="T101" i="4" a="1"/>
  <c r="T101" i="4"/>
  <c r="AC103" i="5"/>
  <c r="U101" i="4" a="1"/>
  <c r="U101" i="4"/>
  <c r="AD103" i="5"/>
  <c r="AF103" i="5"/>
  <c r="AG103" i="5"/>
  <c r="X101" i="4"/>
  <c r="AI103" i="5"/>
  <c r="Y101" i="4"/>
  <c r="AJ103" i="5"/>
  <c r="Z101" i="4"/>
  <c r="AL103" i="5"/>
  <c r="AN103" i="5"/>
  <c r="C102" i="4"/>
  <c r="C104" i="5"/>
  <c r="D102" i="4"/>
  <c r="E104" i="5"/>
  <c r="E102" i="4"/>
  <c r="F104" i="5"/>
  <c r="F102" i="4"/>
  <c r="H104" i="5"/>
  <c r="I104" i="5"/>
  <c r="H102" i="4"/>
  <c r="K104" i="5"/>
  <c r="L102" i="4"/>
  <c r="Q104" i="5"/>
  <c r="M102" i="4"/>
  <c r="R104" i="5"/>
  <c r="T104" i="5"/>
  <c r="U104" i="5"/>
  <c r="P102" i="4"/>
  <c r="W104" i="5"/>
  <c r="Q102" i="4"/>
  <c r="X104" i="5"/>
  <c r="S102" i="4"/>
  <c r="AA104" i="5"/>
  <c r="AH102" i="4"/>
  <c r="T102" i="4" a="1"/>
  <c r="T102" i="4"/>
  <c r="AC104" i="5"/>
  <c r="U102" i="4" a="1"/>
  <c r="U102" i="4"/>
  <c r="AD104" i="5"/>
  <c r="AF104" i="5"/>
  <c r="AG104" i="5"/>
  <c r="X102" i="4"/>
  <c r="AI104" i="5"/>
  <c r="Y102" i="4"/>
  <c r="AJ104" i="5"/>
  <c r="Z102" i="4"/>
  <c r="AL104" i="5"/>
  <c r="AN104" i="5"/>
  <c r="C103" i="4"/>
  <c r="C105" i="5"/>
  <c r="D103" i="4"/>
  <c r="E105" i="5"/>
  <c r="E103" i="4"/>
  <c r="F105" i="5"/>
  <c r="F103" i="4"/>
  <c r="H105" i="5"/>
  <c r="I105" i="5"/>
  <c r="K105" i="5"/>
  <c r="L103" i="4"/>
  <c r="Q105" i="5"/>
  <c r="M103" i="4"/>
  <c r="R105" i="5"/>
  <c r="T105" i="5"/>
  <c r="U105" i="5"/>
  <c r="P103" i="4"/>
  <c r="W105" i="5"/>
  <c r="Q103" i="4"/>
  <c r="X105" i="5"/>
  <c r="S103" i="4"/>
  <c r="AA105" i="5"/>
  <c r="AH103" i="4"/>
  <c r="T103" i="4" a="1"/>
  <c r="T103" i="4"/>
  <c r="AC105" i="5"/>
  <c r="U103" i="4" a="1"/>
  <c r="U103" i="4"/>
  <c r="AD105" i="5"/>
  <c r="AF105" i="5"/>
  <c r="AG105" i="5"/>
  <c r="X103" i="4"/>
  <c r="AI105" i="5"/>
  <c r="Y103" i="4"/>
  <c r="AJ105" i="5"/>
  <c r="Z103" i="4"/>
  <c r="AL105" i="5"/>
  <c r="AN105" i="5"/>
  <c r="B104" i="4"/>
  <c r="C104" i="4"/>
  <c r="C106" i="5"/>
  <c r="D104" i="4"/>
  <c r="E106" i="5"/>
  <c r="E104" i="4"/>
  <c r="F106" i="5"/>
  <c r="F104" i="4"/>
  <c r="H106" i="5"/>
  <c r="I106" i="5"/>
  <c r="H104" i="4"/>
  <c r="K106" i="5"/>
  <c r="L104" i="4"/>
  <c r="Q106" i="5"/>
  <c r="M104" i="4"/>
  <c r="R106" i="5"/>
  <c r="T106" i="5"/>
  <c r="U106" i="5"/>
  <c r="P104" i="4"/>
  <c r="W106" i="5"/>
  <c r="Q104" i="4"/>
  <c r="X106" i="5"/>
  <c r="S104" i="4"/>
  <c r="AA106" i="5"/>
  <c r="AH104" i="4"/>
  <c r="T104" i="4" a="1"/>
  <c r="T104" i="4"/>
  <c r="AC106" i="5"/>
  <c r="U104" i="4" a="1"/>
  <c r="U104" i="4"/>
  <c r="AD106" i="5"/>
  <c r="AF106" i="5"/>
  <c r="AG106" i="5"/>
  <c r="X104" i="4"/>
  <c r="AI106" i="5"/>
  <c r="Y104" i="4"/>
  <c r="AJ106" i="5"/>
  <c r="Z104" i="4"/>
  <c r="AL106" i="5"/>
  <c r="AN106" i="5"/>
  <c r="B105" i="4"/>
  <c r="C105" i="4"/>
  <c r="C107" i="5"/>
  <c r="D105" i="4"/>
  <c r="E107" i="5"/>
  <c r="E105" i="4"/>
  <c r="F107" i="5"/>
  <c r="F105" i="4"/>
  <c r="H107" i="5"/>
  <c r="I107" i="5"/>
  <c r="H105" i="4"/>
  <c r="K107" i="5"/>
  <c r="L105" i="4"/>
  <c r="Q107" i="5"/>
  <c r="M105" i="4"/>
  <c r="R107" i="5"/>
  <c r="T107" i="5"/>
  <c r="U107" i="5"/>
  <c r="P105" i="4"/>
  <c r="W107" i="5"/>
  <c r="Q105" i="4"/>
  <c r="X107" i="5"/>
  <c r="S105" i="4"/>
  <c r="AA107" i="5"/>
  <c r="AH105" i="4"/>
  <c r="T105" i="4" a="1"/>
  <c r="T105" i="4"/>
  <c r="AC107" i="5"/>
  <c r="U105" i="4" a="1"/>
  <c r="U105" i="4"/>
  <c r="AD107" i="5"/>
  <c r="AF107" i="5"/>
  <c r="AG107" i="5"/>
  <c r="X105" i="4"/>
  <c r="AI107" i="5"/>
  <c r="Y105" i="4"/>
  <c r="AJ107" i="5"/>
  <c r="Z105" i="4"/>
  <c r="AL107" i="5"/>
  <c r="AN107" i="5"/>
  <c r="B106" i="4"/>
  <c r="C106" i="4"/>
  <c r="C108" i="5"/>
  <c r="D106" i="4"/>
  <c r="E108" i="5"/>
  <c r="E106" i="4"/>
  <c r="F108" i="5"/>
  <c r="F106" i="4"/>
  <c r="H108" i="5"/>
  <c r="I108" i="5"/>
  <c r="H106" i="4"/>
  <c r="K108" i="5"/>
  <c r="L106" i="4"/>
  <c r="Q108" i="5"/>
  <c r="M106" i="4"/>
  <c r="R108" i="5"/>
  <c r="T108" i="5"/>
  <c r="U108" i="5"/>
  <c r="P106" i="4"/>
  <c r="W108" i="5"/>
  <c r="Q106" i="4"/>
  <c r="X108" i="5"/>
  <c r="S106" i="4"/>
  <c r="AA108" i="5"/>
  <c r="AH106" i="4"/>
  <c r="T106" i="4" a="1"/>
  <c r="T106" i="4"/>
  <c r="AC108" i="5"/>
  <c r="U106" i="4" a="1"/>
  <c r="U106" i="4"/>
  <c r="AD108" i="5"/>
  <c r="AF108" i="5"/>
  <c r="AG108" i="5"/>
  <c r="X106" i="4"/>
  <c r="AI108" i="5"/>
  <c r="Y106" i="4"/>
  <c r="AJ108" i="5"/>
  <c r="Z106" i="4"/>
  <c r="AL108" i="5"/>
  <c r="AN108" i="5"/>
  <c r="C107" i="4"/>
  <c r="C109" i="5"/>
  <c r="D107" i="4"/>
  <c r="E109" i="5"/>
  <c r="H12" i="2"/>
  <c r="H107" i="4"/>
  <c r="K109" i="5"/>
  <c r="L107" i="4"/>
  <c r="Q109" i="5"/>
  <c r="M107" i="4"/>
  <c r="R109" i="5"/>
  <c r="T109" i="5"/>
  <c r="U109" i="5"/>
  <c r="P107" i="4"/>
  <c r="W109" i="5"/>
  <c r="Q107" i="4"/>
  <c r="X109" i="5"/>
  <c r="S107" i="4"/>
  <c r="AA109" i="5"/>
  <c r="AH107" i="4"/>
  <c r="T107" i="4" a="1"/>
  <c r="T107" i="4"/>
  <c r="AC109" i="5"/>
  <c r="U107" i="4" a="1"/>
  <c r="U107" i="4"/>
  <c r="AD109" i="5"/>
  <c r="AF109" i="5"/>
  <c r="AG109" i="5"/>
  <c r="X107" i="4"/>
  <c r="AI109" i="5"/>
  <c r="Y107" i="4"/>
  <c r="AJ109" i="5"/>
  <c r="Z107" i="4"/>
  <c r="AL109" i="5"/>
  <c r="F109" i="5"/>
  <c r="H109" i="5"/>
  <c r="I109" i="5"/>
  <c r="AN109" i="5"/>
  <c r="C108" i="4"/>
  <c r="C110" i="5"/>
  <c r="D108" i="4"/>
  <c r="E110" i="5"/>
  <c r="E37" i="2"/>
  <c r="E108" i="4"/>
  <c r="F110" i="5"/>
  <c r="F37" i="2"/>
  <c r="F108" i="4"/>
  <c r="H110" i="5"/>
  <c r="I110" i="5"/>
  <c r="H108" i="4"/>
  <c r="K110" i="5"/>
  <c r="L108" i="4"/>
  <c r="Q110" i="5"/>
  <c r="M108" i="4"/>
  <c r="R110" i="5"/>
  <c r="T110" i="5"/>
  <c r="U110" i="5"/>
  <c r="P108" i="4"/>
  <c r="W110" i="5"/>
  <c r="Q108" i="4"/>
  <c r="X110" i="5"/>
  <c r="S108" i="4"/>
  <c r="AA110" i="5"/>
  <c r="AH108" i="4"/>
  <c r="T108" i="4" a="1"/>
  <c r="T108" i="4"/>
  <c r="AC110" i="5"/>
  <c r="U108" i="4" a="1"/>
  <c r="U108" i="4"/>
  <c r="AD110" i="5"/>
  <c r="AF110" i="5"/>
  <c r="AG110" i="5"/>
  <c r="X108" i="4"/>
  <c r="AI110" i="5"/>
  <c r="Y108" i="4"/>
  <c r="AJ110" i="5"/>
  <c r="Z108" i="4"/>
  <c r="AL110" i="5"/>
  <c r="AN110" i="5"/>
  <c r="C109" i="4"/>
  <c r="C111" i="5"/>
  <c r="D109" i="4"/>
  <c r="E111" i="5"/>
  <c r="H109" i="4"/>
  <c r="K111" i="5"/>
  <c r="L109" i="4"/>
  <c r="Q111" i="5"/>
  <c r="M109" i="4"/>
  <c r="R111" i="5"/>
  <c r="T111" i="5"/>
  <c r="U111" i="5"/>
  <c r="P109" i="4"/>
  <c r="W111" i="5"/>
  <c r="Q109" i="4"/>
  <c r="X111" i="5"/>
  <c r="S109" i="4"/>
  <c r="AA111" i="5"/>
  <c r="AH109" i="4"/>
  <c r="T109" i="4" a="1"/>
  <c r="T109" i="4"/>
  <c r="AC111" i="5"/>
  <c r="U109" i="4" a="1"/>
  <c r="U109" i="4"/>
  <c r="AD111" i="5"/>
  <c r="AF111" i="5"/>
  <c r="AG111" i="5"/>
  <c r="X109" i="4"/>
  <c r="AI111" i="5"/>
  <c r="Y109" i="4"/>
  <c r="AJ111" i="5"/>
  <c r="Z109" i="4"/>
  <c r="AL111" i="5"/>
  <c r="F111" i="5"/>
  <c r="AN111" i="5"/>
  <c r="C110" i="4"/>
  <c r="C112" i="5"/>
  <c r="D110" i="4"/>
  <c r="E112" i="5"/>
  <c r="H110" i="4"/>
  <c r="K112" i="5"/>
  <c r="L110" i="4"/>
  <c r="Q112" i="5"/>
  <c r="M110" i="4"/>
  <c r="R112" i="5"/>
  <c r="T112" i="5"/>
  <c r="U112" i="5"/>
  <c r="P110" i="4"/>
  <c r="W112" i="5"/>
  <c r="Q110" i="4"/>
  <c r="X112" i="5"/>
  <c r="S110" i="4"/>
  <c r="AA112" i="5"/>
  <c r="AH110" i="4"/>
  <c r="T110" i="4" a="1"/>
  <c r="T110" i="4"/>
  <c r="AC112" i="5"/>
  <c r="U110" i="4" a="1"/>
  <c r="U110" i="4"/>
  <c r="AD112" i="5"/>
  <c r="AF112" i="5"/>
  <c r="AG112" i="5"/>
  <c r="X110" i="4"/>
  <c r="AI112" i="5"/>
  <c r="Y110" i="4"/>
  <c r="AJ112" i="5"/>
  <c r="Z110" i="4"/>
  <c r="AL112" i="5"/>
  <c r="F112" i="5"/>
  <c r="AN112" i="5"/>
  <c r="C111" i="4"/>
  <c r="C113" i="5"/>
  <c r="D111" i="4"/>
  <c r="E113" i="5"/>
  <c r="H111" i="4"/>
  <c r="K113" i="5"/>
  <c r="L111" i="4"/>
  <c r="Q113" i="5"/>
  <c r="M111" i="4"/>
  <c r="R113" i="5"/>
  <c r="T113" i="5"/>
  <c r="U113" i="5"/>
  <c r="P111" i="4"/>
  <c r="W113" i="5"/>
  <c r="Q111" i="4"/>
  <c r="X113" i="5"/>
  <c r="S111" i="4"/>
  <c r="AA113" i="5"/>
  <c r="AH111" i="4"/>
  <c r="T111" i="4" a="1"/>
  <c r="T111" i="4"/>
  <c r="AC113" i="5"/>
  <c r="U111" i="4" a="1"/>
  <c r="U111" i="4"/>
  <c r="AD113" i="5"/>
  <c r="AF113" i="5"/>
  <c r="AG113" i="5"/>
  <c r="X111" i="4"/>
  <c r="AI113" i="5"/>
  <c r="Y111" i="4"/>
  <c r="AJ113" i="5"/>
  <c r="Z111" i="4"/>
  <c r="AL113" i="5"/>
  <c r="F113" i="5"/>
  <c r="AN113" i="5"/>
  <c r="C112" i="4"/>
  <c r="C114" i="5"/>
  <c r="D112" i="4"/>
  <c r="E114" i="5"/>
  <c r="K114" i="5"/>
  <c r="L112" i="4"/>
  <c r="Q114" i="5"/>
  <c r="M112" i="4"/>
  <c r="R114" i="5"/>
  <c r="T114" i="5"/>
  <c r="U114" i="5"/>
  <c r="P112" i="4"/>
  <c r="W114" i="5"/>
  <c r="Q112" i="4"/>
  <c r="X114" i="5"/>
  <c r="S112" i="4"/>
  <c r="AA114" i="5"/>
  <c r="AH112" i="4"/>
  <c r="T112" i="4" a="1"/>
  <c r="T112" i="4"/>
  <c r="AC114" i="5"/>
  <c r="U112" i="4" a="1"/>
  <c r="U112" i="4"/>
  <c r="AD114" i="5"/>
  <c r="AF114" i="5"/>
  <c r="AG114" i="5"/>
  <c r="X112" i="4"/>
  <c r="AI114" i="5"/>
  <c r="Y112" i="4"/>
  <c r="AJ114" i="5"/>
  <c r="Z112" i="4"/>
  <c r="AL114" i="5"/>
  <c r="F114" i="5"/>
  <c r="AN114" i="5"/>
  <c r="B113" i="4"/>
  <c r="C113" i="4"/>
  <c r="C115" i="5"/>
  <c r="D113" i="4"/>
  <c r="E115" i="5"/>
  <c r="H21" i="2"/>
  <c r="H113" i="4"/>
  <c r="K115" i="5"/>
  <c r="L113" i="4"/>
  <c r="Q115" i="5"/>
  <c r="M113" i="4"/>
  <c r="R115" i="5"/>
  <c r="T115" i="5"/>
  <c r="U115" i="5"/>
  <c r="P113" i="4"/>
  <c r="W115" i="5"/>
  <c r="Q113" i="4"/>
  <c r="X115" i="5"/>
  <c r="AA115" i="5"/>
  <c r="AH113" i="4"/>
  <c r="T113" i="4" a="1"/>
  <c r="T113" i="4"/>
  <c r="AC115" i="5"/>
  <c r="U113" i="4" a="1"/>
  <c r="U113" i="4"/>
  <c r="AD115" i="5"/>
  <c r="AF115" i="5"/>
  <c r="AG115" i="5"/>
  <c r="X113" i="4"/>
  <c r="AI115" i="5"/>
  <c r="Y113" i="4"/>
  <c r="AJ115" i="5"/>
  <c r="Z113" i="4"/>
  <c r="AL115" i="5"/>
  <c r="F115" i="5"/>
  <c r="AN115" i="5"/>
  <c r="O116" i="5"/>
  <c r="B114" i="4"/>
  <c r="K116" i="5"/>
  <c r="C114" i="4"/>
  <c r="C116" i="5"/>
  <c r="D114" i="4"/>
  <c r="E116" i="5"/>
  <c r="E26" i="2"/>
  <c r="E11" i="2"/>
  <c r="E114" i="4"/>
  <c r="F116" i="5"/>
  <c r="F26" i="2"/>
  <c r="F11" i="2"/>
  <c r="F114" i="4"/>
  <c r="H116" i="5"/>
  <c r="I116" i="5"/>
  <c r="I114" i="4"/>
  <c r="L116" i="5"/>
  <c r="J114" i="4"/>
  <c r="N116" i="5"/>
  <c r="L114" i="4"/>
  <c r="Q116" i="5"/>
  <c r="M114" i="4"/>
  <c r="R116" i="5"/>
  <c r="T116" i="5"/>
  <c r="U116" i="5"/>
  <c r="P114" i="4"/>
  <c r="W116" i="5"/>
  <c r="AA116" i="5"/>
  <c r="AH114" i="4"/>
  <c r="T114" i="4" a="1"/>
  <c r="T114" i="4"/>
  <c r="AC116" i="5"/>
  <c r="U114" i="4" a="1"/>
  <c r="U114" i="4"/>
  <c r="AD116" i="5"/>
  <c r="AF116" i="5"/>
  <c r="AG116" i="5"/>
  <c r="Y114" i="4"/>
  <c r="AJ116" i="5"/>
  <c r="Z114" i="4"/>
  <c r="AL116" i="5"/>
  <c r="X116" i="5"/>
  <c r="AN116" i="5"/>
  <c r="B115" i="4"/>
  <c r="C115" i="4"/>
  <c r="C117" i="5"/>
  <c r="D115" i="4"/>
  <c r="E117" i="5"/>
  <c r="K117" i="5"/>
  <c r="L115" i="4"/>
  <c r="Q117" i="5"/>
  <c r="M115" i="4"/>
  <c r="R117" i="5"/>
  <c r="T117" i="5"/>
  <c r="U117" i="5"/>
  <c r="P115" i="4"/>
  <c r="W117" i="5"/>
  <c r="Q115" i="4"/>
  <c r="X117" i="5"/>
  <c r="S115" i="4"/>
  <c r="AA117" i="5"/>
  <c r="AH115" i="4"/>
  <c r="T115" i="4" a="1"/>
  <c r="T115" i="4"/>
  <c r="AC117" i="5"/>
  <c r="U115" i="4" a="1"/>
  <c r="U115" i="4"/>
  <c r="AD117" i="5"/>
  <c r="AF117" i="5"/>
  <c r="AG117" i="5"/>
  <c r="X115" i="4"/>
  <c r="AI117" i="5"/>
  <c r="F117" i="5"/>
  <c r="H117" i="5"/>
  <c r="I117" i="5"/>
  <c r="AN117" i="5"/>
  <c r="AA118" i="5"/>
  <c r="B116" i="4"/>
  <c r="P116" i="4"/>
  <c r="W118" i="5"/>
  <c r="C116" i="4"/>
  <c r="C118" i="5"/>
  <c r="D116" i="4"/>
  <c r="E118" i="5"/>
  <c r="K118" i="5"/>
  <c r="L116" i="4"/>
  <c r="Q118" i="5"/>
  <c r="M116" i="4"/>
  <c r="R118" i="5"/>
  <c r="T118" i="5"/>
  <c r="U118" i="5"/>
  <c r="Q116" i="4"/>
  <c r="X118" i="5"/>
  <c r="R5" i="2"/>
  <c r="R13" i="2"/>
  <c r="R116" i="4"/>
  <c r="Z118" i="5"/>
  <c r="AH116" i="4"/>
  <c r="T116" i="4" a="1"/>
  <c r="T116" i="4"/>
  <c r="AC118" i="5"/>
  <c r="U116" i="4" a="1"/>
  <c r="U116" i="4"/>
  <c r="AD118" i="5"/>
  <c r="AF118" i="5"/>
  <c r="AG118" i="5"/>
  <c r="Y116" i="4"/>
  <c r="AJ118" i="5"/>
  <c r="Z116" i="4"/>
  <c r="AL118" i="5"/>
  <c r="F118" i="5"/>
  <c r="H118" i="5"/>
  <c r="I118" i="5"/>
  <c r="AN118" i="5"/>
  <c r="C32" i="2"/>
  <c r="C117" i="4"/>
  <c r="C119" i="5"/>
  <c r="D32" i="2"/>
  <c r="D117" i="4"/>
  <c r="E119" i="5"/>
  <c r="E32" i="2"/>
  <c r="E117" i="4"/>
  <c r="F119" i="5"/>
  <c r="F32" i="2"/>
  <c r="F117" i="4"/>
  <c r="H119" i="5"/>
  <c r="I119" i="5"/>
  <c r="K119" i="5"/>
  <c r="L32" i="2"/>
  <c r="L117" i="4"/>
  <c r="Q119" i="5"/>
  <c r="M32" i="2"/>
  <c r="M117" i="4"/>
  <c r="R119" i="5"/>
  <c r="T119" i="5"/>
  <c r="U119" i="5"/>
  <c r="P32" i="2"/>
  <c r="P117" i="4"/>
  <c r="W119" i="5"/>
  <c r="Q32" i="2"/>
  <c r="Q117" i="4"/>
  <c r="X119" i="5"/>
  <c r="AA119" i="5"/>
  <c r="AH117" i="4"/>
  <c r="T117" i="4" a="1"/>
  <c r="T117" i="4"/>
  <c r="AC119" i="5"/>
  <c r="U117" i="4" a="1"/>
  <c r="U117" i="4"/>
  <c r="AD119" i="5"/>
  <c r="AF119" i="5"/>
  <c r="AG119" i="5"/>
  <c r="X32" i="2"/>
  <c r="X117" i="4"/>
  <c r="AI119" i="5"/>
  <c r="Y32" i="2"/>
  <c r="Y117" i="4"/>
  <c r="AJ119" i="5"/>
  <c r="Z32" i="2"/>
  <c r="Z117" i="4"/>
  <c r="AL119" i="5"/>
  <c r="AN119" i="5"/>
  <c r="C118" i="4"/>
  <c r="C120" i="5"/>
  <c r="D118" i="4"/>
  <c r="E120" i="5"/>
  <c r="H118" i="4"/>
  <c r="K120" i="5"/>
  <c r="L118" i="4"/>
  <c r="Q120" i="5"/>
  <c r="M118" i="4"/>
  <c r="R120" i="5"/>
  <c r="T120" i="5"/>
  <c r="U120" i="5"/>
  <c r="W120" i="5"/>
  <c r="Q118" i="4"/>
  <c r="X120" i="5"/>
  <c r="AA120" i="5"/>
  <c r="AH118" i="4"/>
  <c r="T118" i="4" a="1"/>
  <c r="T118" i="4"/>
  <c r="AC120" i="5"/>
  <c r="U118" i="4" a="1"/>
  <c r="U118" i="4"/>
  <c r="AD120" i="5"/>
  <c r="AF120" i="5"/>
  <c r="AG120" i="5"/>
  <c r="Y118" i="4"/>
  <c r="AJ120" i="5"/>
  <c r="Z118" i="4"/>
  <c r="AL120" i="5"/>
  <c r="F120" i="5"/>
  <c r="AN120" i="5"/>
  <c r="B119" i="4"/>
  <c r="C119" i="4"/>
  <c r="C121" i="5"/>
  <c r="D119" i="4"/>
  <c r="E121" i="5"/>
  <c r="H119" i="4"/>
  <c r="K121" i="5"/>
  <c r="L119" i="4"/>
  <c r="Q121" i="5"/>
  <c r="M119" i="4"/>
  <c r="R121" i="5"/>
  <c r="N119" i="4"/>
  <c r="T121" i="5"/>
  <c r="U121" i="5"/>
  <c r="W121" i="5"/>
  <c r="Q119" i="4"/>
  <c r="X121" i="5"/>
  <c r="AA121" i="5"/>
  <c r="AH119" i="4"/>
  <c r="T119" i="4" a="1"/>
  <c r="T119" i="4"/>
  <c r="AC121" i="5"/>
  <c r="U119" i="4" a="1"/>
  <c r="U119" i="4"/>
  <c r="AD121" i="5"/>
  <c r="AF121" i="5"/>
  <c r="AG121" i="5"/>
  <c r="X119" i="4"/>
  <c r="AI121" i="5"/>
  <c r="Y119" i="4"/>
  <c r="AJ121" i="5"/>
  <c r="Z119" i="4"/>
  <c r="AL121" i="5"/>
  <c r="F121" i="5"/>
  <c r="AN121" i="5"/>
  <c r="C120" i="4"/>
  <c r="C122" i="5"/>
  <c r="D120" i="4"/>
  <c r="E122" i="5"/>
  <c r="H120" i="4"/>
  <c r="K122" i="5"/>
  <c r="L120" i="4"/>
  <c r="Q122" i="5"/>
  <c r="M120" i="4"/>
  <c r="R122" i="5"/>
  <c r="T122" i="5"/>
  <c r="U122" i="5"/>
  <c r="P120" i="4"/>
  <c r="W122" i="5"/>
  <c r="Q120" i="4"/>
  <c r="X122" i="5"/>
  <c r="AA122" i="5"/>
  <c r="AH120" i="4"/>
  <c r="T120" i="4" a="1"/>
  <c r="T120" i="4"/>
  <c r="AC122" i="5"/>
  <c r="U120" i="4" a="1"/>
  <c r="U120" i="4"/>
  <c r="AD122" i="5"/>
  <c r="AF122" i="5"/>
  <c r="AG122" i="5"/>
  <c r="Y120" i="4"/>
  <c r="AJ122" i="5"/>
  <c r="Z120" i="4"/>
  <c r="AL122" i="5"/>
  <c r="F122" i="5"/>
  <c r="AN122" i="5"/>
  <c r="O123" i="5"/>
  <c r="H121" i="4"/>
  <c r="K123" i="5"/>
  <c r="C121" i="4"/>
  <c r="C123" i="5"/>
  <c r="D121" i="4"/>
  <c r="E123" i="5"/>
  <c r="E39" i="2"/>
  <c r="E121" i="4"/>
  <c r="F123" i="5"/>
  <c r="F39" i="2"/>
  <c r="F121" i="4"/>
  <c r="H123" i="5"/>
  <c r="I123" i="5"/>
  <c r="I121" i="4"/>
  <c r="L123" i="5"/>
  <c r="J121" i="4"/>
  <c r="N123" i="5"/>
  <c r="L121" i="4"/>
  <c r="Q123" i="5"/>
  <c r="M121" i="4"/>
  <c r="R123" i="5"/>
  <c r="T123" i="5"/>
  <c r="U123" i="5"/>
  <c r="P39" i="2"/>
  <c r="P121" i="4"/>
  <c r="W123" i="5"/>
  <c r="Q121" i="4"/>
  <c r="X123" i="5"/>
  <c r="S39" i="2"/>
  <c r="S121" i="4"/>
  <c r="AA123" i="5"/>
  <c r="AH121" i="4"/>
  <c r="T121" i="4" a="1"/>
  <c r="T121" i="4"/>
  <c r="AC123" i="5"/>
  <c r="U121" i="4" a="1"/>
  <c r="U121" i="4"/>
  <c r="AD123" i="5"/>
  <c r="AF123" i="5"/>
  <c r="AG123" i="5"/>
  <c r="X121" i="4"/>
  <c r="AI123" i="5"/>
  <c r="Y121" i="4"/>
  <c r="AJ123" i="5"/>
  <c r="Z121" i="4"/>
  <c r="AL123" i="5"/>
  <c r="AN123" i="5"/>
  <c r="C122" i="4"/>
  <c r="C124" i="5"/>
  <c r="D122" i="4"/>
  <c r="E124" i="5"/>
  <c r="H122" i="4"/>
  <c r="K124" i="5"/>
  <c r="L122" i="4"/>
  <c r="Q124" i="5"/>
  <c r="M122" i="4"/>
  <c r="R124" i="5"/>
  <c r="T124" i="5"/>
  <c r="U124" i="5"/>
  <c r="P122" i="4"/>
  <c r="W124" i="5"/>
  <c r="Q122" i="4"/>
  <c r="X124" i="5"/>
  <c r="AA124" i="5"/>
  <c r="AH122" i="4"/>
  <c r="T122" i="4" a="1"/>
  <c r="T122" i="4"/>
  <c r="AC124" i="5"/>
  <c r="U122" i="4" a="1"/>
  <c r="U122" i="4"/>
  <c r="AD124" i="5"/>
  <c r="AF124" i="5"/>
  <c r="AG124" i="5"/>
  <c r="X122" i="4"/>
  <c r="AI124" i="5"/>
  <c r="Y122" i="4"/>
  <c r="AJ124" i="5"/>
  <c r="Z122" i="4"/>
  <c r="AL124" i="5"/>
  <c r="F124" i="5"/>
  <c r="AN124" i="5"/>
  <c r="B123" i="4"/>
  <c r="C123" i="4"/>
  <c r="C125" i="5"/>
  <c r="D123" i="4"/>
  <c r="E125" i="5"/>
  <c r="H123" i="4"/>
  <c r="K125" i="5"/>
  <c r="L123" i="4"/>
  <c r="Q125" i="5"/>
  <c r="M123" i="4"/>
  <c r="R125" i="5"/>
  <c r="T125" i="5"/>
  <c r="U125" i="5"/>
  <c r="P123" i="4"/>
  <c r="W125" i="5"/>
  <c r="Q123" i="4"/>
  <c r="X125" i="5"/>
  <c r="S123" i="4"/>
  <c r="AA125" i="5"/>
  <c r="AH123" i="4"/>
  <c r="T123" i="4" a="1"/>
  <c r="T123" i="4"/>
  <c r="AC125" i="5"/>
  <c r="U123" i="4" a="1"/>
  <c r="U123" i="4"/>
  <c r="AD125" i="5"/>
  <c r="AF125" i="5"/>
  <c r="AG125" i="5"/>
  <c r="X123" i="4"/>
  <c r="AI125" i="5"/>
  <c r="Y123" i="4"/>
  <c r="AJ125" i="5"/>
  <c r="Z123" i="4"/>
  <c r="AL125" i="5"/>
  <c r="F125" i="5"/>
  <c r="AN125" i="5"/>
  <c r="C124" i="4"/>
  <c r="C126" i="5"/>
  <c r="D124" i="4"/>
  <c r="E126" i="5"/>
  <c r="H124" i="4"/>
  <c r="K126" i="5"/>
  <c r="L124" i="4"/>
  <c r="Q126" i="5"/>
  <c r="M124" i="4"/>
  <c r="R126" i="5"/>
  <c r="T126" i="5"/>
  <c r="U126" i="5"/>
  <c r="P124" i="4"/>
  <c r="W126" i="5"/>
  <c r="Q124" i="4"/>
  <c r="X126" i="5"/>
  <c r="S124" i="4"/>
  <c r="AA126" i="5"/>
  <c r="AH124" i="4"/>
  <c r="T124" i="4" a="1"/>
  <c r="T124" i="4"/>
  <c r="AC126" i="5"/>
  <c r="U124" i="4" a="1"/>
  <c r="U124" i="4"/>
  <c r="AD126" i="5"/>
  <c r="AF126" i="5"/>
  <c r="AG126" i="5"/>
  <c r="X124" i="4"/>
  <c r="AI126" i="5"/>
  <c r="Y124" i="4"/>
  <c r="AJ126" i="5"/>
  <c r="Z124" i="4"/>
  <c r="AL126" i="5"/>
  <c r="F126" i="5"/>
  <c r="AN126" i="5"/>
  <c r="C125" i="4"/>
  <c r="C127" i="5"/>
  <c r="D125" i="4"/>
  <c r="E127" i="5"/>
  <c r="K127" i="5"/>
  <c r="L125" i="4"/>
  <c r="Q127" i="5"/>
  <c r="M125" i="4"/>
  <c r="R127" i="5"/>
  <c r="T127" i="5"/>
  <c r="U127" i="5"/>
  <c r="P125" i="4"/>
  <c r="W127" i="5"/>
  <c r="Q125" i="4"/>
  <c r="X127" i="5"/>
  <c r="AA127" i="5"/>
  <c r="AH125" i="4"/>
  <c r="T125" i="4" a="1"/>
  <c r="T125" i="4"/>
  <c r="AC127" i="5"/>
  <c r="U125" i="4" a="1"/>
  <c r="U125" i="4"/>
  <c r="AD127" i="5"/>
  <c r="AF127" i="5"/>
  <c r="AG127" i="5"/>
  <c r="X125" i="4"/>
  <c r="AI127" i="5"/>
  <c r="Y125" i="4"/>
  <c r="AJ127" i="5"/>
  <c r="Z125" i="4"/>
  <c r="AL127" i="5"/>
  <c r="F127" i="5"/>
  <c r="AN127" i="5"/>
  <c r="B126" i="4"/>
  <c r="C126" i="4"/>
  <c r="C128" i="5"/>
  <c r="D126" i="4"/>
  <c r="E128" i="5"/>
  <c r="E21" i="2"/>
  <c r="E126" i="4"/>
  <c r="F128" i="5"/>
  <c r="F21" i="2"/>
  <c r="F126" i="4"/>
  <c r="H128" i="5"/>
  <c r="I128" i="5"/>
  <c r="H126" i="4"/>
  <c r="K128" i="5"/>
  <c r="L126" i="4"/>
  <c r="Q128" i="5"/>
  <c r="M126" i="4"/>
  <c r="R128" i="5"/>
  <c r="T128" i="5"/>
  <c r="U128" i="5"/>
  <c r="P126" i="4"/>
  <c r="W128" i="5"/>
  <c r="Q126" i="4"/>
  <c r="X128" i="5"/>
  <c r="S126" i="4"/>
  <c r="AA128" i="5"/>
  <c r="AH126" i="4"/>
  <c r="T126" i="4" a="1"/>
  <c r="T126" i="4"/>
  <c r="AC128" i="5"/>
  <c r="U126" i="4" a="1"/>
  <c r="U126" i="4"/>
  <c r="AD128" i="5"/>
  <c r="AF128" i="5"/>
  <c r="AG128" i="5"/>
  <c r="X126" i="4"/>
  <c r="AI128" i="5"/>
  <c r="Y126" i="4"/>
  <c r="AJ128" i="5"/>
  <c r="Z126" i="4"/>
  <c r="AL128" i="5"/>
  <c r="AN128" i="5"/>
  <c r="B127" i="4"/>
  <c r="S127" i="4"/>
  <c r="AA129" i="5"/>
  <c r="P127" i="4"/>
  <c r="W129" i="5"/>
  <c r="C127" i="4"/>
  <c r="C129" i="5"/>
  <c r="D127" i="4"/>
  <c r="E129" i="5"/>
  <c r="E25" i="2"/>
  <c r="E127" i="4"/>
  <c r="F129" i="5"/>
  <c r="F25" i="2"/>
  <c r="F127" i="4"/>
  <c r="H129" i="5"/>
  <c r="I129" i="5"/>
  <c r="K129" i="5"/>
  <c r="L127" i="4"/>
  <c r="Q129" i="5"/>
  <c r="U129" i="5"/>
  <c r="Q127" i="4"/>
  <c r="X129" i="5"/>
  <c r="R127" i="4"/>
  <c r="Z129" i="5"/>
  <c r="AH127" i="4"/>
  <c r="T127" i="4" a="1"/>
  <c r="T127" i="4"/>
  <c r="AC129" i="5"/>
  <c r="U127" i="4" a="1"/>
  <c r="U127" i="4"/>
  <c r="AD129" i="5"/>
  <c r="AF129" i="5"/>
  <c r="AG129" i="5"/>
  <c r="X127" i="4"/>
  <c r="AI129" i="5"/>
  <c r="Y127" i="4"/>
  <c r="AJ129" i="5"/>
  <c r="Z127" i="4"/>
  <c r="AL129" i="5"/>
  <c r="R129" i="5"/>
  <c r="T129" i="5"/>
  <c r="AN129" i="5"/>
  <c r="B128" i="4"/>
  <c r="C128" i="4"/>
  <c r="C130" i="5"/>
  <c r="D128" i="4"/>
  <c r="E130" i="5"/>
  <c r="E2" i="2"/>
  <c r="E128" i="4"/>
  <c r="F130" i="5"/>
  <c r="F2" i="2"/>
  <c r="F128" i="4"/>
  <c r="H130" i="5"/>
  <c r="I130" i="5"/>
  <c r="H2" i="2"/>
  <c r="H128" i="4"/>
  <c r="K130" i="5"/>
  <c r="L128" i="4"/>
  <c r="Q130" i="5"/>
  <c r="M128" i="4"/>
  <c r="R130" i="5"/>
  <c r="T130" i="5"/>
  <c r="U130" i="5"/>
  <c r="P128" i="4"/>
  <c r="W130" i="5"/>
  <c r="Q128" i="4"/>
  <c r="X130" i="5"/>
  <c r="S128" i="4"/>
  <c r="AA130" i="5"/>
  <c r="AH128" i="4"/>
  <c r="T128" i="4" a="1"/>
  <c r="T128" i="4"/>
  <c r="AC130" i="5"/>
  <c r="U128" i="4" a="1"/>
  <c r="U128" i="4"/>
  <c r="AD130" i="5"/>
  <c r="AF130" i="5"/>
  <c r="AG130" i="5"/>
  <c r="X128" i="4"/>
  <c r="AI130" i="5"/>
  <c r="Y128" i="4"/>
  <c r="AJ130" i="5"/>
  <c r="Z128" i="4"/>
  <c r="AL130" i="5"/>
  <c r="Z130" i="5"/>
  <c r="AN130" i="5"/>
  <c r="C129" i="4"/>
  <c r="C131" i="5"/>
  <c r="D129" i="4"/>
  <c r="E131" i="5"/>
  <c r="E129" i="4"/>
  <c r="F131" i="5"/>
  <c r="F129" i="4"/>
  <c r="H131" i="5"/>
  <c r="I131" i="5"/>
  <c r="H129" i="4"/>
  <c r="K131" i="5"/>
  <c r="L129" i="4"/>
  <c r="Q131" i="5"/>
  <c r="M129" i="4"/>
  <c r="R131" i="5"/>
  <c r="T131" i="5"/>
  <c r="U131" i="5"/>
  <c r="P129" i="4"/>
  <c r="W131" i="5"/>
  <c r="Q129" i="4"/>
  <c r="X131" i="5"/>
  <c r="S129" i="4"/>
  <c r="AA131" i="5"/>
  <c r="AH129" i="4"/>
  <c r="T129" i="4" a="1"/>
  <c r="T129" i="4"/>
  <c r="AC131" i="5"/>
  <c r="U129" i="4" a="1"/>
  <c r="U129" i="4"/>
  <c r="AD131" i="5"/>
  <c r="AF131" i="5"/>
  <c r="AG131" i="5"/>
  <c r="X129" i="4"/>
  <c r="AI131" i="5"/>
  <c r="Y129" i="4"/>
  <c r="AJ131" i="5"/>
  <c r="Z129" i="4"/>
  <c r="AL131" i="5"/>
  <c r="Z131" i="5"/>
  <c r="AN131" i="5"/>
  <c r="B130" i="4"/>
  <c r="C130" i="4"/>
  <c r="C132" i="5"/>
  <c r="D130" i="4"/>
  <c r="E132" i="5"/>
  <c r="E130" i="4"/>
  <c r="F132" i="5"/>
  <c r="F130" i="4"/>
  <c r="H132" i="5"/>
  <c r="I132" i="5"/>
  <c r="K132" i="5"/>
  <c r="L130" i="4"/>
  <c r="Q132" i="5"/>
  <c r="M130" i="4"/>
  <c r="R132" i="5"/>
  <c r="T132" i="5"/>
  <c r="U132" i="5"/>
  <c r="P130" i="4"/>
  <c r="W132" i="5"/>
  <c r="Q130" i="4"/>
  <c r="X132" i="5"/>
  <c r="S130" i="4"/>
  <c r="AA132" i="5"/>
  <c r="AH130" i="4"/>
  <c r="T130" i="4" a="1"/>
  <c r="T130" i="4"/>
  <c r="AC132" i="5"/>
  <c r="U130" i="4" a="1"/>
  <c r="U130" i="4"/>
  <c r="AD132" i="5"/>
  <c r="AF132" i="5"/>
  <c r="AG132" i="5"/>
  <c r="X130" i="4"/>
  <c r="AI132" i="5"/>
  <c r="Y130" i="4"/>
  <c r="AJ132" i="5"/>
  <c r="Z130" i="4"/>
  <c r="AL132" i="5"/>
  <c r="Z132" i="5"/>
  <c r="AN132" i="5"/>
  <c r="AG261" i="4"/>
  <c r="AG181" i="4"/>
  <c r="AG250" i="4"/>
  <c r="AG183" i="4"/>
  <c r="AG185" i="4"/>
  <c r="AG182" i="4"/>
  <c r="AG172" i="4"/>
  <c r="AG171" i="4"/>
  <c r="AG184" i="4"/>
  <c r="AG179" i="4"/>
  <c r="AG217" i="4"/>
  <c r="AG218" i="4"/>
  <c r="AG238" i="4"/>
  <c r="AG169" i="4"/>
  <c r="AG76" i="4"/>
  <c r="AG123" i="4"/>
  <c r="AG138" i="4"/>
  <c r="AG126" i="4"/>
  <c r="AG87" i="4"/>
  <c r="AG262" i="4"/>
  <c r="AG10" i="4"/>
  <c r="AG11" i="4"/>
  <c r="AG52" i="4"/>
  <c r="AG90" i="4"/>
  <c r="AG82" i="4"/>
  <c r="AG84" i="4"/>
  <c r="AG249" i="4"/>
  <c r="AG259" i="4"/>
  <c r="AG257" i="4"/>
  <c r="AG263" i="4"/>
  <c r="AG264" i="4"/>
  <c r="AG79" i="4"/>
  <c r="AG81" i="4"/>
  <c r="AG256" i="4"/>
  <c r="AG258" i="4"/>
  <c r="AG92" i="4"/>
  <c r="AG91" i="4"/>
  <c r="AG104" i="4"/>
  <c r="AG105" i="4"/>
  <c r="AG106" i="4"/>
  <c r="AG220" i="4"/>
  <c r="AG137" i="4"/>
  <c r="AG180" i="4"/>
  <c r="AG295" i="4"/>
  <c r="AG80" i="4"/>
  <c r="AG83" i="4"/>
  <c r="AG93" i="4"/>
  <c r="AG75" i="4"/>
  <c r="AG115" i="4"/>
  <c r="AG178" i="4"/>
  <c r="AG102" i="4"/>
  <c r="AG144" i="4"/>
  <c r="AG163" i="4"/>
  <c r="AG133" i="4"/>
  <c r="AG230" i="4"/>
  <c r="AG162" i="4"/>
  <c r="AG100" i="4"/>
  <c r="AG164" i="4"/>
  <c r="AG107" i="4"/>
  <c r="AG168" i="4"/>
  <c r="AG247" i="4"/>
  <c r="AG197" i="4"/>
  <c r="AG170" i="4"/>
  <c r="AG101" i="4"/>
  <c r="AG206" i="4"/>
  <c r="AG166" i="4"/>
  <c r="AG208" i="4"/>
  <c r="AG129" i="4"/>
  <c r="AG143" i="4"/>
  <c r="AG157" i="4"/>
  <c r="AG158" i="4"/>
  <c r="AG207" i="4"/>
  <c r="AG212" i="4"/>
  <c r="AG227" i="4"/>
  <c r="AG265" i="4"/>
  <c r="AG216" i="4"/>
  <c r="AG13" i="4"/>
  <c r="AG85" i="4"/>
  <c r="AG156" i="4"/>
  <c r="AG121" i="4"/>
  <c r="AG211" i="4"/>
  <c r="AG30" i="4"/>
  <c r="AG125" i="4"/>
  <c r="AG9" i="4"/>
  <c r="AG70" i="4"/>
  <c r="AG117" i="4"/>
  <c r="AG12" i="4"/>
  <c r="AG15" i="4"/>
  <c r="AG25" i="4"/>
  <c r="AG237" i="4"/>
  <c r="AG167" i="4"/>
  <c r="AG165" i="4"/>
  <c r="AG130" i="4"/>
  <c r="AG210" i="4"/>
  <c r="AG136" i="4"/>
  <c r="AG131" i="4"/>
  <c r="AG146" i="4"/>
  <c r="AG26" i="4"/>
  <c r="AG73" i="4"/>
  <c r="AG128" i="4"/>
  <c r="AG267" i="4"/>
  <c r="AG86" i="4"/>
  <c r="AG228" i="4"/>
  <c r="AG153" i="4"/>
  <c r="AG140" i="4"/>
  <c r="AG59" i="4"/>
  <c r="AG71" i="4"/>
  <c r="AG236" i="4"/>
  <c r="AG108" i="4"/>
  <c r="AG33" i="4"/>
  <c r="AG209" i="4"/>
  <c r="AG255" i="4"/>
  <c r="AG213" i="4"/>
  <c r="AG215" i="4"/>
  <c r="AG214" i="4"/>
  <c r="AG225" i="4"/>
  <c r="AG72" i="4"/>
  <c r="AG199" i="4"/>
  <c r="AG200" i="4"/>
  <c r="AG235" i="4"/>
  <c r="AG282" i="4"/>
  <c r="AG150" i="4"/>
  <c r="AG201" i="4"/>
  <c r="AG203" i="4"/>
  <c r="AG232" i="4"/>
  <c r="AG202" i="4"/>
  <c r="AG233" i="4"/>
  <c r="AG204" i="4"/>
  <c r="AG281" i="4"/>
  <c r="AG176" i="4"/>
  <c r="AG14" i="4"/>
  <c r="AG124" i="4"/>
  <c r="AG139" i="4"/>
  <c r="AG31" i="4"/>
  <c r="AG231" i="4"/>
  <c r="AG28" i="4"/>
  <c r="AG27" i="4"/>
  <c r="AG109" i="4"/>
  <c r="AG21" i="4"/>
  <c r="AG22" i="4"/>
  <c r="AG20" i="4"/>
  <c r="AG24" i="4"/>
  <c r="AG23" i="4"/>
  <c r="AG286" i="4"/>
  <c r="AG190" i="4"/>
  <c r="AG98" i="4"/>
  <c r="AG99" i="4"/>
  <c r="AG141" i="4"/>
  <c r="AG188" i="4"/>
  <c r="AG97" i="4"/>
  <c r="AG112" i="4"/>
  <c r="AG187" i="4"/>
  <c r="AG110" i="4"/>
  <c r="AG234" i="4"/>
  <c r="AG189" i="4"/>
  <c r="AG287" i="4"/>
  <c r="AG223" i="4"/>
  <c r="AG50" i="4"/>
  <c r="AG160" i="4"/>
  <c r="AG193" i="4"/>
  <c r="AG278" i="4"/>
  <c r="AG280" i="4"/>
  <c r="AG285" i="4"/>
  <c r="AG289" i="4"/>
  <c r="AG292" i="4"/>
  <c r="AG293" i="4"/>
  <c r="AG240" i="4"/>
  <c r="AG242" i="4"/>
  <c r="AG51" i="4"/>
  <c r="AG175" i="4"/>
  <c r="AG16" i="4"/>
  <c r="AG17" i="4"/>
  <c r="AG18" i="4"/>
  <c r="AG290" i="4"/>
  <c r="AG19" i="4"/>
  <c r="AG279" i="4"/>
  <c r="AG3" i="4"/>
  <c r="AG277" i="4"/>
  <c r="AG8" i="4"/>
  <c r="AG174" i="4"/>
  <c r="AG48" i="4"/>
  <c r="AG226" i="4"/>
  <c r="AG155" i="4"/>
  <c r="AG191" i="4"/>
  <c r="AG135" i="4"/>
  <c r="AG177" i="4"/>
  <c r="AG266" i="4"/>
  <c r="AG74" i="4"/>
  <c r="AG283" i="4"/>
  <c r="AG147" i="4"/>
  <c r="AG127" i="4"/>
  <c r="AG186" i="4"/>
  <c r="AG270" i="4"/>
  <c r="AG284" i="4"/>
  <c r="AG29" i="4"/>
  <c r="AG173" i="4"/>
  <c r="AG49" i="4"/>
  <c r="AG89" i="4"/>
  <c r="AG2" i="4"/>
  <c r="AG154" i="4"/>
  <c r="AG241" i="4"/>
  <c r="AG294" i="4"/>
  <c r="AG161" i="4"/>
  <c r="AG229" i="4"/>
  <c r="AG32" i="4"/>
  <c r="AG272" i="4"/>
  <c r="AG243" i="4"/>
  <c r="AG245" i="4"/>
  <c r="AG244" i="4"/>
  <c r="AG239" i="4"/>
  <c r="AG198" i="4"/>
  <c r="AG205" i="4"/>
  <c r="AG271" i="4"/>
  <c r="AG114" i="4"/>
  <c r="AG132" i="4"/>
  <c r="AG122" i="4"/>
  <c r="AG269" i="4"/>
  <c r="AG145" i="4"/>
  <c r="AG152" i="4"/>
  <c r="AG142" i="4"/>
  <c r="AG5" i="4"/>
  <c r="AG116" i="4"/>
  <c r="AG219" i="4"/>
  <c r="AG192" i="4"/>
  <c r="AG248" i="4"/>
  <c r="AG44" i="4"/>
  <c r="AG194" i="4"/>
  <c r="AG222" i="4"/>
  <c r="AG88" i="4"/>
  <c r="AG274" i="4"/>
  <c r="AG149" i="4"/>
  <c r="AG134" i="4"/>
  <c r="AG96" i="4"/>
  <c r="AG195" i="4"/>
  <c r="AG275" i="4"/>
  <c r="AG273" i="4"/>
  <c r="AG103" i="4"/>
  <c r="AG118" i="4"/>
  <c r="AG68" i="4"/>
  <c r="AG34" i="4"/>
  <c r="AG246" i="4"/>
  <c r="AG291" i="4"/>
  <c r="AG94" i="4"/>
  <c r="AG148" i="4"/>
  <c r="AG46" i="4"/>
  <c r="AG7" i="4"/>
  <c r="AG119" i="4"/>
  <c r="AG35" i="4"/>
  <c r="AG67" i="4"/>
  <c r="AG6" i="4"/>
  <c r="AG45" i="4"/>
  <c r="AG224" i="4"/>
  <c r="AG60" i="4"/>
  <c r="AG47" i="4"/>
  <c r="AG69" i="4"/>
  <c r="AG41" i="4"/>
  <c r="AG61" i="4"/>
  <c r="AG196" i="4"/>
  <c r="AG221" i="4"/>
  <c r="AG120" i="4"/>
  <c r="AG62" i="4"/>
  <c r="AG151" i="4"/>
  <c r="AG43" i="4"/>
  <c r="AG66" i="4"/>
  <c r="AG4" i="4"/>
  <c r="AG38" i="4"/>
  <c r="AG78" i="4"/>
  <c r="AG37" i="4"/>
  <c r="AG42" i="4"/>
  <c r="AG252" i="4"/>
  <c r="AG39" i="4"/>
  <c r="AG268" i="4"/>
  <c r="AG40" i="4"/>
  <c r="AG111" i="4"/>
  <c r="AG276" i="4"/>
  <c r="AG254" i="4"/>
  <c r="AG260" i="4"/>
  <c r="AG36" i="4"/>
  <c r="AG288" i="4"/>
  <c r="AG253" i="4"/>
  <c r="AG65" i="4"/>
  <c r="AG53" i="4"/>
  <c r="AG63" i="4"/>
  <c r="AG251" i="4"/>
  <c r="AG64" i="4"/>
  <c r="AG54" i="4"/>
  <c r="AG95" i="4"/>
  <c r="AG57" i="4"/>
  <c r="AG113" i="4"/>
  <c r="AG159" i="4"/>
  <c r="AG58" i="4"/>
  <c r="AG56" i="4"/>
  <c r="AG55" i="4"/>
  <c r="AG299" i="4"/>
  <c r="AG298" i="4"/>
  <c r="AG296" i="4"/>
  <c r="AG297" i="4"/>
  <c r="AG301" i="4"/>
  <c r="AG302" i="4"/>
  <c r="AG303" i="4"/>
  <c r="AG304" i="4"/>
  <c r="AG300" i="4"/>
  <c r="AG305" i="4"/>
  <c r="AG308" i="4"/>
  <c r="AG309" i="4"/>
  <c r="AG310" i="4"/>
  <c r="AG307" i="4"/>
  <c r="AG306" i="4"/>
  <c r="AG328" i="4"/>
  <c r="AG343" i="4"/>
  <c r="AG341" i="4"/>
  <c r="AG342" i="4"/>
  <c r="AG344" i="4"/>
  <c r="AG332" i="4"/>
  <c r="AG339" i="4"/>
  <c r="AG331" i="4"/>
  <c r="AG329" i="4"/>
  <c r="AG333" i="4"/>
  <c r="AG326" i="4"/>
  <c r="AG334" i="4"/>
  <c r="AG317" i="4"/>
  <c r="AG335" i="4"/>
  <c r="AG336" i="4"/>
  <c r="AG337" i="4"/>
  <c r="AG338" i="4"/>
  <c r="AG319" i="4"/>
  <c r="AG320" i="4"/>
  <c r="AG321" i="4"/>
  <c r="AG322" i="4"/>
  <c r="AG325" i="4"/>
  <c r="AG323" i="4"/>
  <c r="AG327" i="4"/>
  <c r="AG340" i="4"/>
  <c r="AG330" i="4"/>
  <c r="AG324" i="4"/>
  <c r="AG318" i="4"/>
  <c r="AG315" i="4"/>
  <c r="AG316" i="4"/>
  <c r="AG314" i="4"/>
  <c r="AG312" i="4"/>
  <c r="AG313" i="4"/>
  <c r="AG354" i="4"/>
  <c r="AG355" i="4"/>
  <c r="AG349" i="4"/>
  <c r="AG350" i="4"/>
  <c r="AG364" i="4"/>
  <c r="AG365" i="4"/>
  <c r="AG366" i="4"/>
  <c r="AG359" i="4"/>
  <c r="AG345" i="4"/>
  <c r="AG356" i="4"/>
  <c r="AG357" i="4"/>
  <c r="AG358" i="4"/>
  <c r="AG360" i="4"/>
  <c r="AG361" i="4"/>
  <c r="AG362" i="4"/>
  <c r="AG346" i="4"/>
  <c r="AG347" i="4"/>
  <c r="AG351" i="4"/>
  <c r="AG352" i="4"/>
  <c r="AG353" i="4"/>
  <c r="AG363" i="4"/>
  <c r="AG348" i="4"/>
  <c r="AG372" i="4"/>
  <c r="AG368" i="4"/>
  <c r="AG376" i="4"/>
  <c r="AG367" i="4"/>
  <c r="AG369" i="4"/>
  <c r="AG371" i="4"/>
  <c r="AG374" i="4"/>
  <c r="AG370" i="4"/>
  <c r="AG373" i="4"/>
  <c r="AG377" i="4"/>
  <c r="AG375" i="4"/>
  <c r="AG379" i="4"/>
  <c r="AG380" i="4"/>
  <c r="AG381" i="4"/>
  <c r="AG382" i="4"/>
  <c r="AG378" i="4"/>
  <c r="AG386" i="4"/>
  <c r="AG385" i="4"/>
  <c r="AG400" i="4"/>
  <c r="AG384" i="4"/>
  <c r="AG403" i="4"/>
  <c r="AG392" i="4"/>
  <c r="AG387" i="4"/>
  <c r="AG388" i="4"/>
  <c r="AG389" i="4"/>
  <c r="AG390" i="4"/>
  <c r="AG396" i="4"/>
  <c r="AG398" i="4"/>
  <c r="AG399" i="4"/>
  <c r="AG394" i="4"/>
  <c r="AG395" i="4"/>
  <c r="AG402" i="4"/>
  <c r="AG405" i="4"/>
  <c r="AG406" i="4"/>
  <c r="AG407" i="4"/>
  <c r="AG391" i="4"/>
  <c r="AG393" i="4"/>
  <c r="AG401" i="4"/>
  <c r="AG383" i="4"/>
  <c r="AG404" i="4"/>
  <c r="AG397" i="4"/>
  <c r="AG77" i="4"/>
  <c r="O134" i="5"/>
  <c r="K134" i="5"/>
  <c r="B132" i="4"/>
  <c r="C132" i="4"/>
  <c r="C134" i="5"/>
  <c r="D132" i="4"/>
  <c r="E134" i="5"/>
  <c r="I36" i="2"/>
  <c r="I132" i="4"/>
  <c r="L134" i="5"/>
  <c r="J36" i="2"/>
  <c r="J132" i="4"/>
  <c r="N134" i="5"/>
  <c r="L132" i="4"/>
  <c r="Q134" i="5"/>
  <c r="M132" i="4"/>
  <c r="R134" i="5"/>
  <c r="T134" i="5"/>
  <c r="U134" i="5"/>
  <c r="P132" i="4"/>
  <c r="W134" i="5"/>
  <c r="Q132" i="4"/>
  <c r="X134" i="5"/>
  <c r="AA134" i="5"/>
  <c r="AH132" i="4"/>
  <c r="T132" i="4" a="1"/>
  <c r="T132" i="4"/>
  <c r="AC134" i="5"/>
  <c r="U132" i="4" a="1"/>
  <c r="U132" i="4"/>
  <c r="AD134" i="5"/>
  <c r="AF134" i="5"/>
  <c r="AG134" i="5"/>
  <c r="X132" i="4"/>
  <c r="AI134" i="5"/>
  <c r="Y132" i="4"/>
  <c r="AJ134" i="5"/>
  <c r="Z132" i="4"/>
  <c r="AL134" i="5"/>
  <c r="Z134" i="5"/>
  <c r="AN134" i="5"/>
  <c r="C133" i="4"/>
  <c r="C135" i="5"/>
  <c r="D133" i="4"/>
  <c r="E135" i="5"/>
  <c r="H133" i="4"/>
  <c r="K135" i="5"/>
  <c r="L133" i="4"/>
  <c r="Q135" i="5"/>
  <c r="M133" i="4"/>
  <c r="R135" i="5"/>
  <c r="T135" i="5"/>
  <c r="U135" i="5"/>
  <c r="P133" i="4"/>
  <c r="W135" i="5"/>
  <c r="Q133" i="4"/>
  <c r="X135" i="5"/>
  <c r="S133" i="4"/>
  <c r="AA135" i="5"/>
  <c r="AH133" i="4"/>
  <c r="T133" i="4" a="1"/>
  <c r="T133" i="4"/>
  <c r="AC135" i="5"/>
  <c r="U133" i="4" a="1"/>
  <c r="U133" i="4"/>
  <c r="AD135" i="5"/>
  <c r="AF135" i="5"/>
  <c r="AG135" i="5"/>
  <c r="X133" i="4"/>
  <c r="AI135" i="5"/>
  <c r="Y133" i="4"/>
  <c r="AJ135" i="5"/>
  <c r="Z133" i="4"/>
  <c r="AL135" i="5"/>
  <c r="L135" i="5"/>
  <c r="N135" i="5"/>
  <c r="O135" i="5"/>
  <c r="Z135" i="5"/>
  <c r="AN135" i="5"/>
  <c r="O136" i="5"/>
  <c r="B134" i="4"/>
  <c r="H134" i="4"/>
  <c r="K136" i="5"/>
  <c r="C134" i="4"/>
  <c r="C136" i="5"/>
  <c r="D134" i="4"/>
  <c r="E136" i="5"/>
  <c r="I134" i="4"/>
  <c r="L136" i="5"/>
  <c r="J134" i="4"/>
  <c r="N136" i="5"/>
  <c r="L134" i="4"/>
  <c r="Q136" i="5"/>
  <c r="M134" i="4"/>
  <c r="R136" i="5"/>
  <c r="T136" i="5"/>
  <c r="U136" i="5"/>
  <c r="P134" i="4"/>
  <c r="W136" i="5"/>
  <c r="Q134" i="4"/>
  <c r="X136" i="5"/>
  <c r="AA136" i="5"/>
  <c r="AH134" i="4"/>
  <c r="T134" i="4" a="1"/>
  <c r="T134" i="4"/>
  <c r="AC136" i="5"/>
  <c r="U134" i="4" a="1"/>
  <c r="U134" i="4"/>
  <c r="AD136" i="5"/>
  <c r="AF136" i="5"/>
  <c r="AG136" i="5"/>
  <c r="X134" i="4"/>
  <c r="AI136" i="5"/>
  <c r="Y134" i="4"/>
  <c r="AJ136" i="5"/>
  <c r="Z134" i="4"/>
  <c r="AL136" i="5"/>
  <c r="Z136" i="5"/>
  <c r="AN136" i="5"/>
  <c r="B135" i="4"/>
  <c r="S135" i="4"/>
  <c r="AA137" i="5"/>
  <c r="P135" i="4"/>
  <c r="W137" i="5"/>
  <c r="C135" i="4"/>
  <c r="C137" i="5"/>
  <c r="D135" i="4"/>
  <c r="E137" i="5"/>
  <c r="K137" i="5"/>
  <c r="L135" i="4"/>
  <c r="Q137" i="5"/>
  <c r="U137" i="5"/>
  <c r="Q135" i="4"/>
  <c r="X137" i="5"/>
  <c r="R24" i="2"/>
  <c r="R135" i="4"/>
  <c r="Z137" i="5"/>
  <c r="AH135" i="4"/>
  <c r="T135" i="4" a="1"/>
  <c r="T135" i="4"/>
  <c r="AC137" i="5"/>
  <c r="U135" i="4" a="1"/>
  <c r="U135" i="4"/>
  <c r="AD137" i="5"/>
  <c r="AF137" i="5"/>
  <c r="AG137" i="5"/>
  <c r="X135" i="4"/>
  <c r="AI137" i="5"/>
  <c r="Y135" i="4"/>
  <c r="AJ137" i="5"/>
  <c r="Z135" i="4"/>
  <c r="AL137" i="5"/>
  <c r="L137" i="5"/>
  <c r="N137" i="5"/>
  <c r="O137" i="5"/>
  <c r="R137" i="5"/>
  <c r="T137" i="5"/>
  <c r="AN137" i="5"/>
  <c r="C28" i="2"/>
  <c r="C136" i="4"/>
  <c r="C138" i="5"/>
  <c r="D28" i="2"/>
  <c r="D136" i="4"/>
  <c r="E138" i="5"/>
  <c r="H32" i="2"/>
  <c r="H28" i="2"/>
  <c r="H136" i="4"/>
  <c r="K138" i="5"/>
  <c r="L28" i="2"/>
  <c r="L136" i="4"/>
  <c r="Q138" i="5"/>
  <c r="M28" i="2"/>
  <c r="M136" i="4"/>
  <c r="R138" i="5"/>
  <c r="T138" i="5"/>
  <c r="U138" i="5"/>
  <c r="P28" i="2"/>
  <c r="P136" i="4"/>
  <c r="W138" i="5"/>
  <c r="Q28" i="2"/>
  <c r="Q136" i="4"/>
  <c r="X138" i="5"/>
  <c r="S32" i="2"/>
  <c r="S28" i="2"/>
  <c r="S136" i="4"/>
  <c r="AA138" i="5"/>
  <c r="AH136" i="4"/>
  <c r="T136" i="4" a="1"/>
  <c r="T136" i="4"/>
  <c r="AC138" i="5"/>
  <c r="U136" i="4" a="1"/>
  <c r="U136" i="4"/>
  <c r="AD138" i="5"/>
  <c r="AF138" i="5"/>
  <c r="AG138" i="5"/>
  <c r="X28" i="2"/>
  <c r="X136" i="4"/>
  <c r="AI138" i="5"/>
  <c r="Y28" i="2"/>
  <c r="Y136" i="4"/>
  <c r="AJ138" i="5"/>
  <c r="Z28" i="2"/>
  <c r="Z136" i="4"/>
  <c r="AL138" i="5"/>
  <c r="L138" i="5"/>
  <c r="N138" i="5"/>
  <c r="O138" i="5"/>
  <c r="AN138" i="5"/>
  <c r="B137" i="4"/>
  <c r="C137" i="4"/>
  <c r="C139" i="5"/>
  <c r="D137" i="4"/>
  <c r="E139" i="5"/>
  <c r="E137" i="4"/>
  <c r="F139" i="5"/>
  <c r="F137" i="4"/>
  <c r="H139" i="5"/>
  <c r="I139" i="5"/>
  <c r="K139" i="5"/>
  <c r="L137" i="4"/>
  <c r="Q139" i="5"/>
  <c r="M137" i="4"/>
  <c r="R139" i="5"/>
  <c r="T139" i="5"/>
  <c r="U139" i="5"/>
  <c r="P137" i="4"/>
  <c r="W139" i="5"/>
  <c r="Q137" i="4"/>
  <c r="X139" i="5"/>
  <c r="S137" i="4"/>
  <c r="AA139" i="5"/>
  <c r="AH137" i="4"/>
  <c r="T137" i="4" a="1"/>
  <c r="T137" i="4"/>
  <c r="AC139" i="5"/>
  <c r="U137" i="4" a="1"/>
  <c r="U137" i="4"/>
  <c r="AD139" i="5"/>
  <c r="AF139" i="5"/>
  <c r="AG139" i="5"/>
  <c r="X137" i="4"/>
  <c r="AI139" i="5"/>
  <c r="Y137" i="4"/>
  <c r="AJ139" i="5"/>
  <c r="Z137" i="4"/>
  <c r="AL139" i="5"/>
  <c r="L139" i="5"/>
  <c r="N139" i="5"/>
  <c r="O139" i="5"/>
  <c r="AN139" i="5"/>
  <c r="B138" i="4"/>
  <c r="C138" i="4"/>
  <c r="C140" i="5"/>
  <c r="D138" i="4"/>
  <c r="E140" i="5"/>
  <c r="E13" i="2"/>
  <c r="E138" i="4"/>
  <c r="F140" i="5"/>
  <c r="F13" i="2"/>
  <c r="F138" i="4"/>
  <c r="H140" i="5"/>
  <c r="I140" i="5"/>
  <c r="H138" i="4"/>
  <c r="K140" i="5"/>
  <c r="L138" i="4"/>
  <c r="Q140" i="5"/>
  <c r="M138" i="4"/>
  <c r="R140" i="5"/>
  <c r="T140" i="5"/>
  <c r="U140" i="5"/>
  <c r="P138" i="4"/>
  <c r="W140" i="5"/>
  <c r="Q138" i="4"/>
  <c r="X140" i="5"/>
  <c r="S138" i="4"/>
  <c r="AA140" i="5"/>
  <c r="AH138" i="4"/>
  <c r="T138" i="4" a="1"/>
  <c r="T138" i="4"/>
  <c r="AC140" i="5"/>
  <c r="U138" i="4" a="1"/>
  <c r="U138" i="4"/>
  <c r="AD140" i="5"/>
  <c r="AF140" i="5"/>
  <c r="AG140" i="5"/>
  <c r="X138" i="4"/>
  <c r="AI140" i="5"/>
  <c r="Y138" i="4"/>
  <c r="AJ140" i="5"/>
  <c r="Z138" i="4"/>
  <c r="AL140" i="5"/>
  <c r="L140" i="5"/>
  <c r="N140" i="5"/>
  <c r="O140" i="5"/>
  <c r="AN140" i="5"/>
  <c r="C139" i="4"/>
  <c r="C141" i="5"/>
  <c r="D139" i="4"/>
  <c r="E141" i="5"/>
  <c r="E139" i="4"/>
  <c r="F141" i="5"/>
  <c r="F139" i="4"/>
  <c r="H141" i="5"/>
  <c r="I141" i="5"/>
  <c r="H139" i="4"/>
  <c r="K141" i="5"/>
  <c r="L139" i="4"/>
  <c r="Q141" i="5"/>
  <c r="M139" i="4"/>
  <c r="R141" i="5"/>
  <c r="T141" i="5"/>
  <c r="U141" i="5"/>
  <c r="P139" i="4"/>
  <c r="W141" i="5"/>
  <c r="Q139" i="4"/>
  <c r="X141" i="5"/>
  <c r="S139" i="4"/>
  <c r="AA141" i="5"/>
  <c r="AH139" i="4"/>
  <c r="T139" i="4" a="1"/>
  <c r="T139" i="4"/>
  <c r="AC141" i="5"/>
  <c r="U139" i="4" a="1"/>
  <c r="U139" i="4"/>
  <c r="AD141" i="5"/>
  <c r="AF141" i="5"/>
  <c r="AG141" i="5"/>
  <c r="X139" i="4"/>
  <c r="AI141" i="5"/>
  <c r="Y139" i="4"/>
  <c r="AJ141" i="5"/>
  <c r="Z139" i="4"/>
  <c r="AL141" i="5"/>
  <c r="L141" i="5"/>
  <c r="N141" i="5"/>
  <c r="O141" i="5"/>
  <c r="AN141" i="5"/>
  <c r="O142" i="5"/>
  <c r="K142" i="5"/>
  <c r="B140" i="4"/>
  <c r="C140" i="4"/>
  <c r="C142" i="5"/>
  <c r="D140" i="4"/>
  <c r="E142" i="5"/>
  <c r="I40" i="2"/>
  <c r="I19" i="2"/>
  <c r="I140" i="4"/>
  <c r="L142" i="5"/>
  <c r="J40" i="2"/>
  <c r="J19" i="2"/>
  <c r="J140" i="4"/>
  <c r="N142" i="5"/>
  <c r="L140" i="4"/>
  <c r="Q142" i="5"/>
  <c r="M140" i="4"/>
  <c r="R142" i="5"/>
  <c r="T142" i="5"/>
  <c r="U142" i="5"/>
  <c r="P140" i="4"/>
  <c r="W142" i="5"/>
  <c r="Q140" i="4"/>
  <c r="X142" i="5"/>
  <c r="AA142" i="5"/>
  <c r="AH140" i="4"/>
  <c r="T140" i="4" a="1"/>
  <c r="T140" i="4"/>
  <c r="AC142" i="5"/>
  <c r="U140" i="4" a="1"/>
  <c r="U140" i="4"/>
  <c r="AD142" i="5"/>
  <c r="AF142" i="5"/>
  <c r="AG142" i="5"/>
  <c r="X140" i="4"/>
  <c r="AI142" i="5"/>
  <c r="Y140" i="4"/>
  <c r="AJ142" i="5"/>
  <c r="Z140" i="4"/>
  <c r="AL142" i="5"/>
  <c r="F142" i="5"/>
  <c r="H142" i="5"/>
  <c r="I142" i="5"/>
  <c r="AN142" i="5"/>
  <c r="B141" i="4"/>
  <c r="C141" i="4"/>
  <c r="C143" i="5"/>
  <c r="D141" i="4"/>
  <c r="E143" i="5"/>
  <c r="H141" i="4"/>
  <c r="K143" i="5"/>
  <c r="L141" i="4"/>
  <c r="Q143" i="5"/>
  <c r="M141" i="4"/>
  <c r="R143" i="5"/>
  <c r="T143" i="5"/>
  <c r="U143" i="5"/>
  <c r="P141" i="4"/>
  <c r="W143" i="5"/>
  <c r="Q141" i="4"/>
  <c r="X143" i="5"/>
  <c r="S141" i="4"/>
  <c r="AA143" i="5"/>
  <c r="AH141" i="4"/>
  <c r="T141" i="4" a="1"/>
  <c r="T141" i="4"/>
  <c r="AC143" i="5"/>
  <c r="U141" i="4" a="1"/>
  <c r="U141" i="4"/>
  <c r="AD143" i="5"/>
  <c r="AF143" i="5"/>
  <c r="AG143" i="5"/>
  <c r="X141" i="4"/>
  <c r="AI143" i="5"/>
  <c r="Y141" i="4"/>
  <c r="AJ143" i="5"/>
  <c r="Z141" i="4"/>
  <c r="AL143" i="5"/>
  <c r="F143" i="5"/>
  <c r="H143" i="5"/>
  <c r="I143" i="5"/>
  <c r="L143" i="5"/>
  <c r="N143" i="5"/>
  <c r="O143" i="5"/>
  <c r="AN143" i="5"/>
  <c r="O144" i="5"/>
  <c r="H142" i="4"/>
  <c r="K144" i="5"/>
  <c r="C142" i="4"/>
  <c r="C144" i="5"/>
  <c r="D142" i="4"/>
  <c r="E144" i="5"/>
  <c r="E142" i="4"/>
  <c r="F144" i="5"/>
  <c r="F142" i="4"/>
  <c r="H144" i="5"/>
  <c r="I144" i="5"/>
  <c r="I142" i="4"/>
  <c r="L144" i="5"/>
  <c r="J142" i="4"/>
  <c r="N144" i="5"/>
  <c r="L142" i="4"/>
  <c r="Q144" i="5"/>
  <c r="M142" i="4"/>
  <c r="R144" i="5"/>
  <c r="T144" i="5"/>
  <c r="U144" i="5"/>
  <c r="P142" i="4"/>
  <c r="W144" i="5"/>
  <c r="Q142" i="4"/>
  <c r="X144" i="5"/>
  <c r="AA144" i="5"/>
  <c r="AH142" i="4"/>
  <c r="T142" i="4" a="1"/>
  <c r="T142" i="4"/>
  <c r="AC144" i="5"/>
  <c r="U142" i="4" a="1"/>
  <c r="U142" i="4"/>
  <c r="AD144" i="5"/>
  <c r="AF144" i="5"/>
  <c r="AG144" i="5"/>
  <c r="X142" i="4"/>
  <c r="AI144" i="5"/>
  <c r="Y142" i="4"/>
  <c r="AJ144" i="5"/>
  <c r="Z142" i="4"/>
  <c r="AL144" i="5"/>
  <c r="AN144" i="5"/>
  <c r="C143" i="4"/>
  <c r="C145" i="5"/>
  <c r="D143" i="4"/>
  <c r="E145" i="5"/>
  <c r="E143" i="4"/>
  <c r="F145" i="5"/>
  <c r="F143" i="4"/>
  <c r="H145" i="5"/>
  <c r="I145" i="5"/>
  <c r="H143" i="4"/>
  <c r="K145" i="5"/>
  <c r="L143" i="4"/>
  <c r="Q145" i="5"/>
  <c r="M143" i="4"/>
  <c r="R145" i="5"/>
  <c r="T145" i="5"/>
  <c r="U145" i="5"/>
  <c r="P143" i="4"/>
  <c r="W145" i="5"/>
  <c r="Q143" i="4"/>
  <c r="X145" i="5"/>
  <c r="S143" i="4"/>
  <c r="AA145" i="5"/>
  <c r="AH143" i="4"/>
  <c r="T143" i="4" a="1"/>
  <c r="T143" i="4"/>
  <c r="AC145" i="5"/>
  <c r="U143" i="4" a="1"/>
  <c r="U143" i="4"/>
  <c r="AD145" i="5"/>
  <c r="AF145" i="5"/>
  <c r="AG145" i="5"/>
  <c r="X143" i="4"/>
  <c r="AI145" i="5"/>
  <c r="Y143" i="4"/>
  <c r="AJ145" i="5"/>
  <c r="Z143" i="4"/>
  <c r="AL145" i="5"/>
  <c r="L145" i="5"/>
  <c r="N145" i="5"/>
  <c r="O145" i="5"/>
  <c r="AN145" i="5"/>
  <c r="C144" i="4"/>
  <c r="C146" i="5"/>
  <c r="D144" i="4"/>
  <c r="E146" i="5"/>
  <c r="E144" i="4"/>
  <c r="F146" i="5"/>
  <c r="F144" i="4"/>
  <c r="H146" i="5"/>
  <c r="I146" i="5"/>
  <c r="H144" i="4"/>
  <c r="K146" i="5"/>
  <c r="L144" i="4"/>
  <c r="Q146" i="5"/>
  <c r="M144" i="4"/>
  <c r="R146" i="5"/>
  <c r="T146" i="5"/>
  <c r="U146" i="5"/>
  <c r="P144" i="4"/>
  <c r="W146" i="5"/>
  <c r="Q144" i="4"/>
  <c r="X146" i="5"/>
  <c r="S144" i="4"/>
  <c r="AA146" i="5"/>
  <c r="AH144" i="4"/>
  <c r="T144" i="4" a="1"/>
  <c r="T144" i="4"/>
  <c r="AC146" i="5"/>
  <c r="U144" i="4" a="1"/>
  <c r="U144" i="4"/>
  <c r="AD146" i="5"/>
  <c r="AF146" i="5"/>
  <c r="AG146" i="5"/>
  <c r="X144" i="4"/>
  <c r="AI146" i="5"/>
  <c r="Y144" i="4"/>
  <c r="AJ146" i="5"/>
  <c r="Z144" i="4"/>
  <c r="AL146" i="5"/>
  <c r="L146" i="5"/>
  <c r="N146" i="5"/>
  <c r="O146" i="5"/>
  <c r="AN146" i="5"/>
  <c r="O147" i="5"/>
  <c r="K147" i="5"/>
  <c r="B145" i="4"/>
  <c r="C145" i="4"/>
  <c r="C147" i="5"/>
  <c r="D145" i="4"/>
  <c r="E147" i="5"/>
  <c r="I145" i="4"/>
  <c r="L147" i="5"/>
  <c r="J145" i="4"/>
  <c r="N147" i="5"/>
  <c r="L145" i="4"/>
  <c r="Q147" i="5"/>
  <c r="M145" i="4"/>
  <c r="R147" i="5"/>
  <c r="T147" i="5"/>
  <c r="U147" i="5"/>
  <c r="P145" i="4"/>
  <c r="W147" i="5"/>
  <c r="Q145" i="4"/>
  <c r="X147" i="5"/>
  <c r="AA147" i="5"/>
  <c r="AH145" i="4"/>
  <c r="T145" i="4" a="1"/>
  <c r="T145" i="4"/>
  <c r="AC147" i="5"/>
  <c r="U145" i="4" a="1"/>
  <c r="U145" i="4"/>
  <c r="AD147" i="5"/>
  <c r="AF147" i="5"/>
  <c r="AG147" i="5"/>
  <c r="X145" i="4"/>
  <c r="AI147" i="5"/>
  <c r="Y145" i="4"/>
  <c r="AJ147" i="5"/>
  <c r="Z145" i="4"/>
  <c r="AL147" i="5"/>
  <c r="F147" i="5"/>
  <c r="H147" i="5"/>
  <c r="I147" i="5"/>
  <c r="AN147" i="5"/>
  <c r="O148" i="5"/>
  <c r="K148" i="5"/>
  <c r="B146" i="4"/>
  <c r="C146" i="4"/>
  <c r="C148" i="5"/>
  <c r="D146" i="4"/>
  <c r="E148" i="5"/>
  <c r="E3" i="2"/>
  <c r="E146" i="4"/>
  <c r="F148" i="5"/>
  <c r="F3" i="2"/>
  <c r="F146" i="4"/>
  <c r="H148" i="5"/>
  <c r="I148" i="5"/>
  <c r="I146" i="4"/>
  <c r="L148" i="5"/>
  <c r="J146" i="4"/>
  <c r="N148" i="5"/>
  <c r="L146" i="4"/>
  <c r="Q148" i="5"/>
  <c r="M146" i="4"/>
  <c r="R148" i="5"/>
  <c r="T148" i="5"/>
  <c r="U148" i="5"/>
  <c r="P146" i="4"/>
  <c r="W148" i="5"/>
  <c r="Q146" i="4"/>
  <c r="X148" i="5"/>
  <c r="S146" i="4"/>
  <c r="AA148" i="5"/>
  <c r="AH146" i="4"/>
  <c r="T146" i="4" a="1"/>
  <c r="T146" i="4"/>
  <c r="AC148" i="5"/>
  <c r="U146" i="4" a="1"/>
  <c r="U146" i="4"/>
  <c r="AD148" i="5"/>
  <c r="AF148" i="5"/>
  <c r="AG148" i="5"/>
  <c r="X146" i="4"/>
  <c r="AI148" i="5"/>
  <c r="Y146" i="4"/>
  <c r="AJ148" i="5"/>
  <c r="Z146" i="4"/>
  <c r="AL148" i="5"/>
  <c r="AN148" i="5"/>
  <c r="B147" i="4"/>
  <c r="S147" i="4"/>
  <c r="AA149" i="5"/>
  <c r="P147" i="4"/>
  <c r="W149" i="5"/>
  <c r="C147" i="4"/>
  <c r="C149" i="5"/>
  <c r="D147" i="4"/>
  <c r="E149" i="5"/>
  <c r="K149" i="5"/>
  <c r="L147" i="4"/>
  <c r="Q149" i="5"/>
  <c r="U149" i="5"/>
  <c r="Q147" i="4"/>
  <c r="X149" i="5"/>
  <c r="R147" i="4"/>
  <c r="Z149" i="5"/>
  <c r="AH147" i="4"/>
  <c r="T147" i="4" a="1"/>
  <c r="T147" i="4"/>
  <c r="AC149" i="5"/>
  <c r="U147" i="4" a="1"/>
  <c r="U147" i="4"/>
  <c r="AD149" i="5"/>
  <c r="AF149" i="5"/>
  <c r="AG149" i="5"/>
  <c r="X147" i="4"/>
  <c r="AI149" i="5"/>
  <c r="Y147" i="4"/>
  <c r="AJ149" i="5"/>
  <c r="Z147" i="4"/>
  <c r="AL149" i="5"/>
  <c r="F149" i="5"/>
  <c r="H149" i="5"/>
  <c r="I149" i="5"/>
  <c r="L149" i="5"/>
  <c r="N149" i="5"/>
  <c r="O149" i="5"/>
  <c r="R149" i="5"/>
  <c r="T149" i="5"/>
  <c r="AN149" i="5"/>
  <c r="C148" i="4"/>
  <c r="C150" i="5"/>
  <c r="D148" i="4"/>
  <c r="E150" i="5"/>
  <c r="E4" i="2"/>
  <c r="E148" i="4"/>
  <c r="F150" i="5"/>
  <c r="F4" i="2"/>
  <c r="F148" i="4"/>
  <c r="H150" i="5"/>
  <c r="I150" i="5"/>
  <c r="H148" i="4"/>
  <c r="K150" i="5"/>
  <c r="L148" i="4"/>
  <c r="Q150" i="5"/>
  <c r="M148" i="4"/>
  <c r="R150" i="5"/>
  <c r="T150" i="5"/>
  <c r="U150" i="5"/>
  <c r="P148" i="4"/>
  <c r="W150" i="5"/>
  <c r="Q148" i="4"/>
  <c r="X150" i="5"/>
  <c r="AA150" i="5"/>
  <c r="AH148" i="4"/>
  <c r="T148" i="4" a="1"/>
  <c r="T148" i="4"/>
  <c r="AC150" i="5"/>
  <c r="U148" i="4" a="1"/>
  <c r="U148" i="4"/>
  <c r="AD150" i="5"/>
  <c r="AF150" i="5"/>
  <c r="AG150" i="5"/>
  <c r="X148" i="4"/>
  <c r="AI150" i="5"/>
  <c r="Y148" i="4"/>
  <c r="AJ150" i="5"/>
  <c r="Z148" i="4"/>
  <c r="AL150" i="5"/>
  <c r="L150" i="5"/>
  <c r="N150" i="5"/>
  <c r="O150" i="5"/>
  <c r="Z150" i="5"/>
  <c r="AN150" i="5"/>
  <c r="O151" i="5"/>
  <c r="B149" i="4"/>
  <c r="H149" i="4"/>
  <c r="K151" i="5"/>
  <c r="C149" i="4"/>
  <c r="C151" i="5"/>
  <c r="D149" i="4"/>
  <c r="E151" i="5"/>
  <c r="I37" i="2"/>
  <c r="I149" i="4"/>
  <c r="L151" i="5"/>
  <c r="J37" i="2"/>
  <c r="J149" i="4"/>
  <c r="N151" i="5"/>
  <c r="L149" i="4"/>
  <c r="Q151" i="5"/>
  <c r="M149" i="4"/>
  <c r="R151" i="5"/>
  <c r="T151" i="5"/>
  <c r="U151" i="5"/>
  <c r="P149" i="4"/>
  <c r="W151" i="5"/>
  <c r="Q149" i="4"/>
  <c r="X151" i="5"/>
  <c r="S149" i="4"/>
  <c r="AA151" i="5"/>
  <c r="AH149" i="4"/>
  <c r="T149" i="4" a="1"/>
  <c r="T149" i="4"/>
  <c r="AC151" i="5"/>
  <c r="U149" i="4" a="1"/>
  <c r="U149" i="4"/>
  <c r="AD151" i="5"/>
  <c r="AF151" i="5"/>
  <c r="AG151" i="5"/>
  <c r="X149" i="4"/>
  <c r="AI151" i="5"/>
  <c r="Y149" i="4"/>
  <c r="AJ151" i="5"/>
  <c r="Z149" i="4"/>
  <c r="AL151" i="5"/>
  <c r="F151" i="5"/>
  <c r="H151" i="5"/>
  <c r="I151" i="5"/>
  <c r="Z151" i="5"/>
  <c r="AN151" i="5"/>
  <c r="S150" i="4"/>
  <c r="AA152" i="5"/>
  <c r="P150" i="4"/>
  <c r="W152" i="5"/>
  <c r="C150" i="4"/>
  <c r="C152" i="5"/>
  <c r="D150" i="4"/>
  <c r="E152" i="5"/>
  <c r="E28" i="2"/>
  <c r="E150" i="4"/>
  <c r="F152" i="5"/>
  <c r="F28" i="2"/>
  <c r="F150" i="4"/>
  <c r="H152" i="5"/>
  <c r="I152" i="5"/>
  <c r="K152" i="5"/>
  <c r="L150" i="4"/>
  <c r="Q152" i="5"/>
  <c r="M150" i="4"/>
  <c r="R152" i="5"/>
  <c r="T152" i="5"/>
  <c r="U152" i="5"/>
  <c r="Q150" i="4"/>
  <c r="X152" i="5"/>
  <c r="R28" i="2"/>
  <c r="R32" i="2"/>
  <c r="R31" i="2"/>
  <c r="R150" i="4"/>
  <c r="Z152" i="5"/>
  <c r="AH150" i="4"/>
  <c r="T150" i="4" a="1"/>
  <c r="T150" i="4"/>
  <c r="AC152" i="5"/>
  <c r="U150" i="4" a="1"/>
  <c r="U150" i="4"/>
  <c r="AD152" i="5"/>
  <c r="AF152" i="5"/>
  <c r="AG152" i="5"/>
  <c r="X150" i="4"/>
  <c r="AI152" i="5"/>
  <c r="Y150" i="4"/>
  <c r="AJ152" i="5"/>
  <c r="Z150" i="4"/>
  <c r="AL152" i="5"/>
  <c r="L152" i="5"/>
  <c r="N152" i="5"/>
  <c r="O152" i="5"/>
  <c r="AN152" i="5"/>
  <c r="O153" i="5"/>
  <c r="B151" i="4"/>
  <c r="H34" i="2"/>
  <c r="H151" i="4"/>
  <c r="K153" i="5"/>
  <c r="C151" i="4"/>
  <c r="C153" i="5"/>
  <c r="D151" i="4"/>
  <c r="E153" i="5"/>
  <c r="I34" i="2"/>
  <c r="I151" i="4"/>
  <c r="L153" i="5"/>
  <c r="J34" i="2"/>
  <c r="J151" i="4"/>
  <c r="N153" i="5"/>
  <c r="L151" i="4"/>
  <c r="Q153" i="5"/>
  <c r="M151" i="4"/>
  <c r="R153" i="5"/>
  <c r="T153" i="5"/>
  <c r="U153" i="5"/>
  <c r="P151" i="4"/>
  <c r="W153" i="5"/>
  <c r="Q151" i="4"/>
  <c r="X153" i="5"/>
  <c r="S151" i="4"/>
  <c r="AA153" i="5"/>
  <c r="AH151" i="4"/>
  <c r="T151" i="4" a="1"/>
  <c r="T151" i="4"/>
  <c r="AC153" i="5"/>
  <c r="U151" i="4" a="1"/>
  <c r="U151" i="4"/>
  <c r="AD153" i="5"/>
  <c r="AF153" i="5"/>
  <c r="AG153" i="5"/>
  <c r="X151" i="4"/>
  <c r="AI153" i="5"/>
  <c r="Y151" i="4"/>
  <c r="AJ153" i="5"/>
  <c r="Z151" i="4"/>
  <c r="AL153" i="5"/>
  <c r="F153" i="5"/>
  <c r="H153" i="5"/>
  <c r="I153" i="5"/>
  <c r="Z153" i="5"/>
  <c r="AN153" i="5"/>
  <c r="C152" i="4"/>
  <c r="C154" i="5"/>
  <c r="D152" i="4"/>
  <c r="E154" i="5"/>
  <c r="H152" i="4"/>
  <c r="K154" i="5"/>
  <c r="L152" i="4"/>
  <c r="Q154" i="5"/>
  <c r="M152" i="4"/>
  <c r="R154" i="5"/>
  <c r="T154" i="5"/>
  <c r="U154" i="5"/>
  <c r="P152" i="4"/>
  <c r="W154" i="5"/>
  <c r="Q152" i="4"/>
  <c r="X154" i="5"/>
  <c r="AA154" i="5"/>
  <c r="AH152" i="4"/>
  <c r="T152" i="4" a="1"/>
  <c r="T152" i="4"/>
  <c r="AC154" i="5"/>
  <c r="U152" i="4" a="1"/>
  <c r="U152" i="4"/>
  <c r="AD154" i="5"/>
  <c r="AF154" i="5"/>
  <c r="AG154" i="5"/>
  <c r="X152" i="4"/>
  <c r="AI154" i="5"/>
  <c r="Y152" i="4"/>
  <c r="AJ154" i="5"/>
  <c r="Z152" i="4"/>
  <c r="AL154" i="5"/>
  <c r="F154" i="5"/>
  <c r="H154" i="5"/>
  <c r="I154" i="5"/>
  <c r="L154" i="5"/>
  <c r="N154" i="5"/>
  <c r="O154" i="5"/>
  <c r="Z154" i="5"/>
  <c r="AN154" i="5"/>
  <c r="C153" i="4"/>
  <c r="C155" i="5"/>
  <c r="D153" i="4"/>
  <c r="E155" i="5"/>
  <c r="E153" i="4"/>
  <c r="F155" i="5"/>
  <c r="F153" i="4"/>
  <c r="H155" i="5"/>
  <c r="I155" i="5"/>
  <c r="H153" i="4"/>
  <c r="K155" i="5"/>
  <c r="L153" i="4"/>
  <c r="Q155" i="5"/>
  <c r="M153" i="4"/>
  <c r="R155" i="5"/>
  <c r="T155" i="5"/>
  <c r="U155" i="5"/>
  <c r="P153" i="4"/>
  <c r="W155" i="5"/>
  <c r="Q153" i="4"/>
  <c r="X155" i="5"/>
  <c r="S153" i="4"/>
  <c r="AA155" i="5"/>
  <c r="AH153" i="4"/>
  <c r="T153" i="4" a="1"/>
  <c r="T153" i="4"/>
  <c r="AC155" i="5"/>
  <c r="U153" i="4" a="1"/>
  <c r="U153" i="4"/>
  <c r="AD155" i="5"/>
  <c r="AF155" i="5"/>
  <c r="AG155" i="5"/>
  <c r="X153" i="4"/>
  <c r="AI155" i="5"/>
  <c r="Y153" i="4"/>
  <c r="AJ155" i="5"/>
  <c r="Z153" i="4"/>
  <c r="AL155" i="5"/>
  <c r="L155" i="5"/>
  <c r="N155" i="5"/>
  <c r="O155" i="5"/>
  <c r="Z155" i="5"/>
  <c r="AN155" i="5"/>
  <c r="AA156" i="5"/>
  <c r="P154" i="4"/>
  <c r="W156" i="5"/>
  <c r="O156" i="5"/>
  <c r="H154" i="4"/>
  <c r="K156" i="5"/>
  <c r="C154" i="4"/>
  <c r="C156" i="5"/>
  <c r="D154" i="4"/>
  <c r="E156" i="5"/>
  <c r="I4" i="2"/>
  <c r="I154" i="4"/>
  <c r="L156" i="5"/>
  <c r="J4" i="2"/>
  <c r="J154" i="4"/>
  <c r="N156" i="5"/>
  <c r="L154" i="4"/>
  <c r="Q156" i="5"/>
  <c r="M154" i="4"/>
  <c r="R156" i="5"/>
  <c r="T156" i="5"/>
  <c r="U156" i="5"/>
  <c r="Q154" i="4"/>
  <c r="X156" i="5"/>
  <c r="R4" i="2"/>
  <c r="R37" i="2"/>
  <c r="R154" i="4"/>
  <c r="Z156" i="5"/>
  <c r="AH154" i="4"/>
  <c r="T154" i="4" a="1"/>
  <c r="T154" i="4"/>
  <c r="AC156" i="5"/>
  <c r="U154" i="4" a="1"/>
  <c r="U154" i="4"/>
  <c r="AD156" i="5"/>
  <c r="AF156" i="5"/>
  <c r="AG156" i="5"/>
  <c r="X154" i="4"/>
  <c r="AI156" i="5"/>
  <c r="Y154" i="4"/>
  <c r="AJ156" i="5"/>
  <c r="Z154" i="4"/>
  <c r="AL156" i="5"/>
  <c r="F156" i="5"/>
  <c r="H156" i="5"/>
  <c r="I156" i="5"/>
  <c r="AN156" i="5"/>
  <c r="B155" i="4"/>
  <c r="C155" i="4"/>
  <c r="C157" i="5"/>
  <c r="D155" i="4"/>
  <c r="E157" i="5"/>
  <c r="H155" i="4"/>
  <c r="K157" i="5"/>
  <c r="L155" i="4"/>
  <c r="Q157" i="5"/>
  <c r="M155" i="4"/>
  <c r="R157" i="5"/>
  <c r="T157" i="5"/>
  <c r="U157" i="5"/>
  <c r="P155" i="4"/>
  <c r="W157" i="5"/>
  <c r="Q155" i="4"/>
  <c r="X157" i="5"/>
  <c r="S155" i="4"/>
  <c r="AA157" i="5"/>
  <c r="AH155" i="4"/>
  <c r="T155" i="4" a="1"/>
  <c r="T155" i="4"/>
  <c r="AC157" i="5"/>
  <c r="U155" i="4" a="1"/>
  <c r="U155" i="4"/>
  <c r="AD157" i="5"/>
  <c r="AF157" i="5"/>
  <c r="AG157" i="5"/>
  <c r="X155" i="4"/>
  <c r="AI157" i="5"/>
  <c r="Y155" i="4"/>
  <c r="AJ157" i="5"/>
  <c r="Z155" i="4"/>
  <c r="AL157" i="5"/>
  <c r="F157" i="5"/>
  <c r="H157" i="5"/>
  <c r="I157" i="5"/>
  <c r="AN157" i="5"/>
  <c r="C156" i="4"/>
  <c r="C158" i="5"/>
  <c r="D156" i="4"/>
  <c r="E158" i="5"/>
  <c r="E156" i="4"/>
  <c r="F158" i="5"/>
  <c r="F156" i="4"/>
  <c r="H158" i="5"/>
  <c r="I158" i="5"/>
  <c r="H156" i="4"/>
  <c r="K158" i="5"/>
  <c r="L156" i="4"/>
  <c r="Q158" i="5"/>
  <c r="M156" i="4"/>
  <c r="R158" i="5"/>
  <c r="T158" i="5"/>
  <c r="U158" i="5"/>
  <c r="P156" i="4"/>
  <c r="W158" i="5"/>
  <c r="Q156" i="4"/>
  <c r="X158" i="5"/>
  <c r="S156" i="4"/>
  <c r="AA158" i="5"/>
  <c r="AH156" i="4"/>
  <c r="T156" i="4" a="1"/>
  <c r="T156" i="4"/>
  <c r="AC158" i="5"/>
  <c r="U156" i="4" a="1"/>
  <c r="U156" i="4"/>
  <c r="AD158" i="5"/>
  <c r="AF158" i="5"/>
  <c r="AG158" i="5"/>
  <c r="X156" i="4"/>
  <c r="AI158" i="5"/>
  <c r="Y156" i="4"/>
  <c r="AJ158" i="5"/>
  <c r="Z156" i="4"/>
  <c r="AL158" i="5"/>
  <c r="AN158" i="5"/>
  <c r="C157" i="4"/>
  <c r="C159" i="5"/>
  <c r="D157" i="4"/>
  <c r="E159" i="5"/>
  <c r="E157" i="4"/>
  <c r="F159" i="5"/>
  <c r="F157" i="4"/>
  <c r="H159" i="5"/>
  <c r="I159" i="5"/>
  <c r="H157" i="4"/>
  <c r="K159" i="5"/>
  <c r="L157" i="4"/>
  <c r="Q159" i="5"/>
  <c r="M157" i="4"/>
  <c r="R159" i="5"/>
  <c r="T159" i="5"/>
  <c r="U159" i="5"/>
  <c r="P157" i="4"/>
  <c r="W159" i="5"/>
  <c r="Q157" i="4"/>
  <c r="X159" i="5"/>
  <c r="S157" i="4"/>
  <c r="AA159" i="5"/>
  <c r="AH157" i="4"/>
  <c r="T157" i="4" a="1"/>
  <c r="T157" i="4"/>
  <c r="AC159" i="5"/>
  <c r="U157" i="4" a="1"/>
  <c r="U157" i="4"/>
  <c r="AD159" i="5"/>
  <c r="AF159" i="5"/>
  <c r="AG159" i="5"/>
  <c r="X157" i="4"/>
  <c r="AI159" i="5"/>
  <c r="Y157" i="4"/>
  <c r="AJ159" i="5"/>
  <c r="Z157" i="4"/>
  <c r="AL159" i="5"/>
  <c r="AN159" i="5"/>
  <c r="C158" i="4"/>
  <c r="C160" i="5"/>
  <c r="D158" i="4"/>
  <c r="E160" i="5"/>
  <c r="E158" i="4"/>
  <c r="F160" i="5"/>
  <c r="F158" i="4"/>
  <c r="H160" i="5"/>
  <c r="I160" i="5"/>
  <c r="H158" i="4"/>
  <c r="K160" i="5"/>
  <c r="L158" i="4"/>
  <c r="Q160" i="5"/>
  <c r="M158" i="4"/>
  <c r="R160" i="5"/>
  <c r="T160" i="5"/>
  <c r="U160" i="5"/>
  <c r="P158" i="4"/>
  <c r="W160" i="5"/>
  <c r="Q158" i="4"/>
  <c r="X160" i="5"/>
  <c r="S158" i="4"/>
  <c r="AA160" i="5"/>
  <c r="AH158" i="4"/>
  <c r="T158" i="4" a="1"/>
  <c r="T158" i="4"/>
  <c r="AC160" i="5"/>
  <c r="U158" i="4" a="1"/>
  <c r="U158" i="4"/>
  <c r="AD160" i="5"/>
  <c r="AF160" i="5"/>
  <c r="AG160" i="5"/>
  <c r="X158" i="4"/>
  <c r="AI160" i="5"/>
  <c r="Y158" i="4"/>
  <c r="AJ160" i="5"/>
  <c r="Z158" i="4"/>
  <c r="AL160" i="5"/>
  <c r="AN160" i="5"/>
  <c r="B159" i="4"/>
  <c r="C47" i="2"/>
  <c r="C159" i="4"/>
  <c r="C161" i="5"/>
  <c r="D47" i="2"/>
  <c r="D159" i="4"/>
  <c r="E161" i="5"/>
  <c r="H47" i="2"/>
  <c r="H159" i="4"/>
  <c r="K161" i="5"/>
  <c r="L47" i="2"/>
  <c r="L159" i="4"/>
  <c r="Q161" i="5"/>
  <c r="M47" i="2"/>
  <c r="M159" i="4"/>
  <c r="R161" i="5"/>
  <c r="N47" i="2"/>
  <c r="N159" i="4"/>
  <c r="T161" i="5"/>
  <c r="O47" i="2"/>
  <c r="O159" i="4"/>
  <c r="U161" i="5"/>
  <c r="P47" i="2"/>
  <c r="P159" i="4"/>
  <c r="W161" i="5"/>
  <c r="Q47" i="2"/>
  <c r="Q159" i="4"/>
  <c r="X161" i="5"/>
  <c r="AA161" i="5"/>
  <c r="AH159" i="4"/>
  <c r="T159" i="4" a="1"/>
  <c r="T159" i="4"/>
  <c r="AC161" i="5"/>
  <c r="U159" i="4" a="1"/>
  <c r="U159" i="4"/>
  <c r="AD161" i="5"/>
  <c r="AF161" i="5"/>
  <c r="AG161" i="5"/>
  <c r="X47" i="2"/>
  <c r="X159" i="4"/>
  <c r="AI161" i="5"/>
  <c r="Y47" i="2"/>
  <c r="Y159" i="4"/>
  <c r="AJ161" i="5"/>
  <c r="Z47" i="2"/>
  <c r="Z159" i="4"/>
  <c r="AL161" i="5"/>
  <c r="F161" i="5"/>
  <c r="AN161" i="5"/>
  <c r="B160" i="4"/>
  <c r="C160" i="4"/>
  <c r="C162" i="5"/>
  <c r="D160" i="4"/>
  <c r="E162" i="5"/>
  <c r="H160" i="4"/>
  <c r="K162" i="5"/>
  <c r="L160" i="4"/>
  <c r="Q162" i="5"/>
  <c r="M160" i="4"/>
  <c r="R162" i="5"/>
  <c r="T162" i="5"/>
  <c r="U162" i="5"/>
  <c r="P160" i="4"/>
  <c r="W162" i="5"/>
  <c r="Q160" i="4"/>
  <c r="X162" i="5"/>
  <c r="AA162" i="5"/>
  <c r="AH160" i="4"/>
  <c r="T160" i="4" a="1"/>
  <c r="T160" i="4"/>
  <c r="AC162" i="5"/>
  <c r="U160" i="4" a="1"/>
  <c r="U160" i="4"/>
  <c r="AD162" i="5"/>
  <c r="AF162" i="5"/>
  <c r="AG162" i="5"/>
  <c r="Y160" i="4"/>
  <c r="AJ162" i="5"/>
  <c r="Z160" i="4"/>
  <c r="AL162" i="5"/>
  <c r="F162" i="5"/>
  <c r="AN162" i="5"/>
  <c r="C161" i="4"/>
  <c r="C163" i="5"/>
  <c r="D161" i="4"/>
  <c r="E163" i="5"/>
  <c r="H161" i="4"/>
  <c r="K163" i="5"/>
  <c r="L161" i="4"/>
  <c r="Q163" i="5"/>
  <c r="M161" i="4"/>
  <c r="R163" i="5"/>
  <c r="T163" i="5"/>
  <c r="U163" i="5"/>
  <c r="P161" i="4"/>
  <c r="W163" i="5"/>
  <c r="Q161" i="4"/>
  <c r="X163" i="5"/>
  <c r="S161" i="4"/>
  <c r="AA163" i="5"/>
  <c r="AH161" i="4"/>
  <c r="T161" i="4" a="1"/>
  <c r="T161" i="4"/>
  <c r="AC163" i="5"/>
  <c r="U161" i="4" a="1"/>
  <c r="U161" i="4"/>
  <c r="AD163" i="5"/>
  <c r="AF163" i="5"/>
  <c r="AG163" i="5"/>
  <c r="X161" i="4"/>
  <c r="AI163" i="5"/>
  <c r="Y161" i="4"/>
  <c r="AJ163" i="5"/>
  <c r="Z161" i="4"/>
  <c r="AL163" i="5"/>
  <c r="F163" i="5"/>
  <c r="AN163" i="5"/>
  <c r="O164" i="5"/>
  <c r="K164" i="5"/>
  <c r="C162" i="4"/>
  <c r="C164" i="5"/>
  <c r="D162" i="4"/>
  <c r="E164" i="5"/>
  <c r="E162" i="4"/>
  <c r="F164" i="5"/>
  <c r="F162" i="4"/>
  <c r="H164" i="5"/>
  <c r="I164" i="5"/>
  <c r="I162" i="4"/>
  <c r="L164" i="5"/>
  <c r="J162" i="4"/>
  <c r="N164" i="5"/>
  <c r="L162" i="4"/>
  <c r="Q164" i="5"/>
  <c r="M162" i="4"/>
  <c r="R164" i="5"/>
  <c r="T164" i="5"/>
  <c r="U164" i="5"/>
  <c r="P162" i="4"/>
  <c r="W164" i="5"/>
  <c r="Q162" i="4"/>
  <c r="X164" i="5"/>
  <c r="S162" i="4"/>
  <c r="AA164" i="5"/>
  <c r="AH162" i="4"/>
  <c r="T162" i="4" a="1"/>
  <c r="T162" i="4"/>
  <c r="AC164" i="5"/>
  <c r="U162" i="4" a="1"/>
  <c r="U162" i="4"/>
  <c r="AD164" i="5"/>
  <c r="AF164" i="5"/>
  <c r="AG164" i="5"/>
  <c r="X162" i="4"/>
  <c r="AI164" i="5"/>
  <c r="Y162" i="4"/>
  <c r="AJ164" i="5"/>
  <c r="Z162" i="4"/>
  <c r="AL164" i="5"/>
  <c r="AN164" i="5"/>
  <c r="O165" i="5"/>
  <c r="H163" i="4"/>
  <c r="K165" i="5"/>
  <c r="C163" i="4"/>
  <c r="C165" i="5"/>
  <c r="D163" i="4"/>
  <c r="E165" i="5"/>
  <c r="E12" i="2"/>
  <c r="E163" i="4"/>
  <c r="F165" i="5"/>
  <c r="F12" i="2"/>
  <c r="F163" i="4"/>
  <c r="H165" i="5"/>
  <c r="I165" i="5"/>
  <c r="L165" i="5"/>
  <c r="J12" i="2"/>
  <c r="J163" i="4"/>
  <c r="N165" i="5"/>
  <c r="L163" i="4"/>
  <c r="Q165" i="5"/>
  <c r="M163" i="4"/>
  <c r="R165" i="5"/>
  <c r="T165" i="5"/>
  <c r="U165" i="5"/>
  <c r="P163" i="4"/>
  <c r="W165" i="5"/>
  <c r="Q163" i="4"/>
  <c r="X165" i="5"/>
  <c r="S163" i="4"/>
  <c r="AA165" i="5"/>
  <c r="AH163" i="4"/>
  <c r="T163" i="4" a="1"/>
  <c r="T163" i="4"/>
  <c r="AC165" i="5"/>
  <c r="U163" i="4" a="1"/>
  <c r="U163" i="4"/>
  <c r="AD165" i="5"/>
  <c r="AF165" i="5"/>
  <c r="AG165" i="5"/>
  <c r="X163" i="4"/>
  <c r="AI165" i="5"/>
  <c r="Y163" i="4"/>
  <c r="AJ165" i="5"/>
  <c r="Z163" i="4"/>
  <c r="AL165" i="5"/>
  <c r="AN165" i="5"/>
  <c r="O166" i="5"/>
  <c r="H164" i="4"/>
  <c r="K166" i="5"/>
  <c r="C164" i="4"/>
  <c r="C166" i="5"/>
  <c r="D164" i="4"/>
  <c r="E166" i="5"/>
  <c r="E35" i="2"/>
  <c r="E33" i="2"/>
  <c r="E164" i="4"/>
  <c r="F166" i="5"/>
  <c r="F35" i="2"/>
  <c r="F33" i="2"/>
  <c r="F164" i="4"/>
  <c r="H166" i="5"/>
  <c r="I166" i="5"/>
  <c r="I35" i="2"/>
  <c r="I164" i="4"/>
  <c r="L166" i="5"/>
  <c r="J35" i="2"/>
  <c r="J164" i="4"/>
  <c r="N166" i="5"/>
  <c r="L164" i="4"/>
  <c r="Q166" i="5"/>
  <c r="M164" i="4"/>
  <c r="R166" i="5"/>
  <c r="T166" i="5"/>
  <c r="U166" i="5"/>
  <c r="P164" i="4"/>
  <c r="W166" i="5"/>
  <c r="Q164" i="4"/>
  <c r="X166" i="5"/>
  <c r="AA166" i="5"/>
  <c r="AH164" i="4"/>
  <c r="T164" i="4" a="1"/>
  <c r="T164" i="4"/>
  <c r="AC166" i="5"/>
  <c r="U164" i="4" a="1"/>
  <c r="U164" i="4"/>
  <c r="AD166" i="5"/>
  <c r="AF166" i="5"/>
  <c r="AG166" i="5"/>
  <c r="X164" i="4"/>
  <c r="AI166" i="5"/>
  <c r="Y164" i="4"/>
  <c r="AJ166" i="5"/>
  <c r="Z164" i="4"/>
  <c r="AL166" i="5"/>
  <c r="AN166" i="5"/>
  <c r="B165" i="4"/>
  <c r="C165" i="4"/>
  <c r="C167" i="5"/>
  <c r="D165" i="4"/>
  <c r="E167" i="5"/>
  <c r="K167" i="5"/>
  <c r="L165" i="4"/>
  <c r="Q167" i="5"/>
  <c r="M165" i="4"/>
  <c r="R167" i="5"/>
  <c r="T167" i="5"/>
  <c r="U167" i="5"/>
  <c r="P165" i="4"/>
  <c r="W167" i="5"/>
  <c r="Q165" i="4"/>
  <c r="X167" i="5"/>
  <c r="S165" i="4"/>
  <c r="AA167" i="5"/>
  <c r="AH165" i="4"/>
  <c r="T165" i="4" a="1"/>
  <c r="T165" i="4"/>
  <c r="AC167" i="5"/>
  <c r="U165" i="4" a="1"/>
  <c r="U165" i="4"/>
  <c r="AD167" i="5"/>
  <c r="AF167" i="5"/>
  <c r="AG167" i="5"/>
  <c r="X165" i="4"/>
  <c r="AI167" i="5"/>
  <c r="Y165" i="4"/>
  <c r="AJ167" i="5"/>
  <c r="Z165" i="4"/>
  <c r="AL167" i="5"/>
  <c r="AN167" i="5"/>
  <c r="C166" i="4"/>
  <c r="C168" i="5"/>
  <c r="E168" i="5"/>
  <c r="K168" i="5"/>
  <c r="L166" i="4"/>
  <c r="Q168" i="5"/>
  <c r="T168" i="5"/>
  <c r="U168" i="5"/>
  <c r="P166" i="4"/>
  <c r="W168" i="5"/>
  <c r="Q166" i="4"/>
  <c r="X168" i="5"/>
  <c r="S166" i="4"/>
  <c r="AA168" i="5"/>
  <c r="AH166" i="4"/>
  <c r="T166" i="4" a="1"/>
  <c r="T166" i="4"/>
  <c r="AC168" i="5"/>
  <c r="U166" i="4" a="1"/>
  <c r="U166" i="4"/>
  <c r="AD168" i="5"/>
  <c r="AF168" i="5"/>
  <c r="AG168" i="5"/>
  <c r="X166" i="4"/>
  <c r="AI168" i="5"/>
  <c r="Y166" i="4"/>
  <c r="AJ168" i="5"/>
  <c r="Z166" i="4"/>
  <c r="AL168" i="5"/>
  <c r="AN168" i="5"/>
  <c r="C167" i="4"/>
  <c r="C169" i="5"/>
  <c r="D167" i="4"/>
  <c r="E169" i="5"/>
  <c r="K169" i="5"/>
  <c r="L167" i="4"/>
  <c r="Q169" i="5"/>
  <c r="M167" i="4"/>
  <c r="R169" i="5"/>
  <c r="T169" i="5"/>
  <c r="U169" i="5"/>
  <c r="P167" i="4"/>
  <c r="W169" i="5"/>
  <c r="Q167" i="4"/>
  <c r="X169" i="5"/>
  <c r="S167" i="4"/>
  <c r="AA169" i="5"/>
  <c r="AH167" i="4"/>
  <c r="T167" i="4" a="1"/>
  <c r="T167" i="4"/>
  <c r="AC169" i="5"/>
  <c r="U167" i="4" a="1"/>
  <c r="U167" i="4"/>
  <c r="AD169" i="5"/>
  <c r="AF169" i="5"/>
  <c r="AG169" i="5"/>
  <c r="X167" i="4"/>
  <c r="AI169" i="5"/>
  <c r="Y167" i="4"/>
  <c r="AJ169" i="5"/>
  <c r="Z167" i="4"/>
  <c r="AL169" i="5"/>
  <c r="AN169" i="5"/>
  <c r="C168" i="4"/>
  <c r="C170" i="5"/>
  <c r="D168" i="4"/>
  <c r="E170" i="5"/>
  <c r="H168" i="4"/>
  <c r="K170" i="5"/>
  <c r="L168" i="4"/>
  <c r="Q170" i="5"/>
  <c r="M168" i="4"/>
  <c r="R170" i="5"/>
  <c r="T170" i="5"/>
  <c r="U170" i="5"/>
  <c r="P168" i="4"/>
  <c r="W170" i="5"/>
  <c r="Q168" i="4"/>
  <c r="X170" i="5"/>
  <c r="S168" i="4"/>
  <c r="AA170" i="5"/>
  <c r="AH168" i="4"/>
  <c r="T168" i="4" a="1"/>
  <c r="T168" i="4"/>
  <c r="AC170" i="5"/>
  <c r="U168" i="4" a="1"/>
  <c r="U168" i="4"/>
  <c r="AD170" i="5"/>
  <c r="AF170" i="5"/>
  <c r="AG170" i="5"/>
  <c r="X168" i="4"/>
  <c r="AI170" i="5"/>
  <c r="Y168" i="4"/>
  <c r="AJ170" i="5"/>
  <c r="Z168" i="4"/>
  <c r="AL170" i="5"/>
  <c r="AN170" i="5"/>
  <c r="B169" i="4"/>
  <c r="C169" i="4"/>
  <c r="C171" i="5"/>
  <c r="D169" i="4"/>
  <c r="E171" i="5"/>
  <c r="K171" i="5"/>
  <c r="L169" i="4"/>
  <c r="Q171" i="5"/>
  <c r="M169" i="4"/>
  <c r="R171" i="5"/>
  <c r="T171" i="5"/>
  <c r="U171" i="5"/>
  <c r="P169" i="4"/>
  <c r="W171" i="5"/>
  <c r="Q169" i="4"/>
  <c r="X171" i="5"/>
  <c r="S169" i="4"/>
  <c r="AA171" i="5"/>
  <c r="AH169" i="4"/>
  <c r="T169" i="4" a="1"/>
  <c r="T169" i="4"/>
  <c r="AC171" i="5"/>
  <c r="U169" i="4" a="1"/>
  <c r="U169" i="4"/>
  <c r="AD171" i="5"/>
  <c r="AF171" i="5"/>
  <c r="AG171" i="5"/>
  <c r="X169" i="4"/>
  <c r="AI171" i="5"/>
  <c r="Y169" i="4"/>
  <c r="AJ171" i="5"/>
  <c r="Z169" i="4"/>
  <c r="AL171" i="5"/>
  <c r="AN171" i="5"/>
  <c r="B170" i="4"/>
  <c r="C170" i="4"/>
  <c r="C172" i="5"/>
  <c r="D170" i="4"/>
  <c r="E172" i="5"/>
  <c r="K172" i="5"/>
  <c r="L170" i="4"/>
  <c r="Q172" i="5"/>
  <c r="M170" i="4"/>
  <c r="R172" i="5"/>
  <c r="T172" i="5"/>
  <c r="U172" i="5"/>
  <c r="P170" i="4"/>
  <c r="W172" i="5"/>
  <c r="Q170" i="4"/>
  <c r="X172" i="5"/>
  <c r="AA172" i="5"/>
  <c r="AH170" i="4"/>
  <c r="T170" i="4" a="1"/>
  <c r="T170" i="4"/>
  <c r="AC172" i="5"/>
  <c r="U170" i="4" a="1"/>
  <c r="U170" i="4"/>
  <c r="AD172" i="5"/>
  <c r="AF172" i="5"/>
  <c r="AG172" i="5"/>
  <c r="X170" i="4"/>
  <c r="AI172" i="5"/>
  <c r="Y170" i="4"/>
  <c r="AJ172" i="5"/>
  <c r="Z170" i="4"/>
  <c r="AL172" i="5"/>
  <c r="AN172" i="5"/>
  <c r="S171" i="4"/>
  <c r="AA173" i="5"/>
  <c r="P171" i="4"/>
  <c r="W173" i="5"/>
  <c r="O173" i="5"/>
  <c r="K173" i="5"/>
  <c r="C171" i="4"/>
  <c r="C173" i="5"/>
  <c r="D171" i="4"/>
  <c r="E173" i="5"/>
  <c r="E171" i="4"/>
  <c r="F173" i="5"/>
  <c r="F171" i="4"/>
  <c r="H173" i="5"/>
  <c r="I173" i="5"/>
  <c r="L171" i="4"/>
  <c r="Q173" i="5"/>
  <c r="M171" i="4"/>
  <c r="R173" i="5"/>
  <c r="T173" i="5"/>
  <c r="U173" i="5"/>
  <c r="Q171" i="4"/>
  <c r="X173" i="5"/>
  <c r="R15" i="2"/>
  <c r="R29" i="2"/>
  <c r="R171" i="4"/>
  <c r="Z173" i="5"/>
  <c r="AH171" i="4"/>
  <c r="T171" i="4" a="1"/>
  <c r="T171" i="4"/>
  <c r="AC173" i="5"/>
  <c r="U171" i="4" a="1"/>
  <c r="U171" i="4"/>
  <c r="AD173" i="5"/>
  <c r="AF173" i="5"/>
  <c r="AG173" i="5"/>
  <c r="X171" i="4"/>
  <c r="AI173" i="5"/>
  <c r="Y171" i="4"/>
  <c r="AJ173" i="5"/>
  <c r="Z171" i="4"/>
  <c r="AL173" i="5"/>
  <c r="AN173" i="5"/>
  <c r="B172" i="4"/>
  <c r="S172" i="4"/>
  <c r="AA174" i="5"/>
  <c r="P172" i="4"/>
  <c r="W174" i="5"/>
  <c r="O174" i="5"/>
  <c r="H172" i="4"/>
  <c r="K174" i="5"/>
  <c r="C172" i="4"/>
  <c r="C174" i="5"/>
  <c r="D172" i="4"/>
  <c r="E174" i="5"/>
  <c r="E172" i="4"/>
  <c r="F174" i="5"/>
  <c r="F172" i="4"/>
  <c r="H174" i="5"/>
  <c r="I174" i="5"/>
  <c r="I38" i="2"/>
  <c r="I172" i="4"/>
  <c r="L174" i="5"/>
  <c r="J38" i="2"/>
  <c r="J172" i="4"/>
  <c r="N174" i="5"/>
  <c r="L172" i="4"/>
  <c r="Q174" i="5"/>
  <c r="M172" i="4"/>
  <c r="R174" i="5"/>
  <c r="T174" i="5"/>
  <c r="U174" i="5"/>
  <c r="Q172" i="4"/>
  <c r="X174" i="5"/>
  <c r="R2" i="2"/>
  <c r="R172" i="4"/>
  <c r="Z174" i="5"/>
  <c r="AH172" i="4"/>
  <c r="T172" i="4" a="1"/>
  <c r="T172" i="4"/>
  <c r="AC174" i="5"/>
  <c r="U172" i="4" a="1"/>
  <c r="U172" i="4"/>
  <c r="AD174" i="5"/>
  <c r="AF174" i="5"/>
  <c r="AG174" i="5"/>
  <c r="X172" i="4"/>
  <c r="AI174" i="5"/>
  <c r="Y172" i="4"/>
  <c r="AJ174" i="5"/>
  <c r="Z172" i="4"/>
  <c r="AL174" i="5"/>
  <c r="AN174" i="5"/>
  <c r="AA175" i="5"/>
  <c r="P173" i="4"/>
  <c r="W175" i="5"/>
  <c r="O175" i="5"/>
  <c r="K175" i="5"/>
  <c r="C173" i="4"/>
  <c r="C175" i="5"/>
  <c r="D173" i="4"/>
  <c r="E175" i="5"/>
  <c r="L175" i="5"/>
  <c r="N175" i="5"/>
  <c r="L173" i="4"/>
  <c r="Q175" i="5"/>
  <c r="U175" i="5"/>
  <c r="Q173" i="4"/>
  <c r="X175" i="5"/>
  <c r="R173" i="4"/>
  <c r="Z175" i="5"/>
  <c r="AC175" i="5"/>
  <c r="AD175" i="5"/>
  <c r="AF175" i="5"/>
  <c r="AG175" i="5"/>
  <c r="X173" i="4"/>
  <c r="AI175" i="5"/>
  <c r="Y173" i="4"/>
  <c r="AJ175" i="5"/>
  <c r="Z173" i="4"/>
  <c r="AL175" i="5"/>
  <c r="F175" i="5"/>
  <c r="R175" i="5"/>
  <c r="T175" i="5"/>
  <c r="AN175" i="5"/>
  <c r="AA176" i="5"/>
  <c r="P174" i="4"/>
  <c r="W176" i="5"/>
  <c r="O176" i="5"/>
  <c r="K176" i="5"/>
  <c r="C174" i="4"/>
  <c r="C176" i="5"/>
  <c r="D174" i="4"/>
  <c r="E176" i="5"/>
  <c r="L176" i="5"/>
  <c r="N176" i="5"/>
  <c r="L174" i="4"/>
  <c r="Q176" i="5"/>
  <c r="U176" i="5"/>
  <c r="Q174" i="4"/>
  <c r="X176" i="5"/>
  <c r="R174" i="4"/>
  <c r="Z176" i="5"/>
  <c r="AC176" i="5"/>
  <c r="AD176" i="5"/>
  <c r="AF176" i="5"/>
  <c r="AG176" i="5"/>
  <c r="X174" i="4"/>
  <c r="AI176" i="5"/>
  <c r="Y174" i="4"/>
  <c r="AJ176" i="5"/>
  <c r="Z174" i="4"/>
  <c r="AL176" i="5"/>
  <c r="F176" i="5"/>
  <c r="R176" i="5"/>
  <c r="T176" i="5"/>
  <c r="AN176" i="5"/>
  <c r="AA177" i="5"/>
  <c r="P175" i="4"/>
  <c r="W177" i="5"/>
  <c r="O177" i="5"/>
  <c r="H175" i="4"/>
  <c r="K177" i="5"/>
  <c r="C175" i="4"/>
  <c r="C177" i="5"/>
  <c r="D175" i="4"/>
  <c r="E177" i="5"/>
  <c r="L177" i="5"/>
  <c r="J25" i="2"/>
  <c r="J175" i="4"/>
  <c r="N177" i="5"/>
  <c r="L175" i="4"/>
  <c r="Q177" i="5"/>
  <c r="M175" i="4"/>
  <c r="R177" i="5"/>
  <c r="T177" i="5"/>
  <c r="U177" i="5"/>
  <c r="Q175" i="4"/>
  <c r="X177" i="5"/>
  <c r="R12" i="2"/>
  <c r="R175" i="4"/>
  <c r="Z177" i="5"/>
  <c r="AC177" i="5"/>
  <c r="AD177" i="5"/>
  <c r="AF177" i="5"/>
  <c r="AG177" i="5"/>
  <c r="X175" i="4"/>
  <c r="AI177" i="5"/>
  <c r="Y175" i="4"/>
  <c r="AJ177" i="5"/>
  <c r="Z175" i="4"/>
  <c r="AL177" i="5"/>
  <c r="F177" i="5"/>
  <c r="AN177" i="5"/>
  <c r="B176" i="4"/>
  <c r="C176" i="4"/>
  <c r="C178" i="5"/>
  <c r="D176" i="4"/>
  <c r="E178" i="5"/>
  <c r="H176" i="4"/>
  <c r="K178" i="5"/>
  <c r="L176" i="4"/>
  <c r="Q178" i="5"/>
  <c r="M176" i="4"/>
  <c r="R178" i="5"/>
  <c r="T178" i="5"/>
  <c r="U178" i="5"/>
  <c r="P176" i="4"/>
  <c r="W178" i="5"/>
  <c r="Q176" i="4"/>
  <c r="X178" i="5"/>
  <c r="S176" i="4"/>
  <c r="AA178" i="5"/>
  <c r="AH176" i="4"/>
  <c r="T176" i="4" a="1"/>
  <c r="T176" i="4"/>
  <c r="AC178" i="5"/>
  <c r="U176" i="4" a="1"/>
  <c r="U176" i="4"/>
  <c r="AD178" i="5"/>
  <c r="AF178" i="5"/>
  <c r="AG178" i="5"/>
  <c r="X176" i="4"/>
  <c r="AI178" i="5"/>
  <c r="Y176" i="4"/>
  <c r="AJ178" i="5"/>
  <c r="Z176" i="4"/>
  <c r="AL178" i="5"/>
  <c r="F178" i="5"/>
  <c r="L178" i="5"/>
  <c r="N178" i="5"/>
  <c r="O178" i="5"/>
  <c r="Z178" i="5"/>
  <c r="AN178" i="5"/>
  <c r="C177" i="4"/>
  <c r="C179" i="5"/>
  <c r="D177" i="4"/>
  <c r="E179" i="5"/>
  <c r="E177" i="4"/>
  <c r="F179" i="5"/>
  <c r="F177" i="4"/>
  <c r="H179" i="5"/>
  <c r="I179" i="5"/>
  <c r="H177" i="4"/>
  <c r="K179" i="5"/>
  <c r="L177" i="4"/>
  <c r="Q179" i="5"/>
  <c r="M177" i="4"/>
  <c r="R179" i="5"/>
  <c r="T179" i="5"/>
  <c r="U179" i="5"/>
  <c r="P177" i="4"/>
  <c r="W179" i="5"/>
  <c r="Q177" i="4"/>
  <c r="X179" i="5"/>
  <c r="S177" i="4"/>
  <c r="AA179" i="5"/>
  <c r="AH177" i="4"/>
  <c r="T177" i="4" a="1"/>
  <c r="T177" i="4"/>
  <c r="AC179" i="5"/>
  <c r="U177" i="4" a="1"/>
  <c r="U177" i="4"/>
  <c r="AD179" i="5"/>
  <c r="AF179" i="5"/>
  <c r="AG179" i="5"/>
  <c r="X177" i="4"/>
  <c r="AI179" i="5"/>
  <c r="Y177" i="4"/>
  <c r="AJ179" i="5"/>
  <c r="Z177" i="4"/>
  <c r="AL179" i="5"/>
  <c r="L179" i="5"/>
  <c r="N179" i="5"/>
  <c r="O179" i="5"/>
  <c r="Z179" i="5"/>
  <c r="AN179" i="5"/>
  <c r="B178" i="4"/>
  <c r="S178" i="4"/>
  <c r="AA180" i="5"/>
  <c r="P178" i="4"/>
  <c r="W180" i="5"/>
  <c r="O180" i="5"/>
  <c r="K180" i="5"/>
  <c r="C178" i="4"/>
  <c r="C180" i="5"/>
  <c r="D178" i="4"/>
  <c r="E180" i="5"/>
  <c r="E178" i="4"/>
  <c r="F180" i="5"/>
  <c r="F178" i="4"/>
  <c r="H180" i="5"/>
  <c r="I180" i="5"/>
  <c r="I178" i="4"/>
  <c r="L180" i="5"/>
  <c r="J178" i="4"/>
  <c r="N180" i="5"/>
  <c r="L178" i="4"/>
  <c r="Q180" i="5"/>
  <c r="M178" i="4"/>
  <c r="R180" i="5"/>
  <c r="T180" i="5"/>
  <c r="U180" i="5"/>
  <c r="Q178" i="4"/>
  <c r="X180" i="5"/>
  <c r="R178" i="4"/>
  <c r="Z180" i="5"/>
  <c r="AH178" i="4"/>
  <c r="T178" i="4" a="1"/>
  <c r="T178" i="4"/>
  <c r="AC180" i="5"/>
  <c r="U178" i="4" a="1"/>
  <c r="U178" i="4"/>
  <c r="AD180" i="5"/>
  <c r="AF180" i="5"/>
  <c r="AG180" i="5"/>
  <c r="X178" i="4"/>
  <c r="AI180" i="5"/>
  <c r="Y178" i="4"/>
  <c r="AJ180" i="5"/>
  <c r="Z178" i="4"/>
  <c r="AL180" i="5"/>
  <c r="AN180" i="5"/>
  <c r="B179" i="4"/>
  <c r="S179" i="4"/>
  <c r="AA181" i="5"/>
  <c r="P179" i="4"/>
  <c r="W181" i="5"/>
  <c r="O181" i="5"/>
  <c r="H3" i="2"/>
  <c r="H179" i="4"/>
  <c r="K181" i="5"/>
  <c r="C179" i="4"/>
  <c r="C181" i="5"/>
  <c r="D179" i="4"/>
  <c r="E181" i="5"/>
  <c r="E179" i="4"/>
  <c r="F181" i="5"/>
  <c r="F179" i="4"/>
  <c r="H181" i="5"/>
  <c r="I181" i="5"/>
  <c r="I179" i="4"/>
  <c r="L181" i="5"/>
  <c r="J179" i="4"/>
  <c r="N181" i="5"/>
  <c r="L179" i="4"/>
  <c r="Q181" i="5"/>
  <c r="M179" i="4"/>
  <c r="R181" i="5"/>
  <c r="T181" i="5"/>
  <c r="U181" i="5"/>
  <c r="Q179" i="4"/>
  <c r="X181" i="5"/>
  <c r="R40" i="2"/>
  <c r="R19" i="2"/>
  <c r="R3" i="2"/>
  <c r="R179" i="4"/>
  <c r="Z181" i="5"/>
  <c r="AH179" i="4"/>
  <c r="T179" i="4" a="1"/>
  <c r="T179" i="4"/>
  <c r="AC181" i="5"/>
  <c r="U179" i="4" a="1"/>
  <c r="U179" i="4"/>
  <c r="AD181" i="5"/>
  <c r="AF181" i="5"/>
  <c r="AG181" i="5"/>
  <c r="X179" i="4"/>
  <c r="AI181" i="5"/>
  <c r="Y179" i="4"/>
  <c r="AJ181" i="5"/>
  <c r="Z179" i="4"/>
  <c r="AL181" i="5"/>
  <c r="AN181" i="5"/>
  <c r="B180" i="4"/>
  <c r="S180" i="4"/>
  <c r="AA182" i="5"/>
  <c r="P180" i="4"/>
  <c r="W182" i="5"/>
  <c r="O182" i="5"/>
  <c r="H180" i="4"/>
  <c r="K182" i="5"/>
  <c r="C180" i="4"/>
  <c r="C182" i="5"/>
  <c r="D180" i="4"/>
  <c r="E182" i="5"/>
  <c r="E180" i="4"/>
  <c r="F182" i="5"/>
  <c r="F180" i="4"/>
  <c r="H182" i="5"/>
  <c r="I182" i="5"/>
  <c r="I180" i="4"/>
  <c r="L182" i="5"/>
  <c r="J180" i="4"/>
  <c r="N182" i="5"/>
  <c r="L180" i="4"/>
  <c r="Q182" i="5"/>
  <c r="M180" i="4"/>
  <c r="R182" i="5"/>
  <c r="T182" i="5"/>
  <c r="U182" i="5"/>
  <c r="Q180" i="4"/>
  <c r="X182" i="5"/>
  <c r="R21" i="2"/>
  <c r="R180" i="4"/>
  <c r="Z182" i="5"/>
  <c r="AH180" i="4"/>
  <c r="T180" i="4" a="1"/>
  <c r="T180" i="4"/>
  <c r="AC182" i="5"/>
  <c r="U180" i="4" a="1"/>
  <c r="U180" i="4"/>
  <c r="AD182" i="5"/>
  <c r="AF182" i="5"/>
  <c r="AG182" i="5"/>
  <c r="X180" i="4"/>
  <c r="AI182" i="5"/>
  <c r="Y180" i="4"/>
  <c r="AJ182" i="5"/>
  <c r="Z180" i="4"/>
  <c r="AL182" i="5"/>
  <c r="AN182" i="5"/>
  <c r="B181" i="4"/>
  <c r="S181" i="4"/>
  <c r="AA183" i="5"/>
  <c r="P181" i="4"/>
  <c r="W183" i="5"/>
  <c r="O183" i="5"/>
  <c r="K183" i="5"/>
  <c r="C181" i="4"/>
  <c r="C183" i="5"/>
  <c r="D181" i="4"/>
  <c r="E183" i="5"/>
  <c r="E181" i="4"/>
  <c r="F183" i="5"/>
  <c r="F181" i="4"/>
  <c r="H183" i="5"/>
  <c r="I183" i="5"/>
  <c r="I181" i="4"/>
  <c r="L183" i="5"/>
  <c r="J181" i="4"/>
  <c r="N183" i="5"/>
  <c r="L181" i="4"/>
  <c r="Q183" i="5"/>
  <c r="M181" i="4"/>
  <c r="R183" i="5"/>
  <c r="T183" i="5"/>
  <c r="U183" i="5"/>
  <c r="Q181" i="4"/>
  <c r="X183" i="5"/>
  <c r="R181" i="4"/>
  <c r="Z183" i="5"/>
  <c r="AH181" i="4"/>
  <c r="T181" i="4" a="1"/>
  <c r="T181" i="4"/>
  <c r="AC183" i="5"/>
  <c r="U181" i="4" a="1"/>
  <c r="U181" i="4"/>
  <c r="AD183" i="5"/>
  <c r="AF183" i="5"/>
  <c r="AG183" i="5"/>
  <c r="X181" i="4"/>
  <c r="AI183" i="5"/>
  <c r="Y181" i="4"/>
  <c r="AJ183" i="5"/>
  <c r="Z181" i="4"/>
  <c r="AL183" i="5"/>
  <c r="AN183" i="5"/>
  <c r="B182" i="4"/>
  <c r="S182" i="4"/>
  <c r="AA184" i="5"/>
  <c r="P182" i="4"/>
  <c r="W184" i="5"/>
  <c r="O184" i="5"/>
  <c r="K184" i="5"/>
  <c r="C182" i="4"/>
  <c r="C184" i="5"/>
  <c r="D182" i="4"/>
  <c r="E184" i="5"/>
  <c r="E182" i="4"/>
  <c r="F184" i="5"/>
  <c r="F182" i="4"/>
  <c r="H184" i="5"/>
  <c r="I184" i="5"/>
  <c r="I182" i="4"/>
  <c r="L184" i="5"/>
  <c r="J182" i="4"/>
  <c r="N184" i="5"/>
  <c r="L182" i="4"/>
  <c r="Q184" i="5"/>
  <c r="M182" i="4"/>
  <c r="R184" i="5"/>
  <c r="T184" i="5"/>
  <c r="U184" i="5"/>
  <c r="Q182" i="4"/>
  <c r="X184" i="5"/>
  <c r="R182" i="4"/>
  <c r="Z184" i="5"/>
  <c r="AH182" i="4"/>
  <c r="T182" i="4" a="1"/>
  <c r="T182" i="4"/>
  <c r="AC184" i="5"/>
  <c r="U182" i="4" a="1"/>
  <c r="U182" i="4"/>
  <c r="AD184" i="5"/>
  <c r="AF184" i="5"/>
  <c r="AG184" i="5"/>
  <c r="X182" i="4"/>
  <c r="AI184" i="5"/>
  <c r="Y182" i="4"/>
  <c r="AJ184" i="5"/>
  <c r="Z182" i="4"/>
  <c r="AL184" i="5"/>
  <c r="AN184" i="5"/>
  <c r="S183" i="4"/>
  <c r="AA185" i="5"/>
  <c r="P183" i="4"/>
  <c r="W185" i="5"/>
  <c r="O185" i="5"/>
  <c r="H183" i="4"/>
  <c r="K185" i="5"/>
  <c r="C183" i="4"/>
  <c r="C185" i="5"/>
  <c r="D183" i="4"/>
  <c r="E185" i="5"/>
  <c r="E183" i="4"/>
  <c r="F185" i="5"/>
  <c r="F183" i="4"/>
  <c r="H185" i="5"/>
  <c r="I185" i="5"/>
  <c r="I183" i="4"/>
  <c r="L185" i="5"/>
  <c r="J183" i="4"/>
  <c r="N185" i="5"/>
  <c r="L183" i="4"/>
  <c r="Q185" i="5"/>
  <c r="M183" i="4"/>
  <c r="R185" i="5"/>
  <c r="T185" i="5"/>
  <c r="U185" i="5"/>
  <c r="Q183" i="4"/>
  <c r="X185" i="5"/>
  <c r="R183" i="4"/>
  <c r="Z185" i="5"/>
  <c r="AH183" i="4"/>
  <c r="T183" i="4" a="1"/>
  <c r="T183" i="4"/>
  <c r="AC185" i="5"/>
  <c r="U183" i="4" a="1"/>
  <c r="U183" i="4"/>
  <c r="AD185" i="5"/>
  <c r="AF185" i="5"/>
  <c r="AG185" i="5"/>
  <c r="X183" i="4"/>
  <c r="AI185" i="5"/>
  <c r="Y183" i="4"/>
  <c r="AJ185" i="5"/>
  <c r="Z183" i="4"/>
  <c r="AL185" i="5"/>
  <c r="AN185" i="5"/>
  <c r="B184" i="4"/>
  <c r="S184" i="4"/>
  <c r="AA186" i="5"/>
  <c r="P184" i="4"/>
  <c r="W186" i="5"/>
  <c r="O186" i="5"/>
  <c r="K186" i="5"/>
  <c r="C184" i="4"/>
  <c r="C186" i="5"/>
  <c r="D184" i="4"/>
  <c r="E186" i="5"/>
  <c r="E184" i="4"/>
  <c r="F186" i="5"/>
  <c r="F184" i="4"/>
  <c r="H186" i="5"/>
  <c r="I186" i="5"/>
  <c r="I184" i="4"/>
  <c r="L186" i="5"/>
  <c r="J184" i="4"/>
  <c r="N186" i="5"/>
  <c r="L184" i="4"/>
  <c r="Q186" i="5"/>
  <c r="M184" i="4"/>
  <c r="R186" i="5"/>
  <c r="T186" i="5"/>
  <c r="U186" i="5"/>
  <c r="Q184" i="4"/>
  <c r="X186" i="5"/>
  <c r="R39" i="2"/>
  <c r="R184" i="4"/>
  <c r="Z186" i="5"/>
  <c r="AH184" i="4"/>
  <c r="T184" i="4" a="1"/>
  <c r="T184" i="4"/>
  <c r="AC186" i="5"/>
  <c r="U184" i="4" a="1"/>
  <c r="U184" i="4"/>
  <c r="AD186" i="5"/>
  <c r="AF186" i="5"/>
  <c r="AG186" i="5"/>
  <c r="X184" i="4"/>
  <c r="AI186" i="5"/>
  <c r="Y184" i="4"/>
  <c r="AJ186" i="5"/>
  <c r="Z184" i="4"/>
  <c r="AL186" i="5"/>
  <c r="AN186" i="5"/>
  <c r="B185" i="4"/>
  <c r="S185" i="4"/>
  <c r="AA187" i="5"/>
  <c r="P185" i="4"/>
  <c r="W187" i="5"/>
  <c r="O187" i="5"/>
  <c r="K187" i="5"/>
  <c r="C185" i="4"/>
  <c r="C187" i="5"/>
  <c r="D185" i="4"/>
  <c r="E187" i="5"/>
  <c r="E185" i="4"/>
  <c r="F187" i="5"/>
  <c r="F185" i="4"/>
  <c r="H187" i="5"/>
  <c r="I187" i="5"/>
  <c r="I32" i="2"/>
  <c r="I31" i="2"/>
  <c r="I185" i="4"/>
  <c r="L187" i="5"/>
  <c r="J32" i="2"/>
  <c r="J31" i="2"/>
  <c r="J185" i="4"/>
  <c r="N187" i="5"/>
  <c r="L185" i="4"/>
  <c r="Q187" i="5"/>
  <c r="M185" i="4"/>
  <c r="R187" i="5"/>
  <c r="T187" i="5"/>
  <c r="U187" i="5"/>
  <c r="Q185" i="4"/>
  <c r="X187" i="5"/>
  <c r="R185" i="4"/>
  <c r="Z187" i="5"/>
  <c r="AH185" i="4"/>
  <c r="T185" i="4" a="1"/>
  <c r="T185" i="4"/>
  <c r="AC187" i="5"/>
  <c r="U185" i="4" a="1"/>
  <c r="U185" i="4"/>
  <c r="AD187" i="5"/>
  <c r="AF187" i="5"/>
  <c r="AG187" i="5"/>
  <c r="X185" i="4"/>
  <c r="AI187" i="5"/>
  <c r="Y185" i="4"/>
  <c r="AJ187" i="5"/>
  <c r="Z185" i="4"/>
  <c r="AL187" i="5"/>
  <c r="AN187" i="5"/>
  <c r="AA188" i="5"/>
  <c r="P186" i="4"/>
  <c r="W188" i="5"/>
  <c r="O188" i="5"/>
  <c r="K188" i="5"/>
  <c r="C186" i="4"/>
  <c r="C188" i="5"/>
  <c r="D186" i="4"/>
  <c r="E188" i="5"/>
  <c r="L188" i="5"/>
  <c r="N188" i="5"/>
  <c r="L186" i="4"/>
  <c r="Q188" i="5"/>
  <c r="U188" i="5"/>
  <c r="Q186" i="4"/>
  <c r="X188" i="5"/>
  <c r="R186" i="4"/>
  <c r="Z188" i="5"/>
  <c r="AC188" i="5"/>
  <c r="AD188" i="5"/>
  <c r="AF188" i="5"/>
  <c r="AG188" i="5"/>
  <c r="X186" i="4"/>
  <c r="AI188" i="5"/>
  <c r="Y186" i="4"/>
  <c r="AJ188" i="5"/>
  <c r="Z186" i="4"/>
  <c r="AL188" i="5"/>
  <c r="R188" i="5"/>
  <c r="T188" i="5"/>
  <c r="AN188" i="5"/>
  <c r="C187" i="4"/>
  <c r="C189" i="5"/>
  <c r="D187" i="4"/>
  <c r="E189" i="5"/>
  <c r="K189" i="5"/>
  <c r="L187" i="4"/>
  <c r="Q189" i="5"/>
  <c r="M187" i="4"/>
  <c r="R189" i="5"/>
  <c r="T189" i="5"/>
  <c r="U189" i="5"/>
  <c r="P187" i="4"/>
  <c r="W189" i="5"/>
  <c r="Q187" i="4"/>
  <c r="X189" i="5"/>
  <c r="S187" i="4"/>
  <c r="AA189" i="5"/>
  <c r="AH187" i="4"/>
  <c r="T187" i="4" a="1"/>
  <c r="T187" i="4"/>
  <c r="AC189" i="5"/>
  <c r="U187" i="4" a="1"/>
  <c r="U187" i="4"/>
  <c r="AD189" i="5"/>
  <c r="AF189" i="5"/>
  <c r="AG189" i="5"/>
  <c r="X187" i="4"/>
  <c r="AI189" i="5"/>
  <c r="Y187" i="4"/>
  <c r="AJ189" i="5"/>
  <c r="Z187" i="4"/>
  <c r="AL189" i="5"/>
  <c r="AN189" i="5"/>
  <c r="C188" i="4"/>
  <c r="C190" i="5"/>
  <c r="D188" i="4"/>
  <c r="E190" i="5"/>
  <c r="H188" i="4"/>
  <c r="K190" i="5"/>
  <c r="L188" i="4"/>
  <c r="Q190" i="5"/>
  <c r="M188" i="4"/>
  <c r="R190" i="5"/>
  <c r="T190" i="5"/>
  <c r="U190" i="5"/>
  <c r="P188" i="4"/>
  <c r="W190" i="5"/>
  <c r="Q188" i="4"/>
  <c r="X190" i="5"/>
  <c r="AA190" i="5"/>
  <c r="AH188" i="4"/>
  <c r="T188" i="4" a="1"/>
  <c r="T188" i="4"/>
  <c r="AC190" i="5"/>
  <c r="U188" i="4" a="1"/>
  <c r="U188" i="4"/>
  <c r="AD190" i="5"/>
  <c r="AF190" i="5"/>
  <c r="AG190" i="5"/>
  <c r="X188" i="4"/>
  <c r="AI190" i="5"/>
  <c r="Y188" i="4"/>
  <c r="AJ190" i="5"/>
  <c r="Z188" i="4"/>
  <c r="AL190" i="5"/>
  <c r="AN190" i="5"/>
  <c r="C189" i="4"/>
  <c r="C191" i="5"/>
  <c r="D189" i="4"/>
  <c r="E191" i="5"/>
  <c r="H189" i="4"/>
  <c r="K191" i="5"/>
  <c r="L189" i="4"/>
  <c r="Q191" i="5"/>
  <c r="M189" i="4"/>
  <c r="R191" i="5"/>
  <c r="T191" i="5"/>
  <c r="U191" i="5"/>
  <c r="P189" i="4"/>
  <c r="W191" i="5"/>
  <c r="Q189" i="4"/>
  <c r="X191" i="5"/>
  <c r="AA191" i="5"/>
  <c r="AH189" i="4"/>
  <c r="T189" i="4" a="1"/>
  <c r="T189" i="4"/>
  <c r="AC191" i="5"/>
  <c r="U189" i="4" a="1"/>
  <c r="U189" i="4"/>
  <c r="AD191" i="5"/>
  <c r="AF191" i="5"/>
  <c r="AG191" i="5"/>
  <c r="X189" i="4"/>
  <c r="AI191" i="5"/>
  <c r="Y189" i="4"/>
  <c r="AJ191" i="5"/>
  <c r="Z189" i="4"/>
  <c r="AL191" i="5"/>
  <c r="AN191" i="5"/>
  <c r="C190" i="4"/>
  <c r="C192" i="5"/>
  <c r="D190" i="4"/>
  <c r="E192" i="5"/>
  <c r="H190" i="4"/>
  <c r="K192" i="5"/>
  <c r="L190" i="4"/>
  <c r="Q192" i="5"/>
  <c r="M190" i="4"/>
  <c r="R192" i="5"/>
  <c r="T192" i="5"/>
  <c r="U192" i="5"/>
  <c r="P190" i="4"/>
  <c r="W192" i="5"/>
  <c r="Q190" i="4"/>
  <c r="X192" i="5"/>
  <c r="AA192" i="5"/>
  <c r="AH190" i="4"/>
  <c r="T190" i="4" a="1"/>
  <c r="T190" i="4"/>
  <c r="AC192" i="5"/>
  <c r="U190" i="4" a="1"/>
  <c r="U190" i="4"/>
  <c r="AD192" i="5"/>
  <c r="AF192" i="5"/>
  <c r="AG192" i="5"/>
  <c r="X190" i="4"/>
  <c r="AI192" i="5"/>
  <c r="Y190" i="4"/>
  <c r="AJ192" i="5"/>
  <c r="Z190" i="4"/>
  <c r="AL192" i="5"/>
  <c r="AN192" i="5"/>
  <c r="B191" i="4"/>
  <c r="C191" i="4"/>
  <c r="C193" i="5"/>
  <c r="D191" i="4"/>
  <c r="E193" i="5"/>
  <c r="H191" i="4"/>
  <c r="K193" i="5"/>
  <c r="L191" i="4"/>
  <c r="Q193" i="5"/>
  <c r="M191" i="4"/>
  <c r="R193" i="5"/>
  <c r="T193" i="5"/>
  <c r="U193" i="5"/>
  <c r="P191" i="4"/>
  <c r="W193" i="5"/>
  <c r="Q191" i="4"/>
  <c r="X193" i="5"/>
  <c r="S191" i="4"/>
  <c r="AA193" i="5"/>
  <c r="AH191" i="4"/>
  <c r="T191" i="4" a="1"/>
  <c r="T191" i="4"/>
  <c r="AC193" i="5"/>
  <c r="U191" i="4" a="1"/>
  <c r="U191" i="4"/>
  <c r="AD193" i="5"/>
  <c r="AF193" i="5"/>
  <c r="AG193" i="5"/>
  <c r="X191" i="4"/>
  <c r="AI193" i="5"/>
  <c r="Y191" i="4"/>
  <c r="AJ193" i="5"/>
  <c r="Z191" i="4"/>
  <c r="AL193" i="5"/>
  <c r="AN193" i="5"/>
  <c r="C192" i="4"/>
  <c r="C194" i="5"/>
  <c r="D192" i="4"/>
  <c r="E194" i="5"/>
  <c r="K194" i="5"/>
  <c r="L192" i="4"/>
  <c r="Q194" i="5"/>
  <c r="M192" i="4"/>
  <c r="R194" i="5"/>
  <c r="T194" i="5"/>
  <c r="U194" i="5"/>
  <c r="P192" i="4"/>
  <c r="W194" i="5"/>
  <c r="Q192" i="4"/>
  <c r="X194" i="5"/>
  <c r="S192" i="4"/>
  <c r="AA194" i="5"/>
  <c r="AH192" i="4"/>
  <c r="T192" i="4" a="1"/>
  <c r="T192" i="4"/>
  <c r="AC194" i="5"/>
  <c r="U192" i="4" a="1"/>
  <c r="U192" i="4"/>
  <c r="AD194" i="5"/>
  <c r="AF194" i="5"/>
  <c r="AG194" i="5"/>
  <c r="X192" i="4"/>
  <c r="AI194" i="5"/>
  <c r="Y192" i="4"/>
  <c r="AJ194" i="5"/>
  <c r="Z192" i="4"/>
  <c r="AL194" i="5"/>
  <c r="AN194" i="5"/>
  <c r="C193" i="4"/>
  <c r="C195" i="5"/>
  <c r="D193" i="4"/>
  <c r="E195" i="5"/>
  <c r="K195" i="5"/>
  <c r="L193" i="4"/>
  <c r="Q195" i="5"/>
  <c r="M193" i="4"/>
  <c r="R195" i="5"/>
  <c r="T195" i="5"/>
  <c r="U195" i="5"/>
  <c r="P193" i="4"/>
  <c r="W195" i="5"/>
  <c r="Q193" i="4"/>
  <c r="X195" i="5"/>
  <c r="S193" i="4"/>
  <c r="AA195" i="5"/>
  <c r="AH193" i="4"/>
  <c r="T193" i="4" a="1"/>
  <c r="T193" i="4"/>
  <c r="AC195" i="5"/>
  <c r="U193" i="4" a="1"/>
  <c r="U193" i="4"/>
  <c r="AD195" i="5"/>
  <c r="AF195" i="5"/>
  <c r="AG195" i="5"/>
  <c r="X193" i="4"/>
  <c r="AI195" i="5"/>
  <c r="Y193" i="4"/>
  <c r="AJ195" i="5"/>
  <c r="Z193" i="4"/>
  <c r="AL195" i="5"/>
  <c r="AN195" i="5"/>
  <c r="C194" i="4"/>
  <c r="C196" i="5"/>
  <c r="D194" i="4"/>
  <c r="E196" i="5"/>
  <c r="H194" i="4"/>
  <c r="K196" i="5"/>
  <c r="L194" i="4"/>
  <c r="Q196" i="5"/>
  <c r="M194" i="4"/>
  <c r="R196" i="5"/>
  <c r="T196" i="5"/>
  <c r="U196" i="5"/>
  <c r="P194" i="4"/>
  <c r="W196" i="5"/>
  <c r="Q194" i="4"/>
  <c r="X196" i="5"/>
  <c r="S194" i="4"/>
  <c r="AA196" i="5"/>
  <c r="AH194" i="4"/>
  <c r="T194" i="4" a="1"/>
  <c r="T194" i="4"/>
  <c r="AC196" i="5"/>
  <c r="U194" i="4" a="1"/>
  <c r="U194" i="4"/>
  <c r="AD196" i="5"/>
  <c r="AF196" i="5"/>
  <c r="AG196" i="5"/>
  <c r="X194" i="4"/>
  <c r="AI196" i="5"/>
  <c r="Y194" i="4"/>
  <c r="AJ196" i="5"/>
  <c r="Z194" i="4"/>
  <c r="AL196" i="5"/>
  <c r="AN196" i="5"/>
  <c r="C195" i="4"/>
  <c r="C197" i="5"/>
  <c r="D195" i="4"/>
  <c r="E197" i="5"/>
  <c r="H195" i="4"/>
  <c r="K197" i="5"/>
  <c r="I195" i="4"/>
  <c r="L197" i="5"/>
  <c r="J195" i="4"/>
  <c r="N197" i="5"/>
  <c r="O197" i="5"/>
  <c r="L195" i="4"/>
  <c r="Q197" i="5"/>
  <c r="M195" i="4"/>
  <c r="R197" i="5"/>
  <c r="N27" i="2"/>
  <c r="N195" i="4"/>
  <c r="T197" i="5"/>
  <c r="U197" i="5"/>
  <c r="P195" i="4"/>
  <c r="W197" i="5"/>
  <c r="Q195" i="4"/>
  <c r="X197" i="5"/>
  <c r="S195" i="4"/>
  <c r="AA197" i="5"/>
  <c r="AH195" i="4"/>
  <c r="T195" i="4" a="1"/>
  <c r="T195" i="4"/>
  <c r="AC197" i="5"/>
  <c r="U195" i="4" a="1"/>
  <c r="U195" i="4"/>
  <c r="AD197" i="5"/>
  <c r="AF197" i="5"/>
  <c r="AG197" i="5"/>
  <c r="X195" i="4"/>
  <c r="AI197" i="5"/>
  <c r="Y195" i="4"/>
  <c r="AJ197" i="5"/>
  <c r="Z195" i="4"/>
  <c r="AL197" i="5"/>
  <c r="AN197" i="5"/>
  <c r="C196" i="4"/>
  <c r="C198" i="5"/>
  <c r="D196" i="4"/>
  <c r="E198" i="5"/>
  <c r="E196" i="4"/>
  <c r="F198" i="5"/>
  <c r="F196" i="4"/>
  <c r="H198" i="5"/>
  <c r="I198" i="5"/>
  <c r="H196" i="4"/>
  <c r="K198" i="5"/>
  <c r="L196" i="4"/>
  <c r="Q198" i="5"/>
  <c r="M196" i="4"/>
  <c r="R198" i="5"/>
  <c r="T198" i="5"/>
  <c r="U198" i="5"/>
  <c r="P196" i="4"/>
  <c r="W198" i="5"/>
  <c r="Q196" i="4"/>
  <c r="X198" i="5"/>
  <c r="S196" i="4"/>
  <c r="AA198" i="5"/>
  <c r="AH196" i="4"/>
  <c r="T196" i="4" a="1"/>
  <c r="T196" i="4"/>
  <c r="AC198" i="5"/>
  <c r="U196" i="4" a="1"/>
  <c r="U196" i="4"/>
  <c r="AD198" i="5"/>
  <c r="AF198" i="5"/>
  <c r="AG198" i="5"/>
  <c r="X196" i="4"/>
  <c r="AI198" i="5"/>
  <c r="Y196" i="4"/>
  <c r="AJ198" i="5"/>
  <c r="Z196" i="4"/>
  <c r="AL198" i="5"/>
  <c r="L198" i="5"/>
  <c r="N198" i="5"/>
  <c r="O198" i="5"/>
  <c r="AN198" i="5"/>
  <c r="C197" i="4"/>
  <c r="C199" i="5"/>
  <c r="D197" i="4"/>
  <c r="E199" i="5"/>
  <c r="F199" i="5"/>
  <c r="H199" i="5"/>
  <c r="I199" i="5"/>
  <c r="H197" i="4"/>
  <c r="K199" i="5"/>
  <c r="L197" i="4"/>
  <c r="Q199" i="5"/>
  <c r="M197" i="4"/>
  <c r="R199" i="5"/>
  <c r="T199" i="5"/>
  <c r="U199" i="5"/>
  <c r="P197" i="4"/>
  <c r="W199" i="5"/>
  <c r="Q197" i="4"/>
  <c r="X199" i="5"/>
  <c r="S197" i="4"/>
  <c r="AA199" i="5"/>
  <c r="AH197" i="4"/>
  <c r="T197" i="4" a="1"/>
  <c r="T197" i="4"/>
  <c r="AC199" i="5"/>
  <c r="U197" i="4" a="1"/>
  <c r="U197" i="4"/>
  <c r="AD199" i="5"/>
  <c r="AF199" i="5"/>
  <c r="AG199" i="5"/>
  <c r="X197" i="4"/>
  <c r="AI199" i="5"/>
  <c r="Y197" i="4"/>
  <c r="AJ199" i="5"/>
  <c r="Z197" i="4"/>
  <c r="AL199" i="5"/>
  <c r="L199" i="5"/>
  <c r="N199" i="5"/>
  <c r="O199" i="5"/>
  <c r="AN199" i="5"/>
  <c r="C198" i="4"/>
  <c r="C200" i="5"/>
  <c r="D198" i="4"/>
  <c r="E200" i="5"/>
  <c r="L198" i="4"/>
  <c r="Q200" i="5"/>
  <c r="M198" i="4"/>
  <c r="R200" i="5"/>
  <c r="T200" i="5"/>
  <c r="U200" i="5"/>
  <c r="P198" i="4"/>
  <c r="W200" i="5"/>
  <c r="Q198" i="4"/>
  <c r="X200" i="5"/>
  <c r="S198" i="4"/>
  <c r="AA200" i="5"/>
  <c r="AH198" i="4"/>
  <c r="T198" i="4" a="1"/>
  <c r="T198" i="4"/>
  <c r="AC200" i="5"/>
  <c r="U198" i="4" a="1"/>
  <c r="U198" i="4"/>
  <c r="AD200" i="5"/>
  <c r="AF200" i="5"/>
  <c r="AG200" i="5"/>
  <c r="X198" i="4"/>
  <c r="AI200" i="5"/>
  <c r="Y198" i="4"/>
  <c r="AJ200" i="5"/>
  <c r="Z198" i="4"/>
  <c r="AL200" i="5"/>
  <c r="L200" i="5"/>
  <c r="N200" i="5"/>
  <c r="O200" i="5"/>
  <c r="AN200" i="5"/>
  <c r="B199" i="4"/>
  <c r="C199" i="4"/>
  <c r="C201" i="5"/>
  <c r="D199" i="4"/>
  <c r="E201" i="5"/>
  <c r="K201" i="5"/>
  <c r="L199" i="4"/>
  <c r="Q201" i="5"/>
  <c r="M199" i="4"/>
  <c r="R201" i="5"/>
  <c r="N32" i="2"/>
  <c r="N199" i="4"/>
  <c r="T201" i="5"/>
  <c r="O199" i="4"/>
  <c r="U201" i="5"/>
  <c r="P199" i="4"/>
  <c r="W201" i="5"/>
  <c r="Q199" i="4"/>
  <c r="X201" i="5"/>
  <c r="S199" i="4"/>
  <c r="AA201" i="5"/>
  <c r="AH199" i="4"/>
  <c r="T199" i="4" a="1"/>
  <c r="T199" i="4"/>
  <c r="AC201" i="5"/>
  <c r="U199" i="4" a="1"/>
  <c r="U199" i="4"/>
  <c r="AD201" i="5"/>
  <c r="AF201" i="5"/>
  <c r="AG201" i="5"/>
  <c r="X199" i="4"/>
  <c r="AI201" i="5"/>
  <c r="Y199" i="4"/>
  <c r="AJ201" i="5"/>
  <c r="Z199" i="4"/>
  <c r="AL201" i="5"/>
  <c r="L201" i="5"/>
  <c r="N201" i="5"/>
  <c r="O201" i="5"/>
  <c r="AN201" i="5"/>
  <c r="B200" i="4"/>
  <c r="C200" i="4"/>
  <c r="C202" i="5"/>
  <c r="D200" i="4"/>
  <c r="E202" i="5"/>
  <c r="K202" i="5"/>
  <c r="I28" i="2"/>
  <c r="I200" i="4"/>
  <c r="L202" i="5"/>
  <c r="J28" i="2"/>
  <c r="J200" i="4"/>
  <c r="N202" i="5"/>
  <c r="O202" i="5"/>
  <c r="L200" i="4"/>
  <c r="Q202" i="5"/>
  <c r="M200" i="4"/>
  <c r="R202" i="5"/>
  <c r="N28" i="2"/>
  <c r="N200" i="4"/>
  <c r="T202" i="5"/>
  <c r="O200" i="4"/>
  <c r="U202" i="5"/>
  <c r="P200" i="4"/>
  <c r="W202" i="5"/>
  <c r="Q200" i="4"/>
  <c r="X202" i="5"/>
  <c r="S200" i="4"/>
  <c r="AA202" i="5"/>
  <c r="AH200" i="4"/>
  <c r="T200" i="4" a="1"/>
  <c r="T200" i="4"/>
  <c r="AC202" i="5"/>
  <c r="U200" i="4" a="1"/>
  <c r="U200" i="4"/>
  <c r="AD202" i="5"/>
  <c r="AF202" i="5"/>
  <c r="AG202" i="5"/>
  <c r="X200" i="4"/>
  <c r="AI202" i="5"/>
  <c r="Y200" i="4"/>
  <c r="AJ202" i="5"/>
  <c r="Z200" i="4"/>
  <c r="AL202" i="5"/>
  <c r="AN202" i="5"/>
  <c r="B201" i="4"/>
  <c r="C201" i="4"/>
  <c r="C203" i="5"/>
  <c r="D201" i="4"/>
  <c r="E203" i="5"/>
  <c r="K203" i="5"/>
  <c r="L201" i="4"/>
  <c r="Q203" i="5"/>
  <c r="M201" i="4"/>
  <c r="R203" i="5"/>
  <c r="N201" i="4"/>
  <c r="T203" i="5"/>
  <c r="O201" i="4"/>
  <c r="U203" i="5"/>
  <c r="P201" i="4"/>
  <c r="W203" i="5"/>
  <c r="Q201" i="4"/>
  <c r="X203" i="5"/>
  <c r="S201" i="4"/>
  <c r="AA203" i="5"/>
  <c r="AH201" i="4"/>
  <c r="T201" i="4" a="1"/>
  <c r="T201" i="4"/>
  <c r="AC203" i="5"/>
  <c r="U201" i="4" a="1"/>
  <c r="U201" i="4"/>
  <c r="AD203" i="5"/>
  <c r="AF203" i="5"/>
  <c r="AG203" i="5"/>
  <c r="X201" i="4"/>
  <c r="AI203" i="5"/>
  <c r="Y201" i="4"/>
  <c r="AJ203" i="5"/>
  <c r="Z201" i="4"/>
  <c r="AL203" i="5"/>
  <c r="L203" i="5"/>
  <c r="N203" i="5"/>
  <c r="O203" i="5"/>
  <c r="AN203" i="5"/>
  <c r="B202" i="4"/>
  <c r="C202" i="4"/>
  <c r="C204" i="5"/>
  <c r="D202" i="4"/>
  <c r="E204" i="5"/>
  <c r="K204" i="5"/>
  <c r="L202" i="4"/>
  <c r="Q204" i="5"/>
  <c r="M202" i="4"/>
  <c r="R204" i="5"/>
  <c r="T204" i="5"/>
  <c r="U204" i="5"/>
  <c r="P202" i="4"/>
  <c r="W204" i="5"/>
  <c r="Q202" i="4"/>
  <c r="X204" i="5"/>
  <c r="S202" i="4"/>
  <c r="AA204" i="5"/>
  <c r="AH202" i="4"/>
  <c r="T202" i="4" a="1"/>
  <c r="T202" i="4"/>
  <c r="AC204" i="5"/>
  <c r="U202" i="4" a="1"/>
  <c r="U202" i="4"/>
  <c r="AD204" i="5"/>
  <c r="AF204" i="5"/>
  <c r="AG204" i="5"/>
  <c r="X202" i="4"/>
  <c r="AI204" i="5"/>
  <c r="Y202" i="4"/>
  <c r="AJ204" i="5"/>
  <c r="Z202" i="4"/>
  <c r="AL204" i="5"/>
  <c r="L204" i="5"/>
  <c r="N204" i="5"/>
  <c r="O204" i="5"/>
  <c r="AN204" i="5"/>
  <c r="B203" i="4"/>
  <c r="C203" i="4"/>
  <c r="C205" i="5"/>
  <c r="D203" i="4"/>
  <c r="E205" i="5"/>
  <c r="K205" i="5"/>
  <c r="I203" i="4"/>
  <c r="L205" i="5"/>
  <c r="J203" i="4"/>
  <c r="N205" i="5"/>
  <c r="O205" i="5"/>
  <c r="L203" i="4"/>
  <c r="Q205" i="5"/>
  <c r="M203" i="4"/>
  <c r="R205" i="5"/>
  <c r="N31" i="2"/>
  <c r="N203" i="4"/>
  <c r="T205" i="5"/>
  <c r="O203" i="4"/>
  <c r="U205" i="5"/>
  <c r="P203" i="4"/>
  <c r="W205" i="5"/>
  <c r="Q203" i="4"/>
  <c r="X205" i="5"/>
  <c r="S203" i="4"/>
  <c r="AA205" i="5"/>
  <c r="AH203" i="4"/>
  <c r="T203" i="4" a="1"/>
  <c r="T203" i="4"/>
  <c r="AC205" i="5"/>
  <c r="U203" i="4" a="1"/>
  <c r="U203" i="4"/>
  <c r="AD205" i="5"/>
  <c r="AF205" i="5"/>
  <c r="AG205" i="5"/>
  <c r="X203" i="4"/>
  <c r="AI205" i="5"/>
  <c r="Y203" i="4"/>
  <c r="AJ205" i="5"/>
  <c r="Z203" i="4"/>
  <c r="AL205" i="5"/>
  <c r="AN205" i="5"/>
  <c r="B204" i="4"/>
  <c r="C204" i="4"/>
  <c r="C206" i="5"/>
  <c r="D204" i="4"/>
  <c r="E206" i="5"/>
  <c r="K206" i="5"/>
  <c r="L204" i="4"/>
  <c r="Q206" i="5"/>
  <c r="M204" i="4"/>
  <c r="R206" i="5"/>
  <c r="N30" i="2"/>
  <c r="N204" i="4"/>
  <c r="T206" i="5"/>
  <c r="O204" i="4"/>
  <c r="U206" i="5"/>
  <c r="P204" i="4"/>
  <c r="W206" i="5"/>
  <c r="Q204" i="4"/>
  <c r="X206" i="5"/>
  <c r="S204" i="4"/>
  <c r="AA206" i="5"/>
  <c r="AH204" i="4"/>
  <c r="T204" i="4" a="1"/>
  <c r="T204" i="4"/>
  <c r="AC206" i="5"/>
  <c r="U204" i="4" a="1"/>
  <c r="U204" i="4"/>
  <c r="AD206" i="5"/>
  <c r="AF206" i="5"/>
  <c r="AG206" i="5"/>
  <c r="X204" i="4"/>
  <c r="AI206" i="5"/>
  <c r="Y204" i="4"/>
  <c r="AJ206" i="5"/>
  <c r="Z204" i="4"/>
  <c r="AL206" i="5"/>
  <c r="L206" i="5"/>
  <c r="N206" i="5"/>
  <c r="O206" i="5"/>
  <c r="AN206" i="5"/>
  <c r="C205" i="4"/>
  <c r="C207" i="5"/>
  <c r="D205" i="4"/>
  <c r="E207" i="5"/>
  <c r="H205" i="4"/>
  <c r="K207" i="5"/>
  <c r="I205" i="4"/>
  <c r="L207" i="5"/>
  <c r="J205" i="4"/>
  <c r="N207" i="5"/>
  <c r="O207" i="5"/>
  <c r="L205" i="4"/>
  <c r="Q207" i="5"/>
  <c r="M205" i="4"/>
  <c r="R207" i="5"/>
  <c r="N34" i="2"/>
  <c r="N205" i="4"/>
  <c r="T207" i="5"/>
  <c r="U207" i="5"/>
  <c r="P205" i="4"/>
  <c r="W207" i="5"/>
  <c r="Q205" i="4"/>
  <c r="X207" i="5"/>
  <c r="S205" i="4"/>
  <c r="AA207" i="5"/>
  <c r="AF207" i="5"/>
  <c r="AG207" i="5"/>
  <c r="X205" i="4"/>
  <c r="AI207" i="5"/>
  <c r="Y205" i="4"/>
  <c r="AJ207" i="5"/>
  <c r="Z205" i="4"/>
  <c r="AL207" i="5"/>
  <c r="AN207" i="5"/>
  <c r="C206" i="4"/>
  <c r="C208" i="5"/>
  <c r="D206" i="4"/>
  <c r="E208" i="5"/>
  <c r="H206" i="4"/>
  <c r="K208" i="5"/>
  <c r="L206" i="4"/>
  <c r="Q208" i="5"/>
  <c r="M206" i="4"/>
  <c r="R208" i="5"/>
  <c r="T208" i="5"/>
  <c r="U208" i="5"/>
  <c r="P206" i="4"/>
  <c r="W208" i="5"/>
  <c r="Q206" i="4"/>
  <c r="X208" i="5"/>
  <c r="S206" i="4"/>
  <c r="AA208" i="5"/>
  <c r="AH206" i="4"/>
  <c r="T206" i="4" a="1"/>
  <c r="T206" i="4"/>
  <c r="AC208" i="5"/>
  <c r="U206" i="4" a="1"/>
  <c r="U206" i="4"/>
  <c r="AD208" i="5"/>
  <c r="AF208" i="5"/>
  <c r="AG208" i="5"/>
  <c r="X206" i="4"/>
  <c r="AI208" i="5"/>
  <c r="Y206" i="4"/>
  <c r="AJ208" i="5"/>
  <c r="Z206" i="4"/>
  <c r="AL208" i="5"/>
  <c r="AN208" i="5"/>
  <c r="C207" i="4"/>
  <c r="C209" i="5"/>
  <c r="D207" i="4"/>
  <c r="E209" i="5"/>
  <c r="E207" i="4"/>
  <c r="F209" i="5"/>
  <c r="F207" i="4"/>
  <c r="H209" i="5"/>
  <c r="I209" i="5"/>
  <c r="H207" i="4"/>
  <c r="K209" i="5"/>
  <c r="L207" i="4"/>
  <c r="Q209" i="5"/>
  <c r="M207" i="4"/>
  <c r="R209" i="5"/>
  <c r="T209" i="5"/>
  <c r="U209" i="5"/>
  <c r="P207" i="4"/>
  <c r="W209" i="5"/>
  <c r="Q207" i="4"/>
  <c r="X209" i="5"/>
  <c r="S207" i="4"/>
  <c r="AA209" i="5"/>
  <c r="AH207" i="4"/>
  <c r="T207" i="4" a="1"/>
  <c r="T207" i="4"/>
  <c r="AC209" i="5"/>
  <c r="U207" i="4" a="1"/>
  <c r="U207" i="4"/>
  <c r="AD209" i="5"/>
  <c r="AF209" i="5"/>
  <c r="AG209" i="5"/>
  <c r="X207" i="4"/>
  <c r="AI209" i="5"/>
  <c r="Y207" i="4"/>
  <c r="AJ209" i="5"/>
  <c r="Z207" i="4"/>
  <c r="AL209" i="5"/>
  <c r="AN209" i="5"/>
  <c r="C208" i="4"/>
  <c r="C210" i="5"/>
  <c r="D208" i="4"/>
  <c r="E210" i="5"/>
  <c r="E208" i="4"/>
  <c r="F210" i="5"/>
  <c r="F208" i="4"/>
  <c r="H210" i="5"/>
  <c r="I210" i="5"/>
  <c r="H208" i="4"/>
  <c r="K210" i="5"/>
  <c r="L208" i="4"/>
  <c r="Q210" i="5"/>
  <c r="M208" i="4"/>
  <c r="R210" i="5"/>
  <c r="N208" i="4"/>
  <c r="T210" i="5"/>
  <c r="U210" i="5"/>
  <c r="P208" i="4"/>
  <c r="W210" i="5"/>
  <c r="Q208" i="4"/>
  <c r="X210" i="5"/>
  <c r="S208" i="4"/>
  <c r="AA210" i="5"/>
  <c r="AF210" i="5"/>
  <c r="AG210" i="5"/>
  <c r="X208" i="4"/>
  <c r="AI210" i="5"/>
  <c r="Y208" i="4"/>
  <c r="AJ210" i="5"/>
  <c r="Z208" i="4"/>
  <c r="AL210" i="5"/>
  <c r="AN210" i="5"/>
  <c r="C209" i="4"/>
  <c r="C211" i="5"/>
  <c r="D209" i="4"/>
  <c r="E211" i="5"/>
  <c r="E209" i="4"/>
  <c r="F211" i="5"/>
  <c r="F209" i="4"/>
  <c r="H211" i="5"/>
  <c r="I211" i="5"/>
  <c r="H209" i="4"/>
  <c r="K211" i="5"/>
  <c r="L209" i="4"/>
  <c r="Q211" i="5"/>
  <c r="M209" i="4"/>
  <c r="R211" i="5"/>
  <c r="T211" i="5"/>
  <c r="U211" i="5"/>
  <c r="P209" i="4"/>
  <c r="W211" i="5"/>
  <c r="Q209" i="4"/>
  <c r="X211" i="5"/>
  <c r="S209" i="4"/>
  <c r="AA211" i="5"/>
  <c r="AH209" i="4"/>
  <c r="T209" i="4" a="1"/>
  <c r="T209" i="4"/>
  <c r="AC211" i="5"/>
  <c r="U209" i="4" a="1"/>
  <c r="U209" i="4"/>
  <c r="AD211" i="5"/>
  <c r="AF211" i="5"/>
  <c r="AG211" i="5"/>
  <c r="X209" i="4"/>
  <c r="AI211" i="5"/>
  <c r="Y209" i="4"/>
  <c r="AJ211" i="5"/>
  <c r="Z209" i="4"/>
  <c r="AL211" i="5"/>
  <c r="AN211" i="5"/>
  <c r="C210" i="4"/>
  <c r="C212" i="5"/>
  <c r="D210" i="4"/>
  <c r="E212" i="5"/>
  <c r="E210" i="4"/>
  <c r="F212" i="5"/>
  <c r="F210" i="4"/>
  <c r="H212" i="5"/>
  <c r="I212" i="5"/>
  <c r="H210" i="4"/>
  <c r="K212" i="5"/>
  <c r="L210" i="4"/>
  <c r="Q212" i="5"/>
  <c r="M210" i="4"/>
  <c r="R212" i="5"/>
  <c r="T212" i="5"/>
  <c r="U212" i="5"/>
  <c r="P210" i="4"/>
  <c r="W212" i="5"/>
  <c r="Q210" i="4"/>
  <c r="X212" i="5"/>
  <c r="S210" i="4"/>
  <c r="AA212" i="5"/>
  <c r="AH210" i="4"/>
  <c r="T210" i="4" a="1"/>
  <c r="T210" i="4"/>
  <c r="AC212" i="5"/>
  <c r="U210" i="4" a="1"/>
  <c r="U210" i="4"/>
  <c r="AD212" i="5"/>
  <c r="AF212" i="5"/>
  <c r="AG212" i="5"/>
  <c r="X210" i="4"/>
  <c r="AI212" i="5"/>
  <c r="Y210" i="4"/>
  <c r="AJ212" i="5"/>
  <c r="Z210" i="4"/>
  <c r="AL212" i="5"/>
  <c r="AN212" i="5"/>
  <c r="C211" i="4"/>
  <c r="C213" i="5"/>
  <c r="D211" i="4"/>
  <c r="E213" i="5"/>
  <c r="E211" i="4"/>
  <c r="F213" i="5"/>
  <c r="F211" i="4"/>
  <c r="H213" i="5"/>
  <c r="I213" i="5"/>
  <c r="H211" i="4"/>
  <c r="K213" i="5"/>
  <c r="L211" i="4"/>
  <c r="Q213" i="5"/>
  <c r="M211" i="4"/>
  <c r="R213" i="5"/>
  <c r="T213" i="5"/>
  <c r="U213" i="5"/>
  <c r="P211" i="4"/>
  <c r="W213" i="5"/>
  <c r="Q211" i="4"/>
  <c r="X213" i="5"/>
  <c r="S211" i="4"/>
  <c r="AA213" i="5"/>
  <c r="AH211" i="4"/>
  <c r="T211" i="4" a="1"/>
  <c r="T211" i="4"/>
  <c r="AC213" i="5"/>
  <c r="U211" i="4" a="1"/>
  <c r="U211" i="4"/>
  <c r="AD213" i="5"/>
  <c r="AF213" i="5"/>
  <c r="AG213" i="5"/>
  <c r="X211" i="4"/>
  <c r="AI213" i="5"/>
  <c r="Y211" i="4"/>
  <c r="AJ213" i="5"/>
  <c r="Z211" i="4"/>
  <c r="AL213" i="5"/>
  <c r="AN213" i="5"/>
  <c r="C212" i="4"/>
  <c r="C214" i="5"/>
  <c r="D212" i="4"/>
  <c r="E214" i="5"/>
  <c r="E212" i="4"/>
  <c r="F214" i="5"/>
  <c r="F212" i="4"/>
  <c r="H214" i="5"/>
  <c r="I214" i="5"/>
  <c r="H212" i="4"/>
  <c r="K214" i="5"/>
  <c r="L212" i="4"/>
  <c r="Q214" i="5"/>
  <c r="M212" i="4"/>
  <c r="R214" i="5"/>
  <c r="T214" i="5"/>
  <c r="U214" i="5"/>
  <c r="P212" i="4"/>
  <c r="W214" i="5"/>
  <c r="Q212" i="4"/>
  <c r="X214" i="5"/>
  <c r="S212" i="4"/>
  <c r="AA214" i="5"/>
  <c r="AH212" i="4"/>
  <c r="T212" i="4" a="1"/>
  <c r="T212" i="4"/>
  <c r="AC214" i="5"/>
  <c r="U212" i="4" a="1"/>
  <c r="U212" i="4"/>
  <c r="AD214" i="5"/>
  <c r="AF214" i="5"/>
  <c r="AG214" i="5"/>
  <c r="X212" i="4"/>
  <c r="AI214" i="5"/>
  <c r="Y212" i="4"/>
  <c r="AJ214" i="5"/>
  <c r="Z212" i="4"/>
  <c r="AL214" i="5"/>
  <c r="AN214" i="5"/>
  <c r="O215" i="5"/>
  <c r="H213" i="4"/>
  <c r="K215" i="5"/>
  <c r="C213" i="4"/>
  <c r="C215" i="5"/>
  <c r="D213" i="4"/>
  <c r="E215" i="5"/>
  <c r="E213" i="4"/>
  <c r="F215" i="5"/>
  <c r="F213" i="4"/>
  <c r="H215" i="5"/>
  <c r="I215" i="5"/>
  <c r="I213" i="4"/>
  <c r="L215" i="5"/>
  <c r="J213" i="4"/>
  <c r="N215" i="5"/>
  <c r="L213" i="4"/>
  <c r="Q215" i="5"/>
  <c r="M213" i="4"/>
  <c r="R215" i="5"/>
  <c r="N39" i="2"/>
  <c r="N213" i="4"/>
  <c r="T215" i="5"/>
  <c r="U215" i="5"/>
  <c r="P213" i="4"/>
  <c r="W215" i="5"/>
  <c r="Q213" i="4"/>
  <c r="X215" i="5"/>
  <c r="S213" i="4"/>
  <c r="AA215" i="5"/>
  <c r="AF215" i="5"/>
  <c r="AG215" i="5"/>
  <c r="X213" i="4"/>
  <c r="AI215" i="5"/>
  <c r="Y213" i="4"/>
  <c r="AJ215" i="5"/>
  <c r="Z213" i="4"/>
  <c r="AL215" i="5"/>
  <c r="AN215" i="5"/>
  <c r="O216" i="5"/>
  <c r="H214" i="4"/>
  <c r="K216" i="5"/>
  <c r="C214" i="4"/>
  <c r="C216" i="5"/>
  <c r="D214" i="4"/>
  <c r="E216" i="5"/>
  <c r="E214" i="4"/>
  <c r="F216" i="5"/>
  <c r="F214" i="4"/>
  <c r="H216" i="5"/>
  <c r="I216" i="5"/>
  <c r="L214" i="4"/>
  <c r="Q216" i="5"/>
  <c r="M214" i="4"/>
  <c r="R216" i="5"/>
  <c r="T216" i="5"/>
  <c r="U216" i="5"/>
  <c r="P214" i="4"/>
  <c r="W216" i="5"/>
  <c r="Q214" i="4"/>
  <c r="X216" i="5"/>
  <c r="S214" i="4"/>
  <c r="AA216" i="5"/>
  <c r="AH214" i="4"/>
  <c r="T214" i="4" a="1"/>
  <c r="T214" i="4"/>
  <c r="AC216" i="5"/>
  <c r="U214" i="4" a="1"/>
  <c r="U214" i="4"/>
  <c r="AD216" i="5"/>
  <c r="AF216" i="5"/>
  <c r="AG216" i="5"/>
  <c r="X214" i="4"/>
  <c r="AI216" i="5"/>
  <c r="Y214" i="4"/>
  <c r="AJ216" i="5"/>
  <c r="Z214" i="4"/>
  <c r="AL216" i="5"/>
  <c r="AN216" i="5"/>
  <c r="O217" i="5"/>
  <c r="H215" i="4"/>
  <c r="K217" i="5"/>
  <c r="C215" i="4"/>
  <c r="C217" i="5"/>
  <c r="D215" i="4"/>
  <c r="E217" i="5"/>
  <c r="E215" i="4"/>
  <c r="F217" i="5"/>
  <c r="F215" i="4"/>
  <c r="H217" i="5"/>
  <c r="I217" i="5"/>
  <c r="I215" i="4"/>
  <c r="L217" i="5"/>
  <c r="J215" i="4"/>
  <c r="N217" i="5"/>
  <c r="L215" i="4"/>
  <c r="Q217" i="5"/>
  <c r="M215" i="4"/>
  <c r="R217" i="5"/>
  <c r="T217" i="5"/>
  <c r="U217" i="5"/>
  <c r="P215" i="4"/>
  <c r="W217" i="5"/>
  <c r="Q215" i="4"/>
  <c r="X217" i="5"/>
  <c r="S215" i="4"/>
  <c r="AA217" i="5"/>
  <c r="AH215" i="4"/>
  <c r="T215" i="4" a="1"/>
  <c r="T215" i="4"/>
  <c r="AC217" i="5"/>
  <c r="U215" i="4" a="1"/>
  <c r="U215" i="4"/>
  <c r="AD217" i="5"/>
  <c r="AF217" i="5"/>
  <c r="AG217" i="5"/>
  <c r="X215" i="4"/>
  <c r="AI217" i="5"/>
  <c r="Y215" i="4"/>
  <c r="AJ217" i="5"/>
  <c r="Z215" i="4"/>
  <c r="AL217" i="5"/>
  <c r="AN217" i="5"/>
  <c r="C216" i="4"/>
  <c r="C218" i="5"/>
  <c r="N216" i="4"/>
  <c r="T218" i="5"/>
  <c r="U218" i="5"/>
  <c r="P216" i="4"/>
  <c r="W218" i="5"/>
  <c r="Q216" i="4"/>
  <c r="X218" i="5"/>
  <c r="S216" i="4"/>
  <c r="AA218" i="5"/>
  <c r="AH216" i="4"/>
  <c r="T216" i="4" a="1"/>
  <c r="T216" i="4"/>
  <c r="AC218" i="5"/>
  <c r="U216" i="4" a="1"/>
  <c r="U216" i="4"/>
  <c r="AD218" i="5"/>
  <c r="AF218" i="5"/>
  <c r="AG218" i="5"/>
  <c r="X216" i="4"/>
  <c r="AI218" i="5"/>
  <c r="Y216" i="4"/>
  <c r="AJ218" i="5"/>
  <c r="Z216" i="4"/>
  <c r="AL218" i="5"/>
  <c r="F218" i="5"/>
  <c r="H218" i="5"/>
  <c r="I218" i="5"/>
  <c r="L218" i="5"/>
  <c r="N218" i="5"/>
  <c r="O218" i="5"/>
  <c r="AN218" i="5"/>
  <c r="C217" i="4"/>
  <c r="C219" i="5"/>
  <c r="D217" i="4"/>
  <c r="E219" i="5"/>
  <c r="E217" i="4"/>
  <c r="F219" i="5"/>
  <c r="F217" i="4"/>
  <c r="H219" i="5"/>
  <c r="I219" i="5"/>
  <c r="H217" i="4"/>
  <c r="K219" i="5"/>
  <c r="L217" i="4"/>
  <c r="Q219" i="5"/>
  <c r="M217" i="4"/>
  <c r="R219" i="5"/>
  <c r="T219" i="5"/>
  <c r="U219" i="5"/>
  <c r="P217" i="4"/>
  <c r="W219" i="5"/>
  <c r="Q217" i="4"/>
  <c r="X219" i="5"/>
  <c r="AA219" i="5"/>
  <c r="AH217" i="4"/>
  <c r="T217" i="4" a="1"/>
  <c r="T217" i="4"/>
  <c r="AC219" i="5"/>
  <c r="U217" i="4" a="1"/>
  <c r="U217" i="4"/>
  <c r="AD219" i="5"/>
  <c r="AF219" i="5"/>
  <c r="AG219" i="5"/>
  <c r="X217" i="4"/>
  <c r="AI219" i="5"/>
  <c r="L219" i="5"/>
  <c r="N219" i="5"/>
  <c r="O219" i="5"/>
  <c r="AN219" i="5"/>
  <c r="C218" i="4"/>
  <c r="C220" i="5"/>
  <c r="D218" i="4"/>
  <c r="E220" i="5"/>
  <c r="E218" i="4"/>
  <c r="F220" i="5"/>
  <c r="F218" i="4"/>
  <c r="H220" i="5"/>
  <c r="I220" i="5"/>
  <c r="H218" i="4"/>
  <c r="K220" i="5"/>
  <c r="L218" i="4"/>
  <c r="Q220" i="5"/>
  <c r="M218" i="4"/>
  <c r="R220" i="5"/>
  <c r="T220" i="5"/>
  <c r="U220" i="5"/>
  <c r="P218" i="4"/>
  <c r="W220" i="5"/>
  <c r="Q218" i="4"/>
  <c r="X220" i="5"/>
  <c r="S218" i="4"/>
  <c r="AA220" i="5"/>
  <c r="AH218" i="4"/>
  <c r="T218" i="4" a="1"/>
  <c r="T218" i="4"/>
  <c r="AC220" i="5"/>
  <c r="U218" i="4" a="1"/>
  <c r="U218" i="4"/>
  <c r="AD220" i="5"/>
  <c r="AF220" i="5"/>
  <c r="AG220" i="5"/>
  <c r="X218" i="4"/>
  <c r="AI220" i="5"/>
  <c r="Y218" i="4"/>
  <c r="AJ220" i="5"/>
  <c r="Z218" i="4"/>
  <c r="AL220" i="5"/>
  <c r="L220" i="5"/>
  <c r="N220" i="5"/>
  <c r="O220" i="5"/>
  <c r="AN220" i="5"/>
  <c r="O221" i="5"/>
  <c r="H219" i="4"/>
  <c r="K221" i="5"/>
  <c r="C219" i="4"/>
  <c r="C221" i="5"/>
  <c r="D219" i="4"/>
  <c r="E221" i="5"/>
  <c r="E219" i="4"/>
  <c r="F221" i="5"/>
  <c r="F219" i="4"/>
  <c r="H221" i="5"/>
  <c r="I221" i="5"/>
  <c r="I12" i="2"/>
  <c r="I219" i="4"/>
  <c r="L221" i="5"/>
  <c r="J219" i="4"/>
  <c r="N221" i="5"/>
  <c r="L219" i="4"/>
  <c r="Q221" i="5"/>
  <c r="M219" i="4"/>
  <c r="R221" i="5"/>
  <c r="T221" i="5"/>
  <c r="U221" i="5"/>
  <c r="P219" i="4"/>
  <c r="W221" i="5"/>
  <c r="Q219" i="4"/>
  <c r="X221" i="5"/>
  <c r="S219" i="4"/>
  <c r="AA221" i="5"/>
  <c r="AH219" i="4"/>
  <c r="T219" i="4" a="1"/>
  <c r="T219" i="4"/>
  <c r="AC221" i="5"/>
  <c r="U219" i="4" a="1"/>
  <c r="U219" i="4"/>
  <c r="AD221" i="5"/>
  <c r="AF221" i="5"/>
  <c r="AG221" i="5"/>
  <c r="X219" i="4"/>
  <c r="AI221" i="5"/>
  <c r="Y219" i="4"/>
  <c r="AJ221" i="5"/>
  <c r="Z219" i="4"/>
  <c r="AL221" i="5"/>
  <c r="AN221" i="5"/>
  <c r="C220" i="4"/>
  <c r="C222" i="5"/>
  <c r="D220" i="4"/>
  <c r="E222" i="5"/>
  <c r="E220" i="4"/>
  <c r="F222" i="5"/>
  <c r="F220" i="4"/>
  <c r="H222" i="5"/>
  <c r="I222" i="5"/>
  <c r="H220" i="4"/>
  <c r="K222" i="5"/>
  <c r="L220" i="4"/>
  <c r="Q222" i="5"/>
  <c r="M220" i="4"/>
  <c r="R222" i="5"/>
  <c r="T222" i="5"/>
  <c r="U222" i="5"/>
  <c r="P220" i="4"/>
  <c r="W222" i="5"/>
  <c r="Q220" i="4"/>
  <c r="X222" i="5"/>
  <c r="S220" i="4"/>
  <c r="AA222" i="5"/>
  <c r="AH220" i="4"/>
  <c r="T220" i="4" a="1"/>
  <c r="T220" i="4"/>
  <c r="AC222" i="5"/>
  <c r="U220" i="4" a="1"/>
  <c r="U220" i="4"/>
  <c r="AD222" i="5"/>
  <c r="AF222" i="5"/>
  <c r="AG222" i="5"/>
  <c r="X220" i="4"/>
  <c r="AI222" i="5"/>
  <c r="Y220" i="4"/>
  <c r="AJ222" i="5"/>
  <c r="Z220" i="4"/>
  <c r="AL222" i="5"/>
  <c r="L222" i="5"/>
  <c r="N222" i="5"/>
  <c r="O222" i="5"/>
  <c r="AN222" i="5"/>
  <c r="C221" i="4"/>
  <c r="C223" i="5"/>
  <c r="D221" i="4"/>
  <c r="E223" i="5"/>
  <c r="K223" i="5"/>
  <c r="L221" i="4"/>
  <c r="Q223" i="5"/>
  <c r="M221" i="4"/>
  <c r="R223" i="5"/>
  <c r="T223" i="5"/>
  <c r="U223" i="5"/>
  <c r="P221" i="4"/>
  <c r="W223" i="5"/>
  <c r="X223" i="5"/>
  <c r="S221" i="4"/>
  <c r="AA223" i="5"/>
  <c r="AH221" i="4"/>
  <c r="T221" i="4" a="1"/>
  <c r="T221" i="4"/>
  <c r="AC223" i="5"/>
  <c r="U221" i="4" a="1"/>
  <c r="U221" i="4"/>
  <c r="AD223" i="5"/>
  <c r="AF223" i="5"/>
  <c r="AG223" i="5"/>
  <c r="X221" i="4"/>
  <c r="AI223" i="5"/>
  <c r="Y221" i="4"/>
  <c r="AJ223" i="5"/>
  <c r="Z221" i="4"/>
  <c r="AL223" i="5"/>
  <c r="F223" i="5"/>
  <c r="H223" i="5"/>
  <c r="I223" i="5"/>
  <c r="L223" i="5"/>
  <c r="N223" i="5"/>
  <c r="O223" i="5"/>
  <c r="AN223" i="5"/>
  <c r="O224" i="5"/>
  <c r="H222" i="4"/>
  <c r="K224" i="5"/>
  <c r="C222" i="4"/>
  <c r="C224" i="5"/>
  <c r="D222" i="4"/>
  <c r="E224" i="5"/>
  <c r="I222" i="4"/>
  <c r="L224" i="5"/>
  <c r="J222" i="4"/>
  <c r="N224" i="5"/>
  <c r="L222" i="4"/>
  <c r="Q224" i="5"/>
  <c r="M222" i="4"/>
  <c r="R224" i="5"/>
  <c r="T224" i="5"/>
  <c r="U224" i="5"/>
  <c r="P222" i="4"/>
  <c r="W224" i="5"/>
  <c r="Q222" i="4"/>
  <c r="X224" i="5"/>
  <c r="AA224" i="5"/>
  <c r="AH222" i="4"/>
  <c r="T222" i="4" a="1"/>
  <c r="T222" i="4"/>
  <c r="AC224" i="5"/>
  <c r="U222" i="4" a="1"/>
  <c r="U222" i="4"/>
  <c r="AD224" i="5"/>
  <c r="AF224" i="5"/>
  <c r="AG224" i="5"/>
  <c r="X222" i="4"/>
  <c r="AI224" i="5"/>
  <c r="Y222" i="4"/>
  <c r="AJ224" i="5"/>
  <c r="Z222" i="4"/>
  <c r="AL224" i="5"/>
  <c r="F224" i="5"/>
  <c r="H224" i="5"/>
  <c r="I224" i="5"/>
  <c r="AN224" i="5"/>
  <c r="C223" i="4"/>
  <c r="C225" i="5"/>
  <c r="D223" i="4"/>
  <c r="E225" i="5"/>
  <c r="E18" i="2"/>
  <c r="E223" i="4"/>
  <c r="F225" i="5"/>
  <c r="F18" i="2"/>
  <c r="F223" i="4"/>
  <c r="H225" i="5"/>
  <c r="I225" i="5"/>
  <c r="H223" i="4"/>
  <c r="K225" i="5"/>
  <c r="L223" i="4"/>
  <c r="Q225" i="5"/>
  <c r="M223" i="4"/>
  <c r="R225" i="5"/>
  <c r="T225" i="5"/>
  <c r="U225" i="5"/>
  <c r="P223" i="4"/>
  <c r="W225" i="5"/>
  <c r="S223" i="4"/>
  <c r="AA225" i="5"/>
  <c r="AH223" i="4"/>
  <c r="T223" i="4" a="1"/>
  <c r="T223" i="4"/>
  <c r="AC225" i="5"/>
  <c r="U223" i="4" a="1"/>
  <c r="U223" i="4"/>
  <c r="AD225" i="5"/>
  <c r="AF225" i="5"/>
  <c r="AG225" i="5"/>
  <c r="X223" i="4"/>
  <c r="AI225" i="5"/>
  <c r="Y223" i="4"/>
  <c r="AJ225" i="5"/>
  <c r="Z223" i="4"/>
  <c r="AL225" i="5"/>
  <c r="L225" i="5"/>
  <c r="N225" i="5"/>
  <c r="O225" i="5"/>
  <c r="X225" i="5"/>
  <c r="AN225" i="5"/>
  <c r="B224" i="4"/>
  <c r="S224" i="4"/>
  <c r="AA226" i="5"/>
  <c r="P224" i="4"/>
  <c r="W226" i="5"/>
  <c r="O226" i="5"/>
  <c r="H224" i="4"/>
  <c r="K226" i="5"/>
  <c r="C224" i="4"/>
  <c r="C226" i="5"/>
  <c r="D224" i="4"/>
  <c r="E226" i="5"/>
  <c r="E224" i="4"/>
  <c r="F226" i="5"/>
  <c r="F224" i="4"/>
  <c r="H226" i="5"/>
  <c r="I226" i="5"/>
  <c r="I224" i="4"/>
  <c r="L226" i="5"/>
  <c r="J224" i="4"/>
  <c r="N226" i="5"/>
  <c r="L224" i="4"/>
  <c r="Q226" i="5"/>
  <c r="M224" i="4"/>
  <c r="R226" i="5"/>
  <c r="T226" i="5"/>
  <c r="U226" i="5"/>
  <c r="Q224" i="4"/>
  <c r="X226" i="5"/>
  <c r="R224" i="4"/>
  <c r="Z226" i="5"/>
  <c r="AH224" i="4"/>
  <c r="T224" i="4" a="1"/>
  <c r="T224" i="4"/>
  <c r="AC226" i="5"/>
  <c r="U224" i="4" a="1"/>
  <c r="U224" i="4"/>
  <c r="AD226" i="5"/>
  <c r="AF226" i="5"/>
  <c r="AG226" i="5"/>
  <c r="X224" i="4"/>
  <c r="AI226" i="5"/>
  <c r="Y224" i="4"/>
  <c r="AJ226" i="5"/>
  <c r="Z224" i="4"/>
  <c r="AL226" i="5"/>
  <c r="AN226" i="5"/>
  <c r="C225" i="4"/>
  <c r="C227" i="5"/>
  <c r="D225" i="4"/>
  <c r="E227" i="5"/>
  <c r="H225" i="4"/>
  <c r="K227" i="5"/>
  <c r="L225" i="4"/>
  <c r="Q227" i="5"/>
  <c r="M225" i="4"/>
  <c r="R227" i="5"/>
  <c r="T227" i="5"/>
  <c r="U227" i="5"/>
  <c r="P225" i="4"/>
  <c r="W227" i="5"/>
  <c r="X227" i="5"/>
  <c r="AA227" i="5"/>
  <c r="AH225" i="4"/>
  <c r="T225" i="4" a="1"/>
  <c r="T225" i="4"/>
  <c r="AC227" i="5"/>
  <c r="U225" i="4" a="1"/>
  <c r="U225" i="4"/>
  <c r="AD227" i="5"/>
  <c r="AF227" i="5"/>
  <c r="AG227" i="5"/>
  <c r="X225" i="4"/>
  <c r="AI227" i="5"/>
  <c r="Y225" i="4"/>
  <c r="AJ227" i="5"/>
  <c r="Z225" i="4"/>
  <c r="AL227" i="5"/>
  <c r="F227" i="5"/>
  <c r="H227" i="5"/>
  <c r="I227" i="5"/>
  <c r="L227" i="5"/>
  <c r="N227" i="5"/>
  <c r="O227" i="5"/>
  <c r="AN227" i="5"/>
  <c r="O228" i="5"/>
  <c r="K228" i="5"/>
  <c r="C226" i="4"/>
  <c r="C228" i="5"/>
  <c r="D226" i="4"/>
  <c r="E228" i="5"/>
  <c r="E226" i="4"/>
  <c r="F228" i="5"/>
  <c r="F226" i="4"/>
  <c r="H228" i="5"/>
  <c r="I228" i="5"/>
  <c r="I226" i="4"/>
  <c r="L228" i="5"/>
  <c r="J226" i="4"/>
  <c r="N228" i="5"/>
  <c r="L226" i="4"/>
  <c r="Q228" i="5"/>
  <c r="M226" i="4"/>
  <c r="R228" i="5"/>
  <c r="T228" i="5"/>
  <c r="U228" i="5"/>
  <c r="P226" i="4"/>
  <c r="W228" i="5"/>
  <c r="Q226" i="4"/>
  <c r="X228" i="5"/>
  <c r="S4" i="2"/>
  <c r="S226" i="4"/>
  <c r="AA228" i="5"/>
  <c r="AH226" i="4"/>
  <c r="T226" i="4" a="1"/>
  <c r="T226" i="4"/>
  <c r="AC228" i="5"/>
  <c r="U226" i="4" a="1"/>
  <c r="U226" i="4"/>
  <c r="AD228" i="5"/>
  <c r="AF228" i="5"/>
  <c r="AG228" i="5"/>
  <c r="X226" i="4"/>
  <c r="AI228" i="5"/>
  <c r="Y226" i="4"/>
  <c r="AJ228" i="5"/>
  <c r="Z226" i="4"/>
  <c r="AL228" i="5"/>
  <c r="AN228" i="5"/>
  <c r="C227" i="4"/>
  <c r="C229" i="5"/>
  <c r="D227" i="4"/>
  <c r="E229" i="5"/>
  <c r="E227" i="4"/>
  <c r="F229" i="5"/>
  <c r="F227" i="4"/>
  <c r="H229" i="5"/>
  <c r="I229" i="5"/>
  <c r="H227" i="4"/>
  <c r="K229" i="5"/>
  <c r="L227" i="4"/>
  <c r="Q229" i="5"/>
  <c r="M227" i="4"/>
  <c r="R229" i="5"/>
  <c r="T229" i="5"/>
  <c r="U229" i="5"/>
  <c r="P227" i="4"/>
  <c r="W229" i="5"/>
  <c r="Q227" i="4"/>
  <c r="X229" i="5"/>
  <c r="S227" i="4"/>
  <c r="AA229" i="5"/>
  <c r="AH227" i="4"/>
  <c r="T227" i="4" a="1"/>
  <c r="T227" i="4"/>
  <c r="AC229" i="5"/>
  <c r="U227" i="4" a="1"/>
  <c r="U227" i="4"/>
  <c r="AD229" i="5"/>
  <c r="AF229" i="5"/>
  <c r="AG229" i="5"/>
  <c r="X227" i="4"/>
  <c r="AI229" i="5"/>
  <c r="Y227" i="4"/>
  <c r="AJ229" i="5"/>
  <c r="Z227" i="4"/>
  <c r="AL229" i="5"/>
  <c r="L229" i="5"/>
  <c r="N229" i="5"/>
  <c r="O229" i="5"/>
  <c r="AN229" i="5"/>
  <c r="B228" i="4"/>
  <c r="C228" i="4"/>
  <c r="C230" i="5"/>
  <c r="D228" i="4"/>
  <c r="E230" i="5"/>
  <c r="E228" i="4"/>
  <c r="F230" i="5"/>
  <c r="F228" i="4"/>
  <c r="H230" i="5"/>
  <c r="I230" i="5"/>
  <c r="H228" i="4"/>
  <c r="K230" i="5"/>
  <c r="L228" i="4"/>
  <c r="Q230" i="5"/>
  <c r="M228" i="4"/>
  <c r="R230" i="5"/>
  <c r="T230" i="5"/>
  <c r="U230" i="5"/>
  <c r="P228" i="4"/>
  <c r="W230" i="5"/>
  <c r="Q228" i="4"/>
  <c r="X230" i="5"/>
  <c r="S228" i="4"/>
  <c r="AA230" i="5"/>
  <c r="AH228" i="4"/>
  <c r="T228" i="4" a="1"/>
  <c r="T228" i="4"/>
  <c r="AC230" i="5"/>
  <c r="U228" i="4" a="1"/>
  <c r="U228" i="4"/>
  <c r="AD230" i="5"/>
  <c r="AF230" i="5"/>
  <c r="AG230" i="5"/>
  <c r="X228" i="4"/>
  <c r="AI230" i="5"/>
  <c r="Y228" i="4"/>
  <c r="AJ230" i="5"/>
  <c r="Z228" i="4"/>
  <c r="AL230" i="5"/>
  <c r="L230" i="5"/>
  <c r="N230" i="5"/>
  <c r="O230" i="5"/>
  <c r="AN230" i="5"/>
  <c r="C229" i="4"/>
  <c r="C231" i="5"/>
  <c r="D229" i="4"/>
  <c r="E231" i="5"/>
  <c r="H229" i="4"/>
  <c r="K231" i="5"/>
  <c r="L229" i="4"/>
  <c r="Q231" i="5"/>
  <c r="M229" i="4"/>
  <c r="R231" i="5"/>
  <c r="T231" i="5"/>
  <c r="U231" i="5"/>
  <c r="P229" i="4"/>
  <c r="W231" i="5"/>
  <c r="Q229" i="4"/>
  <c r="X231" i="5"/>
  <c r="S229" i="4"/>
  <c r="AA231" i="5"/>
  <c r="AH229" i="4"/>
  <c r="T229" i="4" a="1"/>
  <c r="T229" i="4"/>
  <c r="AC231" i="5"/>
  <c r="U229" i="4" a="1"/>
  <c r="U229" i="4"/>
  <c r="AD231" i="5"/>
  <c r="AF231" i="5"/>
  <c r="AG231" i="5"/>
  <c r="X229" i="4"/>
  <c r="AI231" i="5"/>
  <c r="Y229" i="4"/>
  <c r="AJ231" i="5"/>
  <c r="Z229" i="4"/>
  <c r="AL231" i="5"/>
  <c r="L231" i="5"/>
  <c r="N231" i="5"/>
  <c r="O231" i="5"/>
  <c r="AN231" i="5"/>
  <c r="C230" i="4"/>
  <c r="C232" i="5"/>
  <c r="D230" i="4"/>
  <c r="E232" i="5"/>
  <c r="H230" i="4"/>
  <c r="K232" i="5"/>
  <c r="L230" i="4"/>
  <c r="Q232" i="5"/>
  <c r="M230" i="4"/>
  <c r="R232" i="5"/>
  <c r="T232" i="5"/>
  <c r="U232" i="5"/>
  <c r="P230" i="4"/>
  <c r="W232" i="5"/>
  <c r="Q230" i="4"/>
  <c r="X232" i="5"/>
  <c r="S230" i="4"/>
  <c r="AA232" i="5"/>
  <c r="AH230" i="4"/>
  <c r="T230" i="4" a="1"/>
  <c r="T230" i="4"/>
  <c r="AC232" i="5"/>
  <c r="U230" i="4" a="1"/>
  <c r="U230" i="4"/>
  <c r="AD232" i="5"/>
  <c r="AF232" i="5"/>
  <c r="AG232" i="5"/>
  <c r="X230" i="4"/>
  <c r="AI232" i="5"/>
  <c r="Y230" i="4"/>
  <c r="AJ232" i="5"/>
  <c r="Z230" i="4"/>
  <c r="AL232" i="5"/>
  <c r="L232" i="5"/>
  <c r="N232" i="5"/>
  <c r="O232" i="5"/>
  <c r="AN232" i="5"/>
  <c r="B231" i="4"/>
  <c r="S231" i="4"/>
  <c r="AA233" i="5"/>
  <c r="P231" i="4"/>
  <c r="W233" i="5"/>
  <c r="C231" i="4"/>
  <c r="C233" i="5"/>
  <c r="D231" i="4"/>
  <c r="E233" i="5"/>
  <c r="K233" i="5"/>
  <c r="L231" i="4"/>
  <c r="Q233" i="5"/>
  <c r="M231" i="4"/>
  <c r="R233" i="5"/>
  <c r="T233" i="5"/>
  <c r="U233" i="5"/>
  <c r="Q231" i="4"/>
  <c r="X233" i="5"/>
  <c r="R231" i="4"/>
  <c r="Z233" i="5"/>
  <c r="AH231" i="4"/>
  <c r="T231" i="4" a="1"/>
  <c r="T231" i="4"/>
  <c r="AC233" i="5"/>
  <c r="U231" i="4" a="1"/>
  <c r="U231" i="4"/>
  <c r="AD233" i="5"/>
  <c r="AF233" i="5"/>
  <c r="AG233" i="5"/>
  <c r="X231" i="4"/>
  <c r="AI233" i="5"/>
  <c r="Y231" i="4"/>
  <c r="AJ233" i="5"/>
  <c r="Z231" i="4"/>
  <c r="AL233" i="5"/>
  <c r="L233" i="5"/>
  <c r="N233" i="5"/>
  <c r="O233" i="5"/>
  <c r="AN233" i="5"/>
  <c r="B232" i="4"/>
  <c r="C232" i="4"/>
  <c r="C234" i="5"/>
  <c r="D232" i="4"/>
  <c r="E234" i="5"/>
  <c r="K234" i="5"/>
  <c r="L232" i="4"/>
  <c r="Q234" i="5"/>
  <c r="M232" i="4"/>
  <c r="R234" i="5"/>
  <c r="T234" i="5"/>
  <c r="U234" i="5"/>
  <c r="P232" i="4"/>
  <c r="W234" i="5"/>
  <c r="Q232" i="4"/>
  <c r="X234" i="5"/>
  <c r="S232" i="4"/>
  <c r="AA234" i="5"/>
  <c r="AH232" i="4"/>
  <c r="T232" i="4" a="1"/>
  <c r="T232" i="4"/>
  <c r="AC234" i="5"/>
  <c r="U232" i="4" a="1"/>
  <c r="U232" i="4"/>
  <c r="AD234" i="5"/>
  <c r="AF234" i="5"/>
  <c r="AG234" i="5"/>
  <c r="X232" i="4"/>
  <c r="AI234" i="5"/>
  <c r="Y232" i="4"/>
  <c r="AJ234" i="5"/>
  <c r="Z232" i="4"/>
  <c r="AL234" i="5"/>
  <c r="AN234" i="5"/>
  <c r="B233" i="4"/>
  <c r="C233" i="4"/>
  <c r="C235" i="5"/>
  <c r="D233" i="4"/>
  <c r="E235" i="5"/>
  <c r="K235" i="5"/>
  <c r="L233" i="4"/>
  <c r="Q235" i="5"/>
  <c r="M233" i="4"/>
  <c r="R235" i="5"/>
  <c r="T235" i="5"/>
  <c r="U235" i="5"/>
  <c r="P233" i="4"/>
  <c r="W235" i="5"/>
  <c r="Q233" i="4"/>
  <c r="X235" i="5"/>
  <c r="S233" i="4"/>
  <c r="AA235" i="5"/>
  <c r="AH233" i="4"/>
  <c r="T233" i="4" a="1"/>
  <c r="T233" i="4"/>
  <c r="AC235" i="5"/>
  <c r="U233" i="4" a="1"/>
  <c r="U233" i="4"/>
  <c r="AD235" i="5"/>
  <c r="AF235" i="5"/>
  <c r="AG235" i="5"/>
  <c r="X233" i="4"/>
  <c r="AI235" i="5"/>
  <c r="Y233" i="4"/>
  <c r="AJ235" i="5"/>
  <c r="Z233" i="4"/>
  <c r="AL235" i="5"/>
  <c r="AN235" i="5"/>
  <c r="B234" i="4"/>
  <c r="C234" i="4"/>
  <c r="C236" i="5"/>
  <c r="D234" i="4"/>
  <c r="E236" i="5"/>
  <c r="K236" i="5"/>
  <c r="L234" i="4"/>
  <c r="Q236" i="5"/>
  <c r="M234" i="4"/>
  <c r="R236" i="5"/>
  <c r="T236" i="5"/>
  <c r="U236" i="5"/>
  <c r="P234" i="4"/>
  <c r="W236" i="5"/>
  <c r="Q234" i="4"/>
  <c r="X236" i="5"/>
  <c r="S234" i="4"/>
  <c r="AA236" i="5"/>
  <c r="AH234" i="4"/>
  <c r="T234" i="4" a="1"/>
  <c r="T234" i="4"/>
  <c r="AC236" i="5"/>
  <c r="U234" i="4" a="1"/>
  <c r="U234" i="4"/>
  <c r="AD236" i="5"/>
  <c r="AF236" i="5"/>
  <c r="AG236" i="5"/>
  <c r="X234" i="4"/>
  <c r="AI236" i="5"/>
  <c r="Y234" i="4"/>
  <c r="AJ236" i="5"/>
  <c r="Z234" i="4"/>
  <c r="AL236" i="5"/>
  <c r="AN236" i="5"/>
  <c r="B235" i="4"/>
  <c r="C235" i="4"/>
  <c r="C237" i="5"/>
  <c r="D235" i="4"/>
  <c r="E237" i="5"/>
  <c r="K237" i="5"/>
  <c r="L235" i="4"/>
  <c r="Q237" i="5"/>
  <c r="M235" i="4"/>
  <c r="R237" i="5"/>
  <c r="T237" i="5"/>
  <c r="U237" i="5"/>
  <c r="P235" i="4"/>
  <c r="W237" i="5"/>
  <c r="Q235" i="4"/>
  <c r="X237" i="5"/>
  <c r="S235" i="4"/>
  <c r="AA237" i="5"/>
  <c r="AH235" i="4"/>
  <c r="T235" i="4" a="1"/>
  <c r="T235" i="4"/>
  <c r="AC237" i="5"/>
  <c r="U235" i="4" a="1"/>
  <c r="U235" i="4"/>
  <c r="AD237" i="5"/>
  <c r="AF237" i="5"/>
  <c r="AG237" i="5"/>
  <c r="X235" i="4"/>
  <c r="AI237" i="5"/>
  <c r="Y235" i="4"/>
  <c r="AJ237" i="5"/>
  <c r="Z235" i="4"/>
  <c r="AL237" i="5"/>
  <c r="AN237" i="5"/>
  <c r="B236" i="4"/>
  <c r="C236" i="4"/>
  <c r="C238" i="5"/>
  <c r="D236" i="4"/>
  <c r="E238" i="5"/>
  <c r="K238" i="5"/>
  <c r="L236" i="4"/>
  <c r="Q238" i="5"/>
  <c r="M236" i="4"/>
  <c r="R238" i="5"/>
  <c r="T238" i="5"/>
  <c r="U238" i="5"/>
  <c r="P236" i="4"/>
  <c r="W238" i="5"/>
  <c r="Q236" i="4"/>
  <c r="X238" i="5"/>
  <c r="S236" i="4"/>
  <c r="AA238" i="5"/>
  <c r="AH236" i="4"/>
  <c r="T236" i="4" a="1"/>
  <c r="T236" i="4"/>
  <c r="AC238" i="5"/>
  <c r="U236" i="4" a="1"/>
  <c r="U236" i="4"/>
  <c r="AD238" i="5"/>
  <c r="AF238" i="5"/>
  <c r="AG238" i="5"/>
  <c r="X236" i="4"/>
  <c r="AI238" i="5"/>
  <c r="Y236" i="4"/>
  <c r="AJ238" i="5"/>
  <c r="Z236" i="4"/>
  <c r="AL238" i="5"/>
  <c r="AN238" i="5"/>
  <c r="C237" i="4"/>
  <c r="C239" i="5"/>
  <c r="D237" i="4"/>
  <c r="E239" i="5"/>
  <c r="E237" i="4"/>
  <c r="F239" i="5"/>
  <c r="F237" i="4"/>
  <c r="H239" i="5"/>
  <c r="I239" i="5"/>
  <c r="K239" i="5"/>
  <c r="L237" i="4"/>
  <c r="Q239" i="5"/>
  <c r="M237" i="4"/>
  <c r="R239" i="5"/>
  <c r="T239" i="5"/>
  <c r="U239" i="5"/>
  <c r="P237" i="4"/>
  <c r="W239" i="5"/>
  <c r="Q237" i="4"/>
  <c r="X239" i="5"/>
  <c r="S237" i="4"/>
  <c r="AA239" i="5"/>
  <c r="AH237" i="4"/>
  <c r="T237" i="4" a="1"/>
  <c r="T237" i="4"/>
  <c r="AC239" i="5"/>
  <c r="U237" i="4" a="1"/>
  <c r="U237" i="4"/>
  <c r="AD239" i="5"/>
  <c r="AF239" i="5"/>
  <c r="AG239" i="5"/>
  <c r="X237" i="4"/>
  <c r="AI239" i="5"/>
  <c r="Y237" i="4"/>
  <c r="AJ239" i="5"/>
  <c r="Z237" i="4"/>
  <c r="AL239" i="5"/>
  <c r="AN239" i="5"/>
  <c r="AA240" i="5"/>
  <c r="B383" i="4"/>
  <c r="P383" i="4"/>
  <c r="W240" i="5"/>
  <c r="O240" i="5"/>
  <c r="K240" i="5"/>
  <c r="C240" i="5"/>
  <c r="L240" i="5"/>
  <c r="N240" i="5"/>
  <c r="L383" i="4"/>
  <c r="Q240" i="5"/>
  <c r="U240" i="5"/>
  <c r="Q383" i="4"/>
  <c r="X240" i="5"/>
  <c r="R383" i="4"/>
  <c r="Z240" i="5"/>
  <c r="AC240" i="5"/>
  <c r="AD240" i="5"/>
  <c r="AF240" i="5"/>
  <c r="AG240" i="5"/>
  <c r="X383" i="4"/>
  <c r="AI240" i="5"/>
  <c r="Y383" i="4"/>
  <c r="AJ240" i="5"/>
  <c r="AL240" i="5"/>
  <c r="AN240" i="5"/>
  <c r="AA241" i="5"/>
  <c r="B384" i="4"/>
  <c r="P384" i="4"/>
  <c r="W241" i="5"/>
  <c r="O241" i="5"/>
  <c r="K241" i="5"/>
  <c r="C241" i="5"/>
  <c r="L241" i="5"/>
  <c r="N241" i="5"/>
  <c r="L384" i="4"/>
  <c r="Q241" i="5"/>
  <c r="U241" i="5"/>
  <c r="Q384" i="4"/>
  <c r="X241" i="5"/>
  <c r="R10" i="2"/>
  <c r="R384" i="4"/>
  <c r="Z241" i="5"/>
  <c r="AC241" i="5"/>
  <c r="AD241" i="5"/>
  <c r="AF241" i="5"/>
  <c r="AG241" i="5"/>
  <c r="X384" i="4"/>
  <c r="AI241" i="5"/>
  <c r="Y384" i="4"/>
  <c r="AJ241" i="5"/>
  <c r="AL241" i="5"/>
  <c r="AN241" i="5"/>
  <c r="AA242" i="5"/>
  <c r="B385" i="4"/>
  <c r="P385" i="4"/>
  <c r="W242" i="5"/>
  <c r="O242" i="5"/>
  <c r="K242" i="5"/>
  <c r="C242" i="5"/>
  <c r="L242" i="5"/>
  <c r="N242" i="5"/>
  <c r="L385" i="4"/>
  <c r="Q242" i="5"/>
  <c r="U242" i="5"/>
  <c r="Q385" i="4"/>
  <c r="X242" i="5"/>
  <c r="R14" i="2"/>
  <c r="R385" i="4"/>
  <c r="Z242" i="5"/>
  <c r="AC242" i="5"/>
  <c r="AD242" i="5"/>
  <c r="AF242" i="5"/>
  <c r="AG242" i="5"/>
  <c r="X385" i="4"/>
  <c r="AI242" i="5"/>
  <c r="Y385" i="4"/>
  <c r="AJ242" i="5"/>
  <c r="AL242" i="5"/>
  <c r="AN242" i="5"/>
  <c r="AA243" i="5"/>
  <c r="B386" i="4"/>
  <c r="P386" i="4"/>
  <c r="W243" i="5"/>
  <c r="O243" i="5"/>
  <c r="K243" i="5"/>
  <c r="C243" i="5"/>
  <c r="L243" i="5"/>
  <c r="N243" i="5"/>
  <c r="L386" i="4"/>
  <c r="Q243" i="5"/>
  <c r="U243" i="5"/>
  <c r="Q386" i="4"/>
  <c r="X243" i="5"/>
  <c r="R386" i="4"/>
  <c r="Z243" i="5"/>
  <c r="AC243" i="5"/>
  <c r="AD243" i="5"/>
  <c r="AF243" i="5"/>
  <c r="AG243" i="5"/>
  <c r="X386" i="4"/>
  <c r="AI243" i="5"/>
  <c r="Y386" i="4"/>
  <c r="AJ243" i="5"/>
  <c r="AN243" i="5"/>
  <c r="AA244" i="5"/>
  <c r="B387" i="4"/>
  <c r="P387" i="4"/>
  <c r="W244" i="5"/>
  <c r="O244" i="5"/>
  <c r="K244" i="5"/>
  <c r="C244" i="5"/>
  <c r="L244" i="5"/>
  <c r="N244" i="5"/>
  <c r="L387" i="4"/>
  <c r="Q244" i="5"/>
  <c r="U244" i="5"/>
  <c r="Q387" i="4"/>
  <c r="X244" i="5"/>
  <c r="R387" i="4"/>
  <c r="Z244" i="5"/>
  <c r="AC244" i="5"/>
  <c r="AD244" i="5"/>
  <c r="AF244" i="5"/>
  <c r="AG244" i="5"/>
  <c r="X387" i="4"/>
  <c r="AI244" i="5"/>
  <c r="Y387" i="4"/>
  <c r="AJ244" i="5"/>
  <c r="AL244" i="5"/>
  <c r="AN244" i="5"/>
  <c r="AA245" i="5"/>
  <c r="B388" i="4"/>
  <c r="P388" i="4"/>
  <c r="W245" i="5"/>
  <c r="O245" i="5"/>
  <c r="K245" i="5"/>
  <c r="C245" i="5"/>
  <c r="L245" i="5"/>
  <c r="N245" i="5"/>
  <c r="L388" i="4"/>
  <c r="Q245" i="5"/>
  <c r="U245" i="5"/>
  <c r="Q388" i="4"/>
  <c r="X245" i="5"/>
  <c r="R388" i="4"/>
  <c r="Z245" i="5"/>
  <c r="AC245" i="5"/>
  <c r="AD245" i="5"/>
  <c r="AF245" i="5"/>
  <c r="AG245" i="5"/>
  <c r="X388" i="4"/>
  <c r="AI245" i="5"/>
  <c r="Y388" i="4"/>
  <c r="AJ245" i="5"/>
  <c r="AL245" i="5"/>
  <c r="AN245" i="5"/>
  <c r="AA246" i="5"/>
  <c r="B389" i="4"/>
  <c r="P389" i="4"/>
  <c r="W246" i="5"/>
  <c r="O246" i="5"/>
  <c r="K246" i="5"/>
  <c r="C246" i="5"/>
  <c r="L246" i="5"/>
  <c r="N246" i="5"/>
  <c r="L389" i="4"/>
  <c r="Q246" i="5"/>
  <c r="U246" i="5"/>
  <c r="Q389" i="4"/>
  <c r="X246" i="5"/>
  <c r="R389" i="4"/>
  <c r="Z246" i="5"/>
  <c r="AC246" i="5"/>
  <c r="AD246" i="5"/>
  <c r="AF246" i="5"/>
  <c r="AG246" i="5"/>
  <c r="X389" i="4"/>
  <c r="AI246" i="5"/>
  <c r="Y389" i="4"/>
  <c r="AJ246" i="5"/>
  <c r="AL246" i="5"/>
  <c r="AN246" i="5"/>
  <c r="AA247" i="5"/>
  <c r="B390" i="4"/>
  <c r="P390" i="4"/>
  <c r="W247" i="5"/>
  <c r="O247" i="5"/>
  <c r="K247" i="5"/>
  <c r="C247" i="5"/>
  <c r="L247" i="5"/>
  <c r="N247" i="5"/>
  <c r="L390" i="4"/>
  <c r="Q247" i="5"/>
  <c r="U247" i="5"/>
  <c r="Q390" i="4"/>
  <c r="X247" i="5"/>
  <c r="R390" i="4"/>
  <c r="Z247" i="5"/>
  <c r="AC247" i="5"/>
  <c r="AD247" i="5"/>
  <c r="AF247" i="5"/>
  <c r="AG247" i="5"/>
  <c r="X390" i="4"/>
  <c r="AI247" i="5"/>
  <c r="Y390" i="4"/>
  <c r="AJ247" i="5"/>
  <c r="AL247" i="5"/>
  <c r="AN247" i="5"/>
  <c r="AA248" i="5"/>
  <c r="B391" i="4"/>
  <c r="P391" i="4"/>
  <c r="W248" i="5"/>
  <c r="O248" i="5"/>
  <c r="K248" i="5"/>
  <c r="C248" i="5"/>
  <c r="L248" i="5"/>
  <c r="N248" i="5"/>
  <c r="L391" i="4"/>
  <c r="Q248" i="5"/>
  <c r="U248" i="5"/>
  <c r="Q391" i="4"/>
  <c r="X248" i="5"/>
  <c r="R22" i="2"/>
  <c r="R391" i="4"/>
  <c r="Z248" i="5"/>
  <c r="AC248" i="5"/>
  <c r="AD248" i="5"/>
  <c r="AF248" i="5"/>
  <c r="AG248" i="5"/>
  <c r="X391" i="4"/>
  <c r="AI248" i="5"/>
  <c r="Y391" i="4"/>
  <c r="AJ248" i="5"/>
  <c r="AL248" i="5"/>
  <c r="AN248" i="5"/>
  <c r="AA249" i="5"/>
  <c r="B392" i="4"/>
  <c r="P392" i="4"/>
  <c r="W249" i="5"/>
  <c r="O249" i="5"/>
  <c r="K249" i="5"/>
  <c r="C249" i="5"/>
  <c r="L249" i="5"/>
  <c r="N249" i="5"/>
  <c r="L392" i="4"/>
  <c r="Q249" i="5"/>
  <c r="U249" i="5"/>
  <c r="Q392" i="4"/>
  <c r="X249" i="5"/>
  <c r="R392" i="4"/>
  <c r="Z249" i="5"/>
  <c r="AC249" i="5"/>
  <c r="AD249" i="5"/>
  <c r="AF249" i="5"/>
  <c r="AG249" i="5"/>
  <c r="X392" i="4"/>
  <c r="AI249" i="5"/>
  <c r="Y392" i="4"/>
  <c r="AJ249" i="5"/>
  <c r="AL249" i="5"/>
  <c r="AN249" i="5"/>
  <c r="AA250" i="5"/>
  <c r="B393" i="4"/>
  <c r="P393" i="4"/>
  <c r="W250" i="5"/>
  <c r="O250" i="5"/>
  <c r="K250" i="5"/>
  <c r="C250" i="5"/>
  <c r="L250" i="5"/>
  <c r="N250" i="5"/>
  <c r="L393" i="4"/>
  <c r="Q250" i="5"/>
  <c r="U250" i="5"/>
  <c r="Q393" i="4"/>
  <c r="X250" i="5"/>
  <c r="R393" i="4"/>
  <c r="Z250" i="5"/>
  <c r="AC250" i="5"/>
  <c r="AD250" i="5"/>
  <c r="AF250" i="5"/>
  <c r="AG250" i="5"/>
  <c r="X393" i="4"/>
  <c r="AI250" i="5"/>
  <c r="Y393" i="4"/>
  <c r="AJ250" i="5"/>
  <c r="AL250" i="5"/>
  <c r="AN250" i="5"/>
  <c r="AA251" i="5"/>
  <c r="B394" i="4"/>
  <c r="P394" i="4"/>
  <c r="W251" i="5"/>
  <c r="O251" i="5"/>
  <c r="K251" i="5"/>
  <c r="C251" i="5"/>
  <c r="L251" i="5"/>
  <c r="N251" i="5"/>
  <c r="L394" i="4"/>
  <c r="Q251" i="5"/>
  <c r="U251" i="5"/>
  <c r="Q394" i="4"/>
  <c r="X251" i="5"/>
  <c r="R394" i="4"/>
  <c r="Z251" i="5"/>
  <c r="AC251" i="5"/>
  <c r="AD251" i="5"/>
  <c r="AF251" i="5"/>
  <c r="AG251" i="5"/>
  <c r="X394" i="4"/>
  <c r="AI251" i="5"/>
  <c r="Y394" i="4"/>
  <c r="AJ251" i="5"/>
  <c r="AL251" i="5"/>
  <c r="AN251" i="5"/>
  <c r="AA252" i="5"/>
  <c r="B395" i="4"/>
  <c r="P395" i="4"/>
  <c r="W252" i="5"/>
  <c r="O252" i="5"/>
  <c r="K252" i="5"/>
  <c r="C252" i="5"/>
  <c r="L252" i="5"/>
  <c r="N252" i="5"/>
  <c r="L395" i="4"/>
  <c r="Q252" i="5"/>
  <c r="U252" i="5"/>
  <c r="Q395" i="4"/>
  <c r="X252" i="5"/>
  <c r="R395" i="4"/>
  <c r="Z252" i="5"/>
  <c r="AC252" i="5"/>
  <c r="AD252" i="5"/>
  <c r="AF252" i="5"/>
  <c r="AG252" i="5"/>
  <c r="X395" i="4"/>
  <c r="AI252" i="5"/>
  <c r="Y395" i="4"/>
  <c r="AJ252" i="5"/>
  <c r="AL252" i="5"/>
  <c r="AN252" i="5"/>
  <c r="AA253" i="5"/>
  <c r="B396" i="4"/>
  <c r="P396" i="4"/>
  <c r="W253" i="5"/>
  <c r="O253" i="5"/>
  <c r="K253" i="5"/>
  <c r="C253" i="5"/>
  <c r="L253" i="5"/>
  <c r="N253" i="5"/>
  <c r="L396" i="4"/>
  <c r="Q253" i="5"/>
  <c r="U253" i="5"/>
  <c r="Q396" i="4"/>
  <c r="X253" i="5"/>
  <c r="R396" i="4"/>
  <c r="Z253" i="5"/>
  <c r="AC253" i="5"/>
  <c r="AD253" i="5"/>
  <c r="AF253" i="5"/>
  <c r="AG253" i="5"/>
  <c r="X396" i="4"/>
  <c r="AI253" i="5"/>
  <c r="Y396" i="4"/>
  <c r="AJ253" i="5"/>
  <c r="AL253" i="5"/>
  <c r="AN253" i="5"/>
  <c r="AA254" i="5"/>
  <c r="B397" i="4"/>
  <c r="P397" i="4"/>
  <c r="W254" i="5"/>
  <c r="O254" i="5"/>
  <c r="K254" i="5"/>
  <c r="C254" i="5"/>
  <c r="L254" i="5"/>
  <c r="N254" i="5"/>
  <c r="L397" i="4"/>
  <c r="Q254" i="5"/>
  <c r="U254" i="5"/>
  <c r="Q397" i="4"/>
  <c r="X254" i="5"/>
  <c r="R397" i="4"/>
  <c r="Z254" i="5"/>
  <c r="AC254" i="5"/>
  <c r="AD254" i="5"/>
  <c r="AF254" i="5"/>
  <c r="AG254" i="5"/>
  <c r="X397" i="4"/>
  <c r="AI254" i="5"/>
  <c r="Y397" i="4"/>
  <c r="AJ254" i="5"/>
  <c r="AL254" i="5"/>
  <c r="AN254" i="5"/>
  <c r="AA255" i="5"/>
  <c r="B398" i="4"/>
  <c r="P398" i="4"/>
  <c r="W255" i="5"/>
  <c r="O255" i="5"/>
  <c r="K255" i="5"/>
  <c r="C255" i="5"/>
  <c r="L255" i="5"/>
  <c r="N255" i="5"/>
  <c r="L398" i="4"/>
  <c r="Q255" i="5"/>
  <c r="U255" i="5"/>
  <c r="Q398" i="4"/>
  <c r="X255" i="5"/>
  <c r="R398" i="4"/>
  <c r="Z255" i="5"/>
  <c r="AC255" i="5"/>
  <c r="AD255" i="5"/>
  <c r="AF255" i="5"/>
  <c r="AG255" i="5"/>
  <c r="X398" i="4"/>
  <c r="AI255" i="5"/>
  <c r="Y398" i="4"/>
  <c r="AJ255" i="5"/>
  <c r="AL255" i="5"/>
  <c r="AN255" i="5"/>
  <c r="AA256" i="5"/>
  <c r="B399" i="4"/>
  <c r="P399" i="4"/>
  <c r="W256" i="5"/>
  <c r="O256" i="5"/>
  <c r="K256" i="5"/>
  <c r="C256" i="5"/>
  <c r="L256" i="5"/>
  <c r="N256" i="5"/>
  <c r="L399" i="4"/>
  <c r="Q256" i="5"/>
  <c r="U256" i="5"/>
  <c r="Q399" i="4"/>
  <c r="X256" i="5"/>
  <c r="R399" i="4"/>
  <c r="Z256" i="5"/>
  <c r="AC256" i="5"/>
  <c r="AD256" i="5"/>
  <c r="AF256" i="5"/>
  <c r="AG256" i="5"/>
  <c r="X399" i="4"/>
  <c r="AI256" i="5"/>
  <c r="Y399" i="4"/>
  <c r="AJ256" i="5"/>
  <c r="AL256" i="5"/>
  <c r="AN256" i="5"/>
  <c r="AA257" i="5"/>
  <c r="B400" i="4"/>
  <c r="P400" i="4"/>
  <c r="W257" i="5"/>
  <c r="O257" i="5"/>
  <c r="K257" i="5"/>
  <c r="C257" i="5"/>
  <c r="L257" i="5"/>
  <c r="N257" i="5"/>
  <c r="L400" i="4"/>
  <c r="Q257" i="5"/>
  <c r="U257" i="5"/>
  <c r="Q400" i="4"/>
  <c r="X257" i="5"/>
  <c r="R400" i="4"/>
  <c r="Z257" i="5"/>
  <c r="AC257" i="5"/>
  <c r="AD257" i="5"/>
  <c r="AF257" i="5"/>
  <c r="AG257" i="5"/>
  <c r="X400" i="4"/>
  <c r="AI257" i="5"/>
  <c r="Y400" i="4"/>
  <c r="AJ257" i="5"/>
  <c r="AL257" i="5"/>
  <c r="AN257" i="5"/>
  <c r="C238" i="4"/>
  <c r="C258" i="5"/>
  <c r="D238" i="4"/>
  <c r="E258" i="5"/>
  <c r="E238" i="4"/>
  <c r="F258" i="5"/>
  <c r="F238" i="4"/>
  <c r="H258" i="5"/>
  <c r="I258" i="5"/>
  <c r="K258" i="5"/>
  <c r="L238" i="4"/>
  <c r="Q258" i="5"/>
  <c r="M238" i="4"/>
  <c r="R258" i="5"/>
  <c r="T258" i="5"/>
  <c r="U258" i="5"/>
  <c r="P238" i="4"/>
  <c r="W258" i="5"/>
  <c r="S238" i="4"/>
  <c r="AA258" i="5"/>
  <c r="AH238" i="4"/>
  <c r="T238" i="4" a="1"/>
  <c r="T238" i="4"/>
  <c r="AC258" i="5"/>
  <c r="U238" i="4" a="1"/>
  <c r="U238" i="4"/>
  <c r="AD258" i="5"/>
  <c r="AF258" i="5"/>
  <c r="AG258" i="5"/>
  <c r="X238" i="4"/>
  <c r="AI258" i="5"/>
  <c r="Y238" i="4"/>
  <c r="AJ258" i="5"/>
  <c r="Z238" i="4"/>
  <c r="AL258" i="5"/>
  <c r="L258" i="5"/>
  <c r="N258" i="5"/>
  <c r="O258" i="5"/>
  <c r="X258" i="5"/>
  <c r="Z258" i="5"/>
  <c r="AN258" i="5"/>
  <c r="AA259" i="5"/>
  <c r="B401" i="4"/>
  <c r="P401" i="4"/>
  <c r="W259" i="5"/>
  <c r="O259" i="5"/>
  <c r="K259" i="5"/>
  <c r="C259" i="5"/>
  <c r="L259" i="5"/>
  <c r="N259" i="5"/>
  <c r="L401" i="4"/>
  <c r="Q259" i="5"/>
  <c r="U259" i="5"/>
  <c r="Q401" i="4"/>
  <c r="X259" i="5"/>
  <c r="R35" i="2"/>
  <c r="R401" i="4"/>
  <c r="Z259" i="5"/>
  <c r="AC259" i="5"/>
  <c r="AD259" i="5"/>
  <c r="AF259" i="5"/>
  <c r="AG259" i="5"/>
  <c r="X401" i="4"/>
  <c r="AI259" i="5"/>
  <c r="Y401" i="4"/>
  <c r="AJ259" i="5"/>
  <c r="AL259" i="5"/>
  <c r="AN259" i="5"/>
  <c r="AA260" i="5"/>
  <c r="B402" i="4"/>
  <c r="P402" i="4"/>
  <c r="W260" i="5"/>
  <c r="O260" i="5"/>
  <c r="K260" i="5"/>
  <c r="C260" i="5"/>
  <c r="L260" i="5"/>
  <c r="N260" i="5"/>
  <c r="L402" i="4"/>
  <c r="Q260" i="5"/>
  <c r="U260" i="5"/>
  <c r="Q402" i="4"/>
  <c r="X260" i="5"/>
  <c r="R402" i="4"/>
  <c r="Z260" i="5"/>
  <c r="AC260" i="5"/>
  <c r="AD260" i="5"/>
  <c r="AF260" i="5"/>
  <c r="AG260" i="5"/>
  <c r="X402" i="4"/>
  <c r="AI260" i="5"/>
  <c r="Y402" i="4"/>
  <c r="AJ260" i="5"/>
  <c r="AL260" i="5"/>
  <c r="AN260" i="5"/>
  <c r="AA261" i="5"/>
  <c r="B403" i="4"/>
  <c r="P403" i="4"/>
  <c r="W261" i="5"/>
  <c r="O261" i="5"/>
  <c r="K261" i="5"/>
  <c r="C261" i="5"/>
  <c r="L261" i="5"/>
  <c r="N261" i="5"/>
  <c r="L403" i="4"/>
  <c r="Q261" i="5"/>
  <c r="U261" i="5"/>
  <c r="Q403" i="4"/>
  <c r="X261" i="5"/>
  <c r="R403" i="4"/>
  <c r="Z261" i="5"/>
  <c r="AC261" i="5"/>
  <c r="AD261" i="5"/>
  <c r="AF261" i="5"/>
  <c r="AG261" i="5"/>
  <c r="X403" i="4"/>
  <c r="AI261" i="5"/>
  <c r="Y403" i="4"/>
  <c r="AJ261" i="5"/>
  <c r="AL261" i="5"/>
  <c r="AN261" i="5"/>
  <c r="AA262" i="5"/>
  <c r="B404" i="4"/>
  <c r="P404" i="4"/>
  <c r="W262" i="5"/>
  <c r="O262" i="5"/>
  <c r="K262" i="5"/>
  <c r="C262" i="5"/>
  <c r="L262" i="5"/>
  <c r="N262" i="5"/>
  <c r="L404" i="4"/>
  <c r="Q262" i="5"/>
  <c r="U262" i="5"/>
  <c r="Q404" i="4"/>
  <c r="X262" i="5"/>
  <c r="R20" i="2"/>
  <c r="R404" i="4"/>
  <c r="Z262" i="5"/>
  <c r="AC262" i="5"/>
  <c r="AD262" i="5"/>
  <c r="AF262" i="5"/>
  <c r="AG262" i="5"/>
  <c r="X404" i="4"/>
  <c r="AI262" i="5"/>
  <c r="Y404" i="4"/>
  <c r="AJ262" i="5"/>
  <c r="AL262" i="5"/>
  <c r="AN262" i="5"/>
  <c r="AA263" i="5"/>
  <c r="B405" i="4"/>
  <c r="P405" i="4"/>
  <c r="W263" i="5"/>
  <c r="O263" i="5"/>
  <c r="K263" i="5"/>
  <c r="C263" i="5"/>
  <c r="L263" i="5"/>
  <c r="N263" i="5"/>
  <c r="L405" i="4"/>
  <c r="Q263" i="5"/>
  <c r="U263" i="5"/>
  <c r="Q405" i="4"/>
  <c r="X263" i="5"/>
  <c r="R405" i="4"/>
  <c r="Z263" i="5"/>
  <c r="AC263" i="5"/>
  <c r="AD263" i="5"/>
  <c r="AF263" i="5"/>
  <c r="AG263" i="5"/>
  <c r="X405" i="4"/>
  <c r="AI263" i="5"/>
  <c r="Y405" i="4"/>
  <c r="AJ263" i="5"/>
  <c r="AL263" i="5"/>
  <c r="AN263" i="5"/>
  <c r="AA264" i="5"/>
  <c r="B406" i="4"/>
  <c r="P406" i="4"/>
  <c r="W264" i="5"/>
  <c r="O264" i="5"/>
  <c r="K264" i="5"/>
  <c r="C264" i="5"/>
  <c r="L264" i="5"/>
  <c r="N264" i="5"/>
  <c r="L406" i="4"/>
  <c r="Q264" i="5"/>
  <c r="U264" i="5"/>
  <c r="Q406" i="4"/>
  <c r="X264" i="5"/>
  <c r="R406" i="4"/>
  <c r="Z264" i="5"/>
  <c r="AC264" i="5"/>
  <c r="AD264" i="5"/>
  <c r="AF264" i="5"/>
  <c r="AG264" i="5"/>
  <c r="X406" i="4"/>
  <c r="AI264" i="5"/>
  <c r="Y406" i="4"/>
  <c r="AJ264" i="5"/>
  <c r="AL264" i="5"/>
  <c r="AN264" i="5"/>
  <c r="AA265" i="5"/>
  <c r="B407" i="4"/>
  <c r="P407" i="4"/>
  <c r="W265" i="5"/>
  <c r="O265" i="5"/>
  <c r="K265" i="5"/>
  <c r="C265" i="5"/>
  <c r="L265" i="5"/>
  <c r="N265" i="5"/>
  <c r="L407" i="4"/>
  <c r="Q265" i="5"/>
  <c r="U265" i="5"/>
  <c r="Q407" i="4"/>
  <c r="X265" i="5"/>
  <c r="R407" i="4"/>
  <c r="Z265" i="5"/>
  <c r="AC265" i="5"/>
  <c r="AD265" i="5"/>
  <c r="AF265" i="5"/>
  <c r="AG265" i="5"/>
  <c r="X407" i="4"/>
  <c r="AI265" i="5"/>
  <c r="Y407" i="4"/>
  <c r="AJ265" i="5"/>
  <c r="AL265" i="5"/>
  <c r="AN265" i="5"/>
  <c r="B239" i="4"/>
  <c r="C239" i="4"/>
  <c r="C266" i="5"/>
  <c r="D239" i="4"/>
  <c r="E266" i="5"/>
  <c r="H239" i="4"/>
  <c r="K266" i="5"/>
  <c r="L239" i="4"/>
  <c r="Q266" i="5"/>
  <c r="M239" i="4"/>
  <c r="R266" i="5"/>
  <c r="T266" i="5"/>
  <c r="U266" i="5"/>
  <c r="P239" i="4"/>
  <c r="W266" i="5"/>
  <c r="Q239" i="4"/>
  <c r="X266" i="5"/>
  <c r="AA266" i="5"/>
  <c r="AH239" i="4"/>
  <c r="T239" i="4" a="1"/>
  <c r="T239" i="4"/>
  <c r="AC266" i="5"/>
  <c r="U239" i="4" a="1"/>
  <c r="U239" i="4"/>
  <c r="AD266" i="5"/>
  <c r="AF266" i="5"/>
  <c r="AG266" i="5"/>
  <c r="Y239" i="4"/>
  <c r="AJ266" i="5"/>
  <c r="Z239" i="4"/>
  <c r="AL266" i="5"/>
  <c r="AN266" i="5"/>
  <c r="C240" i="4"/>
  <c r="C267" i="5"/>
  <c r="D240" i="4"/>
  <c r="E267" i="5"/>
  <c r="H240" i="4"/>
  <c r="K267" i="5"/>
  <c r="L240" i="4"/>
  <c r="Q267" i="5"/>
  <c r="M240" i="4"/>
  <c r="R267" i="5"/>
  <c r="T267" i="5"/>
  <c r="U267" i="5"/>
  <c r="P240" i="4"/>
  <c r="W267" i="5"/>
  <c r="Q240" i="4"/>
  <c r="X267" i="5"/>
  <c r="AA267" i="5"/>
  <c r="AH240" i="4"/>
  <c r="T240" i="4" a="1"/>
  <c r="T240" i="4"/>
  <c r="AC267" i="5"/>
  <c r="U240" i="4" a="1"/>
  <c r="U240" i="4"/>
  <c r="AD267" i="5"/>
  <c r="AF267" i="5"/>
  <c r="AG267" i="5"/>
  <c r="X240" i="4"/>
  <c r="AI267" i="5"/>
  <c r="Y240" i="4"/>
  <c r="AJ267" i="5"/>
  <c r="Z240" i="4"/>
  <c r="AL267" i="5"/>
  <c r="AN267" i="5"/>
  <c r="C241" i="4"/>
  <c r="C268" i="5"/>
  <c r="D241" i="4"/>
  <c r="E268" i="5"/>
  <c r="H241" i="4"/>
  <c r="K268" i="5"/>
  <c r="L241" i="4"/>
  <c r="Q268" i="5"/>
  <c r="M241" i="4"/>
  <c r="R268" i="5"/>
  <c r="T268" i="5"/>
  <c r="U268" i="5"/>
  <c r="P241" i="4"/>
  <c r="W268" i="5"/>
  <c r="Q241" i="4"/>
  <c r="X268" i="5"/>
  <c r="AA268" i="5"/>
  <c r="AH241" i="4"/>
  <c r="T241" i="4" a="1"/>
  <c r="T241" i="4"/>
  <c r="AC268" i="5"/>
  <c r="U241" i="4" a="1"/>
  <c r="U241" i="4"/>
  <c r="AD268" i="5"/>
  <c r="AF268" i="5"/>
  <c r="AG268" i="5"/>
  <c r="X241" i="4"/>
  <c r="AI268" i="5"/>
  <c r="Y241" i="4"/>
  <c r="AJ268" i="5"/>
  <c r="Z241" i="4"/>
  <c r="AL268" i="5"/>
  <c r="AN268" i="5"/>
  <c r="B242" i="4"/>
  <c r="C242" i="4"/>
  <c r="C269" i="5"/>
  <c r="D242" i="4"/>
  <c r="E269" i="5"/>
  <c r="H242" i="4"/>
  <c r="K269" i="5"/>
  <c r="L242" i="4"/>
  <c r="Q269" i="5"/>
  <c r="M242" i="4"/>
  <c r="R269" i="5"/>
  <c r="T269" i="5"/>
  <c r="U269" i="5"/>
  <c r="P242" i="4"/>
  <c r="W269" i="5"/>
  <c r="Q242" i="4"/>
  <c r="X269" i="5"/>
  <c r="AA269" i="5"/>
  <c r="AH242" i="4"/>
  <c r="T242" i="4" a="1"/>
  <c r="T242" i="4"/>
  <c r="AC269" i="5"/>
  <c r="U242" i="4" a="1"/>
  <c r="U242" i="4"/>
  <c r="AD269" i="5"/>
  <c r="AF269" i="5"/>
  <c r="AG269" i="5"/>
  <c r="X242" i="4"/>
  <c r="AI269" i="5"/>
  <c r="Y242" i="4"/>
  <c r="AJ269" i="5"/>
  <c r="Z242" i="4"/>
  <c r="AL269" i="5"/>
  <c r="AN269" i="5"/>
  <c r="B243" i="4"/>
  <c r="C243" i="4"/>
  <c r="C270" i="5"/>
  <c r="D243" i="4"/>
  <c r="E270" i="5"/>
  <c r="H243" i="4"/>
  <c r="K270" i="5"/>
  <c r="L243" i="4"/>
  <c r="Q270" i="5"/>
  <c r="M243" i="4"/>
  <c r="R270" i="5"/>
  <c r="T270" i="5"/>
  <c r="U270" i="5"/>
  <c r="P243" i="4"/>
  <c r="W270" i="5"/>
  <c r="Q243" i="4"/>
  <c r="X270" i="5"/>
  <c r="AA270" i="5"/>
  <c r="AH243" i="4"/>
  <c r="T243" i="4" a="1"/>
  <c r="T243" i="4"/>
  <c r="AC270" i="5"/>
  <c r="U243" i="4" a="1"/>
  <c r="U243" i="4"/>
  <c r="AD270" i="5"/>
  <c r="AF270" i="5"/>
  <c r="AG270" i="5"/>
  <c r="X243" i="4"/>
  <c r="AI270" i="5"/>
  <c r="Y243" i="4"/>
  <c r="AJ270" i="5"/>
  <c r="Z243" i="4"/>
  <c r="AL270" i="5"/>
  <c r="AN270" i="5"/>
  <c r="B244" i="4"/>
  <c r="C244" i="4"/>
  <c r="C271" i="5"/>
  <c r="D244" i="4"/>
  <c r="E271" i="5"/>
  <c r="H244" i="4"/>
  <c r="K271" i="5"/>
  <c r="L244" i="4"/>
  <c r="Q271" i="5"/>
  <c r="M244" i="4"/>
  <c r="R271" i="5"/>
  <c r="T271" i="5"/>
  <c r="U271" i="5"/>
  <c r="P244" i="4"/>
  <c r="W271" i="5"/>
  <c r="Q244" i="4"/>
  <c r="X271" i="5"/>
  <c r="AA271" i="5"/>
  <c r="AH244" i="4"/>
  <c r="T244" i="4" a="1"/>
  <c r="T244" i="4"/>
  <c r="AC271" i="5"/>
  <c r="U244" i="4" a="1"/>
  <c r="U244" i="4"/>
  <c r="AD271" i="5"/>
  <c r="AF271" i="5"/>
  <c r="AG271" i="5"/>
  <c r="X244" i="4"/>
  <c r="AI271" i="5"/>
  <c r="Y244" i="4"/>
  <c r="AJ271" i="5"/>
  <c r="Z244" i="4"/>
  <c r="AL271" i="5"/>
  <c r="AN271" i="5"/>
  <c r="B245" i="4"/>
  <c r="C245" i="4"/>
  <c r="C272" i="5"/>
  <c r="D245" i="4"/>
  <c r="E272" i="5"/>
  <c r="H245" i="4"/>
  <c r="K272" i="5"/>
  <c r="L245" i="4"/>
  <c r="Q272" i="5"/>
  <c r="M245" i="4"/>
  <c r="R272" i="5"/>
  <c r="T272" i="5"/>
  <c r="U272" i="5"/>
  <c r="P245" i="4"/>
  <c r="W272" i="5"/>
  <c r="Q245" i="4"/>
  <c r="X272" i="5"/>
  <c r="AA272" i="5"/>
  <c r="AH245" i="4"/>
  <c r="T245" i="4" a="1"/>
  <c r="T245" i="4"/>
  <c r="AC272" i="5"/>
  <c r="U245" i="4" a="1"/>
  <c r="U245" i="4"/>
  <c r="AD272" i="5"/>
  <c r="AF272" i="5"/>
  <c r="AG272" i="5"/>
  <c r="X245" i="4"/>
  <c r="AI272" i="5"/>
  <c r="Y245" i="4"/>
  <c r="AJ272" i="5"/>
  <c r="Z245" i="4"/>
  <c r="AL272" i="5"/>
  <c r="AN272" i="5"/>
  <c r="C246" i="4"/>
  <c r="C273" i="5"/>
  <c r="D246" i="4"/>
  <c r="E273" i="5"/>
  <c r="H246" i="4"/>
  <c r="K273" i="5"/>
  <c r="L246" i="4"/>
  <c r="Q273" i="5"/>
  <c r="M246" i="4"/>
  <c r="R273" i="5"/>
  <c r="T273" i="5"/>
  <c r="U273" i="5"/>
  <c r="P246" i="4"/>
  <c r="W273" i="5"/>
  <c r="Q246" i="4"/>
  <c r="X273" i="5"/>
  <c r="S246" i="4"/>
  <c r="AA273" i="5"/>
  <c r="AH246" i="4"/>
  <c r="T246" i="4" a="1"/>
  <c r="T246" i="4"/>
  <c r="AC273" i="5"/>
  <c r="U246" i="4" a="1"/>
  <c r="U246" i="4"/>
  <c r="AD273" i="5"/>
  <c r="AF273" i="5"/>
  <c r="AG273" i="5"/>
  <c r="X246" i="4"/>
  <c r="AI273" i="5"/>
  <c r="Y246" i="4"/>
  <c r="AJ273" i="5"/>
  <c r="Z246" i="4"/>
  <c r="AL273" i="5"/>
  <c r="AN273" i="5"/>
  <c r="C247" i="4"/>
  <c r="C274" i="5"/>
  <c r="D247" i="4"/>
  <c r="E274" i="5"/>
  <c r="H247" i="4"/>
  <c r="K274" i="5"/>
  <c r="L247" i="4"/>
  <c r="Q274" i="5"/>
  <c r="M247" i="4"/>
  <c r="R274" i="5"/>
  <c r="T274" i="5"/>
  <c r="U274" i="5"/>
  <c r="P247" i="4"/>
  <c r="W274" i="5"/>
  <c r="Q247" i="4"/>
  <c r="X274" i="5"/>
  <c r="S247" i="4"/>
  <c r="AA274" i="5"/>
  <c r="AH247" i="4"/>
  <c r="T247" i="4" a="1"/>
  <c r="T247" i="4"/>
  <c r="AC274" i="5"/>
  <c r="U247" i="4" a="1"/>
  <c r="U247" i="4"/>
  <c r="AD274" i="5"/>
  <c r="AF274" i="5"/>
  <c r="AG274" i="5"/>
  <c r="X247" i="4"/>
  <c r="AI274" i="5"/>
  <c r="Y247" i="4"/>
  <c r="AJ274" i="5"/>
  <c r="Z247" i="4"/>
  <c r="AL274" i="5"/>
  <c r="AN274" i="5"/>
  <c r="C248" i="4"/>
  <c r="C275" i="5"/>
  <c r="D248" i="4"/>
  <c r="E275" i="5"/>
  <c r="K275" i="5"/>
  <c r="L248" i="4"/>
  <c r="Q275" i="5"/>
  <c r="M248" i="4"/>
  <c r="R275" i="5"/>
  <c r="T275" i="5"/>
  <c r="U275" i="5"/>
  <c r="P248" i="4"/>
  <c r="W275" i="5"/>
  <c r="Q248" i="4"/>
  <c r="X275" i="5"/>
  <c r="S248" i="4"/>
  <c r="AA275" i="5"/>
  <c r="AH248" i="4"/>
  <c r="T248" i="4" a="1"/>
  <c r="T248" i="4"/>
  <c r="AC275" i="5"/>
  <c r="U248" i="4" a="1"/>
  <c r="U248" i="4"/>
  <c r="AD275" i="5"/>
  <c r="AF275" i="5"/>
  <c r="AG275" i="5"/>
  <c r="X248" i="4"/>
  <c r="AI275" i="5"/>
  <c r="Y248" i="4"/>
  <c r="AJ275" i="5"/>
  <c r="Z248" i="4"/>
  <c r="AL275" i="5"/>
  <c r="AN275" i="5"/>
  <c r="B249" i="4"/>
  <c r="C249" i="4"/>
  <c r="C276" i="5"/>
  <c r="D249" i="4"/>
  <c r="E276" i="5"/>
  <c r="K276" i="5"/>
  <c r="L249" i="4"/>
  <c r="Q276" i="5"/>
  <c r="M249" i="4"/>
  <c r="R276" i="5"/>
  <c r="T276" i="5"/>
  <c r="U276" i="5"/>
  <c r="P249" i="4"/>
  <c r="W276" i="5"/>
  <c r="Q249" i="4"/>
  <c r="X276" i="5"/>
  <c r="AA276" i="5"/>
  <c r="AH249" i="4"/>
  <c r="T249" i="4" a="1"/>
  <c r="T249" i="4"/>
  <c r="AC276" i="5"/>
  <c r="U249" i="4" a="1"/>
  <c r="U249" i="4"/>
  <c r="AD276" i="5"/>
  <c r="AF276" i="5"/>
  <c r="AG276" i="5"/>
  <c r="X249" i="4"/>
  <c r="AI276" i="5"/>
  <c r="Y249" i="4"/>
  <c r="AJ276" i="5"/>
  <c r="Z249" i="4"/>
  <c r="AL276" i="5"/>
  <c r="AN276" i="5"/>
  <c r="O277" i="5"/>
  <c r="K277" i="5"/>
  <c r="B250" i="4"/>
  <c r="C250" i="4"/>
  <c r="C277" i="5"/>
  <c r="D250" i="4"/>
  <c r="E277" i="5"/>
  <c r="I250" i="4"/>
  <c r="L277" i="5"/>
  <c r="J250" i="4"/>
  <c r="N277" i="5"/>
  <c r="L250" i="4"/>
  <c r="Q277" i="5"/>
  <c r="M250" i="4"/>
  <c r="R277" i="5"/>
  <c r="T277" i="5"/>
  <c r="U277" i="5"/>
  <c r="P250" i="4"/>
  <c r="W277" i="5"/>
  <c r="Q250" i="4"/>
  <c r="X277" i="5"/>
  <c r="S250" i="4"/>
  <c r="AA277" i="5"/>
  <c r="AH250" i="4"/>
  <c r="T250" i="4" a="1"/>
  <c r="T250" i="4"/>
  <c r="AC277" i="5"/>
  <c r="U250" i="4" a="1"/>
  <c r="U250" i="4"/>
  <c r="AD277" i="5"/>
  <c r="AF277" i="5"/>
  <c r="AG277" i="5"/>
  <c r="X250" i="4"/>
  <c r="AI277" i="5"/>
  <c r="Y250" i="4"/>
  <c r="AJ277" i="5"/>
  <c r="Z250" i="4"/>
  <c r="AL277" i="5"/>
  <c r="AN277" i="5"/>
  <c r="B251" i="4"/>
  <c r="C251" i="4"/>
  <c r="C278" i="5"/>
  <c r="D251" i="4"/>
  <c r="E278" i="5"/>
  <c r="H251" i="4"/>
  <c r="K278" i="5"/>
  <c r="L251" i="4"/>
  <c r="Q278" i="5"/>
  <c r="M251" i="4"/>
  <c r="R278" i="5"/>
  <c r="T278" i="5"/>
  <c r="U278" i="5"/>
  <c r="P251" i="4"/>
  <c r="W278" i="5"/>
  <c r="Q251" i="4"/>
  <c r="X278" i="5"/>
  <c r="AA278" i="5"/>
  <c r="AH251" i="4"/>
  <c r="T251" i="4" a="1"/>
  <c r="T251" i="4"/>
  <c r="AC278" i="5"/>
  <c r="U251" i="4" a="1"/>
  <c r="U251" i="4"/>
  <c r="AD278" i="5"/>
  <c r="AF278" i="5"/>
  <c r="AG278" i="5"/>
  <c r="X251" i="4"/>
  <c r="AI278" i="5"/>
  <c r="Y251" i="4"/>
  <c r="AJ278" i="5"/>
  <c r="Z251" i="4"/>
  <c r="AL278" i="5"/>
  <c r="L278" i="5"/>
  <c r="N278" i="5"/>
  <c r="O278" i="5"/>
  <c r="AN278" i="5"/>
  <c r="O279" i="5"/>
  <c r="H252" i="4"/>
  <c r="K279" i="5"/>
  <c r="C252" i="4"/>
  <c r="C279" i="5"/>
  <c r="D252" i="4"/>
  <c r="E279" i="5"/>
  <c r="I252" i="4"/>
  <c r="L279" i="5"/>
  <c r="J252" i="4"/>
  <c r="N279" i="5"/>
  <c r="L252" i="4"/>
  <c r="Q279" i="5"/>
  <c r="M252" i="4"/>
  <c r="R279" i="5"/>
  <c r="T279" i="5"/>
  <c r="U279" i="5"/>
  <c r="P252" i="4"/>
  <c r="W279" i="5"/>
  <c r="Q252" i="4"/>
  <c r="X279" i="5"/>
  <c r="AA279" i="5"/>
  <c r="AH252" i="4"/>
  <c r="T252" i="4" a="1"/>
  <c r="T252" i="4"/>
  <c r="AC279" i="5"/>
  <c r="U252" i="4" a="1"/>
  <c r="U252" i="4"/>
  <c r="AD279" i="5"/>
  <c r="AF279" i="5"/>
  <c r="AG279" i="5"/>
  <c r="X252" i="4"/>
  <c r="AI279" i="5"/>
  <c r="Y252" i="4"/>
  <c r="AJ279" i="5"/>
  <c r="Z252" i="4"/>
  <c r="AL279" i="5"/>
  <c r="AN279" i="5"/>
  <c r="C253" i="4"/>
  <c r="C280" i="5"/>
  <c r="D253" i="4"/>
  <c r="E280" i="5"/>
  <c r="H253" i="4"/>
  <c r="K280" i="5"/>
  <c r="L253" i="4"/>
  <c r="Q280" i="5"/>
  <c r="M253" i="4"/>
  <c r="R280" i="5"/>
  <c r="T280" i="5"/>
  <c r="U280" i="5"/>
  <c r="W280" i="5"/>
  <c r="Q253" i="4"/>
  <c r="X280" i="5"/>
  <c r="AA280" i="5"/>
  <c r="AH253" i="4"/>
  <c r="T253" i="4" a="1"/>
  <c r="T253" i="4"/>
  <c r="AC280" i="5"/>
  <c r="U253" i="4" a="1"/>
  <c r="U253" i="4"/>
  <c r="AD280" i="5"/>
  <c r="AF280" i="5"/>
  <c r="AG280" i="5"/>
  <c r="X253" i="4"/>
  <c r="AI280" i="5"/>
  <c r="Y253" i="4"/>
  <c r="AJ280" i="5"/>
  <c r="Z253" i="4"/>
  <c r="AL280" i="5"/>
  <c r="AN280" i="5"/>
  <c r="B254" i="4"/>
  <c r="C254" i="4"/>
  <c r="C281" i="5"/>
  <c r="D254" i="4"/>
  <c r="E281" i="5"/>
  <c r="K281" i="5"/>
  <c r="L254" i="4"/>
  <c r="Q281" i="5"/>
  <c r="M254" i="4"/>
  <c r="R281" i="5"/>
  <c r="T281" i="5"/>
  <c r="U281" i="5"/>
  <c r="W281" i="5"/>
  <c r="Q254" i="4"/>
  <c r="X281" i="5"/>
  <c r="AA281" i="5"/>
  <c r="AH254" i="4"/>
  <c r="T254" i="4" a="1"/>
  <c r="T254" i="4"/>
  <c r="AC281" i="5"/>
  <c r="U254" i="4" a="1"/>
  <c r="U254" i="4"/>
  <c r="AD281" i="5"/>
  <c r="AF281" i="5"/>
  <c r="AG281" i="5"/>
  <c r="X254" i="4"/>
  <c r="AI281" i="5"/>
  <c r="Y254" i="4"/>
  <c r="AJ281" i="5"/>
  <c r="Z254" i="4"/>
  <c r="AL281" i="5"/>
  <c r="AN281" i="5"/>
  <c r="C255" i="4"/>
  <c r="C282" i="5"/>
  <c r="D255" i="4"/>
  <c r="E282" i="5"/>
  <c r="H255" i="4"/>
  <c r="K282" i="5"/>
  <c r="L255" i="4"/>
  <c r="Q282" i="5"/>
  <c r="M255" i="4"/>
  <c r="R282" i="5"/>
  <c r="T282" i="5"/>
  <c r="U282" i="5"/>
  <c r="P255" i="4"/>
  <c r="W282" i="5"/>
  <c r="Q255" i="4"/>
  <c r="X282" i="5"/>
  <c r="S255" i="4"/>
  <c r="AA282" i="5"/>
  <c r="AH255" i="4"/>
  <c r="T255" i="4" a="1"/>
  <c r="T255" i="4"/>
  <c r="AC282" i="5"/>
  <c r="U255" i="4" a="1"/>
  <c r="U255" i="4"/>
  <c r="AD282" i="5"/>
  <c r="AF282" i="5"/>
  <c r="AG282" i="5"/>
  <c r="X255" i="4"/>
  <c r="AI282" i="5"/>
  <c r="Y255" i="4"/>
  <c r="AJ282" i="5"/>
  <c r="Z255" i="4"/>
  <c r="AL282" i="5"/>
  <c r="AN282" i="5"/>
  <c r="B256" i="4"/>
  <c r="C256" i="4"/>
  <c r="C283" i="5"/>
  <c r="D256" i="4"/>
  <c r="E283" i="5"/>
  <c r="K283" i="5"/>
  <c r="L256" i="4"/>
  <c r="Q283" i="5"/>
  <c r="M256" i="4"/>
  <c r="R283" i="5"/>
  <c r="T283" i="5"/>
  <c r="U283" i="5"/>
  <c r="P256" i="4"/>
  <c r="W283" i="5"/>
  <c r="Q256" i="4"/>
  <c r="X283" i="5"/>
  <c r="S256" i="4"/>
  <c r="AA283" i="5"/>
  <c r="AH256" i="4"/>
  <c r="T256" i="4" a="1"/>
  <c r="T256" i="4"/>
  <c r="AC283" i="5"/>
  <c r="U256" i="4" a="1"/>
  <c r="U256" i="4"/>
  <c r="AD283" i="5"/>
  <c r="AF283" i="5"/>
  <c r="AG283" i="5"/>
  <c r="X256" i="4"/>
  <c r="AI283" i="5"/>
  <c r="Y256" i="4"/>
  <c r="AJ283" i="5"/>
  <c r="Z256" i="4"/>
  <c r="AL283" i="5"/>
  <c r="AN283" i="5"/>
  <c r="B257" i="4"/>
  <c r="C257" i="4"/>
  <c r="C284" i="5"/>
  <c r="D257" i="4"/>
  <c r="E284" i="5"/>
  <c r="K284" i="5"/>
  <c r="L257" i="4"/>
  <c r="Q284" i="5"/>
  <c r="M257" i="4"/>
  <c r="R284" i="5"/>
  <c r="T284" i="5"/>
  <c r="U284" i="5"/>
  <c r="P257" i="4"/>
  <c r="W284" i="5"/>
  <c r="Q257" i="4"/>
  <c r="X284" i="5"/>
  <c r="S257" i="4"/>
  <c r="AA284" i="5"/>
  <c r="AH257" i="4"/>
  <c r="T257" i="4" a="1"/>
  <c r="T257" i="4"/>
  <c r="AC284" i="5"/>
  <c r="U257" i="4" a="1"/>
  <c r="U257" i="4"/>
  <c r="AD284" i="5"/>
  <c r="AF284" i="5"/>
  <c r="AG284" i="5"/>
  <c r="X257" i="4"/>
  <c r="AI284" i="5"/>
  <c r="Y257" i="4"/>
  <c r="AJ284" i="5"/>
  <c r="Z257" i="4"/>
  <c r="AL284" i="5"/>
  <c r="AN284" i="5"/>
  <c r="B259" i="4"/>
  <c r="C259" i="4"/>
  <c r="C285" i="5"/>
  <c r="D259" i="4"/>
  <c r="E285" i="5"/>
  <c r="K285" i="5"/>
  <c r="L259" i="4"/>
  <c r="Q285" i="5"/>
  <c r="M259" i="4"/>
  <c r="R285" i="5"/>
  <c r="T285" i="5"/>
  <c r="U285" i="5"/>
  <c r="P259" i="4"/>
  <c r="W285" i="5"/>
  <c r="Q259" i="4"/>
  <c r="X285" i="5"/>
  <c r="S259" i="4"/>
  <c r="AA285" i="5"/>
  <c r="AH259" i="4"/>
  <c r="T259" i="4" a="1"/>
  <c r="T259" i="4"/>
  <c r="AC285" i="5"/>
  <c r="U259" i="4" a="1"/>
  <c r="U259" i="4"/>
  <c r="AD285" i="5"/>
  <c r="AF285" i="5"/>
  <c r="AG285" i="5"/>
  <c r="X259" i="4"/>
  <c r="AI285" i="5"/>
  <c r="Y259" i="4"/>
  <c r="AJ285" i="5"/>
  <c r="Z259" i="4"/>
  <c r="AL285" i="5"/>
  <c r="AN285" i="5"/>
  <c r="C260" i="4"/>
  <c r="C286" i="5"/>
  <c r="D260" i="4"/>
  <c r="E286" i="5"/>
  <c r="H260" i="4"/>
  <c r="K286" i="5"/>
  <c r="L260" i="4"/>
  <c r="Q286" i="5"/>
  <c r="M260" i="4"/>
  <c r="R286" i="5"/>
  <c r="N4" i="2"/>
  <c r="N260" i="4"/>
  <c r="T286" i="5"/>
  <c r="U286" i="5"/>
  <c r="P260" i="4"/>
  <c r="W286" i="5"/>
  <c r="Q260" i="4"/>
  <c r="X286" i="5"/>
  <c r="AA286" i="5"/>
  <c r="AH260" i="4"/>
  <c r="T260" i="4" a="1"/>
  <c r="T260" i="4"/>
  <c r="AC286" i="5"/>
  <c r="U260" i="4" a="1"/>
  <c r="U260" i="4"/>
  <c r="AD286" i="5"/>
  <c r="AF286" i="5"/>
  <c r="AG286" i="5"/>
  <c r="X260" i="4"/>
  <c r="AI286" i="5"/>
  <c r="Y260" i="4"/>
  <c r="AJ286" i="5"/>
  <c r="Z260" i="4"/>
  <c r="AL286" i="5"/>
  <c r="AN286" i="5"/>
  <c r="O287" i="5"/>
  <c r="K287" i="5"/>
  <c r="B261" i="4"/>
  <c r="C261" i="4"/>
  <c r="C287" i="5"/>
  <c r="D261" i="4"/>
  <c r="E287" i="5"/>
  <c r="E261" i="4"/>
  <c r="F287" i="5"/>
  <c r="F261" i="4"/>
  <c r="H287" i="5"/>
  <c r="I287" i="5"/>
  <c r="I261" i="4"/>
  <c r="L287" i="5"/>
  <c r="J261" i="4"/>
  <c r="N287" i="5"/>
  <c r="L261" i="4"/>
  <c r="Q287" i="5"/>
  <c r="M261" i="4"/>
  <c r="R287" i="5"/>
  <c r="N261" i="4"/>
  <c r="T287" i="5"/>
  <c r="U287" i="5"/>
  <c r="P261" i="4"/>
  <c r="W287" i="5"/>
  <c r="Q261" i="4"/>
  <c r="X287" i="5"/>
  <c r="S261" i="4"/>
  <c r="AA287" i="5"/>
  <c r="AH261" i="4"/>
  <c r="T261" i="4" a="1"/>
  <c r="T261" i="4"/>
  <c r="AC287" i="5"/>
  <c r="U261" i="4" a="1"/>
  <c r="U261" i="4"/>
  <c r="AD287" i="5"/>
  <c r="AF287" i="5"/>
  <c r="AG287" i="5"/>
  <c r="X261" i="4"/>
  <c r="AI287" i="5"/>
  <c r="Y261" i="4"/>
  <c r="AJ287" i="5"/>
  <c r="Z261" i="4"/>
  <c r="AL287" i="5"/>
  <c r="AN287" i="5"/>
  <c r="C262" i="4"/>
  <c r="C288" i="5"/>
  <c r="D262" i="4"/>
  <c r="E288" i="5"/>
  <c r="H262" i="4"/>
  <c r="K288" i="5"/>
  <c r="I262" i="4"/>
  <c r="L288" i="5"/>
  <c r="J262" i="4"/>
  <c r="N288" i="5"/>
  <c r="O288" i="5"/>
  <c r="L262" i="4"/>
  <c r="Q288" i="5"/>
  <c r="M262" i="4"/>
  <c r="R288" i="5"/>
  <c r="N262" i="4"/>
  <c r="T288" i="5"/>
  <c r="U288" i="5"/>
  <c r="P262" i="4"/>
  <c r="W288" i="5"/>
  <c r="Q262" i="4"/>
  <c r="X288" i="5"/>
  <c r="S262" i="4"/>
  <c r="AA288" i="5"/>
  <c r="AH262" i="4"/>
  <c r="T262" i="4" a="1"/>
  <c r="T262" i="4"/>
  <c r="AC288" i="5"/>
  <c r="U262" i="4" a="1"/>
  <c r="U262" i="4"/>
  <c r="AD288" i="5"/>
  <c r="AF288" i="5"/>
  <c r="AG288" i="5"/>
  <c r="X262" i="4"/>
  <c r="AI288" i="5"/>
  <c r="Y262" i="4"/>
  <c r="AJ288" i="5"/>
  <c r="Z262" i="4"/>
  <c r="AL288" i="5"/>
  <c r="F288" i="5"/>
  <c r="H288" i="5"/>
  <c r="I288" i="5"/>
  <c r="AN288" i="5"/>
  <c r="O289" i="5"/>
  <c r="K289" i="5"/>
  <c r="B263" i="4"/>
  <c r="C263" i="4"/>
  <c r="C289" i="5"/>
  <c r="D263" i="4"/>
  <c r="E289" i="5"/>
  <c r="I263" i="4"/>
  <c r="L289" i="5"/>
  <c r="J263" i="4"/>
  <c r="N289" i="5"/>
  <c r="L263" i="4"/>
  <c r="Q289" i="5"/>
  <c r="M263" i="4"/>
  <c r="R289" i="5"/>
  <c r="N263" i="4"/>
  <c r="T289" i="5"/>
  <c r="U289" i="5"/>
  <c r="P263" i="4"/>
  <c r="W289" i="5"/>
  <c r="Q263" i="4"/>
  <c r="X289" i="5"/>
  <c r="S263" i="4"/>
  <c r="AA289" i="5"/>
  <c r="AH263" i="4"/>
  <c r="T263" i="4" a="1"/>
  <c r="T263" i="4"/>
  <c r="AC289" i="5"/>
  <c r="U263" i="4" a="1"/>
  <c r="U263" i="4"/>
  <c r="AD289" i="5"/>
  <c r="AF289" i="5"/>
  <c r="AG289" i="5"/>
  <c r="X263" i="4"/>
  <c r="AI289" i="5"/>
  <c r="Y263" i="4"/>
  <c r="AJ289" i="5"/>
  <c r="Z263" i="4"/>
  <c r="AL289" i="5"/>
  <c r="F289" i="5"/>
  <c r="H289" i="5"/>
  <c r="I289" i="5"/>
  <c r="AN289" i="5"/>
  <c r="O290" i="5"/>
  <c r="K290" i="5"/>
  <c r="C290" i="5"/>
  <c r="B312" i="4"/>
  <c r="D312" i="4"/>
  <c r="E290" i="5"/>
  <c r="I290" i="5"/>
  <c r="I312" i="4"/>
  <c r="L290" i="5"/>
  <c r="J312" i="4"/>
  <c r="N290" i="5"/>
  <c r="L312" i="4"/>
  <c r="Q290" i="5"/>
  <c r="M312" i="4"/>
  <c r="R290" i="5"/>
  <c r="N43" i="2"/>
  <c r="N312" i="4"/>
  <c r="T290" i="5"/>
  <c r="O43" i="2"/>
  <c r="O312" i="4"/>
  <c r="U290" i="5"/>
  <c r="P312" i="4"/>
  <c r="W290" i="5"/>
  <c r="Q312" i="4"/>
  <c r="X290" i="5"/>
  <c r="AA290" i="5"/>
  <c r="AC290" i="5"/>
  <c r="AD290" i="5"/>
  <c r="V43" i="2"/>
  <c r="V312" i="4"/>
  <c r="AF290" i="5"/>
  <c r="AG290" i="5"/>
  <c r="X312" i="4"/>
  <c r="AI290" i="5"/>
  <c r="Y312" i="4"/>
  <c r="AJ290" i="5"/>
  <c r="AL290" i="5"/>
  <c r="AN290" i="5"/>
  <c r="O291" i="5"/>
  <c r="K291" i="5"/>
  <c r="C291" i="5"/>
  <c r="B313" i="4"/>
  <c r="D313" i="4"/>
  <c r="E291" i="5"/>
  <c r="I291" i="5"/>
  <c r="I313" i="4"/>
  <c r="L291" i="5"/>
  <c r="J313" i="4"/>
  <c r="N291" i="5"/>
  <c r="L313" i="4"/>
  <c r="Q291" i="5"/>
  <c r="M313" i="4"/>
  <c r="R291" i="5"/>
  <c r="N313" i="4"/>
  <c r="T291" i="5"/>
  <c r="O313" i="4"/>
  <c r="U291" i="5"/>
  <c r="P313" i="4"/>
  <c r="W291" i="5"/>
  <c r="Q313" i="4"/>
  <c r="X291" i="5"/>
  <c r="AA291" i="5"/>
  <c r="AC291" i="5"/>
  <c r="AD291" i="5"/>
  <c r="V313" i="4"/>
  <c r="AF291" i="5"/>
  <c r="AG291" i="5"/>
  <c r="X313" i="4"/>
  <c r="AI291" i="5"/>
  <c r="Y313" i="4"/>
  <c r="AJ291" i="5"/>
  <c r="AL291" i="5"/>
  <c r="AN291" i="5"/>
  <c r="O292" i="5"/>
  <c r="K292" i="5"/>
  <c r="C292" i="5"/>
  <c r="B314" i="4"/>
  <c r="D314" i="4"/>
  <c r="E292" i="5"/>
  <c r="I292" i="5"/>
  <c r="I314" i="4"/>
  <c r="L292" i="5"/>
  <c r="J314" i="4"/>
  <c r="N292" i="5"/>
  <c r="L314" i="4"/>
  <c r="Q292" i="5"/>
  <c r="M314" i="4"/>
  <c r="R292" i="5"/>
  <c r="N314" i="4"/>
  <c r="T292" i="5"/>
  <c r="O314" i="4"/>
  <c r="U292" i="5"/>
  <c r="P314" i="4"/>
  <c r="W292" i="5"/>
  <c r="Q314" i="4"/>
  <c r="X292" i="5"/>
  <c r="AA292" i="5"/>
  <c r="AC292" i="5"/>
  <c r="AD292" i="5"/>
  <c r="V314" i="4"/>
  <c r="AF292" i="5"/>
  <c r="AG292" i="5"/>
  <c r="X314" i="4"/>
  <c r="AI292" i="5"/>
  <c r="Y314" i="4"/>
  <c r="AJ292" i="5"/>
  <c r="AL292" i="5"/>
  <c r="AN292" i="5"/>
  <c r="O293" i="5"/>
  <c r="K293" i="5"/>
  <c r="C293" i="5"/>
  <c r="B315" i="4"/>
  <c r="D315" i="4"/>
  <c r="E293" i="5"/>
  <c r="I293" i="5"/>
  <c r="I315" i="4"/>
  <c r="L293" i="5"/>
  <c r="J315" i="4"/>
  <c r="N293" i="5"/>
  <c r="L315" i="4"/>
  <c r="Q293" i="5"/>
  <c r="M315" i="4"/>
  <c r="R293" i="5"/>
  <c r="N315" i="4"/>
  <c r="T293" i="5"/>
  <c r="O315" i="4"/>
  <c r="U293" i="5"/>
  <c r="P315" i="4"/>
  <c r="W293" i="5"/>
  <c r="Q315" i="4"/>
  <c r="X293" i="5"/>
  <c r="AA293" i="5"/>
  <c r="AC293" i="5"/>
  <c r="AD293" i="5"/>
  <c r="V315" i="4"/>
  <c r="AF293" i="5"/>
  <c r="AG293" i="5"/>
  <c r="X315" i="4"/>
  <c r="AI293" i="5"/>
  <c r="Y315" i="4"/>
  <c r="AJ293" i="5"/>
  <c r="AL293" i="5"/>
  <c r="AN293" i="5"/>
  <c r="O294" i="5"/>
  <c r="K294" i="5"/>
  <c r="C294" i="5"/>
  <c r="B316" i="4"/>
  <c r="D316" i="4"/>
  <c r="E294" i="5"/>
  <c r="I294" i="5"/>
  <c r="I316" i="4"/>
  <c r="L294" i="5"/>
  <c r="J316" i="4"/>
  <c r="N294" i="5"/>
  <c r="L316" i="4"/>
  <c r="Q294" i="5"/>
  <c r="M316" i="4"/>
  <c r="R294" i="5"/>
  <c r="N316" i="4"/>
  <c r="T294" i="5"/>
  <c r="O316" i="4"/>
  <c r="U294" i="5"/>
  <c r="P316" i="4"/>
  <c r="W294" i="5"/>
  <c r="Q316" i="4"/>
  <c r="X294" i="5"/>
  <c r="AA294" i="5"/>
  <c r="AC294" i="5"/>
  <c r="AD294" i="5"/>
  <c r="V316" i="4"/>
  <c r="AF294" i="5"/>
  <c r="AG294" i="5"/>
  <c r="X316" i="4"/>
  <c r="AI294" i="5"/>
  <c r="Y316" i="4"/>
  <c r="AJ294" i="5"/>
  <c r="AL294" i="5"/>
  <c r="AN294" i="5"/>
  <c r="O295" i="5"/>
  <c r="K295" i="5"/>
  <c r="C295" i="5"/>
  <c r="B317" i="4"/>
  <c r="D317" i="4"/>
  <c r="E295" i="5"/>
  <c r="I317" i="4"/>
  <c r="L295" i="5"/>
  <c r="J317" i="4"/>
  <c r="N295" i="5"/>
  <c r="L317" i="4"/>
  <c r="Q295" i="5"/>
  <c r="M317" i="4"/>
  <c r="R295" i="5"/>
  <c r="N317" i="4"/>
  <c r="T295" i="5"/>
  <c r="O317" i="4"/>
  <c r="U295" i="5"/>
  <c r="P317" i="4"/>
  <c r="W295" i="5"/>
  <c r="Q317" i="4"/>
  <c r="X295" i="5"/>
  <c r="AA295" i="5"/>
  <c r="AC295" i="5"/>
  <c r="AD295" i="5"/>
  <c r="V317" i="4"/>
  <c r="AF295" i="5"/>
  <c r="AG295" i="5"/>
  <c r="X317" i="4"/>
  <c r="AI295" i="5"/>
  <c r="Y317" i="4"/>
  <c r="AJ295" i="5"/>
  <c r="AL295" i="5"/>
  <c r="F295" i="5"/>
  <c r="H295" i="5"/>
  <c r="I295" i="5"/>
  <c r="AN295" i="5"/>
  <c r="O296" i="5"/>
  <c r="K296" i="5"/>
  <c r="C296" i="5"/>
  <c r="B318" i="4"/>
  <c r="D318" i="4"/>
  <c r="E296" i="5"/>
  <c r="I296" i="5"/>
  <c r="I318" i="4"/>
  <c r="L296" i="5"/>
  <c r="J318" i="4"/>
  <c r="N296" i="5"/>
  <c r="L318" i="4"/>
  <c r="Q296" i="5"/>
  <c r="M318" i="4"/>
  <c r="R296" i="5"/>
  <c r="N318" i="4"/>
  <c r="T296" i="5"/>
  <c r="O318" i="4"/>
  <c r="U296" i="5"/>
  <c r="P318" i="4"/>
  <c r="W296" i="5"/>
  <c r="Q318" i="4"/>
  <c r="X296" i="5"/>
  <c r="AA296" i="5"/>
  <c r="AC296" i="5"/>
  <c r="AD296" i="5"/>
  <c r="AF296" i="5"/>
  <c r="AG296" i="5"/>
  <c r="X318" i="4"/>
  <c r="AI296" i="5"/>
  <c r="Y318" i="4"/>
  <c r="AJ296" i="5"/>
  <c r="AL296" i="5"/>
  <c r="AN296" i="5"/>
  <c r="O297" i="5"/>
  <c r="K297" i="5"/>
  <c r="C297" i="5"/>
  <c r="B319" i="4"/>
  <c r="D319" i="4"/>
  <c r="E297" i="5"/>
  <c r="I297" i="5"/>
  <c r="I319" i="4"/>
  <c r="L297" i="5"/>
  <c r="J319" i="4"/>
  <c r="N297" i="5"/>
  <c r="L319" i="4"/>
  <c r="Q297" i="5"/>
  <c r="M319" i="4"/>
  <c r="R297" i="5"/>
  <c r="N319" i="4"/>
  <c r="T297" i="5"/>
  <c r="O319" i="4"/>
  <c r="U297" i="5"/>
  <c r="P319" i="4"/>
  <c r="W297" i="5"/>
  <c r="Q319" i="4"/>
  <c r="X297" i="5"/>
  <c r="AA297" i="5"/>
  <c r="AC297" i="5"/>
  <c r="AD297" i="5"/>
  <c r="V319" i="4"/>
  <c r="AF297" i="5"/>
  <c r="AG297" i="5"/>
  <c r="X319" i="4"/>
  <c r="AI297" i="5"/>
  <c r="Y319" i="4"/>
  <c r="AJ297" i="5"/>
  <c r="AL297" i="5"/>
  <c r="AN297" i="5"/>
  <c r="O298" i="5"/>
  <c r="K298" i="5"/>
  <c r="C298" i="5"/>
  <c r="B320" i="4"/>
  <c r="D320" i="4"/>
  <c r="E298" i="5"/>
  <c r="I320" i="4"/>
  <c r="L298" i="5"/>
  <c r="J320" i="4"/>
  <c r="N298" i="5"/>
  <c r="L320" i="4"/>
  <c r="Q298" i="5"/>
  <c r="M320" i="4"/>
  <c r="R298" i="5"/>
  <c r="N320" i="4"/>
  <c r="T298" i="5"/>
  <c r="O320" i="4"/>
  <c r="U298" i="5"/>
  <c r="P320" i="4"/>
  <c r="W298" i="5"/>
  <c r="Q320" i="4"/>
  <c r="X298" i="5"/>
  <c r="AA298" i="5"/>
  <c r="AC298" i="5"/>
  <c r="AD298" i="5"/>
  <c r="V320" i="4"/>
  <c r="AF298" i="5"/>
  <c r="AG298" i="5"/>
  <c r="X320" i="4"/>
  <c r="AI298" i="5"/>
  <c r="Y320" i="4"/>
  <c r="AJ298" i="5"/>
  <c r="AL298" i="5"/>
  <c r="F298" i="5"/>
  <c r="AN298" i="5"/>
  <c r="O299" i="5"/>
  <c r="K299" i="5"/>
  <c r="C299" i="5"/>
  <c r="B321" i="4"/>
  <c r="D321" i="4"/>
  <c r="E299" i="5"/>
  <c r="I321" i="4"/>
  <c r="L299" i="5"/>
  <c r="J321" i="4"/>
  <c r="N299" i="5"/>
  <c r="L321" i="4"/>
  <c r="Q299" i="5"/>
  <c r="M321" i="4"/>
  <c r="R299" i="5"/>
  <c r="N321" i="4"/>
  <c r="T299" i="5"/>
  <c r="O321" i="4"/>
  <c r="U299" i="5"/>
  <c r="P321" i="4"/>
  <c r="W299" i="5"/>
  <c r="Q321" i="4"/>
  <c r="X299" i="5"/>
  <c r="AA299" i="5"/>
  <c r="AC299" i="5"/>
  <c r="AD299" i="5"/>
  <c r="V321" i="4"/>
  <c r="AF299" i="5"/>
  <c r="AG299" i="5"/>
  <c r="X321" i="4"/>
  <c r="AI299" i="5"/>
  <c r="Y321" i="4"/>
  <c r="AJ299" i="5"/>
  <c r="AL299" i="5"/>
  <c r="F299" i="5"/>
  <c r="AN299" i="5"/>
  <c r="O300" i="5"/>
  <c r="K300" i="5"/>
  <c r="C300" i="5"/>
  <c r="B322" i="4"/>
  <c r="D322" i="4"/>
  <c r="E300" i="5"/>
  <c r="I322" i="4"/>
  <c r="L300" i="5"/>
  <c r="J322" i="4"/>
  <c r="N300" i="5"/>
  <c r="L322" i="4"/>
  <c r="Q300" i="5"/>
  <c r="M322" i="4"/>
  <c r="R300" i="5"/>
  <c r="N322" i="4"/>
  <c r="T300" i="5"/>
  <c r="O322" i="4"/>
  <c r="U300" i="5"/>
  <c r="P322" i="4"/>
  <c r="W300" i="5"/>
  <c r="Q322" i="4"/>
  <c r="X300" i="5"/>
  <c r="AA300" i="5"/>
  <c r="AC300" i="5"/>
  <c r="AD300" i="5"/>
  <c r="V6" i="2"/>
  <c r="V322" i="4"/>
  <c r="AF300" i="5"/>
  <c r="AG300" i="5"/>
  <c r="X322" i="4"/>
  <c r="AI300" i="5"/>
  <c r="Y322" i="4"/>
  <c r="AJ300" i="5"/>
  <c r="AL300" i="5"/>
  <c r="F300" i="5"/>
  <c r="AN300" i="5"/>
  <c r="O301" i="5"/>
  <c r="K301" i="5"/>
  <c r="C301" i="5"/>
  <c r="B323" i="4"/>
  <c r="D323" i="4"/>
  <c r="E301" i="5"/>
  <c r="I301" i="5"/>
  <c r="I323" i="4"/>
  <c r="L301" i="5"/>
  <c r="J323" i="4"/>
  <c r="N301" i="5"/>
  <c r="L323" i="4"/>
  <c r="Q301" i="5"/>
  <c r="M323" i="4"/>
  <c r="R301" i="5"/>
  <c r="N323" i="4"/>
  <c r="T301" i="5"/>
  <c r="O323" i="4"/>
  <c r="U301" i="5"/>
  <c r="P323" i="4"/>
  <c r="W301" i="5"/>
  <c r="Q323" i="4"/>
  <c r="X301" i="5"/>
  <c r="AA301" i="5"/>
  <c r="AC301" i="5"/>
  <c r="AD301" i="5"/>
  <c r="V323" i="4"/>
  <c r="AF301" i="5"/>
  <c r="AG301" i="5"/>
  <c r="X323" i="4"/>
  <c r="AI301" i="5"/>
  <c r="Y323" i="4"/>
  <c r="AJ301" i="5"/>
  <c r="AL301" i="5"/>
  <c r="AN301" i="5"/>
  <c r="O302" i="5"/>
  <c r="K302" i="5"/>
  <c r="C302" i="5"/>
  <c r="B324" i="4"/>
  <c r="D324" i="4"/>
  <c r="E302" i="5"/>
  <c r="I302" i="5"/>
  <c r="I324" i="4"/>
  <c r="L302" i="5"/>
  <c r="J324" i="4"/>
  <c r="N302" i="5"/>
  <c r="L324" i="4"/>
  <c r="Q302" i="5"/>
  <c r="M324" i="4"/>
  <c r="R302" i="5"/>
  <c r="N324" i="4"/>
  <c r="T302" i="5"/>
  <c r="O324" i="4"/>
  <c r="U302" i="5"/>
  <c r="P324" i="4"/>
  <c r="W302" i="5"/>
  <c r="Q324" i="4"/>
  <c r="X302" i="5"/>
  <c r="AA302" i="5"/>
  <c r="AC302" i="5"/>
  <c r="AD302" i="5"/>
  <c r="V15" i="2"/>
  <c r="V324" i="4"/>
  <c r="AF302" i="5"/>
  <c r="AG302" i="5"/>
  <c r="X324" i="4"/>
  <c r="AI302" i="5"/>
  <c r="AN302" i="5"/>
  <c r="O303" i="5"/>
  <c r="K303" i="5"/>
  <c r="C303" i="5"/>
  <c r="B325" i="4"/>
  <c r="D325" i="4"/>
  <c r="E303" i="5"/>
  <c r="I303" i="5"/>
  <c r="I325" i="4"/>
  <c r="L303" i="5"/>
  <c r="J325" i="4"/>
  <c r="N303" i="5"/>
  <c r="L325" i="4"/>
  <c r="Q303" i="5"/>
  <c r="M325" i="4"/>
  <c r="R303" i="5"/>
  <c r="N325" i="4"/>
  <c r="T303" i="5"/>
  <c r="O325" i="4"/>
  <c r="U303" i="5"/>
  <c r="P325" i="4"/>
  <c r="W303" i="5"/>
  <c r="Q325" i="4"/>
  <c r="X303" i="5"/>
  <c r="AA303" i="5"/>
  <c r="AC303" i="5"/>
  <c r="AD303" i="5"/>
  <c r="V325" i="4"/>
  <c r="AF303" i="5"/>
  <c r="AG303" i="5"/>
  <c r="X325" i="4"/>
  <c r="AI303" i="5"/>
  <c r="Y325" i="4"/>
  <c r="AJ303" i="5"/>
  <c r="AL303" i="5"/>
  <c r="AN303" i="5"/>
  <c r="O304" i="5"/>
  <c r="K304" i="5"/>
  <c r="C304" i="5"/>
  <c r="B326" i="4"/>
  <c r="D326" i="4"/>
  <c r="E304" i="5"/>
  <c r="I304" i="5"/>
  <c r="I326" i="4"/>
  <c r="L304" i="5"/>
  <c r="J326" i="4"/>
  <c r="N304" i="5"/>
  <c r="L326" i="4"/>
  <c r="Q304" i="5"/>
  <c r="M326" i="4"/>
  <c r="R304" i="5"/>
  <c r="N326" i="4"/>
  <c r="T304" i="5"/>
  <c r="O326" i="4"/>
  <c r="U304" i="5"/>
  <c r="P326" i="4"/>
  <c r="W304" i="5"/>
  <c r="Q326" i="4"/>
  <c r="X304" i="5"/>
  <c r="AA304" i="5"/>
  <c r="AC304" i="5"/>
  <c r="AD304" i="5"/>
  <c r="V326" i="4"/>
  <c r="AF304" i="5"/>
  <c r="AG304" i="5"/>
  <c r="X326" i="4"/>
  <c r="AI304" i="5"/>
  <c r="Y326" i="4"/>
  <c r="AJ304" i="5"/>
  <c r="AL304" i="5"/>
  <c r="AN304" i="5"/>
  <c r="O305" i="5"/>
  <c r="K305" i="5"/>
  <c r="C305" i="5"/>
  <c r="B327" i="4"/>
  <c r="D327" i="4"/>
  <c r="E305" i="5"/>
  <c r="I327" i="4"/>
  <c r="L305" i="5"/>
  <c r="J327" i="4"/>
  <c r="N305" i="5"/>
  <c r="L327" i="4"/>
  <c r="Q305" i="5"/>
  <c r="M327" i="4"/>
  <c r="R305" i="5"/>
  <c r="N327" i="4"/>
  <c r="T305" i="5"/>
  <c r="O327" i="4"/>
  <c r="U305" i="5"/>
  <c r="P327" i="4"/>
  <c r="W305" i="5"/>
  <c r="Q327" i="4"/>
  <c r="X305" i="5"/>
  <c r="AA305" i="5"/>
  <c r="AC305" i="5"/>
  <c r="AD305" i="5"/>
  <c r="V327" i="4"/>
  <c r="AF305" i="5"/>
  <c r="AG305" i="5"/>
  <c r="X327" i="4"/>
  <c r="AI305" i="5"/>
  <c r="Y327" i="4"/>
  <c r="AJ305" i="5"/>
  <c r="AL305" i="5"/>
  <c r="F305" i="5"/>
  <c r="H305" i="5"/>
  <c r="I305" i="5"/>
  <c r="AN305" i="5"/>
  <c r="O306" i="5"/>
  <c r="K306" i="5"/>
  <c r="C306" i="5"/>
  <c r="B328" i="4"/>
  <c r="D328" i="4"/>
  <c r="E306" i="5"/>
  <c r="I328" i="4"/>
  <c r="L306" i="5"/>
  <c r="J328" i="4"/>
  <c r="N306" i="5"/>
  <c r="L328" i="4"/>
  <c r="Q306" i="5"/>
  <c r="M328" i="4"/>
  <c r="R306" i="5"/>
  <c r="N328" i="4"/>
  <c r="T306" i="5"/>
  <c r="O328" i="4"/>
  <c r="U306" i="5"/>
  <c r="P328" i="4"/>
  <c r="W306" i="5"/>
  <c r="Q328" i="4"/>
  <c r="X306" i="5"/>
  <c r="AA306" i="5"/>
  <c r="AC306" i="5"/>
  <c r="AD306" i="5"/>
  <c r="V328" i="4"/>
  <c r="AF306" i="5"/>
  <c r="AG306" i="5"/>
  <c r="X328" i="4"/>
  <c r="AI306" i="5"/>
  <c r="Y328" i="4"/>
  <c r="AJ306" i="5"/>
  <c r="AL306" i="5"/>
  <c r="F306" i="5"/>
  <c r="H306" i="5"/>
  <c r="I306" i="5"/>
  <c r="AN306" i="5"/>
  <c r="O307" i="5"/>
  <c r="K307" i="5"/>
  <c r="C307" i="5"/>
  <c r="B329" i="4"/>
  <c r="D329" i="4"/>
  <c r="E307" i="5"/>
  <c r="I307" i="5"/>
  <c r="I329" i="4"/>
  <c r="L307" i="5"/>
  <c r="J329" i="4"/>
  <c r="N307" i="5"/>
  <c r="L329" i="4"/>
  <c r="Q307" i="5"/>
  <c r="M329" i="4"/>
  <c r="R307" i="5"/>
  <c r="N329" i="4"/>
  <c r="T307" i="5"/>
  <c r="O329" i="4"/>
  <c r="U307" i="5"/>
  <c r="P329" i="4"/>
  <c r="W307" i="5"/>
  <c r="Q329" i="4"/>
  <c r="X307" i="5"/>
  <c r="AA307" i="5"/>
  <c r="AC307" i="5"/>
  <c r="AD307" i="5"/>
  <c r="V329" i="4"/>
  <c r="AF307" i="5"/>
  <c r="AG307" i="5"/>
  <c r="X329" i="4"/>
  <c r="AI307" i="5"/>
  <c r="Y329" i="4"/>
  <c r="AJ307" i="5"/>
  <c r="AL307" i="5"/>
  <c r="AN307" i="5"/>
  <c r="O308" i="5"/>
  <c r="K308" i="5"/>
  <c r="C308" i="5"/>
  <c r="B330" i="4"/>
  <c r="D330" i="4"/>
  <c r="E308" i="5"/>
  <c r="I308" i="5"/>
  <c r="I330" i="4"/>
  <c r="L308" i="5"/>
  <c r="J330" i="4"/>
  <c r="N308" i="5"/>
  <c r="L330" i="4"/>
  <c r="Q308" i="5"/>
  <c r="M330" i="4"/>
  <c r="R308" i="5"/>
  <c r="N330" i="4"/>
  <c r="T308" i="5"/>
  <c r="O330" i="4"/>
  <c r="U308" i="5"/>
  <c r="P330" i="4"/>
  <c r="W308" i="5"/>
  <c r="Q330" i="4"/>
  <c r="X308" i="5"/>
  <c r="AA308" i="5"/>
  <c r="AC308" i="5"/>
  <c r="AD308" i="5"/>
  <c r="AF308" i="5"/>
  <c r="AG308" i="5"/>
  <c r="X330" i="4"/>
  <c r="AI308" i="5"/>
  <c r="Y330" i="4"/>
  <c r="AJ308" i="5"/>
  <c r="AL308" i="5"/>
  <c r="AN308" i="5"/>
  <c r="O309" i="5"/>
  <c r="K309" i="5"/>
  <c r="C309" i="5"/>
  <c r="B331" i="4"/>
  <c r="D331" i="4"/>
  <c r="E309" i="5"/>
  <c r="I309" i="5"/>
  <c r="I331" i="4"/>
  <c r="L309" i="5"/>
  <c r="J331" i="4"/>
  <c r="N309" i="5"/>
  <c r="L331" i="4"/>
  <c r="Q309" i="5"/>
  <c r="M331" i="4"/>
  <c r="R309" i="5"/>
  <c r="N331" i="4"/>
  <c r="T309" i="5"/>
  <c r="O331" i="4"/>
  <c r="U309" i="5"/>
  <c r="P331" i="4"/>
  <c r="W309" i="5"/>
  <c r="Q331" i="4"/>
  <c r="X309" i="5"/>
  <c r="AA309" i="5"/>
  <c r="AC309" i="5"/>
  <c r="AD309" i="5"/>
  <c r="V331" i="4"/>
  <c r="AF309" i="5"/>
  <c r="AG309" i="5"/>
  <c r="X331" i="4"/>
  <c r="AI309" i="5"/>
  <c r="Y331" i="4"/>
  <c r="AJ309" i="5"/>
  <c r="AL309" i="5"/>
  <c r="AN309" i="5"/>
  <c r="O310" i="5"/>
  <c r="K310" i="5"/>
  <c r="C310" i="5"/>
  <c r="B332" i="4"/>
  <c r="D332" i="4"/>
  <c r="E310" i="5"/>
  <c r="I310" i="5"/>
  <c r="I332" i="4"/>
  <c r="L310" i="5"/>
  <c r="J332" i="4"/>
  <c r="N310" i="5"/>
  <c r="L332" i="4"/>
  <c r="Q310" i="5"/>
  <c r="M332" i="4"/>
  <c r="R310" i="5"/>
  <c r="N332" i="4"/>
  <c r="T310" i="5"/>
  <c r="O332" i="4"/>
  <c r="U310" i="5"/>
  <c r="P332" i="4"/>
  <c r="W310" i="5"/>
  <c r="Q332" i="4"/>
  <c r="X310" i="5"/>
  <c r="AA310" i="5"/>
  <c r="AC310" i="5"/>
  <c r="AD310" i="5"/>
  <c r="V332" i="4"/>
  <c r="AF310" i="5"/>
  <c r="AG310" i="5"/>
  <c r="X332" i="4"/>
  <c r="AI310" i="5"/>
  <c r="Y332" i="4"/>
  <c r="AJ310" i="5"/>
  <c r="AL310" i="5"/>
  <c r="AN310" i="5"/>
  <c r="O311" i="5"/>
  <c r="K311" i="5"/>
  <c r="C311" i="5"/>
  <c r="B334" i="4"/>
  <c r="D334" i="4"/>
  <c r="E311" i="5"/>
  <c r="I311" i="5"/>
  <c r="I334" i="4"/>
  <c r="L311" i="5"/>
  <c r="J334" i="4"/>
  <c r="N311" i="5"/>
  <c r="L334" i="4"/>
  <c r="Q311" i="5"/>
  <c r="M334" i="4"/>
  <c r="R311" i="5"/>
  <c r="N334" i="4"/>
  <c r="T311" i="5"/>
  <c r="O334" i="4"/>
  <c r="U311" i="5"/>
  <c r="P334" i="4"/>
  <c r="W311" i="5"/>
  <c r="Q334" i="4"/>
  <c r="X311" i="5"/>
  <c r="AA311" i="5"/>
  <c r="AC311" i="5"/>
  <c r="AD311" i="5"/>
  <c r="V334" i="4"/>
  <c r="AF311" i="5"/>
  <c r="AG311" i="5"/>
  <c r="X334" i="4"/>
  <c r="AI311" i="5"/>
  <c r="Y334" i="4"/>
  <c r="AJ311" i="5"/>
  <c r="AL311" i="5"/>
  <c r="AN311" i="5"/>
  <c r="O312" i="5"/>
  <c r="K312" i="5"/>
  <c r="C312" i="5"/>
  <c r="B335" i="4"/>
  <c r="D335" i="4"/>
  <c r="E312" i="5"/>
  <c r="I335" i="4"/>
  <c r="L312" i="5"/>
  <c r="J335" i="4"/>
  <c r="N312" i="5"/>
  <c r="L335" i="4"/>
  <c r="Q312" i="5"/>
  <c r="M335" i="4"/>
  <c r="R312" i="5"/>
  <c r="N335" i="4"/>
  <c r="T312" i="5"/>
  <c r="O335" i="4"/>
  <c r="U312" i="5"/>
  <c r="P335" i="4"/>
  <c r="W312" i="5"/>
  <c r="Q335" i="4"/>
  <c r="X312" i="5"/>
  <c r="AA312" i="5"/>
  <c r="AC312" i="5"/>
  <c r="AD312" i="5"/>
  <c r="V335" i="4"/>
  <c r="AF312" i="5"/>
  <c r="AG312" i="5"/>
  <c r="X335" i="4"/>
  <c r="AI312" i="5"/>
  <c r="Y335" i="4"/>
  <c r="AJ312" i="5"/>
  <c r="AL312" i="5"/>
  <c r="F312" i="5"/>
  <c r="H312" i="5"/>
  <c r="I312" i="5"/>
  <c r="AN312" i="5"/>
  <c r="O313" i="5"/>
  <c r="K313" i="5"/>
  <c r="C313" i="5"/>
  <c r="B336" i="4"/>
  <c r="D336" i="4"/>
  <c r="E313" i="5"/>
  <c r="I313" i="5"/>
  <c r="I336" i="4"/>
  <c r="L313" i="5"/>
  <c r="J336" i="4"/>
  <c r="N313" i="5"/>
  <c r="L336" i="4"/>
  <c r="Q313" i="5"/>
  <c r="M336" i="4"/>
  <c r="R313" i="5"/>
  <c r="N336" i="4"/>
  <c r="T313" i="5"/>
  <c r="O336" i="4"/>
  <c r="U313" i="5"/>
  <c r="P336" i="4"/>
  <c r="W313" i="5"/>
  <c r="Q336" i="4"/>
  <c r="X313" i="5"/>
  <c r="AA313" i="5"/>
  <c r="AC313" i="5"/>
  <c r="AD313" i="5"/>
  <c r="V336" i="4"/>
  <c r="AF313" i="5"/>
  <c r="AG313" i="5"/>
  <c r="X336" i="4"/>
  <c r="AI313" i="5"/>
  <c r="Y336" i="4"/>
  <c r="AJ313" i="5"/>
  <c r="AL313" i="5"/>
  <c r="AN313" i="5"/>
  <c r="O314" i="5"/>
  <c r="K314" i="5"/>
  <c r="C314" i="5"/>
  <c r="B337" i="4"/>
  <c r="D337" i="4"/>
  <c r="E314" i="5"/>
  <c r="I337" i="4"/>
  <c r="L314" i="5"/>
  <c r="J337" i="4"/>
  <c r="N314" i="5"/>
  <c r="L337" i="4"/>
  <c r="Q314" i="5"/>
  <c r="M337" i="4"/>
  <c r="R314" i="5"/>
  <c r="N337" i="4"/>
  <c r="T314" i="5"/>
  <c r="O337" i="4"/>
  <c r="U314" i="5"/>
  <c r="P337" i="4"/>
  <c r="W314" i="5"/>
  <c r="Q337" i="4"/>
  <c r="X314" i="5"/>
  <c r="AA314" i="5"/>
  <c r="AC314" i="5"/>
  <c r="AD314" i="5"/>
  <c r="V337" i="4"/>
  <c r="AF314" i="5"/>
  <c r="AG314" i="5"/>
  <c r="X337" i="4"/>
  <c r="AI314" i="5"/>
  <c r="Y337" i="4"/>
  <c r="AJ314" i="5"/>
  <c r="AL314" i="5"/>
  <c r="F314" i="5"/>
  <c r="H314" i="5"/>
  <c r="I314" i="5"/>
  <c r="AN314" i="5"/>
  <c r="O315" i="5"/>
  <c r="K315" i="5"/>
  <c r="C315" i="5"/>
  <c r="B338" i="4"/>
  <c r="D338" i="4"/>
  <c r="E315" i="5"/>
  <c r="I315" i="5"/>
  <c r="I338" i="4"/>
  <c r="L315" i="5"/>
  <c r="J338" i="4"/>
  <c r="N315" i="5"/>
  <c r="L338" i="4"/>
  <c r="Q315" i="5"/>
  <c r="M338" i="4"/>
  <c r="R315" i="5"/>
  <c r="N338" i="4"/>
  <c r="T315" i="5"/>
  <c r="O338" i="4"/>
  <c r="U315" i="5"/>
  <c r="P338" i="4"/>
  <c r="W315" i="5"/>
  <c r="Q338" i="4"/>
  <c r="X315" i="5"/>
  <c r="AA315" i="5"/>
  <c r="AC315" i="5"/>
  <c r="AD315" i="5"/>
  <c r="V338" i="4"/>
  <c r="AF315" i="5"/>
  <c r="AG315" i="5"/>
  <c r="X338" i="4"/>
  <c r="AI315" i="5"/>
  <c r="Y338" i="4"/>
  <c r="AJ315" i="5"/>
  <c r="AL315" i="5"/>
  <c r="AN315" i="5"/>
  <c r="O316" i="5"/>
  <c r="K316" i="5"/>
  <c r="C316" i="5"/>
  <c r="B339" i="4"/>
  <c r="D339" i="4"/>
  <c r="E316" i="5"/>
  <c r="I316" i="5"/>
  <c r="I339" i="4"/>
  <c r="L316" i="5"/>
  <c r="J339" i="4"/>
  <c r="N316" i="5"/>
  <c r="L339" i="4"/>
  <c r="Q316" i="5"/>
  <c r="M339" i="4"/>
  <c r="R316" i="5"/>
  <c r="N339" i="4"/>
  <c r="T316" i="5"/>
  <c r="O339" i="4"/>
  <c r="U316" i="5"/>
  <c r="P339" i="4"/>
  <c r="W316" i="5"/>
  <c r="Q339" i="4"/>
  <c r="X316" i="5"/>
  <c r="AA316" i="5"/>
  <c r="AC316" i="5"/>
  <c r="AD316" i="5"/>
  <c r="V339" i="4"/>
  <c r="AF316" i="5"/>
  <c r="AG316" i="5"/>
  <c r="X339" i="4"/>
  <c r="AI316" i="5"/>
  <c r="Y339" i="4"/>
  <c r="AJ316" i="5"/>
  <c r="AL316" i="5"/>
  <c r="AN316" i="5"/>
  <c r="C296" i="4"/>
  <c r="C317" i="5"/>
  <c r="N296" i="4"/>
  <c r="T317" i="5"/>
  <c r="O296" i="4"/>
  <c r="U317" i="5"/>
  <c r="P296" i="4"/>
  <c r="W317" i="5"/>
  <c r="Q296" i="4"/>
  <c r="X317" i="5"/>
  <c r="AA317" i="5"/>
  <c r="T43" i="2"/>
  <c r="T15" i="2"/>
  <c r="T296" i="4"/>
  <c r="AC317" i="5"/>
  <c r="U15" i="2"/>
  <c r="U296" i="4"/>
  <c r="AD317" i="5"/>
  <c r="V296" i="4"/>
  <c r="AF317" i="5"/>
  <c r="AG317" i="5"/>
  <c r="X296" i="4"/>
  <c r="AI317" i="5"/>
  <c r="Y296" i="4"/>
  <c r="AJ317" i="5"/>
  <c r="Z296" i="4"/>
  <c r="AL317" i="5"/>
  <c r="Z317" i="5"/>
  <c r="AN317" i="5"/>
  <c r="O318" i="5"/>
  <c r="K318" i="5"/>
  <c r="C297" i="4"/>
  <c r="C318" i="5"/>
  <c r="D297" i="4"/>
  <c r="E318" i="5"/>
  <c r="I297" i="4"/>
  <c r="L318" i="5"/>
  <c r="J297" i="4"/>
  <c r="N318" i="5"/>
  <c r="L297" i="4"/>
  <c r="Q318" i="5"/>
  <c r="M297" i="4"/>
  <c r="R318" i="5"/>
  <c r="N297" i="4"/>
  <c r="T318" i="5"/>
  <c r="O297" i="4"/>
  <c r="U318" i="5"/>
  <c r="P297" i="4"/>
  <c r="W318" i="5"/>
  <c r="Q297" i="4"/>
  <c r="X318" i="5"/>
  <c r="AA318" i="5"/>
  <c r="T297" i="4"/>
  <c r="AC318" i="5"/>
  <c r="AD318" i="5"/>
  <c r="V297" i="4"/>
  <c r="AF318" i="5"/>
  <c r="AG318" i="5"/>
  <c r="X297" i="4"/>
  <c r="AI318" i="5"/>
  <c r="Y297" i="4"/>
  <c r="AJ318" i="5"/>
  <c r="Z297" i="4"/>
  <c r="AL318" i="5"/>
  <c r="F318" i="5"/>
  <c r="H318" i="5"/>
  <c r="I318" i="5"/>
  <c r="AN318" i="5"/>
  <c r="K47" i="2"/>
  <c r="B345" i="4"/>
  <c r="K48" i="2"/>
  <c r="K345" i="4"/>
  <c r="O319" i="5"/>
  <c r="H48" i="2"/>
  <c r="H345" i="4"/>
  <c r="K319" i="5"/>
  <c r="C48" i="2"/>
  <c r="C345" i="4"/>
  <c r="C319" i="5"/>
  <c r="D48" i="2"/>
  <c r="D345" i="4"/>
  <c r="E319" i="5"/>
  <c r="I47" i="2"/>
  <c r="I48" i="2"/>
  <c r="I345" i="4"/>
  <c r="L319" i="5"/>
  <c r="J47" i="2"/>
  <c r="J48" i="2"/>
  <c r="J345" i="4"/>
  <c r="N319" i="5"/>
  <c r="L48" i="2"/>
  <c r="L345" i="4"/>
  <c r="Q319" i="5"/>
  <c r="M48" i="2"/>
  <c r="M345" i="4"/>
  <c r="R319" i="5"/>
  <c r="N48" i="2"/>
  <c r="N345" i="4"/>
  <c r="T319" i="5"/>
  <c r="O48" i="2"/>
  <c r="O345" i="4"/>
  <c r="U319" i="5"/>
  <c r="P48" i="2"/>
  <c r="P345" i="4"/>
  <c r="W319" i="5"/>
  <c r="Q48" i="2"/>
  <c r="Q345" i="4"/>
  <c r="X319" i="5"/>
  <c r="S47" i="2"/>
  <c r="S48" i="2"/>
  <c r="S345" i="4"/>
  <c r="AA319" i="5"/>
  <c r="T47" i="2"/>
  <c r="T48" i="2"/>
  <c r="T345" i="4"/>
  <c r="AC319" i="5"/>
  <c r="U47" i="2"/>
  <c r="U48" i="2"/>
  <c r="U345" i="4"/>
  <c r="AD319" i="5"/>
  <c r="V47" i="2"/>
  <c r="V48" i="2"/>
  <c r="V345" i="4"/>
  <c r="AF319" i="5"/>
  <c r="W47" i="2"/>
  <c r="W48" i="2"/>
  <c r="W345" i="4"/>
  <c r="AG319" i="5"/>
  <c r="X48" i="2"/>
  <c r="X345" i="4"/>
  <c r="AI319" i="5"/>
  <c r="Y48" i="2"/>
  <c r="Y345" i="4"/>
  <c r="AJ319" i="5"/>
  <c r="Z48" i="2"/>
  <c r="Z345" i="4"/>
  <c r="AL319" i="5"/>
  <c r="F319" i="5"/>
  <c r="H319" i="5"/>
  <c r="I319" i="5"/>
  <c r="AN319" i="5"/>
  <c r="B264" i="4"/>
  <c r="C264" i="4"/>
  <c r="C320" i="5"/>
  <c r="D264" i="4"/>
  <c r="E320" i="5"/>
  <c r="K320" i="5"/>
  <c r="L264" i="4"/>
  <c r="Q320" i="5"/>
  <c r="M264" i="4"/>
  <c r="R320" i="5"/>
  <c r="N264" i="4"/>
  <c r="T320" i="5"/>
  <c r="U320" i="5"/>
  <c r="P264" i="4"/>
  <c r="W320" i="5"/>
  <c r="Q264" i="4"/>
  <c r="X320" i="5"/>
  <c r="S264" i="4"/>
  <c r="AA320" i="5"/>
  <c r="AH264" i="4"/>
  <c r="T264" i="4" a="1"/>
  <c r="T264" i="4"/>
  <c r="AC320" i="5"/>
  <c r="U264" i="4" a="1"/>
  <c r="U264" i="4"/>
  <c r="AD320" i="5"/>
  <c r="AF320" i="5"/>
  <c r="AG320" i="5"/>
  <c r="X264" i="4"/>
  <c r="AI320" i="5"/>
  <c r="Y264" i="4"/>
  <c r="AJ320" i="5"/>
  <c r="Z264" i="4"/>
  <c r="AL320" i="5"/>
  <c r="F320" i="5"/>
  <c r="H320" i="5"/>
  <c r="I320" i="5"/>
  <c r="L320" i="5"/>
  <c r="N320" i="5"/>
  <c r="O320" i="5"/>
  <c r="AN320" i="5"/>
  <c r="O321" i="5"/>
  <c r="K321" i="5"/>
  <c r="C321" i="5"/>
  <c r="B340" i="4"/>
  <c r="D340" i="4"/>
  <c r="E321" i="5"/>
  <c r="I321" i="5"/>
  <c r="I340" i="4"/>
  <c r="L321" i="5"/>
  <c r="J340" i="4"/>
  <c r="N321" i="5"/>
  <c r="L340" i="4"/>
  <c r="Q321" i="5"/>
  <c r="M340" i="4"/>
  <c r="R321" i="5"/>
  <c r="N340" i="4"/>
  <c r="T321" i="5"/>
  <c r="O340" i="4"/>
  <c r="U321" i="5"/>
  <c r="P340" i="4"/>
  <c r="W321" i="5"/>
  <c r="Q340" i="4"/>
  <c r="X321" i="5"/>
  <c r="AA321" i="5"/>
  <c r="AC321" i="5"/>
  <c r="AD321" i="5"/>
  <c r="V29" i="2"/>
  <c r="V340" i="4"/>
  <c r="AF321" i="5"/>
  <c r="AG321" i="5"/>
  <c r="X340" i="4"/>
  <c r="AI321" i="5"/>
  <c r="Y340" i="4"/>
  <c r="AJ321" i="5"/>
  <c r="AL321" i="5"/>
  <c r="AN321" i="5"/>
  <c r="O322" i="5"/>
  <c r="K322" i="5"/>
  <c r="C322" i="5"/>
  <c r="B341" i="4"/>
  <c r="D341" i="4"/>
  <c r="E322" i="5"/>
  <c r="I341" i="4"/>
  <c r="L322" i="5"/>
  <c r="J341" i="4"/>
  <c r="N322" i="5"/>
  <c r="L341" i="4"/>
  <c r="Q322" i="5"/>
  <c r="M341" i="4"/>
  <c r="R322" i="5"/>
  <c r="N341" i="4"/>
  <c r="T322" i="5"/>
  <c r="O341" i="4"/>
  <c r="U322" i="5"/>
  <c r="P341" i="4"/>
  <c r="W322" i="5"/>
  <c r="Q341" i="4"/>
  <c r="X322" i="5"/>
  <c r="AA322" i="5"/>
  <c r="AC322" i="5"/>
  <c r="AD322" i="5"/>
  <c r="V341" i="4"/>
  <c r="AF322" i="5"/>
  <c r="AG322" i="5"/>
  <c r="X341" i="4"/>
  <c r="AI322" i="5"/>
  <c r="Y341" i="4"/>
  <c r="AJ322" i="5"/>
  <c r="AL322" i="5"/>
  <c r="F322" i="5"/>
  <c r="AN322" i="5"/>
  <c r="O323" i="5"/>
  <c r="K323" i="5"/>
  <c r="C323" i="5"/>
  <c r="B342" i="4"/>
  <c r="D342" i="4"/>
  <c r="E323" i="5"/>
  <c r="I342" i="4"/>
  <c r="L323" i="5"/>
  <c r="J342" i="4"/>
  <c r="N323" i="5"/>
  <c r="L342" i="4"/>
  <c r="Q323" i="5"/>
  <c r="M342" i="4"/>
  <c r="R323" i="5"/>
  <c r="N342" i="4"/>
  <c r="T323" i="5"/>
  <c r="O342" i="4"/>
  <c r="U323" i="5"/>
  <c r="P342" i="4"/>
  <c r="W323" i="5"/>
  <c r="Q342" i="4"/>
  <c r="X323" i="5"/>
  <c r="AA323" i="5"/>
  <c r="AC323" i="5"/>
  <c r="AD323" i="5"/>
  <c r="V342" i="4"/>
  <c r="AF323" i="5"/>
  <c r="AG323" i="5"/>
  <c r="X342" i="4"/>
  <c r="AI323" i="5"/>
  <c r="Y342" i="4"/>
  <c r="AJ323" i="5"/>
  <c r="AL323" i="5"/>
  <c r="F323" i="5"/>
  <c r="AN323" i="5"/>
  <c r="O324" i="5"/>
  <c r="K324" i="5"/>
  <c r="C324" i="5"/>
  <c r="B343" i="4"/>
  <c r="D343" i="4"/>
  <c r="E324" i="5"/>
  <c r="I343" i="4"/>
  <c r="L324" i="5"/>
  <c r="J343" i="4"/>
  <c r="N324" i="5"/>
  <c r="L343" i="4"/>
  <c r="Q324" i="5"/>
  <c r="M343" i="4"/>
  <c r="R324" i="5"/>
  <c r="N343" i="4"/>
  <c r="T324" i="5"/>
  <c r="O343" i="4"/>
  <c r="U324" i="5"/>
  <c r="P343" i="4"/>
  <c r="W324" i="5"/>
  <c r="Q343" i="4"/>
  <c r="X324" i="5"/>
  <c r="AA324" i="5"/>
  <c r="AC324" i="5"/>
  <c r="AD324" i="5"/>
  <c r="V343" i="4"/>
  <c r="AF324" i="5"/>
  <c r="AG324" i="5"/>
  <c r="X343" i="4"/>
  <c r="AI324" i="5"/>
  <c r="Y343" i="4"/>
  <c r="AJ324" i="5"/>
  <c r="AL324" i="5"/>
  <c r="F324" i="5"/>
  <c r="AN324" i="5"/>
  <c r="O325" i="5"/>
  <c r="K325" i="5"/>
  <c r="B298" i="4"/>
  <c r="C298" i="4"/>
  <c r="C325" i="5"/>
  <c r="D298" i="4"/>
  <c r="E325" i="5"/>
  <c r="I298" i="4"/>
  <c r="L325" i="5"/>
  <c r="J298" i="4"/>
  <c r="N325" i="5"/>
  <c r="L298" i="4"/>
  <c r="Q325" i="5"/>
  <c r="M298" i="4"/>
  <c r="R325" i="5"/>
  <c r="N298" i="4"/>
  <c r="T325" i="5"/>
  <c r="O298" i="4"/>
  <c r="U325" i="5"/>
  <c r="P298" i="4"/>
  <c r="W325" i="5"/>
  <c r="Q298" i="4"/>
  <c r="X325" i="5"/>
  <c r="AA325" i="5"/>
  <c r="T298" i="4"/>
  <c r="AC325" i="5"/>
  <c r="U298" i="4"/>
  <c r="AD325" i="5"/>
  <c r="V298" i="4"/>
  <c r="AF325" i="5"/>
  <c r="AG325" i="5"/>
  <c r="X298" i="4"/>
  <c r="AI325" i="5"/>
  <c r="Y298" i="4"/>
  <c r="AJ325" i="5"/>
  <c r="Z298" i="4"/>
  <c r="AL325" i="5"/>
  <c r="F325" i="5"/>
  <c r="AN325" i="5"/>
  <c r="O326" i="5"/>
  <c r="K326" i="5"/>
  <c r="B299" i="4"/>
  <c r="C299" i="4"/>
  <c r="C326" i="5"/>
  <c r="D299" i="4"/>
  <c r="E326" i="5"/>
  <c r="I299" i="4"/>
  <c r="L326" i="5"/>
  <c r="J299" i="4"/>
  <c r="N326" i="5"/>
  <c r="L299" i="4"/>
  <c r="Q326" i="5"/>
  <c r="M299" i="4"/>
  <c r="R326" i="5"/>
  <c r="N299" i="4"/>
  <c r="T326" i="5"/>
  <c r="O299" i="4"/>
  <c r="U326" i="5"/>
  <c r="P299" i="4"/>
  <c r="W326" i="5"/>
  <c r="Q299" i="4"/>
  <c r="X326" i="5"/>
  <c r="AA326" i="5"/>
  <c r="T21" i="2"/>
  <c r="T299" i="4"/>
  <c r="AC326" i="5"/>
  <c r="U21" i="2"/>
  <c r="U299" i="4"/>
  <c r="AD326" i="5"/>
  <c r="V21" i="2"/>
  <c r="V299" i="4"/>
  <c r="AF326" i="5"/>
  <c r="AG326" i="5"/>
  <c r="X299" i="4"/>
  <c r="AI326" i="5"/>
  <c r="Y299" i="4"/>
  <c r="AJ326" i="5"/>
  <c r="Z299" i="4"/>
  <c r="AL326" i="5"/>
  <c r="F326" i="5"/>
  <c r="AN326" i="5"/>
  <c r="K49" i="2"/>
  <c r="B367" i="4"/>
  <c r="K367" i="4"/>
  <c r="O327" i="5"/>
  <c r="H49" i="2"/>
  <c r="H367" i="4"/>
  <c r="K327" i="5"/>
  <c r="C367" i="4"/>
  <c r="C327" i="5"/>
  <c r="D367" i="4"/>
  <c r="E327" i="5"/>
  <c r="I49" i="2"/>
  <c r="I367" i="4"/>
  <c r="L327" i="5"/>
  <c r="J49" i="2"/>
  <c r="J367" i="4"/>
  <c r="N327" i="5"/>
  <c r="L367" i="4"/>
  <c r="Q327" i="5"/>
  <c r="M367" i="4"/>
  <c r="R327" i="5"/>
  <c r="N49" i="2"/>
  <c r="N367" i="4"/>
  <c r="T327" i="5"/>
  <c r="O367" i="4"/>
  <c r="U327" i="5"/>
  <c r="P367" i="4"/>
  <c r="W327" i="5"/>
  <c r="Q367" i="4"/>
  <c r="X327" i="5"/>
  <c r="S367" i="4"/>
  <c r="AA327" i="5"/>
  <c r="T367" i="4"/>
  <c r="AC327" i="5"/>
  <c r="U367" i="4"/>
  <c r="AD327" i="5"/>
  <c r="V49" i="2"/>
  <c r="V367" i="4"/>
  <c r="AF327" i="5"/>
  <c r="W49" i="2"/>
  <c r="W367" i="4"/>
  <c r="AG327" i="5"/>
  <c r="X367" i="4"/>
  <c r="AI327" i="5"/>
  <c r="Y367" i="4"/>
  <c r="AJ327" i="5"/>
  <c r="Z367" i="4"/>
  <c r="AL327" i="5"/>
  <c r="AN327" i="5"/>
  <c r="B368" i="4"/>
  <c r="K368" i="4"/>
  <c r="O328" i="5"/>
  <c r="H368" i="4"/>
  <c r="K328" i="5"/>
  <c r="C368" i="4"/>
  <c r="C328" i="5"/>
  <c r="D368" i="4"/>
  <c r="E328" i="5"/>
  <c r="I368" i="4"/>
  <c r="L328" i="5"/>
  <c r="J368" i="4"/>
  <c r="N328" i="5"/>
  <c r="L368" i="4"/>
  <c r="Q328" i="5"/>
  <c r="M368" i="4"/>
  <c r="R328" i="5"/>
  <c r="N368" i="4"/>
  <c r="T328" i="5"/>
  <c r="O368" i="4"/>
  <c r="U328" i="5"/>
  <c r="P368" i="4"/>
  <c r="W328" i="5"/>
  <c r="Q368" i="4"/>
  <c r="X328" i="5"/>
  <c r="S368" i="4"/>
  <c r="AA328" i="5"/>
  <c r="T368" i="4"/>
  <c r="AC328" i="5"/>
  <c r="U368" i="4"/>
  <c r="AD328" i="5"/>
  <c r="V368" i="4"/>
  <c r="AF328" i="5"/>
  <c r="W368" i="4"/>
  <c r="AG328" i="5"/>
  <c r="X368" i="4"/>
  <c r="AI328" i="5"/>
  <c r="Y368" i="4"/>
  <c r="AJ328" i="5"/>
  <c r="Z368" i="4"/>
  <c r="AL328" i="5"/>
  <c r="AN328" i="5"/>
  <c r="B369" i="4"/>
  <c r="K26" i="2"/>
  <c r="K369" i="4"/>
  <c r="O329" i="5"/>
  <c r="H369" i="4"/>
  <c r="K329" i="5"/>
  <c r="C369" i="4"/>
  <c r="C329" i="5"/>
  <c r="D369" i="4"/>
  <c r="E329" i="5"/>
  <c r="I369" i="4"/>
  <c r="L329" i="5"/>
  <c r="J369" i="4"/>
  <c r="N329" i="5"/>
  <c r="L369" i="4"/>
  <c r="Q329" i="5"/>
  <c r="M369" i="4"/>
  <c r="R329" i="5"/>
  <c r="N369" i="4"/>
  <c r="T329" i="5"/>
  <c r="O369" i="4"/>
  <c r="U329" i="5"/>
  <c r="P369" i="4"/>
  <c r="W329" i="5"/>
  <c r="Q369" i="4"/>
  <c r="X329" i="5"/>
  <c r="S369" i="4"/>
  <c r="AA329" i="5"/>
  <c r="T26" i="2"/>
  <c r="T369" i="4"/>
  <c r="AC329" i="5"/>
  <c r="U26" i="2"/>
  <c r="U369" i="4"/>
  <c r="AD329" i="5"/>
  <c r="V26" i="2"/>
  <c r="V369" i="4"/>
  <c r="AF329" i="5"/>
  <c r="W26" i="2"/>
  <c r="W369" i="4"/>
  <c r="AG329" i="5"/>
  <c r="X369" i="4"/>
  <c r="AI329" i="5"/>
  <c r="Y369" i="4"/>
  <c r="AJ329" i="5"/>
  <c r="Z369" i="4"/>
  <c r="AL329" i="5"/>
  <c r="AN329" i="5"/>
  <c r="B370" i="4"/>
  <c r="K370" i="4"/>
  <c r="O330" i="5"/>
  <c r="H370" i="4"/>
  <c r="K330" i="5"/>
  <c r="C370" i="4"/>
  <c r="C330" i="5"/>
  <c r="D370" i="4"/>
  <c r="E330" i="5"/>
  <c r="I370" i="4"/>
  <c r="L330" i="5"/>
  <c r="J370" i="4"/>
  <c r="N330" i="5"/>
  <c r="L370" i="4"/>
  <c r="Q330" i="5"/>
  <c r="M370" i="4"/>
  <c r="R330" i="5"/>
  <c r="N370" i="4"/>
  <c r="T330" i="5"/>
  <c r="O370" i="4"/>
  <c r="U330" i="5"/>
  <c r="P370" i="4"/>
  <c r="W330" i="5"/>
  <c r="Q370" i="4"/>
  <c r="X330" i="5"/>
  <c r="S370" i="4"/>
  <c r="AA330" i="5"/>
  <c r="T370" i="4"/>
  <c r="AC330" i="5"/>
  <c r="U370" i="4"/>
  <c r="AD330" i="5"/>
  <c r="V370" i="4"/>
  <c r="AF330" i="5"/>
  <c r="W370" i="4"/>
  <c r="AG330" i="5"/>
  <c r="X370" i="4"/>
  <c r="AI330" i="5"/>
  <c r="Y370" i="4"/>
  <c r="AJ330" i="5"/>
  <c r="Z370" i="4"/>
  <c r="AL330" i="5"/>
  <c r="AN330" i="5"/>
  <c r="B371" i="4"/>
  <c r="K371" i="4"/>
  <c r="O331" i="5"/>
  <c r="H371" i="4"/>
  <c r="K331" i="5"/>
  <c r="C371" i="4"/>
  <c r="C331" i="5"/>
  <c r="D371" i="4"/>
  <c r="E331" i="5"/>
  <c r="I371" i="4"/>
  <c r="L331" i="5"/>
  <c r="J371" i="4"/>
  <c r="N331" i="5"/>
  <c r="L371" i="4"/>
  <c r="Q331" i="5"/>
  <c r="M371" i="4"/>
  <c r="R331" i="5"/>
  <c r="N371" i="4"/>
  <c r="T331" i="5"/>
  <c r="O371" i="4"/>
  <c r="U331" i="5"/>
  <c r="P371" i="4"/>
  <c r="W331" i="5"/>
  <c r="Q371" i="4"/>
  <c r="X331" i="5"/>
  <c r="S371" i="4"/>
  <c r="AA331" i="5"/>
  <c r="T371" i="4"/>
  <c r="AC331" i="5"/>
  <c r="U371" i="4"/>
  <c r="AD331" i="5"/>
  <c r="AF331" i="5"/>
  <c r="W371" i="4"/>
  <c r="AG331" i="5"/>
  <c r="X371" i="4"/>
  <c r="AI331" i="5"/>
  <c r="Y371" i="4"/>
  <c r="AJ331" i="5"/>
  <c r="Z371" i="4"/>
  <c r="AL331" i="5"/>
  <c r="AN331" i="5"/>
  <c r="B372" i="4"/>
  <c r="K372" i="4"/>
  <c r="O332" i="5"/>
  <c r="H372" i="4"/>
  <c r="K332" i="5"/>
  <c r="C372" i="4"/>
  <c r="C332" i="5"/>
  <c r="D372" i="4"/>
  <c r="E332" i="5"/>
  <c r="I372" i="4"/>
  <c r="L332" i="5"/>
  <c r="J372" i="4"/>
  <c r="N332" i="5"/>
  <c r="L372" i="4"/>
  <c r="Q332" i="5"/>
  <c r="M372" i="4"/>
  <c r="R332" i="5"/>
  <c r="N372" i="4"/>
  <c r="T332" i="5"/>
  <c r="O372" i="4"/>
  <c r="U332" i="5"/>
  <c r="P372" i="4"/>
  <c r="W332" i="5"/>
  <c r="Q372" i="4"/>
  <c r="X332" i="5"/>
  <c r="S372" i="4"/>
  <c r="AA332" i="5"/>
  <c r="T372" i="4"/>
  <c r="AC332" i="5"/>
  <c r="U372" i="4"/>
  <c r="AD332" i="5"/>
  <c r="V372" i="4"/>
  <c r="AF332" i="5"/>
  <c r="W372" i="4"/>
  <c r="AG332" i="5"/>
  <c r="X372" i="4"/>
  <c r="AI332" i="5"/>
  <c r="Y372" i="4"/>
  <c r="AJ332" i="5"/>
  <c r="Z372" i="4"/>
  <c r="AL332" i="5"/>
  <c r="AN332" i="5"/>
  <c r="B373" i="4"/>
  <c r="K373" i="4"/>
  <c r="O333" i="5"/>
  <c r="H373" i="4"/>
  <c r="K333" i="5"/>
  <c r="C373" i="4"/>
  <c r="C333" i="5"/>
  <c r="D373" i="4"/>
  <c r="E333" i="5"/>
  <c r="I373" i="4"/>
  <c r="L333" i="5"/>
  <c r="J373" i="4"/>
  <c r="N333" i="5"/>
  <c r="L373" i="4"/>
  <c r="Q333" i="5"/>
  <c r="M373" i="4"/>
  <c r="R333" i="5"/>
  <c r="N373" i="4"/>
  <c r="T333" i="5"/>
  <c r="O373" i="4"/>
  <c r="U333" i="5"/>
  <c r="P373" i="4"/>
  <c r="W333" i="5"/>
  <c r="Q373" i="4"/>
  <c r="X333" i="5"/>
  <c r="S373" i="4"/>
  <c r="AA333" i="5"/>
  <c r="T373" i="4"/>
  <c r="AC333" i="5"/>
  <c r="U373" i="4"/>
  <c r="AD333" i="5"/>
  <c r="V373" i="4"/>
  <c r="AF333" i="5"/>
  <c r="W373" i="4"/>
  <c r="AG333" i="5"/>
  <c r="X373" i="4"/>
  <c r="AI333" i="5"/>
  <c r="Y373" i="4"/>
  <c r="AJ333" i="5"/>
  <c r="Z373" i="4"/>
  <c r="AL333" i="5"/>
  <c r="AN333" i="5"/>
  <c r="B374" i="4"/>
  <c r="K374" i="4"/>
  <c r="O334" i="5"/>
  <c r="H374" i="4"/>
  <c r="K334" i="5"/>
  <c r="C374" i="4"/>
  <c r="C334" i="5"/>
  <c r="D374" i="4"/>
  <c r="E334" i="5"/>
  <c r="I374" i="4"/>
  <c r="L334" i="5"/>
  <c r="J374" i="4"/>
  <c r="N334" i="5"/>
  <c r="L374" i="4"/>
  <c r="Q334" i="5"/>
  <c r="M374" i="4"/>
  <c r="R334" i="5"/>
  <c r="N374" i="4"/>
  <c r="T334" i="5"/>
  <c r="O374" i="4"/>
  <c r="U334" i="5"/>
  <c r="P374" i="4"/>
  <c r="W334" i="5"/>
  <c r="Q374" i="4"/>
  <c r="X334" i="5"/>
  <c r="S374" i="4"/>
  <c r="AA334" i="5"/>
  <c r="T374" i="4"/>
  <c r="AC334" i="5"/>
  <c r="U374" i="4"/>
  <c r="AD334" i="5"/>
  <c r="V374" i="4"/>
  <c r="AF334" i="5"/>
  <c r="W374" i="4"/>
  <c r="AG334" i="5"/>
  <c r="X374" i="4"/>
  <c r="AI334" i="5"/>
  <c r="Y374" i="4"/>
  <c r="AJ334" i="5"/>
  <c r="Z374" i="4"/>
  <c r="AL334" i="5"/>
  <c r="AN334" i="5"/>
  <c r="B375" i="4"/>
  <c r="K375" i="4"/>
  <c r="O335" i="5"/>
  <c r="H375" i="4"/>
  <c r="K335" i="5"/>
  <c r="C375" i="4"/>
  <c r="C335" i="5"/>
  <c r="D375" i="4"/>
  <c r="E335" i="5"/>
  <c r="I375" i="4"/>
  <c r="L335" i="5"/>
  <c r="J375" i="4"/>
  <c r="N335" i="5"/>
  <c r="L375" i="4"/>
  <c r="Q335" i="5"/>
  <c r="M375" i="4"/>
  <c r="R335" i="5"/>
  <c r="N375" i="4"/>
  <c r="T335" i="5"/>
  <c r="O375" i="4"/>
  <c r="U335" i="5"/>
  <c r="P375" i="4"/>
  <c r="W335" i="5"/>
  <c r="Q375" i="4"/>
  <c r="X335" i="5"/>
  <c r="S375" i="4"/>
  <c r="AA335" i="5"/>
  <c r="T375" i="4"/>
  <c r="AC335" i="5"/>
  <c r="U375" i="4"/>
  <c r="AD335" i="5"/>
  <c r="V375" i="4"/>
  <c r="AF335" i="5"/>
  <c r="W375" i="4"/>
  <c r="AG335" i="5"/>
  <c r="X375" i="4"/>
  <c r="AI335" i="5"/>
  <c r="Y375" i="4"/>
  <c r="AJ335" i="5"/>
  <c r="Z375" i="4"/>
  <c r="AL335" i="5"/>
  <c r="AN335" i="5"/>
  <c r="B376" i="4"/>
  <c r="K376" i="4"/>
  <c r="O336" i="5"/>
  <c r="H376" i="4"/>
  <c r="K336" i="5"/>
  <c r="C376" i="4"/>
  <c r="C336" i="5"/>
  <c r="D376" i="4"/>
  <c r="E336" i="5"/>
  <c r="I376" i="4"/>
  <c r="L336" i="5"/>
  <c r="J376" i="4"/>
  <c r="N336" i="5"/>
  <c r="L376" i="4"/>
  <c r="Q336" i="5"/>
  <c r="M376" i="4"/>
  <c r="R336" i="5"/>
  <c r="N376" i="4"/>
  <c r="T336" i="5"/>
  <c r="O376" i="4"/>
  <c r="U336" i="5"/>
  <c r="P376" i="4"/>
  <c r="W336" i="5"/>
  <c r="Q376" i="4"/>
  <c r="X336" i="5"/>
  <c r="S376" i="4"/>
  <c r="AA336" i="5"/>
  <c r="T376" i="4"/>
  <c r="AC336" i="5"/>
  <c r="U376" i="4"/>
  <c r="AD336" i="5"/>
  <c r="V376" i="4"/>
  <c r="AF336" i="5"/>
  <c r="W376" i="4"/>
  <c r="AG336" i="5"/>
  <c r="X376" i="4"/>
  <c r="AI336" i="5"/>
  <c r="Y376" i="4"/>
  <c r="AJ336" i="5"/>
  <c r="Z376" i="4"/>
  <c r="AL336" i="5"/>
  <c r="AN336" i="5"/>
  <c r="AA337" i="5"/>
  <c r="W337" i="5"/>
  <c r="O337" i="5"/>
  <c r="K337" i="5"/>
  <c r="E337" i="5"/>
  <c r="F337" i="5"/>
  <c r="H337" i="5"/>
  <c r="I337" i="5"/>
  <c r="L337" i="5"/>
  <c r="N337" i="5"/>
  <c r="Q337" i="5"/>
  <c r="R337" i="5"/>
  <c r="T337" i="5"/>
  <c r="U337" i="5"/>
  <c r="X337" i="5"/>
  <c r="Z337" i="5"/>
  <c r="AC337" i="5"/>
  <c r="AD337" i="5"/>
  <c r="AF337" i="5"/>
  <c r="AG337" i="5"/>
  <c r="AI337" i="5"/>
  <c r="AJ337" i="5"/>
  <c r="AL337" i="5"/>
  <c r="AN337" i="5"/>
  <c r="B346" i="4"/>
  <c r="K346" i="4"/>
  <c r="O338" i="5"/>
  <c r="H346" i="4"/>
  <c r="K338" i="5"/>
  <c r="C346" i="4"/>
  <c r="C338" i="5"/>
  <c r="D346" i="4"/>
  <c r="E338" i="5"/>
  <c r="I346" i="4"/>
  <c r="L338" i="5"/>
  <c r="J346" i="4"/>
  <c r="N338" i="5"/>
  <c r="L346" i="4"/>
  <c r="Q338" i="5"/>
  <c r="M346" i="4"/>
  <c r="R338" i="5"/>
  <c r="N346" i="4"/>
  <c r="T338" i="5"/>
  <c r="O346" i="4"/>
  <c r="U338" i="5"/>
  <c r="P346" i="4"/>
  <c r="W338" i="5"/>
  <c r="Q346" i="4"/>
  <c r="X338" i="5"/>
  <c r="S346" i="4"/>
  <c r="AA338" i="5"/>
  <c r="T346" i="4"/>
  <c r="AC338" i="5"/>
  <c r="U346" i="4"/>
  <c r="AD338" i="5"/>
  <c r="V346" i="4"/>
  <c r="AF338" i="5"/>
  <c r="W346" i="4"/>
  <c r="AG338" i="5"/>
  <c r="X346" i="4"/>
  <c r="AI338" i="5"/>
  <c r="Y346" i="4"/>
  <c r="AJ338" i="5"/>
  <c r="Z346" i="4"/>
  <c r="AL338" i="5"/>
  <c r="F338" i="5"/>
  <c r="H338" i="5"/>
  <c r="I338" i="5"/>
  <c r="AN338" i="5"/>
  <c r="B347" i="4"/>
  <c r="K347" i="4"/>
  <c r="O339" i="5"/>
  <c r="H347" i="4"/>
  <c r="K339" i="5"/>
  <c r="C347" i="4"/>
  <c r="C339" i="5"/>
  <c r="D347" i="4"/>
  <c r="E339" i="5"/>
  <c r="I347" i="4"/>
  <c r="L339" i="5"/>
  <c r="J347" i="4"/>
  <c r="N339" i="5"/>
  <c r="L347" i="4"/>
  <c r="Q339" i="5"/>
  <c r="M347" i="4"/>
  <c r="R339" i="5"/>
  <c r="N347" i="4"/>
  <c r="T339" i="5"/>
  <c r="O347" i="4"/>
  <c r="U339" i="5"/>
  <c r="P347" i="4"/>
  <c r="W339" i="5"/>
  <c r="Q347" i="4"/>
  <c r="X339" i="5"/>
  <c r="S347" i="4"/>
  <c r="AA339" i="5"/>
  <c r="T347" i="4"/>
  <c r="AC339" i="5"/>
  <c r="U347" i="4"/>
  <c r="AD339" i="5"/>
  <c r="V347" i="4"/>
  <c r="AF339" i="5"/>
  <c r="W347" i="4"/>
  <c r="AG339" i="5"/>
  <c r="X347" i="4"/>
  <c r="AI339" i="5"/>
  <c r="Y347" i="4"/>
  <c r="AJ339" i="5"/>
  <c r="Z347" i="4"/>
  <c r="AL339" i="5"/>
  <c r="F339" i="5"/>
  <c r="H339" i="5"/>
  <c r="I339" i="5"/>
  <c r="AN339" i="5"/>
  <c r="O340" i="5"/>
  <c r="K340" i="5"/>
  <c r="B300" i="4"/>
  <c r="C300" i="4"/>
  <c r="C340" i="5"/>
  <c r="D300" i="4"/>
  <c r="E340" i="5"/>
  <c r="I300" i="4"/>
  <c r="L340" i="5"/>
  <c r="J300" i="4"/>
  <c r="N340" i="5"/>
  <c r="L300" i="4"/>
  <c r="Q340" i="5"/>
  <c r="M300" i="4"/>
  <c r="R340" i="5"/>
  <c r="N300" i="4"/>
  <c r="T340" i="5"/>
  <c r="O300" i="4"/>
  <c r="U340" i="5"/>
  <c r="P300" i="4"/>
  <c r="W340" i="5"/>
  <c r="Q300" i="4"/>
  <c r="X340" i="5"/>
  <c r="AA340" i="5"/>
  <c r="AC340" i="5"/>
  <c r="AD340" i="5"/>
  <c r="V300" i="4"/>
  <c r="AF340" i="5"/>
  <c r="AG340" i="5"/>
  <c r="X300" i="4"/>
  <c r="AI340" i="5"/>
  <c r="Y300" i="4"/>
  <c r="AJ340" i="5"/>
  <c r="Z300" i="4"/>
  <c r="AL340" i="5"/>
  <c r="F340" i="5"/>
  <c r="H340" i="5"/>
  <c r="I340" i="5"/>
  <c r="AN340" i="5"/>
  <c r="O341" i="5"/>
  <c r="K341" i="5"/>
  <c r="C301" i="4"/>
  <c r="C341" i="5"/>
  <c r="D301" i="4"/>
  <c r="E341" i="5"/>
  <c r="I301" i="4"/>
  <c r="L341" i="5"/>
  <c r="J301" i="4"/>
  <c r="N341" i="5"/>
  <c r="L301" i="4"/>
  <c r="Q341" i="5"/>
  <c r="M301" i="4"/>
  <c r="R341" i="5"/>
  <c r="N301" i="4"/>
  <c r="T341" i="5"/>
  <c r="O301" i="4"/>
  <c r="U341" i="5"/>
  <c r="P301" i="4"/>
  <c r="W341" i="5"/>
  <c r="Q301" i="4"/>
  <c r="X341" i="5"/>
  <c r="AA341" i="5"/>
  <c r="AC341" i="5"/>
  <c r="AD341" i="5"/>
  <c r="V301" i="4"/>
  <c r="AF341" i="5"/>
  <c r="AG341" i="5"/>
  <c r="X301" i="4"/>
  <c r="AI341" i="5"/>
  <c r="Y301" i="4"/>
  <c r="AJ341" i="5"/>
  <c r="Z301" i="4"/>
  <c r="AL341" i="5"/>
  <c r="F341" i="5"/>
  <c r="H341" i="5"/>
  <c r="I341" i="5"/>
  <c r="AN341" i="5"/>
  <c r="C302" i="4"/>
  <c r="C342" i="5"/>
  <c r="N302" i="4"/>
  <c r="T342" i="5"/>
  <c r="O302" i="4"/>
  <c r="U342" i="5"/>
  <c r="P302" i="4"/>
  <c r="W342" i="5"/>
  <c r="Q302" i="4"/>
  <c r="X342" i="5"/>
  <c r="AA342" i="5"/>
  <c r="V302" i="4"/>
  <c r="AF342" i="5"/>
  <c r="AG342" i="5"/>
  <c r="X302" i="4"/>
  <c r="AI342" i="5"/>
  <c r="Y302" i="4"/>
  <c r="AJ342" i="5"/>
  <c r="Z302" i="4"/>
  <c r="AL342" i="5"/>
  <c r="AN342" i="5"/>
  <c r="O343" i="5"/>
  <c r="K343" i="5"/>
  <c r="B303" i="4"/>
  <c r="C303" i="4"/>
  <c r="C343" i="5"/>
  <c r="D303" i="4"/>
  <c r="E343" i="5"/>
  <c r="I303" i="4"/>
  <c r="L343" i="5"/>
  <c r="J303" i="4"/>
  <c r="N343" i="5"/>
  <c r="L303" i="4"/>
  <c r="Q343" i="5"/>
  <c r="M303" i="4"/>
  <c r="R343" i="5"/>
  <c r="N303" i="4"/>
  <c r="T343" i="5"/>
  <c r="O303" i="4"/>
  <c r="U343" i="5"/>
  <c r="P303" i="4"/>
  <c r="W343" i="5"/>
  <c r="Q303" i="4"/>
  <c r="X343" i="5"/>
  <c r="AA343" i="5"/>
  <c r="T303" i="4"/>
  <c r="AC343" i="5"/>
  <c r="AD343" i="5"/>
  <c r="V303" i="4"/>
  <c r="AF343" i="5"/>
  <c r="AG343" i="5"/>
  <c r="X303" i="4"/>
  <c r="AI343" i="5"/>
  <c r="Y303" i="4"/>
  <c r="AJ343" i="5"/>
  <c r="Z303" i="4"/>
  <c r="AL343" i="5"/>
  <c r="F343" i="5"/>
  <c r="H343" i="5"/>
  <c r="I343" i="5"/>
  <c r="AN343" i="5"/>
  <c r="C304" i="4"/>
  <c r="C344" i="5"/>
  <c r="N304" i="4"/>
  <c r="T344" i="5"/>
  <c r="O304" i="4"/>
  <c r="U344" i="5"/>
  <c r="P304" i="4"/>
  <c r="W344" i="5"/>
  <c r="Q304" i="4"/>
  <c r="X344" i="5"/>
  <c r="AA344" i="5"/>
  <c r="V304" i="4"/>
  <c r="AF344" i="5"/>
  <c r="AG344" i="5"/>
  <c r="X304" i="4"/>
  <c r="AI344" i="5"/>
  <c r="Y304" i="4"/>
  <c r="AJ344" i="5"/>
  <c r="Z304" i="4"/>
  <c r="AL344" i="5"/>
  <c r="F344" i="5"/>
  <c r="H344" i="5"/>
  <c r="I344" i="5"/>
  <c r="AN344" i="5"/>
  <c r="AA345" i="5"/>
  <c r="W345" i="5"/>
  <c r="O345" i="5"/>
  <c r="K345" i="5"/>
  <c r="E345" i="5"/>
  <c r="F345" i="5"/>
  <c r="H345" i="5"/>
  <c r="I345" i="5"/>
  <c r="L345" i="5"/>
  <c r="N345" i="5"/>
  <c r="Q345" i="5"/>
  <c r="R345" i="5"/>
  <c r="T345" i="5"/>
  <c r="U345" i="5"/>
  <c r="X345" i="5"/>
  <c r="Z345" i="5"/>
  <c r="AC345" i="5"/>
  <c r="AD345" i="5"/>
  <c r="AF345" i="5"/>
  <c r="AG345" i="5"/>
  <c r="AI345" i="5"/>
  <c r="AJ345" i="5"/>
  <c r="AL345" i="5"/>
  <c r="AN345" i="5"/>
  <c r="O346" i="5"/>
  <c r="K346" i="5"/>
  <c r="C346" i="5"/>
  <c r="B333" i="4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V333" i="4"/>
  <c r="AF346" i="5"/>
  <c r="AG346" i="5"/>
  <c r="X333" i="4"/>
  <c r="AI346" i="5"/>
  <c r="Y333" i="4"/>
  <c r="AJ346" i="5"/>
  <c r="AL346" i="5"/>
  <c r="F346" i="5"/>
  <c r="H346" i="5"/>
  <c r="I346" i="5"/>
  <c r="Z346" i="5"/>
  <c r="AN346" i="5"/>
  <c r="C265" i="4"/>
  <c r="C347" i="5"/>
  <c r="D265" i="4"/>
  <c r="E347" i="5"/>
  <c r="E265" i="4"/>
  <c r="F347" i="5"/>
  <c r="F265" i="4"/>
  <c r="H347" i="5"/>
  <c r="I347" i="5"/>
  <c r="H265" i="4"/>
  <c r="K347" i="5"/>
  <c r="L265" i="4"/>
  <c r="Q347" i="5"/>
  <c r="M265" i="4"/>
  <c r="R347" i="5"/>
  <c r="N265" i="4"/>
  <c r="T347" i="5"/>
  <c r="U347" i="5"/>
  <c r="P265" i="4"/>
  <c r="W347" i="5"/>
  <c r="Q265" i="4"/>
  <c r="X347" i="5"/>
  <c r="S265" i="4"/>
  <c r="AA347" i="5"/>
  <c r="AH265" i="4"/>
  <c r="T265" i="4" a="1"/>
  <c r="T265" i="4"/>
  <c r="AC347" i="5"/>
  <c r="U265" i="4" a="1"/>
  <c r="U265" i="4"/>
  <c r="AD347" i="5"/>
  <c r="AF347" i="5"/>
  <c r="AG347" i="5"/>
  <c r="X265" i="4"/>
  <c r="AI347" i="5"/>
  <c r="Y265" i="4"/>
  <c r="AJ347" i="5"/>
  <c r="Z265" i="4"/>
  <c r="AL347" i="5"/>
  <c r="L347" i="5"/>
  <c r="N347" i="5"/>
  <c r="O347" i="5"/>
  <c r="Z347" i="5"/>
  <c r="AN347" i="5"/>
  <c r="O348" i="5"/>
  <c r="H266" i="4"/>
  <c r="K348" i="5"/>
  <c r="C266" i="4"/>
  <c r="C348" i="5"/>
  <c r="D266" i="4"/>
  <c r="E348" i="5"/>
  <c r="I5" i="2"/>
  <c r="I266" i="4"/>
  <c r="L348" i="5"/>
  <c r="J5" i="2"/>
  <c r="J266" i="4"/>
  <c r="N348" i="5"/>
  <c r="L266" i="4"/>
  <c r="Q348" i="5"/>
  <c r="M266" i="4"/>
  <c r="R348" i="5"/>
  <c r="T348" i="5"/>
  <c r="U348" i="5"/>
  <c r="P266" i="4"/>
  <c r="W348" i="5"/>
  <c r="Q266" i="4"/>
  <c r="X348" i="5"/>
  <c r="S5" i="2"/>
  <c r="S266" i="4"/>
  <c r="AA348" i="5"/>
  <c r="AH266" i="4"/>
  <c r="T266" i="4" a="1"/>
  <c r="T266" i="4"/>
  <c r="AC348" i="5"/>
  <c r="U266" i="4" a="1"/>
  <c r="U266" i="4"/>
  <c r="AD348" i="5"/>
  <c r="AF348" i="5"/>
  <c r="AG348" i="5"/>
  <c r="X266" i="4"/>
  <c r="AI348" i="5"/>
  <c r="Y266" i="4"/>
  <c r="AJ348" i="5"/>
  <c r="Z266" i="4"/>
  <c r="AL348" i="5"/>
  <c r="F348" i="5"/>
  <c r="H348" i="5"/>
  <c r="I348" i="5"/>
  <c r="Z348" i="5"/>
  <c r="AN348" i="5"/>
  <c r="AA349" i="5"/>
  <c r="W349" i="5"/>
  <c r="O349" i="5"/>
  <c r="K349" i="5"/>
  <c r="E349" i="5"/>
  <c r="F349" i="5"/>
  <c r="H349" i="5"/>
  <c r="I349" i="5"/>
  <c r="L349" i="5"/>
  <c r="N349" i="5"/>
  <c r="Q349" i="5"/>
  <c r="R349" i="5"/>
  <c r="T349" i="5"/>
  <c r="U349" i="5"/>
  <c r="X349" i="5"/>
  <c r="Z349" i="5"/>
  <c r="AC349" i="5"/>
  <c r="AD349" i="5"/>
  <c r="AF349" i="5"/>
  <c r="AG349" i="5"/>
  <c r="AI349" i="5"/>
  <c r="AJ349" i="5"/>
  <c r="AL349" i="5"/>
  <c r="AN349" i="5"/>
  <c r="B267" i="4"/>
  <c r="S267" i="4"/>
  <c r="AA350" i="5"/>
  <c r="P267" i="4"/>
  <c r="W350" i="5"/>
  <c r="C267" i="4"/>
  <c r="C350" i="5"/>
  <c r="D267" i="4"/>
  <c r="E350" i="5"/>
  <c r="E267" i="4"/>
  <c r="F350" i="5"/>
  <c r="F267" i="4"/>
  <c r="H350" i="5"/>
  <c r="I350" i="5"/>
  <c r="K350" i="5"/>
  <c r="L267" i="4"/>
  <c r="Q350" i="5"/>
  <c r="M267" i="4"/>
  <c r="R350" i="5"/>
  <c r="T350" i="5"/>
  <c r="U350" i="5"/>
  <c r="Q267" i="4"/>
  <c r="X350" i="5"/>
  <c r="R267" i="4"/>
  <c r="Z350" i="5"/>
  <c r="AH267" i="4"/>
  <c r="T267" i="4" a="1"/>
  <c r="T267" i="4"/>
  <c r="AC350" i="5"/>
  <c r="U267" i="4" a="1"/>
  <c r="U267" i="4"/>
  <c r="AD350" i="5"/>
  <c r="AF350" i="5"/>
  <c r="AG350" i="5"/>
  <c r="X267" i="4"/>
  <c r="AI350" i="5"/>
  <c r="Y267" i="4"/>
  <c r="AJ350" i="5"/>
  <c r="Z267" i="4"/>
  <c r="AL350" i="5"/>
  <c r="L350" i="5"/>
  <c r="N350" i="5"/>
  <c r="O350" i="5"/>
  <c r="AN350" i="5"/>
  <c r="S268" i="4"/>
  <c r="AA351" i="5"/>
  <c r="P268" i="4"/>
  <c r="W351" i="5"/>
  <c r="C268" i="4"/>
  <c r="C351" i="5"/>
  <c r="D268" i="4"/>
  <c r="E351" i="5"/>
  <c r="E20" i="2"/>
  <c r="E268" i="4"/>
  <c r="F351" i="5"/>
  <c r="F20" i="2"/>
  <c r="F268" i="4"/>
  <c r="H351" i="5"/>
  <c r="I351" i="5"/>
  <c r="K351" i="5"/>
  <c r="L268" i="4"/>
  <c r="Q351" i="5"/>
  <c r="U351" i="5"/>
  <c r="Q268" i="4"/>
  <c r="X351" i="5"/>
  <c r="R268" i="4"/>
  <c r="Z351" i="5"/>
  <c r="AH268" i="4"/>
  <c r="T268" i="4" a="1"/>
  <c r="T268" i="4"/>
  <c r="AC351" i="5"/>
  <c r="U268" i="4" a="1"/>
  <c r="U268" i="4"/>
  <c r="AD351" i="5"/>
  <c r="AF351" i="5"/>
  <c r="AG351" i="5"/>
  <c r="X268" i="4"/>
  <c r="AI351" i="5"/>
  <c r="Y268" i="4"/>
  <c r="AJ351" i="5"/>
  <c r="Z268" i="4"/>
  <c r="AL351" i="5"/>
  <c r="L351" i="5"/>
  <c r="N351" i="5"/>
  <c r="O351" i="5"/>
  <c r="R351" i="5"/>
  <c r="AN351" i="5"/>
  <c r="O352" i="5"/>
  <c r="H269" i="4"/>
  <c r="K352" i="5"/>
  <c r="C269" i="4"/>
  <c r="C352" i="5"/>
  <c r="D269" i="4"/>
  <c r="E352" i="5"/>
  <c r="E269" i="4"/>
  <c r="F352" i="5"/>
  <c r="F269" i="4"/>
  <c r="H352" i="5"/>
  <c r="I352" i="5"/>
  <c r="I269" i="4"/>
  <c r="L352" i="5"/>
  <c r="J269" i="4"/>
  <c r="N352" i="5"/>
  <c r="L269" i="4"/>
  <c r="Q352" i="5"/>
  <c r="M269" i="4"/>
  <c r="R352" i="5"/>
  <c r="N269" i="4"/>
  <c r="T352" i="5"/>
  <c r="U352" i="5"/>
  <c r="P269" i="4"/>
  <c r="W352" i="5"/>
  <c r="Q269" i="4"/>
  <c r="X352" i="5"/>
  <c r="S269" i="4"/>
  <c r="AA352" i="5"/>
  <c r="AH269" i="4"/>
  <c r="T269" i="4" a="1"/>
  <c r="T269" i="4"/>
  <c r="AC352" i="5"/>
  <c r="U269" i="4" a="1"/>
  <c r="U269" i="4"/>
  <c r="AD352" i="5"/>
  <c r="AF352" i="5"/>
  <c r="AG352" i="5"/>
  <c r="X269" i="4"/>
  <c r="AI352" i="5"/>
  <c r="Y269" i="4"/>
  <c r="AJ352" i="5"/>
  <c r="Z269" i="4"/>
  <c r="AL352" i="5"/>
  <c r="Z352" i="5"/>
  <c r="AN352" i="5"/>
  <c r="B348" i="4"/>
  <c r="S348" i="4"/>
  <c r="AA353" i="5"/>
  <c r="P348" i="4"/>
  <c r="W353" i="5"/>
  <c r="K348" i="4"/>
  <c r="O353" i="5"/>
  <c r="H348" i="4"/>
  <c r="K353" i="5"/>
  <c r="C348" i="4"/>
  <c r="C353" i="5"/>
  <c r="D348" i="4"/>
  <c r="E353" i="5"/>
  <c r="I348" i="4"/>
  <c r="L353" i="5"/>
  <c r="J348" i="4"/>
  <c r="N353" i="5"/>
  <c r="L348" i="4"/>
  <c r="Q353" i="5"/>
  <c r="M348" i="4"/>
  <c r="R353" i="5"/>
  <c r="N348" i="4"/>
  <c r="T353" i="5"/>
  <c r="O348" i="4"/>
  <c r="U353" i="5"/>
  <c r="Q348" i="4"/>
  <c r="X353" i="5"/>
  <c r="R48" i="2"/>
  <c r="R348" i="4"/>
  <c r="Z353" i="5"/>
  <c r="T348" i="4"/>
  <c r="AC353" i="5"/>
  <c r="U348" i="4"/>
  <c r="AD353" i="5"/>
  <c r="V348" i="4"/>
  <c r="AF353" i="5"/>
  <c r="W348" i="4"/>
  <c r="AG353" i="5"/>
  <c r="X348" i="4"/>
  <c r="AI353" i="5"/>
  <c r="Y348" i="4"/>
  <c r="AJ353" i="5"/>
  <c r="Z348" i="4"/>
  <c r="AL353" i="5"/>
  <c r="F353" i="5"/>
  <c r="H353" i="5"/>
  <c r="I353" i="5"/>
  <c r="AN353" i="5"/>
  <c r="AA354" i="5"/>
  <c r="W354" i="5"/>
  <c r="O354" i="5"/>
  <c r="K354" i="5"/>
  <c r="B381" i="4"/>
  <c r="C381" i="4"/>
  <c r="C354" i="5"/>
  <c r="E354" i="5"/>
  <c r="F354" i="5"/>
  <c r="H354" i="5"/>
  <c r="I354" i="5"/>
  <c r="L354" i="5"/>
  <c r="N354" i="5"/>
  <c r="Q354" i="5"/>
  <c r="R354" i="5"/>
  <c r="T354" i="5"/>
  <c r="U354" i="5"/>
  <c r="X354" i="5"/>
  <c r="Z354" i="5"/>
  <c r="AC354" i="5"/>
  <c r="AD354" i="5"/>
  <c r="AF354" i="5"/>
  <c r="AG354" i="5"/>
  <c r="AI354" i="5"/>
  <c r="AL354" i="5"/>
  <c r="AN354" i="5"/>
  <c r="B349" i="4"/>
  <c r="K349" i="4"/>
  <c r="O355" i="5"/>
  <c r="H349" i="4"/>
  <c r="K355" i="5"/>
  <c r="C349" i="4"/>
  <c r="C355" i="5"/>
  <c r="D349" i="4"/>
  <c r="E355" i="5"/>
  <c r="I349" i="4"/>
  <c r="L355" i="5"/>
  <c r="J349" i="4"/>
  <c r="N355" i="5"/>
  <c r="L349" i="4"/>
  <c r="Q355" i="5"/>
  <c r="M349" i="4"/>
  <c r="R355" i="5"/>
  <c r="N349" i="4"/>
  <c r="T355" i="5"/>
  <c r="O349" i="4"/>
  <c r="U355" i="5"/>
  <c r="P349" i="4"/>
  <c r="W355" i="5"/>
  <c r="Q349" i="4"/>
  <c r="X355" i="5"/>
  <c r="S349" i="4"/>
  <c r="AA355" i="5"/>
  <c r="T349" i="4"/>
  <c r="AC355" i="5"/>
  <c r="U349" i="4"/>
  <c r="AD355" i="5"/>
  <c r="V349" i="4"/>
  <c r="AF355" i="5"/>
  <c r="W349" i="4"/>
  <c r="AG355" i="5"/>
  <c r="X349" i="4"/>
  <c r="AI355" i="5"/>
  <c r="Y349" i="4"/>
  <c r="AJ355" i="5"/>
  <c r="Z349" i="4"/>
  <c r="AL355" i="5"/>
  <c r="F355" i="5"/>
  <c r="H355" i="5"/>
  <c r="I355" i="5"/>
  <c r="AN355" i="5"/>
  <c r="O356" i="5"/>
  <c r="H270" i="4"/>
  <c r="K356" i="5"/>
  <c r="C270" i="4"/>
  <c r="C356" i="5"/>
  <c r="D270" i="4"/>
  <c r="E356" i="5"/>
  <c r="E270" i="4"/>
  <c r="F356" i="5"/>
  <c r="F270" i="4"/>
  <c r="H356" i="5"/>
  <c r="I356" i="5"/>
  <c r="I270" i="4"/>
  <c r="L356" i="5"/>
  <c r="J270" i="4"/>
  <c r="N356" i="5"/>
  <c r="L270" i="4"/>
  <c r="Q356" i="5"/>
  <c r="M270" i="4"/>
  <c r="R356" i="5"/>
  <c r="T356" i="5"/>
  <c r="U356" i="5"/>
  <c r="W356" i="5"/>
  <c r="Q270" i="4"/>
  <c r="X356" i="5"/>
  <c r="AA356" i="5"/>
  <c r="AH270" i="4"/>
  <c r="T270" i="4" a="1"/>
  <c r="T270" i="4"/>
  <c r="AC356" i="5"/>
  <c r="U270" i="4" a="1"/>
  <c r="U270" i="4"/>
  <c r="AD356" i="5"/>
  <c r="AF356" i="5"/>
  <c r="AG356" i="5"/>
  <c r="X270" i="4"/>
  <c r="AI356" i="5"/>
  <c r="Y270" i="4"/>
  <c r="AJ356" i="5"/>
  <c r="Z270" i="4"/>
  <c r="AL356" i="5"/>
  <c r="AN356" i="5"/>
  <c r="C271" i="4"/>
  <c r="C357" i="5"/>
  <c r="D271" i="4"/>
  <c r="E357" i="5"/>
  <c r="H271" i="4"/>
  <c r="K357" i="5"/>
  <c r="L271" i="4"/>
  <c r="Q357" i="5"/>
  <c r="M271" i="4"/>
  <c r="R357" i="5"/>
  <c r="T357" i="5"/>
  <c r="U357" i="5"/>
  <c r="P271" i="4"/>
  <c r="W357" i="5"/>
  <c r="Q271" i="4"/>
  <c r="X357" i="5"/>
  <c r="S271" i="4"/>
  <c r="AA357" i="5"/>
  <c r="AH271" i="4"/>
  <c r="T271" i="4" a="1"/>
  <c r="T271" i="4"/>
  <c r="AC357" i="5"/>
  <c r="U271" i="4" a="1"/>
  <c r="U271" i="4"/>
  <c r="AD357" i="5"/>
  <c r="AF357" i="5"/>
  <c r="AG357" i="5"/>
  <c r="X271" i="4"/>
  <c r="AI357" i="5"/>
  <c r="Y271" i="4"/>
  <c r="AJ357" i="5"/>
  <c r="Z271" i="4"/>
  <c r="AL357" i="5"/>
  <c r="F357" i="5"/>
  <c r="H357" i="5"/>
  <c r="I357" i="5"/>
  <c r="L357" i="5"/>
  <c r="N357" i="5"/>
  <c r="O357" i="5"/>
  <c r="AN357" i="5"/>
  <c r="B350" i="4"/>
  <c r="K350" i="4"/>
  <c r="O358" i="5"/>
  <c r="H350" i="4"/>
  <c r="K358" i="5"/>
  <c r="C350" i="4"/>
  <c r="C358" i="5"/>
  <c r="D350" i="4"/>
  <c r="E358" i="5"/>
  <c r="I350" i="4"/>
  <c r="L358" i="5"/>
  <c r="J350" i="4"/>
  <c r="N358" i="5"/>
  <c r="L350" i="4"/>
  <c r="Q358" i="5"/>
  <c r="M350" i="4"/>
  <c r="R358" i="5"/>
  <c r="N350" i="4"/>
  <c r="T358" i="5"/>
  <c r="O350" i="4"/>
  <c r="U358" i="5"/>
  <c r="P350" i="4"/>
  <c r="W358" i="5"/>
  <c r="Q350" i="4"/>
  <c r="X358" i="5"/>
  <c r="S350" i="4"/>
  <c r="AA358" i="5"/>
  <c r="T350" i="4"/>
  <c r="AC358" i="5"/>
  <c r="U350" i="4"/>
  <c r="AD358" i="5"/>
  <c r="V350" i="4"/>
  <c r="AF358" i="5"/>
  <c r="W350" i="4"/>
  <c r="AG358" i="5"/>
  <c r="X350" i="4"/>
  <c r="AI358" i="5"/>
  <c r="Y350" i="4"/>
  <c r="AJ358" i="5"/>
  <c r="Z350" i="4"/>
  <c r="AL358" i="5"/>
  <c r="F358" i="5"/>
  <c r="H358" i="5"/>
  <c r="I358" i="5"/>
  <c r="AN358" i="5"/>
  <c r="O359" i="5"/>
  <c r="K359" i="5"/>
  <c r="B272" i="4"/>
  <c r="C272" i="4"/>
  <c r="C359" i="5"/>
  <c r="D272" i="4"/>
  <c r="E359" i="5"/>
  <c r="L359" i="5"/>
  <c r="N359" i="5"/>
  <c r="L272" i="4"/>
  <c r="Q359" i="5"/>
  <c r="M272" i="4"/>
  <c r="R359" i="5"/>
  <c r="N272" i="4"/>
  <c r="T359" i="5"/>
  <c r="U359" i="5"/>
  <c r="P272" i="4"/>
  <c r="W359" i="5"/>
  <c r="X359" i="5"/>
  <c r="AA359" i="5"/>
  <c r="AH272" i="4"/>
  <c r="T272" i="4" a="1"/>
  <c r="T272" i="4"/>
  <c r="AC359" i="5"/>
  <c r="U272" i="4" a="1"/>
  <c r="U272" i="4"/>
  <c r="AD359" i="5"/>
  <c r="AF359" i="5"/>
  <c r="AG359" i="5"/>
  <c r="X272" i="4"/>
  <c r="AI359" i="5"/>
  <c r="Y272" i="4"/>
  <c r="AJ359" i="5"/>
  <c r="Z272" i="4"/>
  <c r="AL359" i="5"/>
  <c r="F359" i="5"/>
  <c r="H359" i="5"/>
  <c r="I359" i="5"/>
  <c r="AN359" i="5"/>
  <c r="B351" i="4"/>
  <c r="K351" i="4"/>
  <c r="O360" i="5"/>
  <c r="H351" i="4"/>
  <c r="K360" i="5"/>
  <c r="C351" i="4"/>
  <c r="C360" i="5"/>
  <c r="D351" i="4"/>
  <c r="E360" i="5"/>
  <c r="I351" i="4"/>
  <c r="L360" i="5"/>
  <c r="J351" i="4"/>
  <c r="N360" i="5"/>
  <c r="L351" i="4"/>
  <c r="Q360" i="5"/>
  <c r="M351" i="4"/>
  <c r="R360" i="5"/>
  <c r="N351" i="4"/>
  <c r="T360" i="5"/>
  <c r="O351" i="4"/>
  <c r="U360" i="5"/>
  <c r="P351" i="4"/>
  <c r="W360" i="5"/>
  <c r="Q351" i="4"/>
  <c r="X360" i="5"/>
  <c r="S351" i="4"/>
  <c r="AA360" i="5"/>
  <c r="T351" i="4"/>
  <c r="AC360" i="5"/>
  <c r="U351" i="4"/>
  <c r="AD360" i="5"/>
  <c r="V351" i="4"/>
  <c r="AF360" i="5"/>
  <c r="W351" i="4"/>
  <c r="AG360" i="5"/>
  <c r="X351" i="4"/>
  <c r="AI360" i="5"/>
  <c r="Y351" i="4"/>
  <c r="AJ360" i="5"/>
  <c r="Z351" i="4"/>
  <c r="AL360" i="5"/>
  <c r="F360" i="5"/>
  <c r="H360" i="5"/>
  <c r="I360" i="5"/>
  <c r="AN360" i="5"/>
  <c r="B352" i="4"/>
  <c r="K352" i="4"/>
  <c r="O361" i="5"/>
  <c r="H352" i="4"/>
  <c r="K361" i="5"/>
  <c r="C352" i="4"/>
  <c r="C361" i="5"/>
  <c r="D352" i="4"/>
  <c r="E361" i="5"/>
  <c r="I352" i="4"/>
  <c r="L361" i="5"/>
  <c r="J352" i="4"/>
  <c r="N361" i="5"/>
  <c r="L352" i="4"/>
  <c r="Q361" i="5"/>
  <c r="M352" i="4"/>
  <c r="R361" i="5"/>
  <c r="N352" i="4"/>
  <c r="T361" i="5"/>
  <c r="O352" i="4"/>
  <c r="U361" i="5"/>
  <c r="P352" i="4"/>
  <c r="W361" i="5"/>
  <c r="Q352" i="4"/>
  <c r="X361" i="5"/>
  <c r="S352" i="4"/>
  <c r="AA361" i="5"/>
  <c r="T352" i="4"/>
  <c r="AC361" i="5"/>
  <c r="U352" i="4"/>
  <c r="AD361" i="5"/>
  <c r="V352" i="4"/>
  <c r="AF361" i="5"/>
  <c r="W352" i="4"/>
  <c r="AG361" i="5"/>
  <c r="X352" i="4"/>
  <c r="AI361" i="5"/>
  <c r="Y352" i="4"/>
  <c r="AJ361" i="5"/>
  <c r="F361" i="5"/>
  <c r="H361" i="5"/>
  <c r="I361" i="5"/>
  <c r="AN361" i="5"/>
  <c r="B353" i="4"/>
  <c r="S353" i="4"/>
  <c r="AA362" i="5"/>
  <c r="P353" i="4"/>
  <c r="W362" i="5"/>
  <c r="K353" i="4"/>
  <c r="O362" i="5"/>
  <c r="H353" i="4"/>
  <c r="K362" i="5"/>
  <c r="C353" i="4"/>
  <c r="C362" i="5"/>
  <c r="D353" i="4"/>
  <c r="E362" i="5"/>
  <c r="I353" i="4"/>
  <c r="L362" i="5"/>
  <c r="J353" i="4"/>
  <c r="N362" i="5"/>
  <c r="L353" i="4"/>
  <c r="Q362" i="5"/>
  <c r="M353" i="4"/>
  <c r="R362" i="5"/>
  <c r="N353" i="4"/>
  <c r="T362" i="5"/>
  <c r="O353" i="4"/>
  <c r="U362" i="5"/>
  <c r="Q353" i="4"/>
  <c r="X362" i="5"/>
  <c r="R353" i="4"/>
  <c r="Z362" i="5"/>
  <c r="T353" i="4"/>
  <c r="AC362" i="5"/>
  <c r="U353" i="4"/>
  <c r="AD362" i="5"/>
  <c r="V353" i="4"/>
  <c r="AF362" i="5"/>
  <c r="W353" i="4"/>
  <c r="AG362" i="5"/>
  <c r="X353" i="4"/>
  <c r="AI362" i="5"/>
  <c r="Y353" i="4"/>
  <c r="AJ362" i="5"/>
  <c r="F362" i="5"/>
  <c r="H362" i="5"/>
  <c r="I362" i="5"/>
  <c r="AN362" i="5"/>
  <c r="B354" i="4"/>
  <c r="K354" i="4"/>
  <c r="O363" i="5"/>
  <c r="H354" i="4"/>
  <c r="K363" i="5"/>
  <c r="C354" i="4"/>
  <c r="C363" i="5"/>
  <c r="D354" i="4"/>
  <c r="E363" i="5"/>
  <c r="I354" i="4"/>
  <c r="L363" i="5"/>
  <c r="J354" i="4"/>
  <c r="N363" i="5"/>
  <c r="L354" i="4"/>
  <c r="Q363" i="5"/>
  <c r="M354" i="4"/>
  <c r="R363" i="5"/>
  <c r="N354" i="4"/>
  <c r="T363" i="5"/>
  <c r="O354" i="4"/>
  <c r="U363" i="5"/>
  <c r="P354" i="4"/>
  <c r="W363" i="5"/>
  <c r="Q354" i="4"/>
  <c r="X363" i="5"/>
  <c r="S354" i="4"/>
  <c r="AA363" i="5"/>
  <c r="T354" i="4"/>
  <c r="AC363" i="5"/>
  <c r="U354" i="4"/>
  <c r="AD363" i="5"/>
  <c r="V354" i="4"/>
  <c r="AF363" i="5"/>
  <c r="W354" i="4"/>
  <c r="AG363" i="5"/>
  <c r="X354" i="4"/>
  <c r="AI363" i="5"/>
  <c r="Y354" i="4"/>
  <c r="AJ363" i="5"/>
  <c r="Z354" i="4"/>
  <c r="AL363" i="5"/>
  <c r="F363" i="5"/>
  <c r="H363" i="5"/>
  <c r="I363" i="5"/>
  <c r="AN363" i="5"/>
  <c r="B273" i="4"/>
  <c r="C273" i="4"/>
  <c r="C364" i="5"/>
  <c r="D273" i="4"/>
  <c r="E364" i="5"/>
  <c r="H273" i="4"/>
  <c r="K364" i="5"/>
  <c r="L273" i="4"/>
  <c r="Q364" i="5"/>
  <c r="M273" i="4"/>
  <c r="R364" i="5"/>
  <c r="N273" i="4"/>
  <c r="T364" i="5"/>
  <c r="U364" i="5"/>
  <c r="P273" i="4"/>
  <c r="W364" i="5"/>
  <c r="Q273" i="4"/>
  <c r="X364" i="5"/>
  <c r="AA364" i="5"/>
  <c r="AH273" i="4"/>
  <c r="T273" i="4" a="1"/>
  <c r="T273" i="4"/>
  <c r="AC364" i="5"/>
  <c r="U273" i="4" a="1"/>
  <c r="U273" i="4"/>
  <c r="AD364" i="5"/>
  <c r="AF364" i="5"/>
  <c r="AG364" i="5"/>
  <c r="Y273" i="4"/>
  <c r="AJ364" i="5"/>
  <c r="Z273" i="4"/>
  <c r="AL364" i="5"/>
  <c r="F364" i="5"/>
  <c r="H364" i="5"/>
  <c r="I364" i="5"/>
  <c r="L364" i="5"/>
  <c r="N364" i="5"/>
  <c r="O364" i="5"/>
  <c r="AN364" i="5"/>
  <c r="O365" i="5"/>
  <c r="H274" i="4"/>
  <c r="K365" i="5"/>
  <c r="C274" i="4"/>
  <c r="C365" i="5"/>
  <c r="D274" i="4"/>
  <c r="E365" i="5"/>
  <c r="E274" i="4"/>
  <c r="F365" i="5"/>
  <c r="F274" i="4"/>
  <c r="H365" i="5"/>
  <c r="I365" i="5"/>
  <c r="I274" i="4"/>
  <c r="L365" i="5"/>
  <c r="J274" i="4"/>
  <c r="N365" i="5"/>
  <c r="L274" i="4"/>
  <c r="Q365" i="5"/>
  <c r="M274" i="4"/>
  <c r="R365" i="5"/>
  <c r="N274" i="4"/>
  <c r="T365" i="5"/>
  <c r="U365" i="5"/>
  <c r="P274" i="4"/>
  <c r="W365" i="5"/>
  <c r="Q274" i="4"/>
  <c r="X365" i="5"/>
  <c r="AA365" i="5"/>
  <c r="AH274" i="4"/>
  <c r="T274" i="4" a="1"/>
  <c r="T274" i="4"/>
  <c r="AC365" i="5"/>
  <c r="U274" i="4" a="1"/>
  <c r="U274" i="4"/>
  <c r="AD365" i="5"/>
  <c r="AF365" i="5"/>
  <c r="AG365" i="5"/>
  <c r="X274" i="4"/>
  <c r="AI365" i="5"/>
  <c r="Y274" i="4"/>
  <c r="AJ365" i="5"/>
  <c r="Z274" i="4"/>
  <c r="AL365" i="5"/>
  <c r="AN365" i="5"/>
  <c r="B275" i="4"/>
  <c r="C275" i="4"/>
  <c r="C366" i="5"/>
  <c r="D275" i="4"/>
  <c r="E366" i="5"/>
  <c r="H275" i="4"/>
  <c r="K366" i="5"/>
  <c r="L275" i="4"/>
  <c r="Q366" i="5"/>
  <c r="M275" i="4"/>
  <c r="R366" i="5"/>
  <c r="N275" i="4"/>
  <c r="T366" i="5"/>
  <c r="U366" i="5"/>
  <c r="P275" i="4"/>
  <c r="W366" i="5"/>
  <c r="Q275" i="4"/>
  <c r="X366" i="5"/>
  <c r="AA366" i="5"/>
  <c r="AH275" i="4"/>
  <c r="T275" i="4" a="1"/>
  <c r="T275" i="4"/>
  <c r="AC366" i="5"/>
  <c r="U275" i="4" a="1"/>
  <c r="U275" i="4"/>
  <c r="AD366" i="5"/>
  <c r="AF366" i="5"/>
  <c r="AG366" i="5"/>
  <c r="X275" i="4"/>
  <c r="AI366" i="5"/>
  <c r="Y275" i="4"/>
  <c r="AJ366" i="5"/>
  <c r="Z275" i="4"/>
  <c r="AL366" i="5"/>
  <c r="F366" i="5"/>
  <c r="L366" i="5"/>
  <c r="N366" i="5"/>
  <c r="O366" i="5"/>
  <c r="AN366" i="5"/>
  <c r="O367" i="5"/>
  <c r="K367" i="5"/>
  <c r="C276" i="4"/>
  <c r="C367" i="5"/>
  <c r="D276" i="4"/>
  <c r="E367" i="5"/>
  <c r="I276" i="4"/>
  <c r="L367" i="5"/>
  <c r="J276" i="4"/>
  <c r="N367" i="5"/>
  <c r="L276" i="4"/>
  <c r="Q367" i="5"/>
  <c r="M276" i="4"/>
  <c r="R367" i="5"/>
  <c r="N276" i="4"/>
  <c r="T367" i="5"/>
  <c r="U367" i="5"/>
  <c r="P276" i="4"/>
  <c r="W367" i="5"/>
  <c r="Q276" i="4"/>
  <c r="X367" i="5"/>
  <c r="S276" i="4"/>
  <c r="AA367" i="5"/>
  <c r="AH276" i="4"/>
  <c r="T276" i="4" a="1"/>
  <c r="T276" i="4"/>
  <c r="AC367" i="5"/>
  <c r="U276" i="4" a="1"/>
  <c r="U276" i="4"/>
  <c r="AD367" i="5"/>
  <c r="AF367" i="5"/>
  <c r="AG367" i="5"/>
  <c r="X276" i="4"/>
  <c r="AI367" i="5"/>
  <c r="Y276" i="4"/>
  <c r="AJ367" i="5"/>
  <c r="Z276" i="4"/>
  <c r="AL367" i="5"/>
  <c r="F367" i="5"/>
  <c r="AN367" i="5"/>
  <c r="C277" i="4"/>
  <c r="C368" i="5"/>
  <c r="D277" i="4"/>
  <c r="E368" i="5"/>
  <c r="H277" i="4"/>
  <c r="K368" i="5"/>
  <c r="L277" i="4"/>
  <c r="Q368" i="5"/>
  <c r="M277" i="4"/>
  <c r="R368" i="5"/>
  <c r="T368" i="5"/>
  <c r="U368" i="5"/>
  <c r="P277" i="4"/>
  <c r="W368" i="5"/>
  <c r="Q277" i="4"/>
  <c r="X368" i="5"/>
  <c r="S277" i="4"/>
  <c r="AA368" i="5"/>
  <c r="AH277" i="4"/>
  <c r="T277" i="4" a="1"/>
  <c r="T277" i="4"/>
  <c r="AC368" i="5"/>
  <c r="U277" i="4" a="1"/>
  <c r="U277" i="4"/>
  <c r="AD368" i="5"/>
  <c r="AF368" i="5"/>
  <c r="AG368" i="5"/>
  <c r="X277" i="4"/>
  <c r="AI368" i="5"/>
  <c r="Y277" i="4"/>
  <c r="AJ368" i="5"/>
  <c r="Z277" i="4"/>
  <c r="AL368" i="5"/>
  <c r="F368" i="5"/>
  <c r="L368" i="5"/>
  <c r="N368" i="5"/>
  <c r="O368" i="5"/>
  <c r="AN368" i="5"/>
  <c r="O369" i="5"/>
  <c r="K369" i="5"/>
  <c r="C369" i="5"/>
  <c r="B344" i="4"/>
  <c r="D344" i="4"/>
  <c r="E369" i="5"/>
  <c r="I369" i="5"/>
  <c r="I344" i="4"/>
  <c r="L369" i="5"/>
  <c r="J344" i="4"/>
  <c r="N369" i="5"/>
  <c r="L344" i="4"/>
  <c r="Q369" i="5"/>
  <c r="M344" i="4"/>
  <c r="R369" i="5"/>
  <c r="N344" i="4"/>
  <c r="T369" i="5"/>
  <c r="O344" i="4"/>
  <c r="U369" i="5"/>
  <c r="P344" i="4"/>
  <c r="W369" i="5"/>
  <c r="Q344" i="4"/>
  <c r="X369" i="5"/>
  <c r="AA369" i="5"/>
  <c r="AC369" i="5"/>
  <c r="AD369" i="5"/>
  <c r="V344" i="4"/>
  <c r="AF369" i="5"/>
  <c r="AG369" i="5"/>
  <c r="X344" i="4"/>
  <c r="AI369" i="5"/>
  <c r="Y344" i="4"/>
  <c r="AJ369" i="5"/>
  <c r="AL369" i="5"/>
  <c r="AN369" i="5"/>
  <c r="B355" i="4"/>
  <c r="K355" i="4"/>
  <c r="O370" i="5"/>
  <c r="H355" i="4"/>
  <c r="K370" i="5"/>
  <c r="C355" i="4"/>
  <c r="C370" i="5"/>
  <c r="D355" i="4"/>
  <c r="E370" i="5"/>
  <c r="I355" i="4"/>
  <c r="L370" i="5"/>
  <c r="J355" i="4"/>
  <c r="N370" i="5"/>
  <c r="L355" i="4"/>
  <c r="Q370" i="5"/>
  <c r="M355" i="4"/>
  <c r="R370" i="5"/>
  <c r="N355" i="4"/>
  <c r="T370" i="5"/>
  <c r="O355" i="4"/>
  <c r="U370" i="5"/>
  <c r="P355" i="4"/>
  <c r="W370" i="5"/>
  <c r="Q355" i="4"/>
  <c r="X370" i="5"/>
  <c r="S355" i="4"/>
  <c r="AA370" i="5"/>
  <c r="T355" i="4"/>
  <c r="AC370" i="5"/>
  <c r="U355" i="4"/>
  <c r="AD370" i="5"/>
  <c r="V355" i="4"/>
  <c r="AF370" i="5"/>
  <c r="W355" i="4"/>
  <c r="AG370" i="5"/>
  <c r="X355" i="4"/>
  <c r="AI370" i="5"/>
  <c r="Y355" i="4"/>
  <c r="AJ370" i="5"/>
  <c r="Z355" i="4"/>
  <c r="AL370" i="5"/>
  <c r="AN370" i="5"/>
  <c r="B356" i="4"/>
  <c r="K356" i="4"/>
  <c r="O371" i="5"/>
  <c r="H356" i="4"/>
  <c r="K371" i="5"/>
  <c r="C356" i="4"/>
  <c r="C371" i="5"/>
  <c r="D356" i="4"/>
  <c r="E371" i="5"/>
  <c r="I356" i="4"/>
  <c r="L371" i="5"/>
  <c r="J356" i="4"/>
  <c r="N371" i="5"/>
  <c r="L356" i="4"/>
  <c r="Q371" i="5"/>
  <c r="M356" i="4"/>
  <c r="R371" i="5"/>
  <c r="N356" i="4"/>
  <c r="T371" i="5"/>
  <c r="O356" i="4"/>
  <c r="U371" i="5"/>
  <c r="P356" i="4"/>
  <c r="W371" i="5"/>
  <c r="Q356" i="4"/>
  <c r="X371" i="5"/>
  <c r="S356" i="4"/>
  <c r="AA371" i="5"/>
  <c r="T356" i="4"/>
  <c r="AC371" i="5"/>
  <c r="U356" i="4"/>
  <c r="AD371" i="5"/>
  <c r="V356" i="4"/>
  <c r="AF371" i="5"/>
  <c r="W356" i="4"/>
  <c r="AG371" i="5"/>
  <c r="X356" i="4"/>
  <c r="AI371" i="5"/>
  <c r="Y356" i="4"/>
  <c r="AJ371" i="5"/>
  <c r="Z356" i="4"/>
  <c r="AL371" i="5"/>
  <c r="AN371" i="5"/>
  <c r="B357" i="4"/>
  <c r="K357" i="4"/>
  <c r="O372" i="5"/>
  <c r="H357" i="4"/>
  <c r="K372" i="5"/>
  <c r="C357" i="4"/>
  <c r="C372" i="5"/>
  <c r="D357" i="4"/>
  <c r="E372" i="5"/>
  <c r="I357" i="4"/>
  <c r="L372" i="5"/>
  <c r="J357" i="4"/>
  <c r="N372" i="5"/>
  <c r="L357" i="4"/>
  <c r="Q372" i="5"/>
  <c r="M357" i="4"/>
  <c r="R372" i="5"/>
  <c r="N357" i="4"/>
  <c r="T372" i="5"/>
  <c r="O357" i="4"/>
  <c r="U372" i="5"/>
  <c r="P357" i="4"/>
  <c r="W372" i="5"/>
  <c r="Q357" i="4"/>
  <c r="X372" i="5"/>
  <c r="S357" i="4"/>
  <c r="AA372" i="5"/>
  <c r="T357" i="4"/>
  <c r="AC372" i="5"/>
  <c r="U357" i="4"/>
  <c r="AD372" i="5"/>
  <c r="V357" i="4"/>
  <c r="AF372" i="5"/>
  <c r="W357" i="4"/>
  <c r="AG372" i="5"/>
  <c r="X357" i="4"/>
  <c r="AI372" i="5"/>
  <c r="Y357" i="4"/>
  <c r="AJ372" i="5"/>
  <c r="Z357" i="4"/>
  <c r="AL372" i="5"/>
  <c r="AN372" i="5"/>
  <c r="B358" i="4"/>
  <c r="K358" i="4"/>
  <c r="O373" i="5"/>
  <c r="H358" i="4"/>
  <c r="K373" i="5"/>
  <c r="C358" i="4"/>
  <c r="C373" i="5"/>
  <c r="D358" i="4"/>
  <c r="E373" i="5"/>
  <c r="I358" i="4"/>
  <c r="L373" i="5"/>
  <c r="J358" i="4"/>
  <c r="N373" i="5"/>
  <c r="L358" i="4"/>
  <c r="Q373" i="5"/>
  <c r="M358" i="4"/>
  <c r="R373" i="5"/>
  <c r="N358" i="4"/>
  <c r="T373" i="5"/>
  <c r="O358" i="4"/>
  <c r="U373" i="5"/>
  <c r="P358" i="4"/>
  <c r="W373" i="5"/>
  <c r="Q358" i="4"/>
  <c r="X373" i="5"/>
  <c r="S358" i="4"/>
  <c r="AA373" i="5"/>
  <c r="T358" i="4"/>
  <c r="AC373" i="5"/>
  <c r="U358" i="4"/>
  <c r="AD373" i="5"/>
  <c r="V358" i="4"/>
  <c r="AF373" i="5"/>
  <c r="W358" i="4"/>
  <c r="AG373" i="5"/>
  <c r="X358" i="4"/>
  <c r="AI373" i="5"/>
  <c r="Y358" i="4"/>
  <c r="AJ373" i="5"/>
  <c r="Z358" i="4"/>
  <c r="AL373" i="5"/>
  <c r="AN373" i="5"/>
  <c r="B359" i="4"/>
  <c r="K24" i="2"/>
  <c r="K359" i="4"/>
  <c r="O374" i="5"/>
  <c r="H359" i="4"/>
  <c r="K374" i="5"/>
  <c r="C359" i="4"/>
  <c r="C374" i="5"/>
  <c r="D359" i="4"/>
  <c r="E374" i="5"/>
  <c r="I359" i="4"/>
  <c r="L374" i="5"/>
  <c r="J359" i="4"/>
  <c r="N374" i="5"/>
  <c r="L359" i="4"/>
  <c r="Q374" i="5"/>
  <c r="M359" i="4"/>
  <c r="R374" i="5"/>
  <c r="N359" i="4"/>
  <c r="T374" i="5"/>
  <c r="O359" i="4"/>
  <c r="U374" i="5"/>
  <c r="P359" i="4"/>
  <c r="W374" i="5"/>
  <c r="Q359" i="4"/>
  <c r="X374" i="5"/>
  <c r="S359" i="4"/>
  <c r="AA374" i="5"/>
  <c r="T24" i="2"/>
  <c r="T359" i="4"/>
  <c r="AC374" i="5"/>
  <c r="U24" i="2"/>
  <c r="U359" i="4"/>
  <c r="AD374" i="5"/>
  <c r="V24" i="2"/>
  <c r="V359" i="4"/>
  <c r="AF374" i="5"/>
  <c r="W24" i="2"/>
  <c r="W359" i="4"/>
  <c r="AG374" i="5"/>
  <c r="X359" i="4"/>
  <c r="AI374" i="5"/>
  <c r="Y359" i="4"/>
  <c r="AJ374" i="5"/>
  <c r="Z359" i="4"/>
  <c r="AL374" i="5"/>
  <c r="AN374" i="5"/>
  <c r="B360" i="4"/>
  <c r="K360" i="4"/>
  <c r="O375" i="5"/>
  <c r="H360" i="4"/>
  <c r="K375" i="5"/>
  <c r="C360" i="4"/>
  <c r="C375" i="5"/>
  <c r="D360" i="4"/>
  <c r="E375" i="5"/>
  <c r="I360" i="4"/>
  <c r="L375" i="5"/>
  <c r="J360" i="4"/>
  <c r="N375" i="5"/>
  <c r="L360" i="4"/>
  <c r="Q375" i="5"/>
  <c r="M360" i="4"/>
  <c r="R375" i="5"/>
  <c r="N360" i="4"/>
  <c r="T375" i="5"/>
  <c r="O360" i="4"/>
  <c r="U375" i="5"/>
  <c r="P360" i="4"/>
  <c r="W375" i="5"/>
  <c r="Q360" i="4"/>
  <c r="X375" i="5"/>
  <c r="S360" i="4"/>
  <c r="AA375" i="5"/>
  <c r="T360" i="4"/>
  <c r="AC375" i="5"/>
  <c r="U360" i="4"/>
  <c r="AD375" i="5"/>
  <c r="V360" i="4"/>
  <c r="AF375" i="5"/>
  <c r="W360" i="4"/>
  <c r="AG375" i="5"/>
  <c r="X360" i="4"/>
  <c r="AI375" i="5"/>
  <c r="Y360" i="4"/>
  <c r="AJ375" i="5"/>
  <c r="Z360" i="4"/>
  <c r="AL375" i="5"/>
  <c r="AN375" i="5"/>
  <c r="B361" i="4"/>
  <c r="K361" i="4"/>
  <c r="O376" i="5"/>
  <c r="H361" i="4"/>
  <c r="K376" i="5"/>
  <c r="C361" i="4"/>
  <c r="C376" i="5"/>
  <c r="D361" i="4"/>
  <c r="E376" i="5"/>
  <c r="I361" i="4"/>
  <c r="L376" i="5"/>
  <c r="J361" i="4"/>
  <c r="N376" i="5"/>
  <c r="L361" i="4"/>
  <c r="Q376" i="5"/>
  <c r="M361" i="4"/>
  <c r="R376" i="5"/>
  <c r="N361" i="4"/>
  <c r="T376" i="5"/>
  <c r="O361" i="4"/>
  <c r="U376" i="5"/>
  <c r="P361" i="4"/>
  <c r="W376" i="5"/>
  <c r="Q361" i="4"/>
  <c r="X376" i="5"/>
  <c r="S361" i="4"/>
  <c r="AA376" i="5"/>
  <c r="T361" i="4"/>
  <c r="AC376" i="5"/>
  <c r="U361" i="4"/>
  <c r="AD376" i="5"/>
  <c r="V361" i="4"/>
  <c r="AF376" i="5"/>
  <c r="W361" i="4"/>
  <c r="AG376" i="5"/>
  <c r="X361" i="4"/>
  <c r="AI376" i="5"/>
  <c r="Y361" i="4"/>
  <c r="AJ376" i="5"/>
  <c r="Z361" i="4"/>
  <c r="AL376" i="5"/>
  <c r="AN376" i="5"/>
  <c r="B362" i="4"/>
  <c r="K362" i="4"/>
  <c r="O377" i="5"/>
  <c r="H362" i="4"/>
  <c r="K377" i="5"/>
  <c r="C362" i="4"/>
  <c r="C377" i="5"/>
  <c r="D362" i="4"/>
  <c r="E377" i="5"/>
  <c r="I362" i="4"/>
  <c r="L377" i="5"/>
  <c r="J362" i="4"/>
  <c r="N377" i="5"/>
  <c r="L362" i="4"/>
  <c r="Q377" i="5"/>
  <c r="M362" i="4"/>
  <c r="R377" i="5"/>
  <c r="N362" i="4"/>
  <c r="T377" i="5"/>
  <c r="O362" i="4"/>
  <c r="U377" i="5"/>
  <c r="P362" i="4"/>
  <c r="W377" i="5"/>
  <c r="Q362" i="4"/>
  <c r="X377" i="5"/>
  <c r="S362" i="4"/>
  <c r="AA377" i="5"/>
  <c r="T362" i="4"/>
  <c r="AC377" i="5"/>
  <c r="U362" i="4"/>
  <c r="AD377" i="5"/>
  <c r="V362" i="4"/>
  <c r="AF377" i="5"/>
  <c r="W362" i="4"/>
  <c r="AG377" i="5"/>
  <c r="X362" i="4"/>
  <c r="AI377" i="5"/>
  <c r="Y362" i="4"/>
  <c r="AJ377" i="5"/>
  <c r="Z362" i="4"/>
  <c r="AL377" i="5"/>
  <c r="AN377" i="5"/>
  <c r="C278" i="4"/>
  <c r="C378" i="5"/>
  <c r="D278" i="4"/>
  <c r="E378" i="5"/>
  <c r="H278" i="4"/>
  <c r="K378" i="5"/>
  <c r="L278" i="4"/>
  <c r="Q378" i="5"/>
  <c r="M278" i="4"/>
  <c r="R378" i="5"/>
  <c r="T378" i="5"/>
  <c r="U378" i="5"/>
  <c r="P278" i="4"/>
  <c r="W378" i="5"/>
  <c r="Q278" i="4"/>
  <c r="X378" i="5"/>
  <c r="S278" i="4"/>
  <c r="AA378" i="5"/>
  <c r="AH278" i="4"/>
  <c r="T278" i="4" a="1"/>
  <c r="T278" i="4"/>
  <c r="AC378" i="5"/>
  <c r="U278" i="4" a="1"/>
  <c r="U278" i="4"/>
  <c r="AD378" i="5"/>
  <c r="AF378" i="5"/>
  <c r="AG378" i="5"/>
  <c r="X278" i="4"/>
  <c r="AI378" i="5"/>
  <c r="Y278" i="4"/>
  <c r="AJ378" i="5"/>
  <c r="Z278" i="4"/>
  <c r="AL378" i="5"/>
  <c r="AN378" i="5"/>
  <c r="C279" i="4"/>
  <c r="C379" i="5"/>
  <c r="D279" i="4"/>
  <c r="E379" i="5"/>
  <c r="H279" i="4"/>
  <c r="K379" i="5"/>
  <c r="L279" i="4"/>
  <c r="Q379" i="5"/>
  <c r="M279" i="4"/>
  <c r="R379" i="5"/>
  <c r="T379" i="5"/>
  <c r="U379" i="5"/>
  <c r="P279" i="4"/>
  <c r="W379" i="5"/>
  <c r="Q279" i="4"/>
  <c r="X379" i="5"/>
  <c r="S279" i="4"/>
  <c r="AA379" i="5"/>
  <c r="AH279" i="4"/>
  <c r="T279" i="4" a="1"/>
  <c r="T279" i="4"/>
  <c r="AC379" i="5"/>
  <c r="U279" i="4" a="1"/>
  <c r="U279" i="4"/>
  <c r="AD379" i="5"/>
  <c r="AF379" i="5"/>
  <c r="AG379" i="5"/>
  <c r="X279" i="4"/>
  <c r="AI379" i="5"/>
  <c r="Y279" i="4"/>
  <c r="AJ379" i="5"/>
  <c r="Z279" i="4"/>
  <c r="AL379" i="5"/>
  <c r="AN379" i="5"/>
  <c r="C280" i="4"/>
  <c r="C380" i="5"/>
  <c r="D280" i="4"/>
  <c r="E380" i="5"/>
  <c r="H280" i="4"/>
  <c r="K380" i="5"/>
  <c r="L280" i="4"/>
  <c r="Q380" i="5"/>
  <c r="M280" i="4"/>
  <c r="R380" i="5"/>
  <c r="T380" i="5"/>
  <c r="U380" i="5"/>
  <c r="P280" i="4"/>
  <c r="W380" i="5"/>
  <c r="Q280" i="4"/>
  <c r="X380" i="5"/>
  <c r="S280" i="4"/>
  <c r="AA380" i="5"/>
  <c r="AH280" i="4"/>
  <c r="T280" i="4" a="1"/>
  <c r="T280" i="4"/>
  <c r="AC380" i="5"/>
  <c r="U280" i="4" a="1"/>
  <c r="U280" i="4"/>
  <c r="AD380" i="5"/>
  <c r="AF380" i="5"/>
  <c r="AG380" i="5"/>
  <c r="X280" i="4"/>
  <c r="AI380" i="5"/>
  <c r="Y280" i="4"/>
  <c r="AJ380" i="5"/>
  <c r="Z280" i="4"/>
  <c r="AL380" i="5"/>
  <c r="AN380" i="5"/>
  <c r="B281" i="4"/>
  <c r="C281" i="4"/>
  <c r="C381" i="5"/>
  <c r="D281" i="4"/>
  <c r="E381" i="5"/>
  <c r="K381" i="5"/>
  <c r="L281" i="4"/>
  <c r="Q381" i="5"/>
  <c r="M281" i="4"/>
  <c r="R381" i="5"/>
  <c r="N281" i="4"/>
  <c r="T381" i="5"/>
  <c r="U381" i="5"/>
  <c r="P281" i="4"/>
  <c r="W381" i="5"/>
  <c r="Q281" i="4"/>
  <c r="X381" i="5"/>
  <c r="S281" i="4"/>
  <c r="AA381" i="5"/>
  <c r="AH281" i="4"/>
  <c r="T281" i="4" a="1"/>
  <c r="T281" i="4"/>
  <c r="AC381" i="5"/>
  <c r="U281" i="4" a="1"/>
  <c r="U281" i="4"/>
  <c r="AD381" i="5"/>
  <c r="AF381" i="5"/>
  <c r="AG381" i="5"/>
  <c r="X281" i="4"/>
  <c r="AI381" i="5"/>
  <c r="Y281" i="4"/>
  <c r="AJ381" i="5"/>
  <c r="Z281" i="4"/>
  <c r="AL381" i="5"/>
  <c r="AN381" i="5"/>
  <c r="B282" i="4"/>
  <c r="C282" i="4"/>
  <c r="C382" i="5"/>
  <c r="D282" i="4"/>
  <c r="E382" i="5"/>
  <c r="K382" i="5"/>
  <c r="L282" i="4"/>
  <c r="Q382" i="5"/>
  <c r="M282" i="4"/>
  <c r="R382" i="5"/>
  <c r="N282" i="4"/>
  <c r="T382" i="5"/>
  <c r="U382" i="5"/>
  <c r="P282" i="4"/>
  <c r="W382" i="5"/>
  <c r="Q282" i="4"/>
  <c r="X382" i="5"/>
  <c r="S282" i="4"/>
  <c r="AA382" i="5"/>
  <c r="AH282" i="4"/>
  <c r="T282" i="4" a="1"/>
  <c r="T282" i="4"/>
  <c r="AC382" i="5"/>
  <c r="U282" i="4" a="1"/>
  <c r="U282" i="4"/>
  <c r="AD382" i="5"/>
  <c r="AF382" i="5"/>
  <c r="AG382" i="5"/>
  <c r="X282" i="4"/>
  <c r="AI382" i="5"/>
  <c r="Y282" i="4"/>
  <c r="AJ382" i="5"/>
  <c r="Z282" i="4"/>
  <c r="AL382" i="5"/>
  <c r="AN382" i="5"/>
  <c r="C283" i="4"/>
  <c r="C383" i="5"/>
  <c r="D283" i="4"/>
  <c r="E383" i="5"/>
  <c r="H283" i="4"/>
  <c r="K383" i="5"/>
  <c r="L283" i="4"/>
  <c r="Q383" i="5"/>
  <c r="M283" i="4"/>
  <c r="R383" i="5"/>
  <c r="T383" i="5"/>
  <c r="U383" i="5"/>
  <c r="P283" i="4"/>
  <c r="W383" i="5"/>
  <c r="Q283" i="4"/>
  <c r="X383" i="5"/>
  <c r="S283" i="4"/>
  <c r="AA383" i="5"/>
  <c r="AH283" i="4"/>
  <c r="T283" i="4" a="1"/>
  <c r="T283" i="4"/>
  <c r="AC383" i="5"/>
  <c r="U283" i="4" a="1"/>
  <c r="U283" i="4"/>
  <c r="AD383" i="5"/>
  <c r="AF383" i="5"/>
  <c r="AG383" i="5"/>
  <c r="X283" i="4"/>
  <c r="AI383" i="5"/>
  <c r="Y283" i="4"/>
  <c r="AJ383" i="5"/>
  <c r="Z283" i="4"/>
  <c r="AL383" i="5"/>
  <c r="AN383" i="5"/>
  <c r="C284" i="4"/>
  <c r="C384" i="5"/>
  <c r="D284" i="4"/>
  <c r="E384" i="5"/>
  <c r="H284" i="4"/>
  <c r="K384" i="5"/>
  <c r="L284" i="4"/>
  <c r="Q384" i="5"/>
  <c r="M284" i="4"/>
  <c r="R384" i="5"/>
  <c r="T384" i="5"/>
  <c r="U384" i="5"/>
  <c r="P284" i="4"/>
  <c r="W384" i="5"/>
  <c r="Q284" i="4"/>
  <c r="X384" i="5"/>
  <c r="S284" i="4"/>
  <c r="AA384" i="5"/>
  <c r="AH284" i="4"/>
  <c r="T284" i="4" a="1"/>
  <c r="T284" i="4"/>
  <c r="AC384" i="5"/>
  <c r="U284" i="4" a="1"/>
  <c r="U284" i="4"/>
  <c r="AD384" i="5"/>
  <c r="AF384" i="5"/>
  <c r="AG384" i="5"/>
  <c r="X284" i="4"/>
  <c r="AI384" i="5"/>
  <c r="Y284" i="4"/>
  <c r="AJ384" i="5"/>
  <c r="Z284" i="4"/>
  <c r="AL384" i="5"/>
  <c r="AN384" i="5"/>
  <c r="C285" i="4"/>
  <c r="C385" i="5"/>
  <c r="D285" i="4"/>
  <c r="E385" i="5"/>
  <c r="H285" i="4"/>
  <c r="K385" i="5"/>
  <c r="L285" i="4"/>
  <c r="Q385" i="5"/>
  <c r="M285" i="4"/>
  <c r="R385" i="5"/>
  <c r="T385" i="5"/>
  <c r="U385" i="5"/>
  <c r="P285" i="4"/>
  <c r="W385" i="5"/>
  <c r="Q285" i="4"/>
  <c r="X385" i="5"/>
  <c r="S285" i="4"/>
  <c r="AA385" i="5"/>
  <c r="AH285" i="4"/>
  <c r="T285" i="4" a="1"/>
  <c r="T285" i="4"/>
  <c r="AC385" i="5"/>
  <c r="U285" i="4" a="1"/>
  <c r="U285" i="4"/>
  <c r="AD385" i="5"/>
  <c r="AF385" i="5"/>
  <c r="AG385" i="5"/>
  <c r="X285" i="4"/>
  <c r="AI385" i="5"/>
  <c r="Y285" i="4"/>
  <c r="AJ385" i="5"/>
  <c r="Z285" i="4"/>
  <c r="AL385" i="5"/>
  <c r="AN385" i="5"/>
  <c r="C286" i="4"/>
  <c r="C386" i="5"/>
  <c r="D286" i="4"/>
  <c r="E386" i="5"/>
  <c r="H286" i="4"/>
  <c r="K386" i="5"/>
  <c r="L286" i="4"/>
  <c r="Q386" i="5"/>
  <c r="M286" i="4"/>
  <c r="R386" i="5"/>
  <c r="T386" i="5"/>
  <c r="U386" i="5"/>
  <c r="P286" i="4"/>
  <c r="W386" i="5"/>
  <c r="Q286" i="4"/>
  <c r="X386" i="5"/>
  <c r="S286" i="4"/>
  <c r="AA386" i="5"/>
  <c r="AH286" i="4"/>
  <c r="T286" i="4" a="1"/>
  <c r="T286" i="4"/>
  <c r="AC386" i="5"/>
  <c r="U286" i="4" a="1"/>
  <c r="U286" i="4"/>
  <c r="AD386" i="5"/>
  <c r="AF386" i="5"/>
  <c r="AG386" i="5"/>
  <c r="X286" i="4"/>
  <c r="AI386" i="5"/>
  <c r="Y286" i="4"/>
  <c r="AJ386" i="5"/>
  <c r="Z286" i="4"/>
  <c r="AL386" i="5"/>
  <c r="AN386" i="5"/>
  <c r="C287" i="4"/>
  <c r="C387" i="5"/>
  <c r="D287" i="4"/>
  <c r="E387" i="5"/>
  <c r="H287" i="4"/>
  <c r="K387" i="5"/>
  <c r="L287" i="4"/>
  <c r="Q387" i="5"/>
  <c r="M287" i="4"/>
  <c r="R387" i="5"/>
  <c r="T387" i="5"/>
  <c r="U387" i="5"/>
  <c r="P287" i="4"/>
  <c r="W387" i="5"/>
  <c r="Q287" i="4"/>
  <c r="X387" i="5"/>
  <c r="S287" i="4"/>
  <c r="AA387" i="5"/>
  <c r="AH287" i="4"/>
  <c r="T287" i="4" a="1"/>
  <c r="T287" i="4"/>
  <c r="AC387" i="5"/>
  <c r="U287" i="4" a="1"/>
  <c r="U287" i="4"/>
  <c r="AD387" i="5"/>
  <c r="AF387" i="5"/>
  <c r="AG387" i="5"/>
  <c r="X287" i="4"/>
  <c r="AI387" i="5"/>
  <c r="Y287" i="4"/>
  <c r="AJ387" i="5"/>
  <c r="Z287" i="4"/>
  <c r="AL387" i="5"/>
  <c r="AN387" i="5"/>
  <c r="C288" i="4"/>
  <c r="C388" i="5"/>
  <c r="D288" i="4"/>
  <c r="E388" i="5"/>
  <c r="H288" i="4"/>
  <c r="K388" i="5"/>
  <c r="L288" i="4"/>
  <c r="Q388" i="5"/>
  <c r="M288" i="4"/>
  <c r="R388" i="5"/>
  <c r="T388" i="5"/>
  <c r="U388" i="5"/>
  <c r="P288" i="4"/>
  <c r="W388" i="5"/>
  <c r="Q288" i="4"/>
  <c r="X388" i="5"/>
  <c r="S288" i="4"/>
  <c r="AA388" i="5"/>
  <c r="AH288" i="4"/>
  <c r="T288" i="4" a="1"/>
  <c r="T288" i="4"/>
  <c r="AC388" i="5"/>
  <c r="U288" i="4" a="1"/>
  <c r="U288" i="4"/>
  <c r="AD388" i="5"/>
  <c r="AF388" i="5"/>
  <c r="AG388" i="5"/>
  <c r="X288" i="4"/>
  <c r="AI388" i="5"/>
  <c r="Y288" i="4"/>
  <c r="AJ388" i="5"/>
  <c r="Z288" i="4"/>
  <c r="AL388" i="5"/>
  <c r="AN388" i="5"/>
  <c r="C290" i="4"/>
  <c r="C389" i="5"/>
  <c r="D290" i="4"/>
  <c r="E389" i="5"/>
  <c r="H290" i="4"/>
  <c r="K389" i="5"/>
  <c r="L290" i="4"/>
  <c r="Q389" i="5"/>
  <c r="M290" i="4"/>
  <c r="R389" i="5"/>
  <c r="N290" i="4"/>
  <c r="T389" i="5"/>
  <c r="U389" i="5"/>
  <c r="P290" i="4"/>
  <c r="W389" i="5"/>
  <c r="Q290" i="4"/>
  <c r="X389" i="5"/>
  <c r="S290" i="4"/>
  <c r="AA389" i="5"/>
  <c r="AH290" i="4"/>
  <c r="T290" i="4" a="1"/>
  <c r="T290" i="4"/>
  <c r="AC389" i="5"/>
  <c r="U290" i="4" a="1"/>
  <c r="U290" i="4"/>
  <c r="AD389" i="5"/>
  <c r="AF389" i="5"/>
  <c r="AG389" i="5"/>
  <c r="X290" i="4"/>
  <c r="AI389" i="5"/>
  <c r="Y290" i="4"/>
  <c r="AJ389" i="5"/>
  <c r="Z290" i="4"/>
  <c r="AL389" i="5"/>
  <c r="AN389" i="5"/>
  <c r="B291" i="4"/>
  <c r="C291" i="4"/>
  <c r="C390" i="5"/>
  <c r="D291" i="4"/>
  <c r="E390" i="5"/>
  <c r="K390" i="5"/>
  <c r="L291" i="4"/>
  <c r="Q390" i="5"/>
  <c r="M291" i="4"/>
  <c r="R390" i="5"/>
  <c r="T390" i="5"/>
  <c r="U390" i="5"/>
  <c r="P291" i="4"/>
  <c r="W390" i="5"/>
  <c r="Q291" i="4"/>
  <c r="X390" i="5"/>
  <c r="S291" i="4"/>
  <c r="AA390" i="5"/>
  <c r="AH291" i="4"/>
  <c r="T291" i="4" a="1"/>
  <c r="T291" i="4"/>
  <c r="AC390" i="5"/>
  <c r="U291" i="4" a="1"/>
  <c r="U291" i="4"/>
  <c r="AD390" i="5"/>
  <c r="AF390" i="5"/>
  <c r="AG390" i="5"/>
  <c r="X291" i="4"/>
  <c r="AI390" i="5"/>
  <c r="Y291" i="4"/>
  <c r="AJ390" i="5"/>
  <c r="Z291" i="4"/>
  <c r="AL390" i="5"/>
  <c r="AN390" i="5"/>
  <c r="O391" i="5"/>
  <c r="K391" i="5"/>
  <c r="B305" i="4"/>
  <c r="C305" i="4"/>
  <c r="C391" i="5"/>
  <c r="D305" i="4"/>
  <c r="E391" i="5"/>
  <c r="I305" i="4"/>
  <c r="L391" i="5"/>
  <c r="J305" i="4"/>
  <c r="N391" i="5"/>
  <c r="L305" i="4"/>
  <c r="Q391" i="5"/>
  <c r="M305" i="4"/>
  <c r="R391" i="5"/>
  <c r="N305" i="4"/>
  <c r="T391" i="5"/>
  <c r="O305" i="4"/>
  <c r="U391" i="5"/>
  <c r="P305" i="4"/>
  <c r="W391" i="5"/>
  <c r="Q305" i="4"/>
  <c r="X391" i="5"/>
  <c r="AA391" i="5"/>
  <c r="AC391" i="5"/>
  <c r="AD391" i="5"/>
  <c r="V305" i="4"/>
  <c r="AF391" i="5"/>
  <c r="AG391" i="5"/>
  <c r="X305" i="4"/>
  <c r="AI391" i="5"/>
  <c r="Y305" i="4"/>
  <c r="AJ391" i="5"/>
  <c r="Z305" i="4"/>
  <c r="AL391" i="5"/>
  <c r="AN391" i="5"/>
  <c r="C292" i="4"/>
  <c r="C392" i="5"/>
  <c r="D292" i="4"/>
  <c r="E392" i="5"/>
  <c r="H292" i="4"/>
  <c r="K392" i="5"/>
  <c r="L292" i="4"/>
  <c r="Q392" i="5"/>
  <c r="M292" i="4"/>
  <c r="R392" i="5"/>
  <c r="T392" i="5"/>
  <c r="U392" i="5"/>
  <c r="P292" i="4"/>
  <c r="W392" i="5"/>
  <c r="Q292" i="4"/>
  <c r="X392" i="5"/>
  <c r="S292" i="4"/>
  <c r="AA392" i="5"/>
  <c r="AH292" i="4"/>
  <c r="T292" i="4" a="1"/>
  <c r="T292" i="4"/>
  <c r="AC392" i="5"/>
  <c r="U292" i="4" a="1"/>
  <c r="U292" i="4"/>
  <c r="AD392" i="5"/>
  <c r="AF392" i="5"/>
  <c r="AG392" i="5"/>
  <c r="X292" i="4"/>
  <c r="AI392" i="5"/>
  <c r="L392" i="5"/>
  <c r="N392" i="5"/>
  <c r="O392" i="5"/>
  <c r="AN392" i="5"/>
  <c r="C293" i="4"/>
  <c r="C393" i="5"/>
  <c r="D293" i="4"/>
  <c r="E393" i="5"/>
  <c r="H293" i="4"/>
  <c r="K393" i="5"/>
  <c r="L293" i="4"/>
  <c r="Q393" i="5"/>
  <c r="M293" i="4"/>
  <c r="R393" i="5"/>
  <c r="T393" i="5"/>
  <c r="U393" i="5"/>
  <c r="P293" i="4"/>
  <c r="W393" i="5"/>
  <c r="Q293" i="4"/>
  <c r="X393" i="5"/>
  <c r="S293" i="4"/>
  <c r="AA393" i="5"/>
  <c r="AH293" i="4"/>
  <c r="T293" i="4" a="1"/>
  <c r="T293" i="4"/>
  <c r="AC393" i="5"/>
  <c r="U293" i="4" a="1"/>
  <c r="U293" i="4"/>
  <c r="AD393" i="5"/>
  <c r="AF393" i="5"/>
  <c r="AG393" i="5"/>
  <c r="X293" i="4"/>
  <c r="AI393" i="5"/>
  <c r="L393" i="5"/>
  <c r="N393" i="5"/>
  <c r="O393" i="5"/>
  <c r="AN393" i="5"/>
  <c r="O394" i="5"/>
  <c r="K394" i="5"/>
  <c r="B306" i="4"/>
  <c r="C306" i="4"/>
  <c r="C394" i="5"/>
  <c r="D306" i="4"/>
  <c r="E394" i="5"/>
  <c r="I306" i="4"/>
  <c r="L394" i="5"/>
  <c r="J306" i="4"/>
  <c r="N394" i="5"/>
  <c r="L306" i="4"/>
  <c r="Q394" i="5"/>
  <c r="M306" i="4"/>
  <c r="R394" i="5"/>
  <c r="N306" i="4"/>
  <c r="T394" i="5"/>
  <c r="O306" i="4"/>
  <c r="U394" i="5"/>
  <c r="P306" i="4"/>
  <c r="W394" i="5"/>
  <c r="Q306" i="4"/>
  <c r="X394" i="5"/>
  <c r="AA394" i="5"/>
  <c r="AC394" i="5"/>
  <c r="AD394" i="5"/>
  <c r="V306" i="4"/>
  <c r="AF394" i="5"/>
  <c r="AG394" i="5"/>
  <c r="X306" i="4"/>
  <c r="AI394" i="5"/>
  <c r="Y306" i="4"/>
  <c r="AJ394" i="5"/>
  <c r="Z306" i="4"/>
  <c r="AL394" i="5"/>
  <c r="AN394" i="5"/>
  <c r="O395" i="5"/>
  <c r="K395" i="5"/>
  <c r="B307" i="4"/>
  <c r="C307" i="4"/>
  <c r="C395" i="5"/>
  <c r="D307" i="4"/>
  <c r="E395" i="5"/>
  <c r="I307" i="4"/>
  <c r="L395" i="5"/>
  <c r="J307" i="4"/>
  <c r="N395" i="5"/>
  <c r="L307" i="4"/>
  <c r="Q395" i="5"/>
  <c r="M307" i="4"/>
  <c r="R395" i="5"/>
  <c r="N307" i="4"/>
  <c r="T395" i="5"/>
  <c r="O307" i="4"/>
  <c r="U395" i="5"/>
  <c r="P307" i="4"/>
  <c r="W395" i="5"/>
  <c r="Q307" i="4"/>
  <c r="X395" i="5"/>
  <c r="AA395" i="5"/>
  <c r="AC395" i="5"/>
  <c r="AD395" i="5"/>
  <c r="V307" i="4"/>
  <c r="AF395" i="5"/>
  <c r="AG395" i="5"/>
  <c r="X307" i="4"/>
  <c r="AI395" i="5"/>
  <c r="Y307" i="4"/>
  <c r="AJ395" i="5"/>
  <c r="Z307" i="4"/>
  <c r="AL395" i="5"/>
  <c r="AN395" i="5"/>
  <c r="B363" i="4"/>
  <c r="S363" i="4"/>
  <c r="AA396" i="5"/>
  <c r="P363" i="4"/>
  <c r="W396" i="5"/>
  <c r="K363" i="4"/>
  <c r="O396" i="5"/>
  <c r="H363" i="4"/>
  <c r="K396" i="5"/>
  <c r="C363" i="4"/>
  <c r="C396" i="5"/>
  <c r="D363" i="4"/>
  <c r="E396" i="5"/>
  <c r="I363" i="4"/>
  <c r="L396" i="5"/>
  <c r="J363" i="4"/>
  <c r="N396" i="5"/>
  <c r="L363" i="4"/>
  <c r="Q396" i="5"/>
  <c r="M363" i="4"/>
  <c r="R396" i="5"/>
  <c r="N363" i="4"/>
  <c r="T396" i="5"/>
  <c r="O363" i="4"/>
  <c r="U396" i="5"/>
  <c r="Q363" i="4"/>
  <c r="X396" i="5"/>
  <c r="R363" i="4"/>
  <c r="Z396" i="5"/>
  <c r="T363" i="4"/>
  <c r="AC396" i="5"/>
  <c r="U363" i="4"/>
  <c r="AD396" i="5"/>
  <c r="V363" i="4"/>
  <c r="AF396" i="5"/>
  <c r="W363" i="4"/>
  <c r="AG396" i="5"/>
  <c r="X363" i="4"/>
  <c r="AI396" i="5"/>
  <c r="F396" i="5"/>
  <c r="H396" i="5"/>
  <c r="I396" i="5"/>
  <c r="AN396" i="5"/>
  <c r="C294" i="4"/>
  <c r="C397" i="5"/>
  <c r="D294" i="4"/>
  <c r="E397" i="5"/>
  <c r="H294" i="4"/>
  <c r="K397" i="5"/>
  <c r="L294" i="4"/>
  <c r="Q397" i="5"/>
  <c r="M294" i="4"/>
  <c r="R397" i="5"/>
  <c r="T397" i="5"/>
  <c r="U397" i="5"/>
  <c r="P294" i="4"/>
  <c r="W397" i="5"/>
  <c r="Q294" i="4"/>
  <c r="X397" i="5"/>
  <c r="S294" i="4"/>
  <c r="AA397" i="5"/>
  <c r="T294" i="4" a="1"/>
  <c r="T294" i="4"/>
  <c r="AC397" i="5"/>
  <c r="AD397" i="5"/>
  <c r="AF397" i="5"/>
  <c r="AG397" i="5"/>
  <c r="X294" i="4"/>
  <c r="AI397" i="5"/>
  <c r="Y294" i="4"/>
  <c r="AJ397" i="5"/>
  <c r="Z294" i="4"/>
  <c r="AL397" i="5"/>
  <c r="F397" i="5"/>
  <c r="H397" i="5"/>
  <c r="I397" i="5"/>
  <c r="L397" i="5"/>
  <c r="N397" i="5"/>
  <c r="O397" i="5"/>
  <c r="Z397" i="5"/>
  <c r="AN397" i="5"/>
  <c r="O398" i="5"/>
  <c r="K398" i="5"/>
  <c r="B308" i="4"/>
  <c r="C308" i="4"/>
  <c r="C398" i="5"/>
  <c r="D308" i="4"/>
  <c r="E398" i="5"/>
  <c r="I308" i="4"/>
  <c r="L398" i="5"/>
  <c r="J308" i="4"/>
  <c r="N398" i="5"/>
  <c r="L308" i="4"/>
  <c r="Q398" i="5"/>
  <c r="M308" i="4"/>
  <c r="R398" i="5"/>
  <c r="N308" i="4"/>
  <c r="T398" i="5"/>
  <c r="O308" i="4"/>
  <c r="U398" i="5"/>
  <c r="P308" i="4"/>
  <c r="W398" i="5"/>
  <c r="Q308" i="4"/>
  <c r="X398" i="5"/>
  <c r="AA398" i="5"/>
  <c r="AC398" i="5"/>
  <c r="AD398" i="5"/>
  <c r="V308" i="4"/>
  <c r="AF398" i="5"/>
  <c r="AG398" i="5"/>
  <c r="X308" i="4"/>
  <c r="AI398" i="5"/>
  <c r="Y308" i="4"/>
  <c r="AJ398" i="5"/>
  <c r="Z308" i="4"/>
  <c r="AL398" i="5"/>
  <c r="F398" i="5"/>
  <c r="H398" i="5"/>
  <c r="I398" i="5"/>
  <c r="Z398" i="5"/>
  <c r="AN398" i="5"/>
  <c r="K20" i="2"/>
  <c r="K377" i="4"/>
  <c r="O399" i="5"/>
  <c r="H377" i="4"/>
  <c r="K399" i="5"/>
  <c r="C377" i="4"/>
  <c r="C399" i="5"/>
  <c r="D377" i="4"/>
  <c r="E399" i="5"/>
  <c r="I20" i="2"/>
  <c r="I377" i="4"/>
  <c r="L399" i="5"/>
  <c r="J20" i="2"/>
  <c r="J377" i="4"/>
  <c r="N399" i="5"/>
  <c r="L377" i="4"/>
  <c r="Q399" i="5"/>
  <c r="M377" i="4"/>
  <c r="R399" i="5"/>
  <c r="N20" i="2"/>
  <c r="N377" i="4"/>
  <c r="T399" i="5"/>
  <c r="O377" i="4"/>
  <c r="U399" i="5"/>
  <c r="P377" i="4"/>
  <c r="W399" i="5"/>
  <c r="Q377" i="4"/>
  <c r="X399" i="5"/>
  <c r="S377" i="4"/>
  <c r="AA399" i="5"/>
  <c r="V20" i="2"/>
  <c r="V377" i="4"/>
  <c r="AF399" i="5"/>
  <c r="W20" i="2"/>
  <c r="W377" i="4"/>
  <c r="AG399" i="5"/>
  <c r="X377" i="4"/>
  <c r="AI399" i="5"/>
  <c r="Y377" i="4"/>
  <c r="AJ399" i="5"/>
  <c r="Z377" i="4"/>
  <c r="AL399" i="5"/>
  <c r="F399" i="5"/>
  <c r="H399" i="5"/>
  <c r="I399" i="5"/>
  <c r="Z399" i="5"/>
  <c r="AN399" i="5"/>
  <c r="AA400" i="5"/>
  <c r="W400" i="5"/>
  <c r="O400" i="5"/>
  <c r="K400" i="5"/>
  <c r="E400" i="5"/>
  <c r="F400" i="5"/>
  <c r="H400" i="5"/>
  <c r="I400" i="5"/>
  <c r="L400" i="5"/>
  <c r="N400" i="5"/>
  <c r="Q400" i="5"/>
  <c r="R400" i="5"/>
  <c r="T400" i="5"/>
  <c r="U400" i="5"/>
  <c r="X400" i="5"/>
  <c r="Z400" i="5"/>
  <c r="AC400" i="5"/>
  <c r="AD400" i="5"/>
  <c r="AF400" i="5"/>
  <c r="AG400" i="5"/>
  <c r="AI400" i="5"/>
  <c r="AL400" i="5"/>
  <c r="AN400" i="5"/>
  <c r="B364" i="4"/>
  <c r="K364" i="4"/>
  <c r="O401" i="5"/>
  <c r="H364" i="4"/>
  <c r="K401" i="5"/>
  <c r="C364" i="4"/>
  <c r="C401" i="5"/>
  <c r="D364" i="4"/>
  <c r="E401" i="5"/>
  <c r="I364" i="4"/>
  <c r="L401" i="5"/>
  <c r="J364" i="4"/>
  <c r="N401" i="5"/>
  <c r="L364" i="4"/>
  <c r="Q401" i="5"/>
  <c r="M364" i="4"/>
  <c r="R401" i="5"/>
  <c r="N364" i="4"/>
  <c r="T401" i="5"/>
  <c r="O364" i="4"/>
  <c r="U401" i="5"/>
  <c r="P364" i="4"/>
  <c r="W401" i="5"/>
  <c r="Q364" i="4"/>
  <c r="X401" i="5"/>
  <c r="S364" i="4"/>
  <c r="AA401" i="5"/>
  <c r="T364" i="4"/>
  <c r="AC401" i="5"/>
  <c r="U364" i="4"/>
  <c r="AD401" i="5"/>
  <c r="V364" i="4"/>
  <c r="AF401" i="5"/>
  <c r="W364" i="4"/>
  <c r="AG401" i="5"/>
  <c r="X364" i="4"/>
  <c r="AI401" i="5"/>
  <c r="Y364" i="4"/>
  <c r="AJ401" i="5"/>
  <c r="Z364" i="4"/>
  <c r="AL401" i="5"/>
  <c r="F401" i="5"/>
  <c r="H401" i="5"/>
  <c r="I401" i="5"/>
  <c r="AN401" i="5"/>
  <c r="B365" i="4"/>
  <c r="K365" i="4"/>
  <c r="O402" i="5"/>
  <c r="H365" i="4"/>
  <c r="K402" i="5"/>
  <c r="C365" i="4"/>
  <c r="C402" i="5"/>
  <c r="D365" i="4"/>
  <c r="E402" i="5"/>
  <c r="I365" i="4"/>
  <c r="L402" i="5"/>
  <c r="J365" i="4"/>
  <c r="N402" i="5"/>
  <c r="L365" i="4"/>
  <c r="Q402" i="5"/>
  <c r="M365" i="4"/>
  <c r="R402" i="5"/>
  <c r="N365" i="4"/>
  <c r="T402" i="5"/>
  <c r="O365" i="4"/>
  <c r="U402" i="5"/>
  <c r="P365" i="4"/>
  <c r="W402" i="5"/>
  <c r="Q365" i="4"/>
  <c r="X402" i="5"/>
  <c r="S365" i="4"/>
  <c r="AA402" i="5"/>
  <c r="T365" i="4"/>
  <c r="AC402" i="5"/>
  <c r="U365" i="4"/>
  <c r="AD402" i="5"/>
  <c r="V365" i="4"/>
  <c r="AF402" i="5"/>
  <c r="W365" i="4"/>
  <c r="AG402" i="5"/>
  <c r="X365" i="4"/>
  <c r="AI402" i="5"/>
  <c r="Y365" i="4"/>
  <c r="AJ402" i="5"/>
  <c r="Z365" i="4"/>
  <c r="AL402" i="5"/>
  <c r="F402" i="5"/>
  <c r="H402" i="5"/>
  <c r="I402" i="5"/>
  <c r="AN402" i="5"/>
  <c r="B366" i="4"/>
  <c r="K366" i="4"/>
  <c r="O403" i="5"/>
  <c r="H366" i="4"/>
  <c r="K403" i="5"/>
  <c r="C366" i="4"/>
  <c r="C403" i="5"/>
  <c r="D366" i="4"/>
  <c r="E403" i="5"/>
  <c r="I366" i="4"/>
  <c r="L403" i="5"/>
  <c r="J366" i="4"/>
  <c r="N403" i="5"/>
  <c r="L366" i="4"/>
  <c r="Q403" i="5"/>
  <c r="M366" i="4"/>
  <c r="R403" i="5"/>
  <c r="N366" i="4"/>
  <c r="T403" i="5"/>
  <c r="O366" i="4"/>
  <c r="U403" i="5"/>
  <c r="P366" i="4"/>
  <c r="W403" i="5"/>
  <c r="Q366" i="4"/>
  <c r="X403" i="5"/>
  <c r="S366" i="4"/>
  <c r="AA403" i="5"/>
  <c r="T366" i="4"/>
  <c r="AC403" i="5"/>
  <c r="U366" i="4"/>
  <c r="AD403" i="5"/>
  <c r="V366" i="4"/>
  <c r="AF403" i="5"/>
  <c r="W366" i="4"/>
  <c r="AG403" i="5"/>
  <c r="X366" i="4"/>
  <c r="AI403" i="5"/>
  <c r="Y366" i="4"/>
  <c r="AJ403" i="5"/>
  <c r="Z366" i="4"/>
  <c r="AL403" i="5"/>
  <c r="F403" i="5"/>
  <c r="H403" i="5"/>
  <c r="I403" i="5"/>
  <c r="AN403" i="5"/>
  <c r="O404" i="5"/>
  <c r="K404" i="5"/>
  <c r="B295" i="4"/>
  <c r="C295" i="4"/>
  <c r="C404" i="5"/>
  <c r="D295" i="4"/>
  <c r="E404" i="5"/>
  <c r="I295" i="4"/>
  <c r="L404" i="5"/>
  <c r="J295" i="4"/>
  <c r="N404" i="5"/>
  <c r="L295" i="4"/>
  <c r="Q404" i="5"/>
  <c r="M295" i="4"/>
  <c r="R404" i="5"/>
  <c r="N295" i="4"/>
  <c r="T404" i="5"/>
  <c r="O295" i="4"/>
  <c r="U404" i="5"/>
  <c r="P295" i="4"/>
  <c r="W404" i="5"/>
  <c r="Q295" i="4"/>
  <c r="X404" i="5"/>
  <c r="S295" i="4"/>
  <c r="AA404" i="5"/>
  <c r="AC404" i="5"/>
  <c r="AD404" i="5"/>
  <c r="AF404" i="5"/>
  <c r="AG404" i="5"/>
  <c r="X295" i="4"/>
  <c r="AI404" i="5"/>
  <c r="Y295" i="4"/>
  <c r="AJ404" i="5"/>
  <c r="Z295" i="4"/>
  <c r="AL404" i="5"/>
  <c r="F404" i="5"/>
  <c r="H404" i="5"/>
  <c r="I404" i="5"/>
  <c r="AN404" i="5"/>
  <c r="O405" i="5"/>
  <c r="K405" i="5"/>
  <c r="B309" i="4"/>
  <c r="C309" i="4"/>
  <c r="C405" i="5"/>
  <c r="D309" i="4"/>
  <c r="E405" i="5"/>
  <c r="I309" i="4"/>
  <c r="L405" i="5"/>
  <c r="J309" i="4"/>
  <c r="N405" i="5"/>
  <c r="L309" i="4"/>
  <c r="Q405" i="5"/>
  <c r="M309" i="4"/>
  <c r="R405" i="5"/>
  <c r="N309" i="4"/>
  <c r="T405" i="5"/>
  <c r="O309" i="4"/>
  <c r="U405" i="5"/>
  <c r="P309" i="4"/>
  <c r="W405" i="5"/>
  <c r="Q309" i="4"/>
  <c r="X405" i="5"/>
  <c r="AA405" i="5"/>
  <c r="AC405" i="5"/>
  <c r="AD405" i="5"/>
  <c r="V309" i="4"/>
  <c r="AF405" i="5"/>
  <c r="AG405" i="5"/>
  <c r="X309" i="4"/>
  <c r="AI405" i="5"/>
  <c r="Y309" i="4"/>
  <c r="AJ405" i="5"/>
  <c r="Z309" i="4"/>
  <c r="AL405" i="5"/>
  <c r="F405" i="5"/>
  <c r="H405" i="5"/>
  <c r="I405" i="5"/>
  <c r="AN405" i="5"/>
  <c r="O406" i="5"/>
  <c r="K406" i="5"/>
  <c r="C406" i="5"/>
  <c r="E406" i="5"/>
  <c r="L406" i="5"/>
  <c r="N406" i="5"/>
  <c r="Q406" i="5"/>
  <c r="R406" i="5"/>
  <c r="T406" i="5"/>
  <c r="U406" i="5"/>
  <c r="W406" i="5"/>
  <c r="X406" i="5"/>
  <c r="AA406" i="5"/>
  <c r="AC406" i="5"/>
  <c r="AD406" i="5"/>
  <c r="AF406" i="5"/>
  <c r="AG406" i="5"/>
  <c r="AI406" i="5"/>
  <c r="AJ406" i="5"/>
  <c r="AL406" i="5"/>
  <c r="F406" i="5"/>
  <c r="H406" i="5"/>
  <c r="I406" i="5"/>
  <c r="AN406" i="5"/>
  <c r="B131" i="4"/>
  <c r="AA133" i="5"/>
  <c r="P131" i="4"/>
  <c r="W133" i="5"/>
  <c r="O133" i="5"/>
  <c r="K133" i="5"/>
  <c r="C131" i="4"/>
  <c r="C133" i="5"/>
  <c r="D131" i="4"/>
  <c r="E133" i="5"/>
  <c r="I131" i="4"/>
  <c r="L133" i="5"/>
  <c r="J131" i="4"/>
  <c r="N133" i="5"/>
  <c r="L131" i="4"/>
  <c r="Q133" i="5"/>
  <c r="M131" i="4"/>
  <c r="R133" i="5"/>
  <c r="T133" i="5"/>
  <c r="U133" i="5"/>
  <c r="Q131" i="4"/>
  <c r="X133" i="5"/>
  <c r="R131" i="4"/>
  <c r="Z133" i="5"/>
  <c r="AH131" i="4"/>
  <c r="T131" i="4" a="1"/>
  <c r="T131" i="4"/>
  <c r="AC133" i="5"/>
  <c r="U131" i="4" a="1"/>
  <c r="U131" i="4"/>
  <c r="AD133" i="5"/>
  <c r="AF133" i="5"/>
  <c r="AG133" i="5"/>
  <c r="X131" i="4"/>
  <c r="AI133" i="5"/>
  <c r="Y131" i="4"/>
  <c r="AJ133" i="5"/>
  <c r="Z131" i="4"/>
  <c r="AL133" i="5"/>
  <c r="AN133" i="5"/>
  <c r="G11" i="2"/>
  <c r="K11" i="2"/>
  <c r="T11" i="2"/>
  <c r="U11" i="2"/>
  <c r="V11" i="2"/>
  <c r="W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Z10" i="1"/>
  <c r="BA10" i="1"/>
  <c r="BB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BC10" i="1"/>
  <c r="CS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Z11" i="1"/>
  <c r="BA11" i="1"/>
  <c r="BB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BC11" i="1"/>
  <c r="CS11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C33" i="1"/>
  <c r="BB33" i="1"/>
  <c r="BA33" i="1"/>
  <c r="AZ33" i="1"/>
  <c r="AX33" i="1"/>
  <c r="AV33" i="1"/>
  <c r="AT33" i="1"/>
  <c r="AR33" i="1"/>
  <c r="AP33" i="1"/>
  <c r="AN33" i="1"/>
  <c r="AL33" i="1"/>
  <c r="AJ33" i="1"/>
  <c r="AH33" i="1"/>
  <c r="AF33" i="1"/>
  <c r="AD33" i="1"/>
  <c r="AB33" i="1"/>
  <c r="Z33" i="1"/>
  <c r="X33" i="1"/>
  <c r="V33" i="1"/>
  <c r="T33" i="1"/>
  <c r="R33" i="1"/>
  <c r="P33" i="1"/>
  <c r="N33" i="1"/>
  <c r="L33" i="1"/>
  <c r="J33" i="1"/>
  <c r="H33" i="1"/>
  <c r="F33" i="1"/>
  <c r="D33" i="1"/>
  <c r="A33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G9" i="1"/>
  <c r="CH9" i="1"/>
  <c r="CI9" i="1"/>
  <c r="CJ9" i="1"/>
  <c r="CK9" i="1"/>
  <c r="CL9" i="1"/>
  <c r="CM9" i="1"/>
  <c r="CN9" i="1"/>
  <c r="CO9" i="1"/>
  <c r="CP9" i="1"/>
  <c r="CQ9" i="1"/>
  <c r="CR9" i="1"/>
  <c r="BU9" i="1"/>
  <c r="BV9" i="1"/>
  <c r="BW9" i="1"/>
  <c r="BX9" i="1"/>
  <c r="BY9" i="1"/>
  <c r="BZ9" i="1"/>
  <c r="CA9" i="1"/>
  <c r="CB9" i="1"/>
  <c r="CC9" i="1"/>
  <c r="CD9" i="1"/>
  <c r="CE9" i="1"/>
  <c r="CF9" i="1"/>
  <c r="BC9" i="1"/>
  <c r="CS9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Z124" i="1"/>
  <c r="BA124" i="1"/>
  <c r="BB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BC124" i="1"/>
  <c r="CS124" i="1"/>
  <c r="A32" i="1"/>
  <c r="N18" i="2"/>
  <c r="N88" i="4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Z177" i="1"/>
  <c r="BA177" i="1"/>
  <c r="BB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BC177" i="1"/>
  <c r="CS177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Z145" i="1"/>
  <c r="BA145" i="1"/>
  <c r="BB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BC145" i="1"/>
  <c r="CS145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Z142" i="1"/>
  <c r="BA142" i="1"/>
  <c r="BB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BC142" i="1"/>
  <c r="CS142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Z94" i="1"/>
  <c r="BA94" i="1"/>
  <c r="BB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BC94" i="1"/>
  <c r="CS94" i="1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7" i="6"/>
  <c r="Z150" i="6"/>
  <c r="Z154" i="6"/>
  <c r="Z161" i="6"/>
  <c r="Z168" i="6"/>
  <c r="Z178" i="6"/>
  <c r="Z187" i="6"/>
  <c r="Z190" i="6"/>
  <c r="Z193" i="6"/>
  <c r="Z202" i="6"/>
  <c r="Z224" i="6"/>
  <c r="Z250" i="6"/>
  <c r="Z263" i="6"/>
  <c r="Z276" i="6"/>
  <c r="Z288" i="6"/>
  <c r="Z295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0" i="6"/>
  <c r="Z9" i="6"/>
  <c r="Z49" i="6"/>
  <c r="Z50" i="6"/>
  <c r="Z10" i="6"/>
  <c r="Z114" i="6"/>
  <c r="Z11" i="6"/>
  <c r="Z51" i="6"/>
  <c r="Z53" i="6"/>
  <c r="Z66" i="6"/>
  <c r="Z67" i="6"/>
  <c r="Z68" i="6"/>
  <c r="Z69" i="6"/>
  <c r="Z204" i="6"/>
  <c r="Z157" i="6"/>
  <c r="Z70" i="6"/>
  <c r="Z106" i="6"/>
  <c r="Z205" i="6"/>
  <c r="Z89" i="6"/>
  <c r="Z90" i="6"/>
  <c r="Z91" i="6"/>
  <c r="Z92" i="6"/>
  <c r="Z94" i="6"/>
  <c r="Z95" i="6"/>
  <c r="Z96" i="6"/>
  <c r="Z97" i="6"/>
  <c r="Z230" i="6"/>
  <c r="Z231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69" i="6"/>
  <c r="Z158" i="6"/>
  <c r="Z110" i="6"/>
  <c r="Z111" i="6"/>
  <c r="Z112" i="6"/>
  <c r="Z31" i="6"/>
  <c r="Z163" i="6"/>
  <c r="Z164" i="6"/>
  <c r="Z165" i="6"/>
  <c r="Z206" i="6"/>
  <c r="Z139" i="6"/>
  <c r="Z166" i="6"/>
  <c r="Z56" i="6"/>
  <c r="Z281" i="6"/>
  <c r="Z232" i="6"/>
  <c r="Z194" i="6"/>
  <c r="Z140" i="6"/>
  <c r="Z173" i="6"/>
  <c r="Z174" i="6"/>
  <c r="Z131" i="6"/>
  <c r="Z12" i="6"/>
  <c r="Z294" i="6"/>
  <c r="Z195" i="6"/>
  <c r="Z207" i="6"/>
  <c r="Z141" i="6"/>
  <c r="Z208" i="6"/>
  <c r="Z132" i="6"/>
  <c r="Z13" i="6"/>
  <c r="Z46" i="6"/>
  <c r="Z258" i="6"/>
  <c r="Z24" i="6"/>
  <c r="Z233" i="6"/>
  <c r="Z196" i="6"/>
  <c r="Z72" i="6"/>
  <c r="Z259" i="6"/>
  <c r="Z38" i="6"/>
  <c r="Z73" i="6"/>
  <c r="Z74" i="6"/>
  <c r="Z282" i="6"/>
  <c r="Z75" i="6"/>
  <c r="Z234" i="6"/>
  <c r="Z235" i="6"/>
  <c r="Z209" i="6"/>
  <c r="Z270" i="6"/>
  <c r="Z210" i="6"/>
  <c r="Z133" i="6"/>
  <c r="Z76" i="6"/>
  <c r="Z211" i="6"/>
  <c r="Z25" i="6"/>
  <c r="Z135" i="6"/>
  <c r="Z236" i="6"/>
  <c r="Z159" i="6"/>
  <c r="Z77" i="6"/>
  <c r="Z260" i="6"/>
  <c r="Z271" i="6"/>
  <c r="Z126" i="6"/>
  <c r="Z142" i="6"/>
  <c r="Z237" i="6"/>
  <c r="Z272" i="6"/>
  <c r="Z57" i="6"/>
  <c r="Z212" i="6"/>
  <c r="Z273" i="6"/>
  <c r="Z283" i="6"/>
  <c r="Z118" i="6"/>
  <c r="Z119" i="6"/>
  <c r="Z14" i="6"/>
  <c r="Z120" i="6"/>
  <c r="Z197" i="6"/>
  <c r="Z151" i="6"/>
  <c r="Z213" i="6"/>
  <c r="Z198" i="6"/>
  <c r="Z26" i="6"/>
  <c r="Z261" i="6"/>
  <c r="Z121" i="6"/>
  <c r="Z127" i="6"/>
  <c r="Z238" i="6"/>
  <c r="Z239" i="6"/>
  <c r="Z240" i="6"/>
  <c r="Z58" i="6"/>
  <c r="Z39" i="6"/>
  <c r="Z44" i="6"/>
  <c r="Z175" i="6"/>
  <c r="Z78" i="6"/>
  <c r="Z32" i="6"/>
  <c r="Z188" i="6"/>
  <c r="Z137" i="6"/>
  <c r="Z138" i="6"/>
  <c r="Z241" i="6"/>
  <c r="Z242" i="6"/>
  <c r="Z243" i="6"/>
  <c r="Z33" i="6"/>
  <c r="Z79" i="6"/>
  <c r="Z113" i="6"/>
  <c r="Z244" i="6"/>
  <c r="Z245" i="6"/>
  <c r="Z284" i="6"/>
  <c r="Z285" i="6"/>
  <c r="Z34" i="6"/>
  <c r="Z176" i="6"/>
  <c r="Z152" i="6"/>
  <c r="Z246" i="6"/>
  <c r="Z274" i="6"/>
  <c r="Z247" i="6"/>
  <c r="Z80" i="6"/>
  <c r="Z248" i="6"/>
  <c r="Z81" i="6"/>
  <c r="Z262" i="6"/>
  <c r="Z160" i="6"/>
  <c r="Z286" i="6"/>
  <c r="Z143" i="6"/>
  <c r="Z59" i="6"/>
  <c r="Z214" i="6"/>
  <c r="Z215" i="6"/>
  <c r="Z216" i="6"/>
  <c r="Z199" i="6"/>
  <c r="Z217" i="6"/>
  <c r="Z128" i="6"/>
  <c r="Z144" i="6"/>
  <c r="Z145" i="6"/>
  <c r="Z177" i="6"/>
  <c r="Z153" i="6"/>
  <c r="Z218" i="6"/>
  <c r="Z200" i="6"/>
  <c r="Z219" i="6"/>
  <c r="Z220" i="6"/>
  <c r="Z201" i="6"/>
  <c r="Z221" i="6"/>
  <c r="Z222" i="6"/>
  <c r="Z223" i="6"/>
  <c r="Z146" i="6"/>
  <c r="Z148" i="6"/>
  <c r="Z82" i="6"/>
  <c r="Z184" i="6"/>
  <c r="Z185" i="6"/>
  <c r="Z186" i="6"/>
  <c r="Z167" i="6"/>
  <c r="Z189" i="6"/>
  <c r="Z191" i="6"/>
  <c r="Z192" i="6"/>
  <c r="Z162" i="6"/>
  <c r="Z249" i="6"/>
  <c r="Z203" i="6"/>
  <c r="Z251" i="6"/>
  <c r="Z252" i="6"/>
  <c r="Z253" i="6"/>
  <c r="Z275" i="6"/>
  <c r="Z254" i="6"/>
  <c r="Z255" i="6"/>
  <c r="Z264" i="6"/>
  <c r="Z265" i="6"/>
  <c r="Z277" i="6"/>
  <c r="Z278" i="6"/>
  <c r="Z279" i="6"/>
  <c r="Z225" i="6"/>
  <c r="Z155" i="6"/>
  <c r="Z35" i="6"/>
  <c r="Z149" i="6"/>
  <c r="Z287" i="6"/>
  <c r="Z266" i="6"/>
  <c r="Z267" i="6"/>
  <c r="Z122" i="6"/>
  <c r="Z226" i="6"/>
  <c r="Z227" i="6"/>
  <c r="Z228" i="6"/>
  <c r="Z256" i="6"/>
  <c r="Z268" i="6"/>
  <c r="Z229" i="6"/>
  <c r="Z83" i="6"/>
  <c r="Z84" i="6"/>
  <c r="Z63" i="6"/>
  <c r="Z60" i="6"/>
  <c r="Z289" i="6"/>
  <c r="Z290" i="6"/>
  <c r="Z291" i="6"/>
  <c r="Z292" i="6"/>
  <c r="Z169" i="6"/>
  <c r="Z170" i="6"/>
  <c r="Z179" i="6"/>
  <c r="Z156" i="6"/>
  <c r="Z171" i="6"/>
  <c r="Z257" i="6"/>
  <c r="Z293" i="6"/>
  <c r="Z61" i="6"/>
  <c r="Z15" i="6"/>
  <c r="Z16" i="6"/>
  <c r="Z17" i="6"/>
  <c r="Z18" i="6"/>
  <c r="Z19" i="6"/>
  <c r="Z20" i="6"/>
  <c r="Z180" i="6"/>
  <c r="Z36" i="6"/>
  <c r="Z181" i="6"/>
  <c r="Z172" i="6"/>
  <c r="Z182" i="6"/>
  <c r="Z183" i="6"/>
  <c r="Z102" i="6"/>
  <c r="Z298" i="6"/>
  <c r="Z304" i="6"/>
  <c r="Z296" i="6"/>
  <c r="Z297" i="6"/>
  <c r="Z299" i="6"/>
  <c r="Z300" i="6"/>
  <c r="Z301" i="6"/>
  <c r="Z302" i="6"/>
  <c r="Z303" i="6"/>
  <c r="Z305" i="6"/>
  <c r="Z306" i="6"/>
  <c r="Z307" i="6"/>
  <c r="Z308" i="6"/>
  <c r="Z309" i="6"/>
  <c r="Z310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43" i="6"/>
  <c r="Z339" i="6"/>
  <c r="Z340" i="6"/>
  <c r="Z344" i="6"/>
  <c r="Z341" i="6"/>
  <c r="Z342" i="6"/>
  <c r="Z353" i="6"/>
  <c r="Z363" i="6"/>
  <c r="Z358" i="6"/>
  <c r="Z345" i="6"/>
  <c r="Z359" i="6"/>
  <c r="Z346" i="6"/>
  <c r="Z347" i="6"/>
  <c r="Z348" i="6"/>
  <c r="Z349" i="6"/>
  <c r="Z350" i="6"/>
  <c r="Z351" i="6"/>
  <c r="Z352" i="6"/>
  <c r="Z360" i="6"/>
  <c r="Z361" i="6"/>
  <c r="Z362" i="6"/>
  <c r="Z364" i="6"/>
  <c r="Z365" i="6"/>
  <c r="Z366" i="6"/>
  <c r="Z354" i="6"/>
  <c r="Z355" i="6"/>
  <c r="Z356" i="6"/>
  <c r="Z357" i="6"/>
  <c r="Z377" i="6"/>
  <c r="Z367" i="6"/>
  <c r="Z368" i="6"/>
  <c r="Z369" i="6"/>
  <c r="Z370" i="6"/>
  <c r="Z371" i="6"/>
  <c r="Z372" i="6"/>
  <c r="Z373" i="6"/>
  <c r="Z374" i="6"/>
  <c r="Z375" i="6"/>
  <c r="Z376" i="6"/>
  <c r="Z379" i="6"/>
  <c r="Z382" i="6"/>
  <c r="Z378" i="6"/>
  <c r="Z381" i="6"/>
  <c r="Z380" i="6"/>
  <c r="Z406" i="6"/>
  <c r="Z384" i="6"/>
  <c r="Z405" i="6"/>
  <c r="Z404" i="6"/>
  <c r="Z387" i="6"/>
  <c r="Z388" i="6"/>
  <c r="Z389" i="6"/>
  <c r="Z390" i="6"/>
  <c r="Z391" i="6"/>
  <c r="Z386" i="6"/>
  <c r="Z402" i="6"/>
  <c r="Z392" i="6"/>
  <c r="Z393" i="6"/>
  <c r="Z394" i="6"/>
  <c r="Z395" i="6"/>
  <c r="Z396" i="6"/>
  <c r="Z397" i="6"/>
  <c r="Z383" i="6"/>
  <c r="Z403" i="6"/>
  <c r="Z398" i="6"/>
  <c r="Z385" i="6"/>
  <c r="Z407" i="6"/>
  <c r="Z399" i="6"/>
  <c r="Z400" i="6"/>
  <c r="Z401" i="6"/>
  <c r="Z3" i="6"/>
  <c r="Y22" i="6"/>
  <c r="Y28" i="6"/>
  <c r="Y37" i="6"/>
  <c r="Y40" i="6"/>
  <c r="Y42" i="6"/>
  <c r="Y45" i="6"/>
  <c r="Y52" i="6"/>
  <c r="Y62" i="6"/>
  <c r="Y65" i="6"/>
  <c r="Y85" i="6"/>
  <c r="Y93" i="6"/>
  <c r="Y103" i="6"/>
  <c r="Y104" i="6"/>
  <c r="Y108" i="6"/>
  <c r="Y116" i="6"/>
  <c r="Y124" i="6"/>
  <c r="Y129" i="6"/>
  <c r="Y134" i="6"/>
  <c r="Y136" i="6"/>
  <c r="Y147" i="6"/>
  <c r="Y150" i="6"/>
  <c r="Y154" i="6"/>
  <c r="Y161" i="6"/>
  <c r="Y168" i="6"/>
  <c r="Y178" i="6"/>
  <c r="Y187" i="6"/>
  <c r="Y190" i="6"/>
  <c r="Y193" i="6"/>
  <c r="Y202" i="6"/>
  <c r="Y224" i="6"/>
  <c r="Y250" i="6"/>
  <c r="Y263" i="6"/>
  <c r="Y276" i="6"/>
  <c r="Y288" i="6"/>
  <c r="Y295" i="6"/>
  <c r="Y2" i="6"/>
  <c r="Y4" i="6"/>
  <c r="Y5" i="6"/>
  <c r="Y6" i="6"/>
  <c r="Y21" i="6"/>
  <c r="Y23" i="6"/>
  <c r="Y47" i="6"/>
  <c r="Y7" i="6"/>
  <c r="Y48" i="6"/>
  <c r="Y8" i="6"/>
  <c r="Y27" i="6"/>
  <c r="Y29" i="6"/>
  <c r="Y30" i="6"/>
  <c r="Y86" i="6"/>
  <c r="Y87" i="6"/>
  <c r="Y64" i="6"/>
  <c r="Y88" i="6"/>
  <c r="Y41" i="6"/>
  <c r="Y43" i="6"/>
  <c r="Y280" i="6"/>
  <c r="Y9" i="6"/>
  <c r="Y49" i="6"/>
  <c r="Y50" i="6"/>
  <c r="Y10" i="6"/>
  <c r="Y114" i="6"/>
  <c r="Y11" i="6"/>
  <c r="Y51" i="6"/>
  <c r="Y53" i="6"/>
  <c r="Y66" i="6"/>
  <c r="Y67" i="6"/>
  <c r="Y68" i="6"/>
  <c r="Y69" i="6"/>
  <c r="Y204" i="6"/>
  <c r="Y157" i="6"/>
  <c r="Y70" i="6"/>
  <c r="Y106" i="6"/>
  <c r="Y205" i="6"/>
  <c r="Y89" i="6"/>
  <c r="Y90" i="6"/>
  <c r="Y91" i="6"/>
  <c r="Y92" i="6"/>
  <c r="Y94" i="6"/>
  <c r="Y95" i="6"/>
  <c r="Y96" i="6"/>
  <c r="Y97" i="6"/>
  <c r="Y230" i="6"/>
  <c r="Y231" i="6"/>
  <c r="Y71" i="6"/>
  <c r="Y105" i="6"/>
  <c r="Y98" i="6"/>
  <c r="Y99" i="6"/>
  <c r="Y100" i="6"/>
  <c r="Y107" i="6"/>
  <c r="Y109" i="6"/>
  <c r="Y101" i="6"/>
  <c r="Y54" i="6"/>
  <c r="Y115" i="6"/>
  <c r="Y117" i="6"/>
  <c r="Y55" i="6"/>
  <c r="Y123" i="6"/>
  <c r="Y125" i="6"/>
  <c r="Y130" i="6"/>
  <c r="Y269" i="6"/>
  <c r="Y158" i="6"/>
  <c r="Y110" i="6"/>
  <c r="Y111" i="6"/>
  <c r="Y112" i="6"/>
  <c r="Y31" i="6"/>
  <c r="Y163" i="6"/>
  <c r="Y164" i="6"/>
  <c r="Y165" i="6"/>
  <c r="Y206" i="6"/>
  <c r="Y139" i="6"/>
  <c r="Y166" i="6"/>
  <c r="Y56" i="6"/>
  <c r="Y281" i="6"/>
  <c r="Y232" i="6"/>
  <c r="Y194" i="6"/>
  <c r="Y140" i="6"/>
  <c r="Y173" i="6"/>
  <c r="Y174" i="6"/>
  <c r="Y131" i="6"/>
  <c r="Y12" i="6"/>
  <c r="Y294" i="6"/>
  <c r="Y195" i="6"/>
  <c r="Y207" i="6"/>
  <c r="Y141" i="6"/>
  <c r="Y208" i="6"/>
  <c r="Y132" i="6"/>
  <c r="Y13" i="6"/>
  <c r="Y46" i="6"/>
  <c r="Y258" i="6"/>
  <c r="Y24" i="6"/>
  <c r="Y233" i="6"/>
  <c r="Y196" i="6"/>
  <c r="Y72" i="6"/>
  <c r="Y259" i="6"/>
  <c r="Y38" i="6"/>
  <c r="Y73" i="6"/>
  <c r="Y74" i="6"/>
  <c r="Y282" i="6"/>
  <c r="Y75" i="6"/>
  <c r="Y234" i="6"/>
  <c r="Y235" i="6"/>
  <c r="Y209" i="6"/>
  <c r="Y270" i="6"/>
  <c r="Y210" i="6"/>
  <c r="Y133" i="6"/>
  <c r="Y76" i="6"/>
  <c r="Y211" i="6"/>
  <c r="Y25" i="6"/>
  <c r="Y135" i="6"/>
  <c r="Y236" i="6"/>
  <c r="Y159" i="6"/>
  <c r="Y77" i="6"/>
  <c r="Y260" i="6"/>
  <c r="Y271" i="6"/>
  <c r="Y126" i="6"/>
  <c r="Y142" i="6"/>
  <c r="Y237" i="6"/>
  <c r="Y272" i="6"/>
  <c r="Y57" i="6"/>
  <c r="Y212" i="6"/>
  <c r="Y273" i="6"/>
  <c r="Y283" i="6"/>
  <c r="Y118" i="6"/>
  <c r="Y119" i="6"/>
  <c r="Y14" i="6"/>
  <c r="Y120" i="6"/>
  <c r="Y197" i="6"/>
  <c r="Y151" i="6"/>
  <c r="Y213" i="6"/>
  <c r="Y198" i="6"/>
  <c r="Y26" i="6"/>
  <c r="Y261" i="6"/>
  <c r="Y121" i="6"/>
  <c r="Y127" i="6"/>
  <c r="Y238" i="6"/>
  <c r="Y239" i="6"/>
  <c r="Y240" i="6"/>
  <c r="Y58" i="6"/>
  <c r="Y39" i="6"/>
  <c r="Y44" i="6"/>
  <c r="Y175" i="6"/>
  <c r="Y78" i="6"/>
  <c r="Y32" i="6"/>
  <c r="Y188" i="6"/>
  <c r="Y137" i="6"/>
  <c r="Y138" i="6"/>
  <c r="Y241" i="6"/>
  <c r="Y242" i="6"/>
  <c r="Y243" i="6"/>
  <c r="Y33" i="6"/>
  <c r="Y79" i="6"/>
  <c r="Y113" i="6"/>
  <c r="Y244" i="6"/>
  <c r="Y245" i="6"/>
  <c r="Y284" i="6"/>
  <c r="Y285" i="6"/>
  <c r="Y34" i="6"/>
  <c r="Y176" i="6"/>
  <c r="Y152" i="6"/>
  <c r="Y246" i="6"/>
  <c r="Y274" i="6"/>
  <c r="Y247" i="6"/>
  <c r="Y80" i="6"/>
  <c r="Y248" i="6"/>
  <c r="Y81" i="6"/>
  <c r="Y262" i="6"/>
  <c r="Y160" i="6"/>
  <c r="Y286" i="6"/>
  <c r="Y143" i="6"/>
  <c r="Y59" i="6"/>
  <c r="Y214" i="6"/>
  <c r="Y215" i="6"/>
  <c r="Y216" i="6"/>
  <c r="Y199" i="6"/>
  <c r="Y217" i="6"/>
  <c r="Y128" i="6"/>
  <c r="Y144" i="6"/>
  <c r="Y145" i="6"/>
  <c r="Y177" i="6"/>
  <c r="Y153" i="6"/>
  <c r="Y218" i="6"/>
  <c r="Y200" i="6"/>
  <c r="Y219" i="6"/>
  <c r="Y220" i="6"/>
  <c r="Y201" i="6"/>
  <c r="Y221" i="6"/>
  <c r="Y222" i="6"/>
  <c r="Y223" i="6"/>
  <c r="Y146" i="6"/>
  <c r="Y148" i="6"/>
  <c r="Y82" i="6"/>
  <c r="Y184" i="6"/>
  <c r="Y185" i="6"/>
  <c r="Y186" i="6"/>
  <c r="Y167" i="6"/>
  <c r="Y189" i="6"/>
  <c r="Y191" i="6"/>
  <c r="Y192" i="6"/>
  <c r="Y162" i="6"/>
  <c r="Y249" i="6"/>
  <c r="Y203" i="6"/>
  <c r="Y251" i="6"/>
  <c r="Y252" i="6"/>
  <c r="Y253" i="6"/>
  <c r="Y275" i="6"/>
  <c r="Y254" i="6"/>
  <c r="Y255" i="6"/>
  <c r="Y264" i="6"/>
  <c r="Y265" i="6"/>
  <c r="Y277" i="6"/>
  <c r="Y278" i="6"/>
  <c r="Y279" i="6"/>
  <c r="Y225" i="6"/>
  <c r="Y155" i="6"/>
  <c r="Y35" i="6"/>
  <c r="Y149" i="6"/>
  <c r="Y287" i="6"/>
  <c r="Y266" i="6"/>
  <c r="Y267" i="6"/>
  <c r="Y122" i="6"/>
  <c r="Y226" i="6"/>
  <c r="Y227" i="6"/>
  <c r="Y228" i="6"/>
  <c r="Y256" i="6"/>
  <c r="Y268" i="6"/>
  <c r="Y229" i="6"/>
  <c r="Y83" i="6"/>
  <c r="Y84" i="6"/>
  <c r="Y63" i="6"/>
  <c r="Y60" i="6"/>
  <c r="Y289" i="6"/>
  <c r="Y290" i="6"/>
  <c r="Y291" i="6"/>
  <c r="Y292" i="6"/>
  <c r="Y169" i="6"/>
  <c r="Y170" i="6"/>
  <c r="Y179" i="6"/>
  <c r="Y156" i="6"/>
  <c r="Y171" i="6"/>
  <c r="Y257" i="6"/>
  <c r="Y293" i="6"/>
  <c r="Y61" i="6"/>
  <c r="Y15" i="6"/>
  <c r="Y16" i="6"/>
  <c r="Y17" i="6"/>
  <c r="Y18" i="6"/>
  <c r="Y19" i="6"/>
  <c r="Y20" i="6"/>
  <c r="Y180" i="6"/>
  <c r="Y36" i="6"/>
  <c r="Y181" i="6"/>
  <c r="Y172" i="6"/>
  <c r="Y182" i="6"/>
  <c r="Y183" i="6"/>
  <c r="Y102" i="6"/>
  <c r="Y298" i="6"/>
  <c r="Y304" i="6"/>
  <c r="Y296" i="6"/>
  <c r="Y297" i="6"/>
  <c r="Y299" i="6"/>
  <c r="Y300" i="6"/>
  <c r="Y301" i="6"/>
  <c r="Y302" i="6"/>
  <c r="Y303" i="6"/>
  <c r="Y305" i="6"/>
  <c r="Y306" i="6"/>
  <c r="Y307" i="6"/>
  <c r="Y308" i="6"/>
  <c r="Y309" i="6"/>
  <c r="Y310" i="6"/>
  <c r="Y312" i="6"/>
  <c r="Y313" i="6"/>
  <c r="Y314" i="6"/>
  <c r="Y315" i="6"/>
  <c r="Y316" i="6"/>
  <c r="Y317" i="6"/>
  <c r="Y318" i="6"/>
  <c r="Y319" i="6"/>
  <c r="Y320" i="6"/>
  <c r="Y321" i="6"/>
  <c r="Y322" i="6"/>
  <c r="Y323" i="6"/>
  <c r="Y324" i="6"/>
  <c r="Y325" i="6"/>
  <c r="Y326" i="6"/>
  <c r="Y327" i="6"/>
  <c r="Y328" i="6"/>
  <c r="Y329" i="6"/>
  <c r="Y330" i="6"/>
  <c r="Y331" i="6"/>
  <c r="Y332" i="6"/>
  <c r="Y333" i="6"/>
  <c r="Y334" i="6"/>
  <c r="Y335" i="6"/>
  <c r="Y336" i="6"/>
  <c r="Y337" i="6"/>
  <c r="Y338" i="6"/>
  <c r="Y343" i="6"/>
  <c r="Y339" i="6"/>
  <c r="Y340" i="6"/>
  <c r="Y344" i="6"/>
  <c r="Y341" i="6"/>
  <c r="Y342" i="6"/>
  <c r="Y353" i="6"/>
  <c r="Y363" i="6"/>
  <c r="Y358" i="6"/>
  <c r="Y345" i="6"/>
  <c r="Y359" i="6"/>
  <c r="Y346" i="6"/>
  <c r="Y347" i="6"/>
  <c r="Y348" i="6"/>
  <c r="Y349" i="6"/>
  <c r="Y350" i="6"/>
  <c r="Y351" i="6"/>
  <c r="Y352" i="6"/>
  <c r="Y360" i="6"/>
  <c r="Y361" i="6"/>
  <c r="Y362" i="6"/>
  <c r="Y364" i="6"/>
  <c r="Y365" i="6"/>
  <c r="Y366" i="6"/>
  <c r="Y354" i="6"/>
  <c r="Y355" i="6"/>
  <c r="Y356" i="6"/>
  <c r="Y357" i="6"/>
  <c r="Y377" i="6"/>
  <c r="Y367" i="6"/>
  <c r="Y368" i="6"/>
  <c r="Y369" i="6"/>
  <c r="Y370" i="6"/>
  <c r="Y371" i="6"/>
  <c r="Y372" i="6"/>
  <c r="Y373" i="6"/>
  <c r="Y374" i="6"/>
  <c r="Y375" i="6"/>
  <c r="Y376" i="6"/>
  <c r="Y379" i="6"/>
  <c r="Y382" i="6"/>
  <c r="Y378" i="6"/>
  <c r="Y381" i="6"/>
  <c r="Y380" i="6"/>
  <c r="Y406" i="6"/>
  <c r="Y384" i="6"/>
  <c r="Y405" i="6"/>
  <c r="Y404" i="6"/>
  <c r="Y387" i="6"/>
  <c r="Y388" i="6"/>
  <c r="Y389" i="6"/>
  <c r="Y390" i="6"/>
  <c r="Y391" i="6"/>
  <c r="Y386" i="6"/>
  <c r="Y402" i="6"/>
  <c r="Y392" i="6"/>
  <c r="Y393" i="6"/>
  <c r="Y394" i="6"/>
  <c r="Y395" i="6"/>
  <c r="Y396" i="6"/>
  <c r="Y397" i="6"/>
  <c r="Y383" i="6"/>
  <c r="Y403" i="6"/>
  <c r="Y398" i="6"/>
  <c r="Y385" i="6"/>
  <c r="Y407" i="6"/>
  <c r="Y399" i="6"/>
  <c r="Y400" i="6"/>
  <c r="Y401" i="6"/>
  <c r="Y3" i="6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2" i="1"/>
  <c r="A145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97" i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O20" i="5"/>
  <c r="AO2" i="5"/>
  <c r="AO4" i="5"/>
  <c r="AO3" i="5"/>
  <c r="AO350" i="5"/>
  <c r="AO32" i="5"/>
  <c r="AO10" i="5"/>
  <c r="AO11" i="5"/>
  <c r="AO5" i="5"/>
  <c r="AO26" i="5"/>
  <c r="AO30" i="5"/>
  <c r="AO6" i="5"/>
  <c r="AO25" i="5"/>
  <c r="AO27" i="5"/>
  <c r="AO12" i="5"/>
  <c r="AO16" i="5"/>
  <c r="AO17" i="5"/>
  <c r="AO13" i="5"/>
  <c r="AO384" i="5"/>
  <c r="AO348" i="5"/>
  <c r="AO386" i="5"/>
  <c r="AO357" i="5"/>
  <c r="AO390" i="5"/>
  <c r="AO379" i="5"/>
  <c r="AO29" i="5"/>
  <c r="AO380" i="5"/>
  <c r="AO368" i="5"/>
  <c r="AO392" i="5"/>
  <c r="AO36" i="5"/>
  <c r="AO31" i="5"/>
  <c r="AO393" i="5"/>
  <c r="AO383" i="5"/>
  <c r="AO387" i="5"/>
  <c r="AO385" i="5"/>
  <c r="AO388" i="5"/>
  <c r="AO33" i="5"/>
  <c r="AO7" i="5"/>
  <c r="AO378" i="5"/>
  <c r="AO18" i="5"/>
  <c r="AO8" i="5"/>
  <c r="AO19" i="5"/>
  <c r="AO23" i="5"/>
  <c r="AO24" i="5"/>
  <c r="AO118" i="5"/>
  <c r="AO257" i="5"/>
  <c r="AO49" i="5"/>
  <c r="AO366" i="5"/>
  <c r="AO67" i="5"/>
  <c r="AO267" i="5"/>
  <c r="AO39" i="5"/>
  <c r="AO47" i="5"/>
  <c r="AO269" i="5"/>
  <c r="AO270" i="5"/>
  <c r="AO272" i="5"/>
  <c r="AO268" i="5"/>
  <c r="AO271" i="5"/>
  <c r="AO40" i="5"/>
  <c r="AO65" i="5"/>
  <c r="AO38" i="5"/>
  <c r="AO121" i="5"/>
  <c r="AO62" i="5"/>
  <c r="AO41" i="5"/>
  <c r="AO42" i="5"/>
  <c r="AO241" i="5"/>
  <c r="AO43" i="5"/>
  <c r="AO44" i="5"/>
  <c r="AO45" i="5"/>
  <c r="AO124" i="5"/>
  <c r="AO154" i="5"/>
  <c r="AO279" i="5"/>
  <c r="AO177" i="5"/>
  <c r="AO165" i="5"/>
  <c r="AO274" i="5"/>
  <c r="AO109" i="5"/>
  <c r="AO170" i="5"/>
  <c r="AO223" i="5"/>
  <c r="AO52" i="5"/>
  <c r="AO50" i="5"/>
  <c r="AO51" i="5"/>
  <c r="AO53" i="5"/>
  <c r="AO280" i="5"/>
  <c r="AO55" i="5"/>
  <c r="AO359" i="5"/>
  <c r="AO261" i="5"/>
  <c r="AO56" i="5"/>
  <c r="AO249" i="5"/>
  <c r="AO57" i="5"/>
  <c r="AO58" i="5"/>
  <c r="AO60" i="5"/>
  <c r="AO281" i="5"/>
  <c r="AO59" i="5"/>
  <c r="AO122" i="5"/>
  <c r="AO64" i="5"/>
  <c r="AO98" i="5"/>
  <c r="AO68" i="5"/>
  <c r="AO69" i="5"/>
  <c r="AO71" i="5"/>
  <c r="AO63" i="5"/>
  <c r="AO96" i="5"/>
  <c r="AO46" i="5"/>
  <c r="AO115" i="5"/>
  <c r="AO364" i="5"/>
  <c r="AO266" i="5"/>
  <c r="AO48" i="5"/>
  <c r="AO190" i="5"/>
  <c r="AO162" i="5"/>
  <c r="AO70" i="5"/>
  <c r="AO183" i="5"/>
  <c r="AO185" i="5"/>
  <c r="AO349" i="5"/>
  <c r="AO244" i="5"/>
  <c r="AO245" i="5"/>
  <c r="AO246" i="5"/>
  <c r="AO247" i="5"/>
  <c r="AO248" i="5"/>
  <c r="AO251" i="5"/>
  <c r="AO252" i="5"/>
  <c r="AO253" i="5"/>
  <c r="AO254" i="5"/>
  <c r="AO255" i="5"/>
  <c r="AO256" i="5"/>
  <c r="AO260" i="5"/>
  <c r="AO263" i="5"/>
  <c r="AO264" i="5"/>
  <c r="AO265" i="5"/>
  <c r="AO164" i="5"/>
  <c r="AO397" i="5"/>
  <c r="AO75" i="5"/>
  <c r="AO127" i="5"/>
  <c r="AO125" i="5"/>
  <c r="AO288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84" i="5"/>
  <c r="AO28" i="5"/>
  <c r="AO283" i="5"/>
  <c r="AO287" i="5"/>
  <c r="AO54" i="5"/>
  <c r="AO320" i="5"/>
  <c r="AO82" i="5"/>
  <c r="AO84" i="5"/>
  <c r="AO289" i="5"/>
  <c r="AO81" i="5"/>
  <c r="AO83" i="5"/>
  <c r="AO86" i="5"/>
  <c r="AO277" i="5"/>
  <c r="AO285" i="5"/>
  <c r="AO85" i="5"/>
  <c r="AO92" i="5"/>
  <c r="AO276" i="5"/>
  <c r="AO369" i="5"/>
  <c r="AO309" i="5"/>
  <c r="AO322" i="5"/>
  <c r="AO323" i="5"/>
  <c r="AO305" i="5"/>
  <c r="AO316" i="5"/>
  <c r="AO293" i="5"/>
  <c r="AO294" i="5"/>
  <c r="AO346" i="5"/>
  <c r="AO314" i="5"/>
  <c r="AO312" i="5"/>
  <c r="AO313" i="5"/>
  <c r="AO291" i="5"/>
  <c r="AO303" i="5"/>
  <c r="AO292" i="5"/>
  <c r="AO296" i="5"/>
  <c r="AO307" i="5"/>
  <c r="AO297" i="5"/>
  <c r="AO301" i="5"/>
  <c r="AO295" i="5"/>
  <c r="AO298" i="5"/>
  <c r="AO311" i="5"/>
  <c r="AO302" i="5"/>
  <c r="AO306" i="5"/>
  <c r="AO315" i="5"/>
  <c r="AO304" i="5"/>
  <c r="AO299" i="5"/>
  <c r="AO308" i="5"/>
  <c r="AO310" i="5"/>
  <c r="AO300" i="5"/>
  <c r="AO317" i="5"/>
  <c r="AO318" i="5"/>
  <c r="AO325" i="5"/>
  <c r="AO326" i="5"/>
  <c r="AO290" i="5"/>
  <c r="AO337" i="5"/>
  <c r="AO400" i="5"/>
  <c r="AO93" i="5"/>
  <c r="AO95" i="5"/>
  <c r="AO172" i="5"/>
  <c r="AO79" i="5"/>
  <c r="AO94" i="5"/>
  <c r="AO106" i="5"/>
  <c r="AO107" i="5"/>
  <c r="AO108" i="5"/>
  <c r="AO156" i="5"/>
  <c r="AO150" i="5"/>
  <c r="AO367" i="5"/>
  <c r="AO97" i="5"/>
  <c r="AO278" i="5"/>
  <c r="AO286" i="5"/>
  <c r="AO228" i="5"/>
  <c r="AO66" i="5"/>
  <c r="AO365" i="5"/>
  <c r="AO143" i="5"/>
  <c r="AO101" i="5"/>
  <c r="AO100" i="5"/>
  <c r="AO99" i="5"/>
  <c r="AO193" i="5"/>
  <c r="AO157" i="5"/>
  <c r="AO102" i="5"/>
  <c r="AO103" i="5"/>
  <c r="AO324" i="5"/>
  <c r="AO321" i="5"/>
  <c r="AO394" i="5"/>
  <c r="AO343" i="5"/>
  <c r="AO395" i="5"/>
  <c r="AO342" i="5"/>
  <c r="AO391" i="5"/>
  <c r="AO344" i="5"/>
  <c r="AO341" i="5"/>
  <c r="AO398" i="5"/>
  <c r="AO405" i="5"/>
  <c r="AO340" i="5"/>
  <c r="AO406" i="5"/>
  <c r="AO353" i="5"/>
  <c r="AO362" i="5"/>
  <c r="AO396" i="5"/>
  <c r="AO354" i="5"/>
  <c r="AO338" i="5"/>
  <c r="AO370" i="5"/>
  <c r="AO363" i="5"/>
  <c r="AO403" i="5"/>
  <c r="AO401" i="5"/>
  <c r="AO402" i="5"/>
  <c r="AO355" i="5"/>
  <c r="AO358" i="5"/>
  <c r="AO361" i="5"/>
  <c r="AO360" i="5"/>
  <c r="AO319" i="5"/>
  <c r="AO376" i="5"/>
  <c r="AO373" i="5"/>
  <c r="AO375" i="5"/>
  <c r="AO377" i="5"/>
  <c r="AO374" i="5"/>
  <c r="AO372" i="5"/>
  <c r="AO371" i="5"/>
  <c r="AO339" i="5"/>
  <c r="AO161" i="5"/>
  <c r="AO356" i="5"/>
  <c r="AO90" i="5"/>
  <c r="AO91" i="5"/>
  <c r="AO137" i="5"/>
  <c r="AO9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382" i="5"/>
  <c r="AO179" i="5"/>
  <c r="AO222" i="5"/>
  <c r="AO187" i="5"/>
  <c r="AO208" i="5"/>
  <c r="AO203" i="5"/>
  <c r="AO105" i="5"/>
  <c r="AO139" i="5"/>
  <c r="AO77" i="5"/>
  <c r="AO250" i="5"/>
  <c r="AO204" i="5"/>
  <c r="AO205" i="5"/>
  <c r="AO234" i="5"/>
  <c r="AO235" i="5"/>
  <c r="AO110" i="5"/>
  <c r="AO238" i="5"/>
  <c r="AO111" i="5"/>
  <c r="AO112" i="5"/>
  <c r="AO178" i="5"/>
  <c r="AO206" i="5"/>
  <c r="AO275" i="5"/>
  <c r="AO163" i="5"/>
  <c r="AO236" i="5"/>
  <c r="AO381" i="5"/>
  <c r="AO273" i="5"/>
  <c r="AO117" i="5"/>
  <c r="AO200" i="5"/>
  <c r="AO389" i="5"/>
  <c r="AO14" i="5"/>
  <c r="AO259" i="5"/>
  <c r="AO166" i="5"/>
  <c r="AO15" i="5"/>
  <c r="AO207" i="5"/>
  <c r="AO352" i="5"/>
  <c r="AO34" i="5"/>
  <c r="AO153" i="5"/>
  <c r="AO151" i="5"/>
  <c r="AO243" i="5"/>
  <c r="AO35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242" i="5"/>
  <c r="AO131" i="5"/>
  <c r="AO210" i="5"/>
  <c r="AO214" i="5"/>
  <c r="AO167" i="5"/>
  <c r="AO88" i="5"/>
  <c r="AO347" i="5"/>
  <c r="AO212" i="5"/>
  <c r="AO209" i="5"/>
  <c r="AO211" i="5"/>
  <c r="AO159" i="5"/>
  <c r="AO160" i="5"/>
  <c r="AO282" i="5"/>
  <c r="AO168" i="5"/>
  <c r="AO87" i="5"/>
  <c r="AO132" i="5"/>
  <c r="AO239" i="5"/>
  <c r="AO229" i="5"/>
  <c r="AO145" i="5"/>
  <c r="AO169" i="5"/>
  <c r="AO158" i="5"/>
  <c r="AO138" i="5"/>
  <c r="AO186" i="5"/>
  <c r="AO226" i="5"/>
  <c r="AO345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22" i="5"/>
  <c r="AO233" i="5"/>
  <c r="AO37" i="5"/>
  <c r="AO258" i="5"/>
  <c r="AO240" i="5"/>
  <c r="AO327" i="5"/>
  <c r="AO335" i="5"/>
  <c r="AO334" i="5"/>
  <c r="AO329" i="5"/>
  <c r="AO332" i="5"/>
  <c r="AO399" i="5"/>
  <c r="AO336" i="5"/>
  <c r="AO328" i="5"/>
  <c r="AO331" i="5"/>
  <c r="AO330" i="5"/>
  <c r="AO333" i="5"/>
  <c r="AO351" i="5"/>
  <c r="AO262" i="5"/>
  <c r="AO404" i="5"/>
  <c r="AO21" i="5"/>
  <c r="C2" i="7"/>
  <c r="AZ92" i="1"/>
  <c r="BA92" i="1"/>
  <c r="BB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BC92" i="1"/>
  <c r="CS92" i="1"/>
  <c r="AB37" i="2"/>
  <c r="AB25" i="2"/>
  <c r="AB35" i="2"/>
  <c r="AB43" i="2"/>
  <c r="AB44" i="2"/>
  <c r="AB47" i="2"/>
  <c r="AB48" i="2"/>
  <c r="AB49" i="2"/>
  <c r="AB28" i="2"/>
  <c r="AB29" i="2"/>
  <c r="AB38" i="2"/>
  <c r="AB19" i="2"/>
  <c r="AB26" i="2"/>
  <c r="AB18" i="2"/>
  <c r="AB27" i="2"/>
  <c r="AB22" i="2"/>
  <c r="AB3" i="2"/>
  <c r="AB7" i="2"/>
  <c r="AB23" i="2"/>
  <c r="AB13" i="2"/>
  <c r="AB39" i="2"/>
  <c r="AB33" i="2"/>
  <c r="AB40" i="2"/>
  <c r="AB2" i="2"/>
  <c r="AB14" i="2"/>
  <c r="AB5" i="2"/>
  <c r="AB12" i="2"/>
  <c r="AB20" i="2"/>
  <c r="AB21" i="2"/>
  <c r="AB4" i="2"/>
  <c r="AB8" i="2"/>
  <c r="AB15" i="2"/>
  <c r="AB6" i="2"/>
  <c r="AB30" i="2"/>
  <c r="AB9" i="2"/>
  <c r="AB31" i="2"/>
  <c r="AB32" i="2"/>
  <c r="AB10" i="2"/>
  <c r="AB34" i="2"/>
  <c r="AB36" i="2"/>
  <c r="AB24" i="2"/>
  <c r="BA2" i="1"/>
  <c r="F35" i="5"/>
  <c r="AC36" i="2"/>
  <c r="F34" i="5"/>
  <c r="AC37" i="2"/>
  <c r="F9" i="5"/>
  <c r="AC25" i="2"/>
  <c r="F15" i="5"/>
  <c r="AC35" i="2"/>
  <c r="F14" i="5"/>
  <c r="AC33" i="2"/>
  <c r="F22" i="5"/>
  <c r="AC26" i="2"/>
  <c r="AC23" i="2"/>
  <c r="F58" i="5"/>
  <c r="AC9" i="2"/>
  <c r="F69" i="5"/>
  <c r="AC14" i="2"/>
  <c r="F70" i="5"/>
  <c r="AC13" i="2"/>
  <c r="F59" i="5"/>
  <c r="AC7" i="2"/>
  <c r="F56" i="5"/>
  <c r="AC10" i="2"/>
  <c r="F55" i="5"/>
  <c r="AC8" i="2"/>
  <c r="AC24" i="2"/>
  <c r="F207" i="5"/>
  <c r="AC34" i="2"/>
  <c r="F39" i="5"/>
  <c r="AC5" i="2"/>
  <c r="F51" i="5"/>
  <c r="AC12" i="2"/>
  <c r="F44" i="5"/>
  <c r="AC6" i="2"/>
  <c r="F206" i="5"/>
  <c r="AC30" i="2"/>
  <c r="F205" i="5"/>
  <c r="AC31" i="2"/>
  <c r="F203" i="5"/>
  <c r="AC29" i="2"/>
  <c r="F201" i="5"/>
  <c r="AC32" i="2"/>
  <c r="F202" i="5"/>
  <c r="AC28" i="2"/>
  <c r="AC40" i="2"/>
  <c r="F197" i="5"/>
  <c r="AC27" i="2"/>
  <c r="AC39" i="2"/>
  <c r="F85" i="5"/>
  <c r="AC21" i="2"/>
  <c r="F72" i="5"/>
  <c r="AC15" i="2"/>
  <c r="F94" i="5"/>
  <c r="AC19" i="2"/>
  <c r="F100" i="5"/>
  <c r="AC22" i="2"/>
  <c r="AC38" i="2"/>
  <c r="F90" i="5"/>
  <c r="AC18" i="2"/>
  <c r="F28" i="5"/>
  <c r="AC2" i="2"/>
  <c r="F82" i="5"/>
  <c r="AC3" i="2"/>
  <c r="F286" i="5"/>
  <c r="AC4" i="2"/>
  <c r="AC20" i="2"/>
  <c r="AC43" i="2"/>
  <c r="AC44" i="2"/>
  <c r="F370" i="5"/>
  <c r="AC48" i="2"/>
  <c r="F374" i="5"/>
  <c r="AC47" i="2"/>
  <c r="AC49" i="2"/>
  <c r="BA13" i="1"/>
  <c r="BA41" i="1"/>
  <c r="BA40" i="1"/>
  <c r="BA70" i="1"/>
  <c r="BA68" i="1"/>
  <c r="BA71" i="1"/>
  <c r="BA72" i="1"/>
  <c r="BA73" i="1"/>
  <c r="BA74" i="1"/>
  <c r="BA134" i="1"/>
  <c r="BA143" i="1"/>
  <c r="BA144" i="1"/>
  <c r="BA176" i="1"/>
  <c r="BA3" i="1"/>
  <c r="BA4" i="1"/>
  <c r="BA5" i="1"/>
  <c r="BA7" i="1"/>
  <c r="BA6" i="1"/>
  <c r="BA8" i="1"/>
  <c r="BA12" i="1"/>
  <c r="BA22" i="1"/>
  <c r="BA20" i="1"/>
  <c r="BA25" i="1"/>
  <c r="BA29" i="1"/>
  <c r="BA30" i="1"/>
  <c r="BA31" i="1"/>
  <c r="BA32" i="1"/>
  <c r="BA21" i="1"/>
  <c r="BA27" i="1"/>
  <c r="BA17" i="1"/>
  <c r="BA18" i="1"/>
  <c r="BA19" i="1"/>
  <c r="BA24" i="1"/>
  <c r="BA26" i="1"/>
  <c r="BA28" i="1"/>
  <c r="BA23" i="1"/>
  <c r="BA16" i="1"/>
  <c r="BA15" i="1"/>
  <c r="BA36" i="1"/>
  <c r="BA37" i="1"/>
  <c r="BA38" i="1"/>
  <c r="BA39" i="1"/>
  <c r="BA42" i="1"/>
  <c r="BA43" i="1"/>
  <c r="BA44" i="1"/>
  <c r="BA45" i="1"/>
  <c r="BA46" i="1"/>
  <c r="BA47" i="1"/>
  <c r="BA48" i="1"/>
  <c r="BA49" i="1"/>
  <c r="BA50" i="1"/>
  <c r="BA51" i="1"/>
  <c r="BA54" i="1"/>
  <c r="BA55" i="1"/>
  <c r="BA57" i="1"/>
  <c r="BA58" i="1"/>
  <c r="BA53" i="1"/>
  <c r="BA60" i="1"/>
  <c r="BA56" i="1"/>
  <c r="BA52" i="1"/>
  <c r="BA61" i="1"/>
  <c r="BA59" i="1"/>
  <c r="BA62" i="1"/>
  <c r="BA76" i="1"/>
  <c r="BA69" i="1"/>
  <c r="BA63" i="1"/>
  <c r="BA75" i="1"/>
  <c r="BA64" i="1"/>
  <c r="BA65" i="1"/>
  <c r="BA66" i="1"/>
  <c r="BA67" i="1"/>
  <c r="BA77" i="1"/>
  <c r="BA79" i="1"/>
  <c r="BA80" i="1"/>
  <c r="BA78" i="1"/>
  <c r="BA87" i="1"/>
  <c r="BA88" i="1"/>
  <c r="BA89" i="1"/>
  <c r="BA90" i="1"/>
  <c r="BA93" i="1"/>
  <c r="BA95" i="1"/>
  <c r="BA96" i="1"/>
  <c r="BA97" i="1"/>
  <c r="BA180" i="1"/>
  <c r="BA184" i="1"/>
  <c r="BA183" i="1"/>
  <c r="BA182" i="1"/>
  <c r="BA181" i="1"/>
  <c r="BA100" i="1"/>
  <c r="BA101" i="1"/>
  <c r="BA103" i="1"/>
  <c r="BA102" i="1"/>
  <c r="BA104" i="1"/>
  <c r="BA105" i="1"/>
  <c r="BA108" i="1"/>
  <c r="BA107" i="1"/>
  <c r="BA106" i="1"/>
  <c r="BA109" i="1"/>
  <c r="BA110" i="1"/>
  <c r="BA185" i="1"/>
  <c r="BA187" i="1"/>
  <c r="BA186" i="1"/>
  <c r="BA188" i="1"/>
  <c r="BA197" i="1"/>
  <c r="BA198" i="1"/>
  <c r="BA199" i="1"/>
  <c r="BA200" i="1"/>
  <c r="BA201" i="1"/>
  <c r="BA202" i="1"/>
  <c r="BA113" i="1"/>
  <c r="BA114" i="1"/>
  <c r="BA115" i="1"/>
  <c r="BA116" i="1"/>
  <c r="BA117" i="1"/>
  <c r="BA118" i="1"/>
  <c r="BA119" i="1"/>
  <c r="BA120" i="1"/>
  <c r="BA123" i="1"/>
  <c r="BA122" i="1"/>
  <c r="BA121" i="1"/>
  <c r="BA125" i="1"/>
  <c r="BA126" i="1"/>
  <c r="BA127" i="1"/>
  <c r="BA128" i="1"/>
  <c r="BA129" i="1"/>
  <c r="BA130" i="1"/>
  <c r="BA131" i="1"/>
  <c r="BA132" i="1"/>
  <c r="BA133" i="1"/>
  <c r="BA135" i="1"/>
  <c r="BA137" i="1"/>
  <c r="BA136" i="1"/>
  <c r="BA138" i="1"/>
  <c r="BA139" i="1"/>
  <c r="BA146" i="1"/>
  <c r="BA147" i="1"/>
  <c r="BA148" i="1"/>
  <c r="BA140" i="1"/>
  <c r="BA141" i="1"/>
  <c r="BA151" i="1"/>
  <c r="BA152" i="1"/>
  <c r="BA153" i="1"/>
  <c r="BA154" i="1"/>
  <c r="BA155" i="1"/>
  <c r="BA156" i="1"/>
  <c r="BA157" i="1"/>
  <c r="BA158" i="1"/>
  <c r="BA159" i="1"/>
  <c r="BA160" i="1"/>
  <c r="BA162" i="1"/>
  <c r="BA161" i="1"/>
  <c r="BA163" i="1"/>
  <c r="BA164" i="1"/>
  <c r="BA165" i="1"/>
  <c r="BA166" i="1"/>
  <c r="BA167" i="1"/>
  <c r="BA168" i="1"/>
  <c r="BA173" i="1"/>
  <c r="BA174" i="1"/>
  <c r="BA203" i="1"/>
  <c r="BA205" i="1"/>
  <c r="BA204" i="1"/>
  <c r="BA207" i="1"/>
  <c r="BA208" i="1"/>
  <c r="BA209" i="1"/>
  <c r="BA210" i="1"/>
  <c r="BA206" i="1"/>
  <c r="BA175" i="1"/>
  <c r="BA14" i="1"/>
  <c r="AZ14" i="1"/>
  <c r="G3" i="2"/>
  <c r="K3" i="2"/>
  <c r="T3" i="2"/>
  <c r="U3" i="2"/>
  <c r="V3" i="2"/>
  <c r="W3" i="2"/>
  <c r="AA3" i="2"/>
  <c r="H82" i="5"/>
  <c r="I82" i="5"/>
  <c r="AD3" i="2"/>
  <c r="AE3" i="2"/>
  <c r="L82" i="5"/>
  <c r="AF3" i="2"/>
  <c r="AG3" i="2"/>
  <c r="AH3" i="2"/>
  <c r="AI3" i="2"/>
  <c r="AJ3" i="2"/>
  <c r="N82" i="5"/>
  <c r="O82" i="5"/>
  <c r="AK3" i="2"/>
  <c r="AL3" i="2"/>
  <c r="AM3" i="2"/>
  <c r="AZ88" i="1"/>
  <c r="BB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BC88" i="1"/>
  <c r="CS88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C87" i="1"/>
  <c r="BB87" i="1"/>
  <c r="AZ87" i="1"/>
  <c r="BB144" i="1"/>
  <c r="BB4" i="1"/>
  <c r="BB8" i="1"/>
  <c r="BB141" i="1"/>
  <c r="BB143" i="1"/>
  <c r="BB146" i="1"/>
  <c r="BB147" i="1"/>
  <c r="BB148" i="1"/>
  <c r="BB151" i="1"/>
  <c r="BB27" i="1"/>
  <c r="BB28" i="1"/>
  <c r="BB29" i="1"/>
  <c r="BB30" i="1"/>
  <c r="BB31" i="1"/>
  <c r="BB32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9" i="1"/>
  <c r="BB90" i="1"/>
  <c r="BB93" i="1"/>
  <c r="BB95" i="1"/>
  <c r="BB96" i="1"/>
  <c r="BB97" i="1"/>
  <c r="BB180" i="1"/>
  <c r="BB181" i="1"/>
  <c r="BB182" i="1"/>
  <c r="BB183" i="1"/>
  <c r="BB184" i="1"/>
  <c r="BB100" i="1"/>
  <c r="BB101" i="1"/>
  <c r="BB102" i="1"/>
  <c r="BB103" i="1"/>
  <c r="BB104" i="1"/>
  <c r="BB105" i="1"/>
  <c r="BB106" i="1"/>
  <c r="BB107" i="1"/>
  <c r="BB108" i="1"/>
  <c r="BB109" i="1"/>
  <c r="BB110" i="1"/>
  <c r="BB185" i="1"/>
  <c r="BB186" i="1"/>
  <c r="BB187" i="1"/>
  <c r="BB188" i="1"/>
  <c r="BB197" i="1"/>
  <c r="BB198" i="1"/>
  <c r="BB199" i="1"/>
  <c r="BB200" i="1"/>
  <c r="BB201" i="1"/>
  <c r="BB202" i="1"/>
  <c r="BB113" i="1"/>
  <c r="BB114" i="1"/>
  <c r="BB115" i="1"/>
  <c r="BB116" i="1"/>
  <c r="BB117" i="1"/>
  <c r="BB118" i="1"/>
  <c r="BB119" i="1"/>
  <c r="BB120" i="1"/>
  <c r="BB121" i="1"/>
  <c r="BB122" i="1"/>
  <c r="BB123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24" i="1"/>
  <c r="BB25" i="1"/>
  <c r="BB26" i="1"/>
  <c r="AZ24" i="1"/>
  <c r="AZ143" i="1"/>
  <c r="AZ144" i="1"/>
  <c r="AZ146" i="1"/>
  <c r="AZ147" i="1"/>
  <c r="AZ148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BU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U140" i="1"/>
  <c r="BV140" i="1"/>
  <c r="BW140" i="1"/>
  <c r="BX140" i="1"/>
  <c r="BY140" i="1"/>
  <c r="BZ140" i="1"/>
  <c r="CA140" i="1"/>
  <c r="CB140" i="1"/>
  <c r="CC140" i="1"/>
  <c r="CD140" i="1"/>
  <c r="CE140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BC108" i="1"/>
  <c r="BC107" i="1"/>
  <c r="BC23" i="1"/>
  <c r="BC61" i="1"/>
  <c r="BC148" i="1"/>
  <c r="BC188" i="1"/>
  <c r="AJ47" i="2"/>
  <c r="AJ43" i="2"/>
  <c r="AJ44" i="2"/>
  <c r="AJ23" i="2"/>
  <c r="AJ9" i="2"/>
  <c r="AJ25" i="2"/>
  <c r="AJ14" i="2"/>
  <c r="AJ13" i="2"/>
  <c r="AJ7" i="2"/>
  <c r="AJ10" i="2"/>
  <c r="AJ8" i="2"/>
  <c r="AJ24" i="2"/>
  <c r="AJ34" i="2"/>
  <c r="AJ35" i="2"/>
  <c r="AJ33" i="2"/>
  <c r="AJ4" i="2"/>
  <c r="AJ5" i="2"/>
  <c r="AJ26" i="2"/>
  <c r="AJ12" i="2"/>
  <c r="AJ6" i="2"/>
  <c r="AJ30" i="2"/>
  <c r="AJ31" i="2"/>
  <c r="AJ29" i="2"/>
  <c r="AJ32" i="2"/>
  <c r="AJ28" i="2"/>
  <c r="AJ40" i="2"/>
  <c r="AJ36" i="2"/>
  <c r="AJ37" i="2"/>
  <c r="AJ27" i="2"/>
  <c r="AJ2" i="2"/>
  <c r="AJ39" i="2"/>
  <c r="AJ21" i="2"/>
  <c r="AJ15" i="2"/>
  <c r="AJ19" i="2"/>
  <c r="AJ22" i="2"/>
  <c r="AJ20" i="2"/>
  <c r="AJ38" i="2"/>
  <c r="AJ49" i="2"/>
  <c r="AJ18" i="2"/>
  <c r="AJ48" i="2"/>
  <c r="AE259" i="4"/>
  <c r="AE272" i="4"/>
  <c r="AE269" i="4"/>
  <c r="AE290" i="4"/>
  <c r="AE295" i="4"/>
  <c r="AE273" i="4"/>
  <c r="AE275" i="4"/>
  <c r="AE291" i="4"/>
  <c r="AE274" i="4"/>
  <c r="AE267" i="4"/>
  <c r="AE263" i="4"/>
  <c r="AE2" i="4"/>
  <c r="AE287" i="4"/>
  <c r="AE278" i="4"/>
  <c r="AE280" i="4"/>
  <c r="AE285" i="4"/>
  <c r="AE289" i="4"/>
  <c r="AE3" i="4"/>
  <c r="AE277" i="4"/>
  <c r="AE279" i="4"/>
  <c r="AE283" i="4"/>
  <c r="AE284" i="4"/>
  <c r="AE5" i="4"/>
  <c r="AE4" i="4"/>
  <c r="AE288" i="4"/>
  <c r="AE286" i="4"/>
  <c r="AE8" i="4"/>
  <c r="AE292" i="4"/>
  <c r="AE293" i="4"/>
  <c r="AE271" i="4"/>
  <c r="AE266" i="4"/>
  <c r="AE7" i="4"/>
  <c r="AE6" i="4"/>
  <c r="AE10" i="4"/>
  <c r="AE11" i="4"/>
  <c r="AE30" i="4"/>
  <c r="AE33" i="4"/>
  <c r="AE17" i="4"/>
  <c r="AE18" i="4"/>
  <c r="AE32" i="4"/>
  <c r="AE31" i="4"/>
  <c r="AE15" i="4"/>
  <c r="AE25" i="4"/>
  <c r="AE9" i="4"/>
  <c r="AE26" i="4"/>
  <c r="AE20" i="4"/>
  <c r="AE24" i="4"/>
  <c r="AE19" i="4"/>
  <c r="AE35" i="4"/>
  <c r="AE34" i="4"/>
  <c r="AE14" i="4"/>
  <c r="AE23" i="4"/>
  <c r="AE12" i="4"/>
  <c r="AE276" i="4"/>
  <c r="AE13" i="4"/>
  <c r="AE27" i="4"/>
  <c r="AE28" i="4"/>
  <c r="AE29" i="4"/>
  <c r="AE16" i="4"/>
  <c r="AE21" i="4"/>
  <c r="AE22" i="4"/>
  <c r="AE181" i="4"/>
  <c r="AE182" i="4"/>
  <c r="AE184" i="4"/>
  <c r="AE185" i="4"/>
  <c r="AE140" i="4"/>
  <c r="AE135" i="4"/>
  <c r="AE147" i="4"/>
  <c r="AE127" i="4"/>
  <c r="AE131" i="4"/>
  <c r="AE146" i="4"/>
  <c r="AE52" i="4"/>
  <c r="AE90" i="4"/>
  <c r="AE50" i="4"/>
  <c r="AE116" i="4"/>
  <c r="AE93" i="4"/>
  <c r="AE125" i="4"/>
  <c r="AE91" i="4"/>
  <c r="AE82" i="4"/>
  <c r="AE84" i="4"/>
  <c r="AE249" i="4"/>
  <c r="AE80" i="4"/>
  <c r="AE51" i="4"/>
  <c r="AE48" i="4"/>
  <c r="AE169" i="4"/>
  <c r="AE170" i="4"/>
  <c r="AE232" i="4"/>
  <c r="AE89" i="4"/>
  <c r="AE96" i="4"/>
  <c r="AE103" i="4"/>
  <c r="AE94" i="4"/>
  <c r="AE221" i="4"/>
  <c r="AE79" i="4"/>
  <c r="AE81" i="4"/>
  <c r="AE231" i="4"/>
  <c r="AE234" i="4"/>
  <c r="AE237" i="4"/>
  <c r="AE202" i="4"/>
  <c r="AE233" i="4"/>
  <c r="AE166" i="4"/>
  <c r="AE167" i="4"/>
  <c r="AE236" i="4"/>
  <c r="AE178" i="4"/>
  <c r="AE137" i="4"/>
  <c r="AE115" i="4"/>
  <c r="AE165" i="4"/>
  <c r="AE235" i="4"/>
  <c r="AE130" i="4"/>
  <c r="AE76" i="4"/>
  <c r="AE104" i="4"/>
  <c r="AE123" i="4"/>
  <c r="AE138" i="4"/>
  <c r="AE180" i="4"/>
  <c r="AE75" i="4"/>
  <c r="AE102" i="4"/>
  <c r="AE133" i="4"/>
  <c r="AE230" i="4"/>
  <c r="AE101" i="4"/>
  <c r="AE265" i="4"/>
  <c r="AE129" i="4"/>
  <c r="AE143" i="4"/>
  <c r="AE157" i="4"/>
  <c r="AE158" i="4"/>
  <c r="AE197" i="4"/>
  <c r="AE206" i="4"/>
  <c r="AE207" i="4"/>
  <c r="AE212" i="4"/>
  <c r="AE227" i="4"/>
  <c r="AE85" i="4"/>
  <c r="AE121" i="4"/>
  <c r="AE156" i="4"/>
  <c r="AE211" i="4"/>
  <c r="AE117" i="4"/>
  <c r="AE210" i="4"/>
  <c r="AE73" i="4"/>
  <c r="AE128" i="4"/>
  <c r="AE228" i="4"/>
  <c r="AE108" i="4"/>
  <c r="AE209" i="4"/>
  <c r="AE215" i="4"/>
  <c r="AE72" i="4"/>
  <c r="AE124" i="4"/>
  <c r="AE139" i="4"/>
  <c r="AE176" i="4"/>
  <c r="AE109" i="4"/>
  <c r="AE110" i="4"/>
  <c r="AE112" i="4"/>
  <c r="AE187" i="4"/>
  <c r="AE188" i="4"/>
  <c r="AE189" i="4"/>
  <c r="AE160" i="4"/>
  <c r="AE240" i="4"/>
  <c r="AE242" i="4"/>
  <c r="AE74" i="4"/>
  <c r="AE155" i="4"/>
  <c r="AE177" i="4"/>
  <c r="AE161" i="4"/>
  <c r="AE241" i="4"/>
  <c r="AE198" i="4"/>
  <c r="AE239" i="4"/>
  <c r="AE243" i="4"/>
  <c r="AE245" i="4"/>
  <c r="AE132" i="4"/>
  <c r="AE248" i="4"/>
  <c r="AE149" i="4"/>
  <c r="AE246" i="4"/>
  <c r="AE119" i="4"/>
  <c r="AE224" i="4"/>
  <c r="AE69" i="4"/>
  <c r="AE61" i="4"/>
  <c r="AE62" i="4"/>
  <c r="AE151" i="4"/>
  <c r="AE66" i="4"/>
  <c r="AE38" i="4"/>
  <c r="AE39" i="4"/>
  <c r="AE40" i="4"/>
  <c r="AE111" i="4"/>
  <c r="AE36" i="4"/>
  <c r="AE63" i="4"/>
  <c r="AE64" i="4"/>
  <c r="AE113" i="4"/>
  <c r="AE58" i="4"/>
  <c r="AE55" i="4"/>
  <c r="AE77" i="4"/>
  <c r="AE179" i="4"/>
  <c r="AE105" i="4"/>
  <c r="AE136" i="4"/>
  <c r="AE191" i="4"/>
  <c r="AE229" i="4"/>
  <c r="AE172" i="4"/>
  <c r="AE217" i="4"/>
  <c r="AE126" i="4"/>
  <c r="AE86" i="4"/>
  <c r="AE114" i="4"/>
  <c r="AE244" i="4"/>
  <c r="AE60" i="4"/>
  <c r="AE183" i="4"/>
  <c r="AE262" i="4"/>
  <c r="AE220" i="4"/>
  <c r="AE71" i="4"/>
  <c r="AE190" i="4"/>
  <c r="AE145" i="4"/>
  <c r="AE134" i="4"/>
  <c r="AE78" i="4"/>
  <c r="AE218" i="4"/>
  <c r="AE87" i="4"/>
  <c r="AE144" i="4"/>
  <c r="AE214" i="4"/>
  <c r="AE46" i="4"/>
  <c r="AE65" i="4"/>
  <c r="AE106" i="4"/>
  <c r="AE153" i="4"/>
  <c r="AE171" i="4"/>
  <c r="AE193" i="4"/>
  <c r="AE122" i="4"/>
  <c r="AE152" i="4"/>
  <c r="AE192" i="4"/>
  <c r="AE45" i="4"/>
  <c r="AE47" i="4"/>
  <c r="AE41" i="4"/>
  <c r="AE43" i="4"/>
  <c r="AE95" i="4"/>
  <c r="AE270" i="4"/>
  <c r="AE142" i="4"/>
  <c r="AE194" i="4"/>
  <c r="AE148" i="4"/>
  <c r="AE196" i="4"/>
  <c r="AE118" i="4"/>
  <c r="AE238" i="4"/>
  <c r="AE225" i="4"/>
  <c r="AE223" i="4"/>
  <c r="AE222" i="4"/>
  <c r="AE120" i="4"/>
  <c r="AE174" i="4"/>
  <c r="AE226" i="4"/>
  <c r="AE97" i="4"/>
  <c r="AE59" i="4"/>
  <c r="AE175" i="4"/>
  <c r="AE186" i="4"/>
  <c r="AE173" i="4"/>
  <c r="AE219" i="4"/>
  <c r="AE162" i="4"/>
  <c r="AE163" i="4"/>
  <c r="AE164" i="4"/>
  <c r="AE107" i="4"/>
  <c r="AE168" i="4"/>
  <c r="AE247" i="4"/>
  <c r="AE268" i="4"/>
  <c r="AE83" i="4"/>
  <c r="AE92" i="4"/>
  <c r="AE49" i="4"/>
  <c r="AE88" i="4"/>
  <c r="AE199" i="4"/>
  <c r="AE203" i="4"/>
  <c r="AE204" i="4"/>
  <c r="AE200" i="4"/>
  <c r="AE201" i="4"/>
  <c r="AE100" i="4"/>
  <c r="AE208" i="4"/>
  <c r="AE216" i="4"/>
  <c r="AE70" i="4"/>
  <c r="AE213" i="4"/>
  <c r="AE68" i="4"/>
  <c r="AE67" i="4"/>
  <c r="AE37" i="4"/>
  <c r="AE53" i="4"/>
  <c r="AE54" i="4"/>
  <c r="AE57" i="4"/>
  <c r="AE159" i="4"/>
  <c r="AE56" i="4"/>
  <c r="AE98" i="4"/>
  <c r="AE205" i="4"/>
  <c r="AE42" i="4"/>
  <c r="AE195" i="4"/>
  <c r="AE250" i="4"/>
  <c r="AE264" i="4"/>
  <c r="AE254" i="4"/>
  <c r="AE99" i="4"/>
  <c r="AE141" i="4"/>
  <c r="AE251" i="4"/>
  <c r="AE255" i="4"/>
  <c r="AE44" i="4"/>
  <c r="AE253" i="4"/>
  <c r="AE252" i="4"/>
  <c r="AE154" i="4"/>
  <c r="AE257" i="4"/>
  <c r="AE281" i="4"/>
  <c r="AE282" i="4"/>
  <c r="AE256" i="4"/>
  <c r="AE258" i="4"/>
  <c r="AE260" i="4"/>
  <c r="AE294" i="4"/>
  <c r="AE150" i="4"/>
  <c r="AE310" i="4"/>
  <c r="AE299" i="4"/>
  <c r="AE296" i="4"/>
  <c r="AE297" i="4"/>
  <c r="AE300" i="4"/>
  <c r="AE305" i="4"/>
  <c r="AE308" i="4"/>
  <c r="AE309" i="4"/>
  <c r="AE301" i="4"/>
  <c r="AE302" i="4"/>
  <c r="AE303" i="4"/>
  <c r="AE307" i="4"/>
  <c r="AE306" i="4"/>
  <c r="AE298" i="4"/>
  <c r="AE304" i="4"/>
  <c r="AE339" i="4"/>
  <c r="AE315" i="4"/>
  <c r="AE316" i="4"/>
  <c r="AE343" i="4"/>
  <c r="AE341" i="4"/>
  <c r="AE342" i="4"/>
  <c r="AE317" i="4"/>
  <c r="AE335" i="4"/>
  <c r="AE336" i="4"/>
  <c r="AE337" i="4"/>
  <c r="AE338" i="4"/>
  <c r="AE318" i="4"/>
  <c r="AE344" i="4"/>
  <c r="AE340" i="4"/>
  <c r="AE328" i="4"/>
  <c r="AE331" i="4"/>
  <c r="AE329" i="4"/>
  <c r="AE333" i="4"/>
  <c r="AE330" i="4"/>
  <c r="AE332" i="4"/>
  <c r="AE334" i="4"/>
  <c r="AE325" i="4"/>
  <c r="AE326" i="4"/>
  <c r="AE323" i="4"/>
  <c r="AE324" i="4"/>
  <c r="AE327" i="4"/>
  <c r="AE319" i="4"/>
  <c r="AE320" i="4"/>
  <c r="AE321" i="4"/>
  <c r="AE322" i="4"/>
  <c r="AE314" i="4"/>
  <c r="AE312" i="4"/>
  <c r="AE313" i="4"/>
  <c r="AE349" i="4"/>
  <c r="AE350" i="4"/>
  <c r="AE351" i="4"/>
  <c r="AE352" i="4"/>
  <c r="AE353" i="4"/>
  <c r="AE363" i="4"/>
  <c r="AE347" i="4"/>
  <c r="AE354" i="4"/>
  <c r="AE348" i="4"/>
  <c r="AE345" i="4"/>
  <c r="AE356" i="4"/>
  <c r="AE357" i="4"/>
  <c r="AE358" i="4"/>
  <c r="AE360" i="4"/>
  <c r="AE361" i="4"/>
  <c r="AE362" i="4"/>
  <c r="AE346" i="4"/>
  <c r="AE364" i="4"/>
  <c r="AE365" i="4"/>
  <c r="AE366" i="4"/>
  <c r="AE355" i="4"/>
  <c r="AE359" i="4"/>
  <c r="AE372" i="4"/>
  <c r="AE368" i="4"/>
  <c r="AE376" i="4"/>
  <c r="AE367" i="4"/>
  <c r="AE369" i="4"/>
  <c r="AE371" i="4"/>
  <c r="AE374" i="4"/>
  <c r="AE370" i="4"/>
  <c r="AE373" i="4"/>
  <c r="AE375" i="4"/>
  <c r="AE377" i="4"/>
  <c r="AE380" i="4"/>
  <c r="AE382" i="4"/>
  <c r="AE381" i="4"/>
  <c r="AE378" i="4"/>
  <c r="AE379" i="4"/>
  <c r="AE386" i="4"/>
  <c r="AE401" i="4"/>
  <c r="AE404" i="4"/>
  <c r="AE387" i="4"/>
  <c r="AE388" i="4"/>
  <c r="AE389" i="4"/>
  <c r="AE390" i="4"/>
  <c r="AE396" i="4"/>
  <c r="AE398" i="4"/>
  <c r="AE399" i="4"/>
  <c r="AE403" i="4"/>
  <c r="AE397" i="4"/>
  <c r="AE385" i="4"/>
  <c r="AE383" i="4"/>
  <c r="AE384" i="4"/>
  <c r="AE392" i="4"/>
  <c r="AE393" i="4"/>
  <c r="AE394" i="4"/>
  <c r="AE395" i="4"/>
  <c r="AE400" i="4"/>
  <c r="AE402" i="4"/>
  <c r="AE405" i="4"/>
  <c r="AE406" i="4"/>
  <c r="AE407" i="4"/>
  <c r="AE391" i="4"/>
  <c r="AE261" i="4"/>
  <c r="AD250" i="4"/>
  <c r="BC118" i="5"/>
  <c r="B7" i="3"/>
  <c r="C7" i="3"/>
  <c r="E7" i="3"/>
  <c r="B8" i="3"/>
  <c r="C8" i="3"/>
  <c r="E8" i="3"/>
  <c r="I8" i="3"/>
  <c r="J8" i="3"/>
  <c r="G2" i="2"/>
  <c r="K2" i="2"/>
  <c r="T2" i="2"/>
  <c r="U2" i="2"/>
  <c r="V2" i="2"/>
  <c r="W2" i="2"/>
  <c r="AA2" i="2"/>
  <c r="H28" i="5"/>
  <c r="I28" i="5"/>
  <c r="AD2" i="2"/>
  <c r="AE2" i="2"/>
  <c r="L28" i="5"/>
  <c r="AF2" i="2"/>
  <c r="AG2" i="2"/>
  <c r="AH2" i="2"/>
  <c r="AI2" i="2"/>
  <c r="N28" i="5"/>
  <c r="O28" i="5"/>
  <c r="AK2" i="2"/>
  <c r="AL2" i="2"/>
  <c r="AM2" i="2"/>
  <c r="D67" i="6"/>
  <c r="D204" i="6"/>
  <c r="D90" i="6"/>
  <c r="D91" i="6"/>
  <c r="D98" i="6"/>
  <c r="D100" i="6"/>
  <c r="D107" i="6"/>
  <c r="D109" i="6"/>
  <c r="D117" i="6"/>
  <c r="D123" i="6"/>
  <c r="D124" i="6"/>
  <c r="D125" i="6"/>
  <c r="D158" i="6"/>
  <c r="D163" i="6"/>
  <c r="D139" i="6"/>
  <c r="D166" i="6"/>
  <c r="D126" i="6"/>
  <c r="D142" i="6"/>
  <c r="D57" i="6"/>
  <c r="D14" i="6"/>
  <c r="D127" i="6"/>
  <c r="D242" i="6"/>
  <c r="D79" i="6"/>
  <c r="D113" i="6"/>
  <c r="D152" i="6"/>
  <c r="D143" i="6"/>
  <c r="D216" i="6"/>
  <c r="D199" i="6"/>
  <c r="D217" i="6"/>
  <c r="D128" i="6"/>
  <c r="D201" i="6"/>
  <c r="D146" i="6"/>
  <c r="D147" i="6"/>
  <c r="D148" i="6"/>
  <c r="D279" i="6"/>
  <c r="D226" i="6"/>
  <c r="D227" i="6"/>
  <c r="D228" i="6"/>
  <c r="D295" i="6"/>
  <c r="D157" i="6"/>
  <c r="D103" i="6"/>
  <c r="D222" i="6"/>
  <c r="D210" i="6"/>
  <c r="D212" i="6"/>
  <c r="D198" i="6"/>
  <c r="D232" i="6"/>
  <c r="D151" i="6"/>
  <c r="D176" i="6"/>
  <c r="D169" i="6"/>
  <c r="D170" i="6"/>
  <c r="D214" i="6"/>
  <c r="D257" i="6"/>
  <c r="D205" i="6"/>
  <c r="D206" i="6"/>
  <c r="D258" i="6"/>
  <c r="D234" i="6"/>
  <c r="D218" i="6"/>
  <c r="D200" i="6"/>
  <c r="D202" i="6"/>
  <c r="D224" i="6"/>
  <c r="D278" i="6"/>
  <c r="D44" i="6"/>
  <c r="D207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0" i="6"/>
  <c r="D71" i="6"/>
  <c r="D99" i="6"/>
  <c r="D101" i="6"/>
  <c r="D115" i="6"/>
  <c r="D116" i="6"/>
  <c r="D164" i="6"/>
  <c r="D165" i="6"/>
  <c r="D194" i="6"/>
  <c r="D141" i="6"/>
  <c r="D196" i="6"/>
  <c r="D77" i="6"/>
  <c r="D273" i="6"/>
  <c r="D213" i="6"/>
  <c r="D261" i="6"/>
  <c r="D175" i="6"/>
  <c r="D243" i="6"/>
  <c r="D144" i="6"/>
  <c r="D145" i="6"/>
  <c r="D219" i="6"/>
  <c r="D220" i="6"/>
  <c r="D221" i="6"/>
  <c r="D223" i="6"/>
  <c r="D203" i="6"/>
  <c r="D83" i="6"/>
  <c r="D171" i="6"/>
  <c r="D172" i="6"/>
  <c r="D182" i="6"/>
  <c r="D183" i="6"/>
  <c r="D86" i="6"/>
  <c r="D70" i="6"/>
  <c r="D106" i="6"/>
  <c r="D96" i="6"/>
  <c r="D97" i="6"/>
  <c r="D108" i="6"/>
  <c r="D110" i="6"/>
  <c r="D111" i="6"/>
  <c r="D112" i="6"/>
  <c r="D259" i="6"/>
  <c r="D235" i="6"/>
  <c r="D236" i="6"/>
  <c r="D277" i="6"/>
  <c r="D155" i="6"/>
  <c r="D84" i="6"/>
  <c r="D156" i="6"/>
  <c r="D181" i="6"/>
  <c r="D173" i="6"/>
  <c r="D209" i="6"/>
  <c r="D134" i="6"/>
  <c r="D59" i="6"/>
  <c r="D215" i="6"/>
  <c r="D177" i="6"/>
  <c r="D153" i="6"/>
  <c r="D249" i="6"/>
  <c r="D276" i="6"/>
  <c r="D179" i="6"/>
  <c r="D39" i="6"/>
  <c r="D104" i="6"/>
  <c r="D31" i="6"/>
  <c r="D195" i="6"/>
  <c r="D24" i="6"/>
  <c r="D38" i="6"/>
  <c r="D25" i="6"/>
  <c r="D118" i="6"/>
  <c r="D120" i="6"/>
  <c r="D26" i="6"/>
  <c r="D32" i="6"/>
  <c r="D188" i="6"/>
  <c r="D33" i="6"/>
  <c r="D184" i="6"/>
  <c r="D187" i="6"/>
  <c r="D190" i="6"/>
  <c r="D193" i="6"/>
  <c r="D255" i="6"/>
  <c r="D265" i="6"/>
  <c r="D35" i="6"/>
  <c r="D287" i="6"/>
  <c r="D267" i="6"/>
  <c r="D268" i="6"/>
  <c r="D63" i="6"/>
  <c r="D60" i="6"/>
  <c r="D61" i="6"/>
  <c r="D15" i="6"/>
  <c r="D36" i="6"/>
  <c r="D130" i="6"/>
  <c r="D269" i="6"/>
  <c r="D13" i="6"/>
  <c r="D233" i="6"/>
  <c r="D159" i="6"/>
  <c r="D272" i="6"/>
  <c r="D253" i="6"/>
  <c r="D254" i="6"/>
  <c r="D225" i="6"/>
  <c r="D149" i="6"/>
  <c r="D266" i="6"/>
  <c r="D122" i="6"/>
  <c r="D180" i="6"/>
  <c r="D133" i="6"/>
  <c r="D260" i="6"/>
  <c r="D27" i="6"/>
  <c r="D28" i="6"/>
  <c r="D29" i="6"/>
  <c r="D30" i="6"/>
  <c r="D280" i="6"/>
  <c r="D281" i="6"/>
  <c r="D74" i="6"/>
  <c r="D282" i="6"/>
  <c r="D75" i="6"/>
  <c r="D76" i="6"/>
  <c r="D135" i="6"/>
  <c r="D283" i="6"/>
  <c r="D119" i="6"/>
  <c r="D78" i="6"/>
  <c r="D136" i="6"/>
  <c r="D137" i="6"/>
  <c r="D138" i="6"/>
  <c r="D241" i="6"/>
  <c r="D284" i="6"/>
  <c r="D285" i="6"/>
  <c r="D34" i="6"/>
  <c r="D150" i="6"/>
  <c r="D154" i="6"/>
  <c r="D161" i="6"/>
  <c r="D167" i="6"/>
  <c r="D168" i="6"/>
  <c r="D178" i="6"/>
  <c r="D229" i="6"/>
  <c r="D288" i="6"/>
  <c r="D289" i="6"/>
  <c r="D290" i="6"/>
  <c r="D291" i="6"/>
  <c r="D292" i="6"/>
  <c r="D293" i="6"/>
  <c r="D274" i="6"/>
  <c r="D250" i="6"/>
  <c r="D129" i="6"/>
  <c r="D271" i="6"/>
  <c r="D252" i="6"/>
  <c r="D275" i="6"/>
  <c r="D237" i="6"/>
  <c r="D245" i="6"/>
  <c r="D246" i="6"/>
  <c r="D162" i="6"/>
  <c r="D256" i="6"/>
  <c r="D12" i="6"/>
  <c r="D211" i="6"/>
  <c r="D251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1" i="6"/>
  <c r="D105" i="6"/>
  <c r="D54" i="6"/>
  <c r="D55" i="6"/>
  <c r="D56" i="6"/>
  <c r="D131" i="6"/>
  <c r="D294" i="6"/>
  <c r="D208" i="6"/>
  <c r="D46" i="6"/>
  <c r="D197" i="6"/>
  <c r="D58" i="6"/>
  <c r="D248" i="6"/>
  <c r="D81" i="6"/>
  <c r="D262" i="6"/>
  <c r="D160" i="6"/>
  <c r="D286" i="6"/>
  <c r="D82" i="6"/>
  <c r="D185" i="6"/>
  <c r="D189" i="6"/>
  <c r="D263" i="6"/>
  <c r="D264" i="6"/>
  <c r="D16" i="6"/>
  <c r="D18" i="6"/>
  <c r="D19" i="6"/>
  <c r="D20" i="6"/>
  <c r="D102" i="6"/>
  <c r="D8" i="6"/>
  <c r="D140" i="6"/>
  <c r="D174" i="6"/>
  <c r="D73" i="6"/>
  <c r="D270" i="6"/>
  <c r="D238" i="6"/>
  <c r="D239" i="6"/>
  <c r="D240" i="6"/>
  <c r="D244" i="6"/>
  <c r="D247" i="6"/>
  <c r="D186" i="6"/>
  <c r="D191" i="6"/>
  <c r="D192" i="6"/>
  <c r="D17" i="6"/>
  <c r="D132" i="6"/>
  <c r="D121" i="6"/>
  <c r="D80" i="6"/>
  <c r="D37" i="6"/>
  <c r="D40" i="6"/>
  <c r="D41" i="6"/>
  <c r="D42" i="6"/>
  <c r="D45" i="6"/>
  <c r="D43" i="6"/>
  <c r="D301" i="6"/>
  <c r="D302" i="6"/>
  <c r="D303" i="6"/>
  <c r="D304" i="6"/>
  <c r="D297" i="6"/>
  <c r="D298" i="6"/>
  <c r="D299" i="6"/>
  <c r="D310" i="6"/>
  <c r="D296" i="6"/>
  <c r="D300" i="6"/>
  <c r="D309" i="6"/>
  <c r="D305" i="6"/>
  <c r="D306" i="6"/>
  <c r="D307" i="6"/>
  <c r="D308" i="6"/>
  <c r="D324" i="6"/>
  <c r="D325" i="6"/>
  <c r="D326" i="6"/>
  <c r="D312" i="6"/>
  <c r="D313" i="6"/>
  <c r="D314" i="6"/>
  <c r="D317" i="6"/>
  <c r="D322" i="6"/>
  <c r="D344" i="6"/>
  <c r="D323" i="6"/>
  <c r="D327" i="6"/>
  <c r="D339" i="6"/>
  <c r="D340" i="6"/>
  <c r="D315" i="6"/>
  <c r="D316" i="6"/>
  <c r="D318" i="6"/>
  <c r="D319" i="6"/>
  <c r="D320" i="6"/>
  <c r="D321" i="6"/>
  <c r="D328" i="6"/>
  <c r="D329" i="6"/>
  <c r="D330" i="6"/>
  <c r="D331" i="6"/>
  <c r="D332" i="6"/>
  <c r="D333" i="6"/>
  <c r="D334" i="6"/>
  <c r="D335" i="6"/>
  <c r="D336" i="6"/>
  <c r="D337" i="6"/>
  <c r="D338" i="6"/>
  <c r="D343" i="6"/>
  <c r="D341" i="6"/>
  <c r="D342" i="6"/>
  <c r="D347" i="6"/>
  <c r="D349" i="6"/>
  <c r="D351" i="6"/>
  <c r="D354" i="6"/>
  <c r="D358" i="6"/>
  <c r="D352" i="6"/>
  <c r="D355" i="6"/>
  <c r="D357" i="6"/>
  <c r="D348" i="6"/>
  <c r="D362" i="6"/>
  <c r="D363" i="6"/>
  <c r="D345" i="6"/>
  <c r="D359" i="6"/>
  <c r="D346" i="6"/>
  <c r="D364" i="6"/>
  <c r="D350" i="6"/>
  <c r="D353" i="6"/>
  <c r="D360" i="6"/>
  <c r="D361" i="6"/>
  <c r="D365" i="6"/>
  <c r="D366" i="6"/>
  <c r="D356" i="6"/>
  <c r="D372" i="6"/>
  <c r="D375" i="6"/>
  <c r="D367" i="6"/>
  <c r="D368" i="6"/>
  <c r="D369" i="6"/>
  <c r="D370" i="6"/>
  <c r="D371" i="6"/>
  <c r="D373" i="6"/>
  <c r="D374" i="6"/>
  <c r="D376" i="6"/>
  <c r="D377" i="6"/>
  <c r="D379" i="6"/>
  <c r="D378" i="6"/>
  <c r="D382" i="6"/>
  <c r="D381" i="6"/>
  <c r="D380" i="6"/>
  <c r="D387" i="6"/>
  <c r="D388" i="6"/>
  <c r="D389" i="6"/>
  <c r="D390" i="6"/>
  <c r="D394" i="6"/>
  <c r="D395" i="6"/>
  <c r="D396" i="6"/>
  <c r="D397" i="6"/>
  <c r="D393" i="6"/>
  <c r="D383" i="6"/>
  <c r="D385" i="6"/>
  <c r="D399" i="6"/>
  <c r="D398" i="6"/>
  <c r="D391" i="6"/>
  <c r="D392" i="6"/>
  <c r="D401" i="6"/>
  <c r="D406" i="6"/>
  <c r="D384" i="6"/>
  <c r="D405" i="6"/>
  <c r="D407" i="6"/>
  <c r="D400" i="6"/>
  <c r="D403" i="6"/>
  <c r="D386" i="6"/>
  <c r="D402" i="6"/>
  <c r="D404" i="6"/>
  <c r="D22" i="6"/>
  <c r="A171" i="8"/>
  <c r="C171" i="8"/>
  <c r="AZ93" i="1"/>
  <c r="BC93" i="1"/>
  <c r="AZ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BC97" i="1"/>
  <c r="CS97" i="1"/>
  <c r="K32" i="2"/>
  <c r="K199" i="4"/>
  <c r="K31" i="2"/>
  <c r="K29" i="2"/>
  <c r="K203" i="4"/>
  <c r="K30" i="2"/>
  <c r="K6" i="2"/>
  <c r="K13" i="2"/>
  <c r="K204" i="4"/>
  <c r="K28" i="2"/>
  <c r="K200" i="4"/>
  <c r="K201" i="4"/>
  <c r="K25" i="2"/>
  <c r="K16" i="4"/>
  <c r="K29" i="4"/>
  <c r="AJ181" i="4"/>
  <c r="AJ261" i="4"/>
  <c r="AJ182" i="4"/>
  <c r="AJ184" i="4"/>
  <c r="AJ185" i="4"/>
  <c r="AJ140" i="4"/>
  <c r="AJ135" i="4"/>
  <c r="AJ147" i="4"/>
  <c r="AJ131" i="4"/>
  <c r="AJ146" i="4"/>
  <c r="AJ267" i="4"/>
  <c r="AJ272" i="4"/>
  <c r="AJ52" i="4"/>
  <c r="AJ263" i="4"/>
  <c r="AJ90" i="4"/>
  <c r="AJ10" i="4"/>
  <c r="AJ259" i="4"/>
  <c r="AJ50" i="4"/>
  <c r="AJ116" i="4"/>
  <c r="AJ83" i="4"/>
  <c r="AJ93" i="4"/>
  <c r="AJ125" i="4"/>
  <c r="AJ264" i="4"/>
  <c r="AJ91" i="4"/>
  <c r="AJ92" i="4"/>
  <c r="AJ11" i="4"/>
  <c r="AJ82" i="4"/>
  <c r="AJ257" i="4"/>
  <c r="AJ49" i="4"/>
  <c r="AJ258" i="4"/>
  <c r="AJ169" i="4"/>
  <c r="AJ170" i="4"/>
  <c r="AJ30" i="4"/>
  <c r="AJ33" i="4"/>
  <c r="AJ281" i="4"/>
  <c r="AJ232" i="4"/>
  <c r="AJ17" i="4"/>
  <c r="AJ18" i="4"/>
  <c r="AJ29" i="4"/>
  <c r="AJ89" i="4"/>
  <c r="AJ32" i="4"/>
  <c r="AJ96" i="4"/>
  <c r="AJ103" i="4"/>
  <c r="AJ94" i="4"/>
  <c r="AJ221" i="4"/>
  <c r="AJ254" i="4"/>
  <c r="AJ88" i="4"/>
  <c r="AJ79" i="4"/>
  <c r="AJ81" i="4"/>
  <c r="AJ199" i="4"/>
  <c r="AJ203" i="4"/>
  <c r="AJ204" i="4"/>
  <c r="AJ231" i="4"/>
  <c r="AJ234" i="4"/>
  <c r="AJ2" i="4"/>
  <c r="AJ237" i="4"/>
  <c r="AJ282" i="4"/>
  <c r="AJ200" i="4"/>
  <c r="AJ202" i="4"/>
  <c r="AJ233" i="4"/>
  <c r="AJ166" i="4"/>
  <c r="AJ167" i="4"/>
  <c r="AJ236" i="4"/>
  <c r="AJ201" i="4"/>
  <c r="AJ31" i="4"/>
  <c r="AJ178" i="4"/>
  <c r="AJ256" i="4"/>
  <c r="AJ137" i="4"/>
  <c r="AJ115" i="4"/>
  <c r="AJ15" i="4"/>
  <c r="AJ25" i="4"/>
  <c r="AJ165" i="4"/>
  <c r="AJ76" i="4"/>
  <c r="AJ104" i="4"/>
  <c r="AJ123" i="4"/>
  <c r="AJ138" i="4"/>
  <c r="AJ180" i="4"/>
  <c r="AJ75" i="4"/>
  <c r="AJ102" i="4"/>
  <c r="AJ100" i="4"/>
  <c r="AJ133" i="4"/>
  <c r="AJ230" i="4"/>
  <c r="AJ101" i="4"/>
  <c r="AJ265" i="4"/>
  <c r="AJ129" i="4"/>
  <c r="AJ143" i="4"/>
  <c r="AJ157" i="4"/>
  <c r="AJ158" i="4"/>
  <c r="AJ197" i="4"/>
  <c r="AJ206" i="4"/>
  <c r="AJ207" i="4"/>
  <c r="AJ208" i="4"/>
  <c r="AJ212" i="4"/>
  <c r="AJ216" i="4"/>
  <c r="AJ227" i="4"/>
  <c r="AJ85" i="4"/>
  <c r="AJ121" i="4"/>
  <c r="AJ156" i="4"/>
  <c r="AJ211" i="4"/>
  <c r="AJ70" i="4"/>
  <c r="AJ9" i="4"/>
  <c r="AJ117" i="4"/>
  <c r="AJ210" i="4"/>
  <c r="AJ26" i="4"/>
  <c r="AJ73" i="4"/>
  <c r="AJ128" i="4"/>
  <c r="AJ228" i="4"/>
  <c r="AJ108" i="4"/>
  <c r="AJ209" i="4"/>
  <c r="AJ213" i="4"/>
  <c r="AJ215" i="4"/>
  <c r="AJ72" i="4"/>
  <c r="AJ124" i="4"/>
  <c r="AJ139" i="4"/>
  <c r="AJ176" i="4"/>
  <c r="AJ109" i="4"/>
  <c r="AJ20" i="4"/>
  <c r="AJ21" i="4"/>
  <c r="AJ22" i="4"/>
  <c r="AJ24" i="4"/>
  <c r="AJ99" i="4"/>
  <c r="AJ141" i="4"/>
  <c r="AJ110" i="4"/>
  <c r="AJ112" i="4"/>
  <c r="AJ187" i="4"/>
  <c r="AJ188" i="4"/>
  <c r="AJ189" i="4"/>
  <c r="AJ287" i="4"/>
  <c r="AJ160" i="4"/>
  <c r="AJ278" i="4"/>
  <c r="AJ280" i="4"/>
  <c r="AJ285" i="4"/>
  <c r="AJ289" i="4"/>
  <c r="AJ3" i="4"/>
  <c r="AJ277" i="4"/>
  <c r="AJ279" i="4"/>
  <c r="AJ290" i="4"/>
  <c r="AJ19" i="4"/>
  <c r="AJ240" i="4"/>
  <c r="AJ242" i="4"/>
  <c r="AJ74" i="4"/>
  <c r="AJ155" i="4"/>
  <c r="AJ177" i="4"/>
  <c r="AJ283" i="4"/>
  <c r="AJ284" i="4"/>
  <c r="AJ161" i="4"/>
  <c r="AJ294" i="4"/>
  <c r="AJ241" i="4"/>
  <c r="AJ198" i="4"/>
  <c r="AJ239" i="4"/>
  <c r="AJ243" i="4"/>
  <c r="AJ245" i="4"/>
  <c r="AJ132" i="4"/>
  <c r="AJ5" i="4"/>
  <c r="AJ248" i="4"/>
  <c r="AJ149" i="4"/>
  <c r="AJ273" i="4"/>
  <c r="AJ68" i="4"/>
  <c r="AJ246" i="4"/>
  <c r="AJ7" i="4"/>
  <c r="AJ119" i="4"/>
  <c r="AJ35" i="4"/>
  <c r="AJ67" i="4"/>
  <c r="AJ6" i="4"/>
  <c r="AJ224" i="4"/>
  <c r="AJ69" i="4"/>
  <c r="AJ61" i="4"/>
  <c r="AJ62" i="4"/>
  <c r="AJ151" i="4"/>
  <c r="AJ66" i="4"/>
  <c r="AJ4" i="4"/>
  <c r="AJ38" i="4"/>
  <c r="AJ37" i="4"/>
  <c r="AJ39" i="4"/>
  <c r="AJ40" i="4"/>
  <c r="AJ111" i="4"/>
  <c r="AJ36" i="4"/>
  <c r="AJ288" i="4"/>
  <c r="AJ53" i="4"/>
  <c r="AJ63" i="4"/>
  <c r="AJ251" i="4"/>
  <c r="AJ64" i="4"/>
  <c r="AJ54" i="4"/>
  <c r="AJ57" i="4"/>
  <c r="AJ113" i="4"/>
  <c r="AJ159" i="4"/>
  <c r="AJ58" i="4"/>
  <c r="AJ55" i="4"/>
  <c r="AJ56" i="4"/>
  <c r="AJ98" i="4"/>
  <c r="AJ77" i="4"/>
  <c r="AJ179" i="4"/>
  <c r="AJ105" i="4"/>
  <c r="AJ136" i="4"/>
  <c r="AJ255" i="4"/>
  <c r="AJ191" i="4"/>
  <c r="AJ229" i="4"/>
  <c r="AJ34" i="4"/>
  <c r="AJ172" i="4"/>
  <c r="AJ217" i="4"/>
  <c r="AJ126" i="4"/>
  <c r="AJ86" i="4"/>
  <c r="AJ14" i="4"/>
  <c r="AJ114" i="4"/>
  <c r="AJ244" i="4"/>
  <c r="AJ60" i="4"/>
  <c r="AJ183" i="4"/>
  <c r="AJ262" i="4"/>
  <c r="AJ220" i="4"/>
  <c r="AJ71" i="4"/>
  <c r="AJ190" i="4"/>
  <c r="AJ145" i="4"/>
  <c r="AJ134" i="4"/>
  <c r="AJ78" i="4"/>
  <c r="AJ218" i="4"/>
  <c r="AJ87" i="4"/>
  <c r="AJ144" i="4"/>
  <c r="AJ214" i="4"/>
  <c r="AJ23" i="4"/>
  <c r="AJ275" i="4"/>
  <c r="AJ46" i="4"/>
  <c r="AJ65" i="4"/>
  <c r="AJ171" i="4"/>
  <c r="AJ12" i="4"/>
  <c r="AJ193" i="4"/>
  <c r="AJ8" i="4"/>
  <c r="AJ205" i="4"/>
  <c r="AJ122" i="4"/>
  <c r="AJ152" i="4"/>
  <c r="AJ192" i="4"/>
  <c r="AJ45" i="4"/>
  <c r="AJ47" i="4"/>
  <c r="AJ41" i="4"/>
  <c r="AJ43" i="4"/>
  <c r="AJ42" i="4"/>
  <c r="AJ276" i="4"/>
  <c r="AJ260" i="4"/>
  <c r="AJ95" i="4"/>
  <c r="AJ292" i="4"/>
  <c r="AJ293" i="4"/>
  <c r="AJ270" i="4"/>
  <c r="AJ269" i="4"/>
  <c r="AJ142" i="4"/>
  <c r="AJ194" i="4"/>
  <c r="AJ195" i="4"/>
  <c r="AJ148" i="4"/>
  <c r="AJ196" i="4"/>
  <c r="AJ271" i="4"/>
  <c r="AJ274" i="4"/>
  <c r="AJ118" i="4"/>
  <c r="AJ238" i="4"/>
  <c r="AJ225" i="4"/>
  <c r="AJ150" i="4"/>
  <c r="AJ223" i="4"/>
  <c r="AJ222" i="4"/>
  <c r="AJ120" i="4"/>
  <c r="AJ252" i="4"/>
  <c r="AJ174" i="4"/>
  <c r="AJ226" i="4"/>
  <c r="AJ97" i="4"/>
  <c r="AJ59" i="4"/>
  <c r="AJ175" i="4"/>
  <c r="AJ186" i="4"/>
  <c r="AJ173" i="4"/>
  <c r="AJ219" i="4"/>
  <c r="AJ162" i="4"/>
  <c r="AJ163" i="4"/>
  <c r="AJ164" i="4"/>
  <c r="AJ107" i="4"/>
  <c r="AJ168" i="4"/>
  <c r="AJ247" i="4"/>
  <c r="AJ27" i="4"/>
  <c r="AJ28" i="4"/>
  <c r="AJ266" i="4"/>
  <c r="AJ154" i="4"/>
  <c r="AJ268" i="4"/>
  <c r="AJ299" i="4"/>
  <c r="AJ298" i="4"/>
  <c r="AJ296" i="4"/>
  <c r="AJ297" i="4"/>
  <c r="AJ300" i="4"/>
  <c r="AJ305" i="4"/>
  <c r="AJ308" i="4"/>
  <c r="AJ309" i="4"/>
  <c r="AJ310" i="4"/>
  <c r="AJ301" i="4"/>
  <c r="AJ302" i="4"/>
  <c r="AJ303" i="4"/>
  <c r="AJ304" i="4"/>
  <c r="AJ307" i="4"/>
  <c r="AJ306" i="4"/>
  <c r="AJ343" i="4"/>
  <c r="AJ341" i="4"/>
  <c r="AJ342" i="4"/>
  <c r="AJ339" i="4"/>
  <c r="AJ317" i="4"/>
  <c r="AJ319" i="4"/>
  <c r="AJ320" i="4"/>
  <c r="AJ321" i="4"/>
  <c r="AJ322" i="4"/>
  <c r="AJ335" i="4"/>
  <c r="AJ336" i="4"/>
  <c r="AJ337" i="4"/>
  <c r="AJ338" i="4"/>
  <c r="AJ318" i="4"/>
  <c r="AJ315" i="4"/>
  <c r="AJ316" i="4"/>
  <c r="AJ328" i="4"/>
  <c r="AJ344" i="4"/>
  <c r="AJ331" i="4"/>
  <c r="AJ329" i="4"/>
  <c r="AJ333" i="4"/>
  <c r="AJ340" i="4"/>
  <c r="AJ330" i="4"/>
  <c r="AJ314" i="4"/>
  <c r="AJ312" i="4"/>
  <c r="AJ313" i="4"/>
  <c r="AJ332" i="4"/>
  <c r="AJ325" i="4"/>
  <c r="AJ326" i="4"/>
  <c r="AJ323" i="4"/>
  <c r="AJ324" i="4"/>
  <c r="AJ327" i="4"/>
  <c r="AJ334" i="4"/>
  <c r="AJ354" i="4"/>
  <c r="AJ345" i="4"/>
  <c r="AJ349" i="4"/>
  <c r="AJ350" i="4"/>
  <c r="AJ355" i="4"/>
  <c r="AJ356" i="4"/>
  <c r="AJ357" i="4"/>
  <c r="AJ358" i="4"/>
  <c r="AJ359" i="4"/>
  <c r="AJ360" i="4"/>
  <c r="AJ361" i="4"/>
  <c r="AJ362" i="4"/>
  <c r="AJ364" i="4"/>
  <c r="AJ365" i="4"/>
  <c r="AJ366" i="4"/>
  <c r="AJ351" i="4"/>
  <c r="AJ352" i="4"/>
  <c r="AJ353" i="4"/>
  <c r="AJ363" i="4"/>
  <c r="AJ348" i="4"/>
  <c r="AJ346" i="4"/>
  <c r="AJ347" i="4"/>
  <c r="AJ372" i="4"/>
  <c r="AJ368" i="4"/>
  <c r="AJ376" i="4"/>
  <c r="AJ367" i="4"/>
  <c r="AJ369" i="4"/>
  <c r="AJ371" i="4"/>
  <c r="AJ374" i="4"/>
  <c r="AJ377" i="4"/>
  <c r="AJ370" i="4"/>
  <c r="AJ373" i="4"/>
  <c r="AJ375" i="4"/>
  <c r="AJ382" i="4"/>
  <c r="AJ381" i="4"/>
  <c r="AJ380" i="4"/>
  <c r="AJ379" i="4"/>
  <c r="AJ378" i="4"/>
  <c r="AJ386" i="4"/>
  <c r="AJ401" i="4"/>
  <c r="AJ404" i="4"/>
  <c r="AJ387" i="4"/>
  <c r="AJ388" i="4"/>
  <c r="AJ389" i="4"/>
  <c r="AJ390" i="4"/>
  <c r="AJ396" i="4"/>
  <c r="AJ398" i="4"/>
  <c r="AJ399" i="4"/>
  <c r="AJ403" i="4"/>
  <c r="AJ397" i="4"/>
  <c r="AJ385" i="4"/>
  <c r="AJ383" i="4"/>
  <c r="AJ384" i="4"/>
  <c r="AJ392" i="4"/>
  <c r="AJ393" i="4"/>
  <c r="AJ394" i="4"/>
  <c r="AJ395" i="4"/>
  <c r="AJ400" i="4"/>
  <c r="AJ402" i="4"/>
  <c r="AJ405" i="4"/>
  <c r="AJ406" i="4"/>
  <c r="AJ407" i="4"/>
  <c r="AJ391" i="4"/>
  <c r="AJ127" i="4"/>
  <c r="AJ84" i="4"/>
  <c r="AJ249" i="4"/>
  <c r="AJ80" i="4"/>
  <c r="AJ51" i="4"/>
  <c r="AJ48" i="4"/>
  <c r="AJ295" i="4"/>
  <c r="AJ235" i="4"/>
  <c r="AJ16" i="4"/>
  <c r="AJ130" i="4"/>
  <c r="AJ106" i="4"/>
  <c r="AJ153" i="4"/>
  <c r="AJ286" i="4"/>
  <c r="AJ44" i="4"/>
  <c r="AJ291" i="4"/>
  <c r="AJ253" i="4"/>
  <c r="AJ13" i="4"/>
  <c r="AJ250" i="4"/>
  <c r="H90" i="5"/>
  <c r="F88" i="4"/>
  <c r="F91" i="5"/>
  <c r="H91" i="5"/>
  <c r="F89" i="4"/>
  <c r="I91" i="5"/>
  <c r="E89" i="4"/>
  <c r="E88" i="4"/>
  <c r="M88" i="4"/>
  <c r="T18" i="2"/>
  <c r="U18" i="2"/>
  <c r="AA18" i="2"/>
  <c r="AD18" i="2"/>
  <c r="AE18" i="2"/>
  <c r="AF18" i="2"/>
  <c r="AG18" i="2"/>
  <c r="AH18" i="2"/>
  <c r="AI18" i="2"/>
  <c r="AK18" i="2"/>
  <c r="AL18" i="2"/>
  <c r="AM18" i="2"/>
  <c r="AZ95" i="1"/>
  <c r="BC95" i="1"/>
  <c r="AZ96" i="1"/>
  <c r="BC96" i="1"/>
  <c r="BC147" i="1"/>
  <c r="AZ138" i="1"/>
  <c r="BC138" i="1"/>
  <c r="AZ137" i="1"/>
  <c r="BC137" i="1"/>
  <c r="AZ61" i="1"/>
  <c r="AZ210" i="1"/>
  <c r="BC210" i="1"/>
  <c r="BB210" i="1"/>
  <c r="AZ209" i="1"/>
  <c r="BC209" i="1"/>
  <c r="BB209" i="1"/>
  <c r="AZ123" i="1"/>
  <c r="BC123" i="1"/>
  <c r="AZ122" i="1"/>
  <c r="BC122" i="1"/>
  <c r="AZ28" i="1"/>
  <c r="BC28" i="1"/>
  <c r="AZ27" i="1"/>
  <c r="BC27" i="1"/>
  <c r="AZ26" i="1"/>
  <c r="BC26" i="1"/>
  <c r="AZ25" i="1"/>
  <c r="BC25" i="1"/>
  <c r="BC24" i="1"/>
  <c r="AZ76" i="1"/>
  <c r="BC76" i="1"/>
  <c r="AZ75" i="1"/>
  <c r="BC75" i="1"/>
  <c r="AZ32" i="1"/>
  <c r="BC32" i="1"/>
  <c r="AZ31" i="1"/>
  <c r="BC31" i="1"/>
  <c r="AZ3" i="1"/>
  <c r="AZ4" i="1"/>
  <c r="AZ5" i="1"/>
  <c r="AZ6" i="1"/>
  <c r="AZ7" i="1"/>
  <c r="AZ8" i="1"/>
  <c r="AZ12" i="1"/>
  <c r="AZ13" i="1"/>
  <c r="AZ15" i="1"/>
  <c r="AZ16" i="1"/>
  <c r="AZ17" i="1"/>
  <c r="AZ18" i="1"/>
  <c r="AZ19" i="1"/>
  <c r="AZ20" i="1"/>
  <c r="AZ21" i="1"/>
  <c r="AZ22" i="1"/>
  <c r="AZ23" i="1"/>
  <c r="AZ29" i="1"/>
  <c r="AZ30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7" i="1"/>
  <c r="AZ78" i="1"/>
  <c r="AZ79" i="1"/>
  <c r="AZ80" i="1"/>
  <c r="AZ89" i="1"/>
  <c r="AZ90" i="1"/>
  <c r="AZ100" i="1"/>
  <c r="AZ101" i="1"/>
  <c r="AZ102" i="1"/>
  <c r="AZ103" i="1"/>
  <c r="AZ104" i="1"/>
  <c r="AZ105" i="1"/>
  <c r="AZ106" i="1"/>
  <c r="AZ107" i="1"/>
  <c r="AZ108" i="1"/>
  <c r="AZ109" i="1"/>
  <c r="AZ110" i="1"/>
  <c r="AZ113" i="1"/>
  <c r="AZ114" i="1"/>
  <c r="AZ115" i="1"/>
  <c r="AZ116" i="1"/>
  <c r="AZ117" i="1"/>
  <c r="AZ118" i="1"/>
  <c r="AZ119" i="1"/>
  <c r="AZ120" i="1"/>
  <c r="AZ121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9" i="1"/>
  <c r="AZ140" i="1"/>
  <c r="AZ141" i="1"/>
  <c r="AZ151" i="1"/>
  <c r="AZ152" i="1"/>
  <c r="AZ153" i="1"/>
  <c r="AZ154" i="1"/>
  <c r="AZ155" i="1"/>
  <c r="AZ156" i="1"/>
  <c r="AZ157" i="1"/>
  <c r="AZ158" i="1"/>
  <c r="AZ159" i="1"/>
  <c r="AZ160" i="1"/>
  <c r="AZ161" i="1"/>
  <c r="AZ162" i="1"/>
  <c r="AZ163" i="1"/>
  <c r="AZ164" i="1"/>
  <c r="AZ165" i="1"/>
  <c r="AZ166" i="1"/>
  <c r="AZ167" i="1"/>
  <c r="AZ168" i="1"/>
  <c r="AZ173" i="1"/>
  <c r="AZ174" i="1"/>
  <c r="AZ175" i="1"/>
  <c r="AZ176" i="1"/>
  <c r="AZ180" i="1"/>
  <c r="AZ181" i="1"/>
  <c r="AZ182" i="1"/>
  <c r="AZ183" i="1"/>
  <c r="AZ184" i="1"/>
  <c r="AZ185" i="1"/>
  <c r="AZ186" i="1"/>
  <c r="AZ187" i="1"/>
  <c r="AZ188" i="1"/>
  <c r="AZ197" i="1"/>
  <c r="AZ198" i="1"/>
  <c r="AZ199" i="1"/>
  <c r="AZ200" i="1"/>
  <c r="AZ201" i="1"/>
  <c r="AZ202" i="1"/>
  <c r="AZ203" i="1"/>
  <c r="AZ204" i="1"/>
  <c r="AZ205" i="1"/>
  <c r="AZ206" i="1"/>
  <c r="AZ207" i="1"/>
  <c r="AZ208" i="1"/>
  <c r="AZ2" i="1"/>
  <c r="BC30" i="1"/>
  <c r="BC29" i="1"/>
  <c r="BC127" i="1"/>
  <c r="BB208" i="1"/>
  <c r="BC208" i="1"/>
  <c r="BB207" i="1"/>
  <c r="BC207" i="1"/>
  <c r="BB206" i="1"/>
  <c r="BC206" i="1"/>
  <c r="BB205" i="1"/>
  <c r="BC205" i="1"/>
  <c r="BB204" i="1"/>
  <c r="BC204" i="1"/>
  <c r="CS203" i="1"/>
  <c r="CR203" i="1"/>
  <c r="CQ203" i="1"/>
  <c r="CP203" i="1"/>
  <c r="CO203" i="1"/>
  <c r="CN203" i="1"/>
  <c r="CM203" i="1"/>
  <c r="CL203" i="1"/>
  <c r="CK203" i="1"/>
  <c r="CJ203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B203" i="1"/>
  <c r="BC203" i="1"/>
  <c r="BC202" i="1"/>
  <c r="BC201" i="1"/>
  <c r="BC200" i="1"/>
  <c r="CS199" i="1"/>
  <c r="CR199" i="1"/>
  <c r="CQ199" i="1"/>
  <c r="CP199" i="1"/>
  <c r="CO199" i="1"/>
  <c r="CN199" i="1"/>
  <c r="CM199" i="1"/>
  <c r="CL199" i="1"/>
  <c r="CK199" i="1"/>
  <c r="CJ199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C199" i="1"/>
  <c r="BC198" i="1"/>
  <c r="CS197" i="1"/>
  <c r="CR197" i="1"/>
  <c r="CQ197" i="1"/>
  <c r="CP197" i="1"/>
  <c r="CO197" i="1"/>
  <c r="CN197" i="1"/>
  <c r="CM197" i="1"/>
  <c r="CL197" i="1"/>
  <c r="CK197" i="1"/>
  <c r="CJ197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C197" i="1"/>
  <c r="BC187" i="1"/>
  <c r="BC186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C185" i="1"/>
  <c r="CS184" i="1"/>
  <c r="CR184" i="1"/>
  <c r="CQ184" i="1"/>
  <c r="CP184" i="1"/>
  <c r="CO184" i="1"/>
  <c r="CN184" i="1"/>
  <c r="CM184" i="1"/>
  <c r="CL184" i="1"/>
  <c r="CK184" i="1"/>
  <c r="CJ184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C184" i="1"/>
  <c r="BC183" i="1"/>
  <c r="CS182" i="1"/>
  <c r="CR182" i="1"/>
  <c r="CQ182" i="1"/>
  <c r="CP182" i="1"/>
  <c r="CO182" i="1"/>
  <c r="CN182" i="1"/>
  <c r="CM182" i="1"/>
  <c r="CL182" i="1"/>
  <c r="CK182" i="1"/>
  <c r="CJ182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C182" i="1"/>
  <c r="BC181" i="1"/>
  <c r="BC180" i="1"/>
  <c r="BB176" i="1"/>
  <c r="BC176" i="1"/>
  <c r="CS175" i="1"/>
  <c r="CR175" i="1"/>
  <c r="CQ175" i="1"/>
  <c r="CP175" i="1"/>
  <c r="CO175" i="1"/>
  <c r="CN175" i="1"/>
  <c r="CM175" i="1"/>
  <c r="CL175" i="1"/>
  <c r="CK175" i="1"/>
  <c r="CJ175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B175" i="1"/>
  <c r="BC175" i="1"/>
  <c r="BB174" i="1"/>
  <c r="BC174" i="1"/>
  <c r="CS173" i="1"/>
  <c r="CR173" i="1"/>
  <c r="CQ173" i="1"/>
  <c r="CP173" i="1"/>
  <c r="CO173" i="1"/>
  <c r="CN173" i="1"/>
  <c r="CM173" i="1"/>
  <c r="CL173" i="1"/>
  <c r="CK173" i="1"/>
  <c r="CJ173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B173" i="1"/>
  <c r="BC173" i="1"/>
  <c r="BB168" i="1"/>
  <c r="BC168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B167" i="1"/>
  <c r="BC167" i="1"/>
  <c r="BB166" i="1"/>
  <c r="BC166" i="1"/>
  <c r="BB165" i="1"/>
  <c r="BC165" i="1"/>
  <c r="BB164" i="1"/>
  <c r="BC164" i="1"/>
  <c r="CS163" i="1"/>
  <c r="CR163" i="1"/>
  <c r="CQ163" i="1"/>
  <c r="CP163" i="1"/>
  <c r="CO163" i="1"/>
  <c r="CN163" i="1"/>
  <c r="CM163" i="1"/>
  <c r="CL163" i="1"/>
  <c r="CK163" i="1"/>
  <c r="CJ163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B163" i="1"/>
  <c r="BC163" i="1"/>
  <c r="BB162" i="1"/>
  <c r="BC162" i="1"/>
  <c r="BB161" i="1"/>
  <c r="BC161" i="1"/>
  <c r="CS160" i="1"/>
  <c r="CR160" i="1"/>
  <c r="CQ160" i="1"/>
  <c r="CP160" i="1"/>
  <c r="CO160" i="1"/>
  <c r="CN160" i="1"/>
  <c r="CM160" i="1"/>
  <c r="CL160" i="1"/>
  <c r="CK160" i="1"/>
  <c r="CJ160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B160" i="1"/>
  <c r="BC160" i="1"/>
  <c r="BB159" i="1"/>
  <c r="BC159" i="1"/>
  <c r="CS158" i="1"/>
  <c r="CR158" i="1"/>
  <c r="CQ158" i="1"/>
  <c r="CP158" i="1"/>
  <c r="CO158" i="1"/>
  <c r="CN158" i="1"/>
  <c r="CM158" i="1"/>
  <c r="CL158" i="1"/>
  <c r="CK158" i="1"/>
  <c r="CJ158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B158" i="1"/>
  <c r="BC158" i="1"/>
  <c r="BB157" i="1"/>
  <c r="BC157" i="1"/>
  <c r="BB156" i="1"/>
  <c r="BC156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B155" i="1"/>
  <c r="BC155" i="1"/>
  <c r="BB154" i="1"/>
  <c r="BC154" i="1"/>
  <c r="CS153" i="1"/>
  <c r="CR153" i="1"/>
  <c r="CQ153" i="1"/>
  <c r="CP153" i="1"/>
  <c r="CO153" i="1"/>
  <c r="CN153" i="1"/>
  <c r="CM153" i="1"/>
  <c r="CL153" i="1"/>
  <c r="CK153" i="1"/>
  <c r="CJ153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B153" i="1"/>
  <c r="BC153" i="1"/>
  <c r="BB152" i="1"/>
  <c r="BC152" i="1"/>
  <c r="CS151" i="1"/>
  <c r="CR151" i="1"/>
  <c r="CQ151" i="1"/>
  <c r="CP151" i="1"/>
  <c r="CO151" i="1"/>
  <c r="CN151" i="1"/>
  <c r="CM151" i="1"/>
  <c r="CL151" i="1"/>
  <c r="CK151" i="1"/>
  <c r="CJ151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C151" i="1"/>
  <c r="BC146" i="1"/>
  <c r="BC144" i="1"/>
  <c r="BC143" i="1"/>
  <c r="BC141" i="1"/>
  <c r="BC140" i="1"/>
  <c r="CS139" i="1"/>
  <c r="CR139" i="1"/>
  <c r="CQ139" i="1"/>
  <c r="CP139" i="1"/>
  <c r="CO139" i="1"/>
  <c r="CN139" i="1"/>
  <c r="CM139" i="1"/>
  <c r="CL139" i="1"/>
  <c r="CK139" i="1"/>
  <c r="CJ139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C139" i="1"/>
  <c r="BC136" i="1"/>
  <c r="CS135" i="1"/>
  <c r="CR135" i="1"/>
  <c r="CQ135" i="1"/>
  <c r="CP135" i="1"/>
  <c r="CO135" i="1"/>
  <c r="CN135" i="1"/>
  <c r="CM135" i="1"/>
  <c r="CL135" i="1"/>
  <c r="CK135" i="1"/>
  <c r="CJ135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C135" i="1"/>
  <c r="BC134" i="1"/>
  <c r="BC133" i="1"/>
  <c r="CS132" i="1"/>
  <c r="CR132" i="1"/>
  <c r="CQ132" i="1"/>
  <c r="CP132" i="1"/>
  <c r="CO132" i="1"/>
  <c r="CN132" i="1"/>
  <c r="CM132" i="1"/>
  <c r="CL132" i="1"/>
  <c r="CK132" i="1"/>
  <c r="CJ132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C132" i="1"/>
  <c r="BC131" i="1"/>
  <c r="CS130" i="1"/>
  <c r="CR130" i="1"/>
  <c r="CQ130" i="1"/>
  <c r="CP130" i="1"/>
  <c r="CO130" i="1"/>
  <c r="CN130" i="1"/>
  <c r="CM130" i="1"/>
  <c r="CL130" i="1"/>
  <c r="CK130" i="1"/>
  <c r="CJ130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C130" i="1"/>
  <c r="BC129" i="1"/>
  <c r="CS128" i="1"/>
  <c r="CR128" i="1"/>
  <c r="CQ128" i="1"/>
  <c r="CP128" i="1"/>
  <c r="CO128" i="1"/>
  <c r="CN128" i="1"/>
  <c r="CM128" i="1"/>
  <c r="CL128" i="1"/>
  <c r="CK128" i="1"/>
  <c r="CJ128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C128" i="1"/>
  <c r="BC126" i="1"/>
  <c r="CS125" i="1"/>
  <c r="CR125" i="1"/>
  <c r="CQ125" i="1"/>
  <c r="CP125" i="1"/>
  <c r="CO125" i="1"/>
  <c r="CN125" i="1"/>
  <c r="CM125" i="1"/>
  <c r="CL125" i="1"/>
  <c r="CK125" i="1"/>
  <c r="CJ125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C125" i="1"/>
  <c r="BC121" i="1"/>
  <c r="BC120" i="1"/>
  <c r="CS119" i="1"/>
  <c r="CR119" i="1"/>
  <c r="CQ119" i="1"/>
  <c r="CP119" i="1"/>
  <c r="CO119" i="1"/>
  <c r="CN119" i="1"/>
  <c r="CM119" i="1"/>
  <c r="CL119" i="1"/>
  <c r="CK119" i="1"/>
  <c r="CJ119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C119" i="1"/>
  <c r="BC118" i="1"/>
  <c r="BC117" i="1"/>
  <c r="BC116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C115" i="1"/>
  <c r="BC114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C113" i="1"/>
  <c r="BC110" i="1"/>
  <c r="CS109" i="1"/>
  <c r="CR109" i="1"/>
  <c r="CQ109" i="1"/>
  <c r="CP109" i="1"/>
  <c r="CO109" i="1"/>
  <c r="CN109" i="1"/>
  <c r="CM109" i="1"/>
  <c r="CL109" i="1"/>
  <c r="CK109" i="1"/>
  <c r="CJ109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C109" i="1"/>
  <c r="BC105" i="1"/>
  <c r="BC104" i="1"/>
  <c r="BC103" i="1"/>
  <c r="BC102" i="1"/>
  <c r="BC101" i="1"/>
  <c r="BC100" i="1"/>
  <c r="BC90" i="1"/>
  <c r="BC89" i="1"/>
  <c r="BC80" i="1"/>
  <c r="CS79" i="1"/>
  <c r="CR79" i="1"/>
  <c r="CQ79" i="1"/>
  <c r="CP79" i="1"/>
  <c r="CO79" i="1"/>
  <c r="CN79" i="1"/>
  <c r="CM79" i="1"/>
  <c r="CL79" i="1"/>
  <c r="CK79" i="1"/>
  <c r="CJ79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C79" i="1"/>
  <c r="BC78" i="1"/>
  <c r="BC77" i="1"/>
  <c r="BC74" i="1"/>
  <c r="BC73" i="1"/>
  <c r="BC72" i="1"/>
  <c r="BC71" i="1"/>
  <c r="BC70" i="1"/>
  <c r="BC69" i="1"/>
  <c r="BC68" i="1"/>
  <c r="BC67" i="1"/>
  <c r="BC66" i="1"/>
  <c r="BC65" i="1"/>
  <c r="BC64" i="1"/>
  <c r="BC63" i="1"/>
  <c r="BC62" i="1"/>
  <c r="BC60" i="1"/>
  <c r="BC59" i="1"/>
  <c r="BC58" i="1"/>
  <c r="BC57" i="1"/>
  <c r="BC56" i="1"/>
  <c r="BC55" i="1"/>
  <c r="BC54" i="1"/>
  <c r="BC53" i="1"/>
  <c r="BC52" i="1"/>
  <c r="BC51" i="1"/>
  <c r="BC50" i="1"/>
  <c r="BC49" i="1"/>
  <c r="BC48" i="1"/>
  <c r="BC47" i="1"/>
  <c r="BC46" i="1"/>
  <c r="BC45" i="1"/>
  <c r="BC44" i="1"/>
  <c r="BC43" i="1"/>
  <c r="BC42" i="1"/>
  <c r="BC41" i="1"/>
  <c r="BC40" i="1"/>
  <c r="BC39" i="1"/>
  <c r="BC38" i="1"/>
  <c r="BC37" i="1"/>
  <c r="BC36" i="1"/>
  <c r="BB23" i="1"/>
  <c r="BB22" i="1"/>
  <c r="BC22" i="1"/>
  <c r="BB21" i="1"/>
  <c r="BC21" i="1"/>
  <c r="BB20" i="1"/>
  <c r="BC20" i="1"/>
  <c r="BB19" i="1"/>
  <c r="BC19" i="1"/>
  <c r="BB18" i="1"/>
  <c r="BC18" i="1"/>
  <c r="BB17" i="1"/>
  <c r="BC17" i="1"/>
  <c r="BB16" i="1"/>
  <c r="BC16" i="1"/>
  <c r="BB15" i="1"/>
  <c r="BC15" i="1"/>
  <c r="BB14" i="1"/>
  <c r="BC14" i="1"/>
  <c r="BB13" i="1"/>
  <c r="BC13" i="1"/>
  <c r="BB12" i="1"/>
  <c r="BC12" i="1"/>
  <c r="BC8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B7" i="1"/>
  <c r="BC7" i="1"/>
  <c r="BB6" i="1"/>
  <c r="BC6" i="1"/>
  <c r="BB5" i="1"/>
  <c r="BC5" i="1"/>
  <c r="BC4" i="1"/>
  <c r="BB3" i="1"/>
  <c r="BC3" i="1"/>
  <c r="BB2" i="1"/>
  <c r="BC2" i="1"/>
  <c r="B268" i="6"/>
  <c r="F41" i="3"/>
  <c r="A41" i="3"/>
  <c r="G41" i="3"/>
  <c r="H41" i="3"/>
  <c r="F42" i="3"/>
  <c r="F43" i="3"/>
  <c r="F44" i="3"/>
  <c r="A42" i="3"/>
  <c r="H42" i="3"/>
  <c r="A43" i="3"/>
  <c r="H43" i="3"/>
  <c r="A44" i="3"/>
  <c r="H44" i="3"/>
  <c r="AH208" i="4"/>
  <c r="AH205" i="4"/>
  <c r="U205" i="4" a="1"/>
  <c r="U205" i="4"/>
  <c r="AH7" i="4"/>
  <c r="AH6" i="4"/>
  <c r="G42" i="3"/>
  <c r="G43" i="3"/>
  <c r="G44" i="3"/>
  <c r="T205" i="4" a="1"/>
  <c r="T205" i="4"/>
  <c r="T7" i="4" a="1"/>
  <c r="T7" i="4"/>
  <c r="T6" i="4" a="1"/>
  <c r="T6" i="4"/>
  <c r="B26" i="3"/>
  <c r="C26" i="3"/>
  <c r="E26" i="3"/>
  <c r="G22" i="2"/>
  <c r="K22" i="2"/>
  <c r="T22" i="2"/>
  <c r="AA22" i="2"/>
  <c r="I100" i="5"/>
  <c r="AD22" i="2"/>
  <c r="AE22" i="2"/>
  <c r="L100" i="5"/>
  <c r="AF22" i="2"/>
  <c r="AG22" i="2"/>
  <c r="AH22" i="2"/>
  <c r="AI22" i="2"/>
  <c r="N100" i="5"/>
  <c r="O100" i="5"/>
  <c r="AK22" i="2"/>
  <c r="AL22" i="2"/>
  <c r="Z116" i="5"/>
  <c r="Z225" i="5"/>
  <c r="Z359" i="5"/>
  <c r="Z120" i="5"/>
  <c r="Z365" i="5"/>
  <c r="Z142" i="5"/>
  <c r="Z138" i="5"/>
  <c r="Z281" i="5"/>
  <c r="Z103" i="5"/>
  <c r="Z66" i="5"/>
  <c r="Z158" i="5"/>
  <c r="Z123" i="5"/>
  <c r="Z117" i="5"/>
  <c r="Z53" i="5"/>
  <c r="Z51" i="5"/>
  <c r="Z171" i="5"/>
  <c r="Z169" i="5"/>
  <c r="Z148" i="5"/>
  <c r="Z145" i="5"/>
  <c r="Z122" i="5"/>
  <c r="Z146" i="5"/>
  <c r="Z104" i="5"/>
  <c r="Z50" i="5"/>
  <c r="Z229" i="5"/>
  <c r="Z228" i="5"/>
  <c r="Z102" i="5"/>
  <c r="Z279" i="5"/>
  <c r="Z52" i="5"/>
  <c r="Z239" i="5"/>
  <c r="Z217" i="5"/>
  <c r="Z199" i="5"/>
  <c r="Z112" i="5"/>
  <c r="Z77" i="5"/>
  <c r="Z42" i="5"/>
  <c r="Z404" i="5"/>
  <c r="Z230" i="5"/>
  <c r="Z87" i="5"/>
  <c r="Z41" i="5"/>
  <c r="Z162" i="5"/>
  <c r="Z124" i="5"/>
  <c r="Z356" i="5"/>
  <c r="Z276" i="5"/>
  <c r="Z215" i="5"/>
  <c r="Z213" i="5"/>
  <c r="Z168" i="5"/>
  <c r="Z111" i="5"/>
  <c r="Z92" i="5"/>
  <c r="Z108" i="5"/>
  <c r="Z107" i="5"/>
  <c r="Z106" i="5"/>
  <c r="Z62" i="5"/>
  <c r="Z56" i="5"/>
  <c r="Z282" i="5"/>
  <c r="Z190" i="5"/>
  <c r="Z160" i="5"/>
  <c r="Z159" i="5"/>
  <c r="Z192" i="5"/>
  <c r="Z121" i="5"/>
  <c r="Z85" i="5"/>
  <c r="Z55" i="5"/>
  <c r="Z273" i="5"/>
  <c r="Z140" i="5"/>
  <c r="Z378" i="5"/>
  <c r="Z161" i="5"/>
  <c r="Z285" i="5"/>
  <c r="Z72" i="5"/>
  <c r="Z48" i="5"/>
  <c r="Z18" i="5"/>
  <c r="Z379" i="5"/>
  <c r="Z126" i="5"/>
  <c r="Z286" i="5"/>
  <c r="Z277" i="5"/>
  <c r="Z73" i="5"/>
  <c r="Z266" i="5"/>
  <c r="Z222" i="5"/>
  <c r="Z364" i="5"/>
  <c r="Z119" i="5"/>
  <c r="Z115" i="5"/>
  <c r="Z278" i="5"/>
  <c r="Z221" i="5"/>
  <c r="Z211" i="5"/>
  <c r="Z209" i="5"/>
  <c r="Z12" i="5"/>
  <c r="Z86" i="5"/>
  <c r="Z83" i="5"/>
  <c r="Z81" i="5"/>
  <c r="Z60" i="5"/>
  <c r="Z13" i="5"/>
  <c r="Z289" i="5"/>
  <c r="Z46" i="5"/>
  <c r="Z212" i="5"/>
  <c r="Z97" i="5"/>
  <c r="Z59" i="5"/>
  <c r="Z238" i="5"/>
  <c r="Z227" i="5"/>
  <c r="Z207" i="5"/>
  <c r="Z96" i="5"/>
  <c r="Z94" i="5"/>
  <c r="Z79" i="5"/>
  <c r="Z224" i="5"/>
  <c r="Z390" i="5"/>
  <c r="Z15" i="5"/>
  <c r="Z14" i="5"/>
  <c r="Z128" i="5"/>
  <c r="Z110" i="5"/>
  <c r="Z88" i="5"/>
  <c r="Z84" i="5"/>
  <c r="Z38" i="5"/>
  <c r="Z223" i="5"/>
  <c r="Z389" i="5"/>
  <c r="Z381" i="5"/>
  <c r="Z167" i="5"/>
  <c r="Z280" i="5"/>
  <c r="Z78" i="5"/>
  <c r="Z65" i="5"/>
  <c r="Z40" i="5"/>
  <c r="Z271" i="5"/>
  <c r="Z268" i="5"/>
  <c r="Z367" i="5"/>
  <c r="Z89" i="5"/>
  <c r="Z74" i="5"/>
  <c r="Z272" i="5"/>
  <c r="Z270" i="5"/>
  <c r="Z191" i="5"/>
  <c r="Z82" i="5"/>
  <c r="Z236" i="5"/>
  <c r="Z232" i="5"/>
  <c r="Z214" i="5"/>
  <c r="Z163" i="5"/>
  <c r="Z139" i="5"/>
  <c r="Z320" i="5"/>
  <c r="Z70" i="5"/>
  <c r="Z269" i="5"/>
  <c r="Z357" i="5"/>
  <c r="Z47" i="5"/>
  <c r="Z360" i="5"/>
  <c r="Z235" i="5"/>
  <c r="Z147" i="5"/>
  <c r="Z216" i="5"/>
  <c r="Z198" i="5"/>
  <c r="Z105" i="5"/>
  <c r="Z275" i="5"/>
  <c r="Z63" i="5"/>
  <c r="Z54" i="5"/>
  <c r="Z287" i="5"/>
  <c r="Z157" i="5"/>
  <c r="Z80" i="5"/>
  <c r="Z71" i="5"/>
  <c r="Z288" i="5"/>
  <c r="Z290" i="5"/>
  <c r="Z33" i="5"/>
  <c r="Z382" i="5"/>
  <c r="Z32" i="5"/>
  <c r="Z283" i="5"/>
  <c r="Z237" i="5"/>
  <c r="Z202" i="5"/>
  <c r="Z201" i="5"/>
  <c r="Z388" i="5"/>
  <c r="Z385" i="5"/>
  <c r="Z193" i="5"/>
  <c r="Z114" i="5"/>
  <c r="Z69" i="5"/>
  <c r="Z39" i="5"/>
  <c r="Z206" i="5"/>
  <c r="Z30" i="5"/>
  <c r="Z267" i="5"/>
  <c r="Z231" i="5"/>
  <c r="Z387" i="5"/>
  <c r="Z361" i="5"/>
  <c r="Z210" i="5"/>
  <c r="Z34" i="5"/>
  <c r="Z172" i="5"/>
  <c r="Z125" i="5"/>
  <c r="Z95" i="5"/>
  <c r="Z67" i="5"/>
  <c r="Z17" i="5"/>
  <c r="Z16" i="5"/>
  <c r="Z386" i="5"/>
  <c r="Z383" i="5"/>
  <c r="Z93" i="5"/>
  <c r="Z76" i="5"/>
  <c r="Z195" i="5"/>
  <c r="Z141" i="5"/>
  <c r="Z127" i="5"/>
  <c r="Z113" i="5"/>
  <c r="Z45" i="5"/>
  <c r="Z44" i="5"/>
  <c r="Z234" i="5"/>
  <c r="Z393" i="5"/>
  <c r="Z35" i="5"/>
  <c r="Z203" i="5"/>
  <c r="Z144" i="5"/>
  <c r="Z31" i="5"/>
  <c r="Z284" i="5"/>
  <c r="Z36" i="5"/>
  <c r="Z75" i="5"/>
  <c r="Z68" i="5"/>
  <c r="Z392" i="5"/>
  <c r="Z205" i="5"/>
  <c r="Z98" i="5"/>
  <c r="Z204" i="5"/>
  <c r="Z194" i="5"/>
  <c r="Z58" i="5"/>
  <c r="Z200" i="5"/>
  <c r="Z57" i="5"/>
  <c r="Z196" i="5"/>
  <c r="Z368" i="5"/>
  <c r="Z197" i="5"/>
  <c r="Z19" i="5"/>
  <c r="Z43" i="5"/>
  <c r="Z220" i="5"/>
  <c r="Z366" i="5"/>
  <c r="Z49" i="5"/>
  <c r="Z380" i="5"/>
  <c r="Z189" i="5"/>
  <c r="Z208" i="5"/>
  <c r="Z99" i="5"/>
  <c r="Z64" i="5"/>
  <c r="Z219" i="5"/>
  <c r="Z218" i="5"/>
  <c r="Z100" i="5"/>
  <c r="Z406" i="5"/>
  <c r="Z340" i="5"/>
  <c r="Z326" i="5"/>
  <c r="Z405" i="5"/>
  <c r="Z341" i="5"/>
  <c r="Z101" i="5"/>
  <c r="Z325" i="5"/>
  <c r="Z344" i="5"/>
  <c r="Z391" i="5"/>
  <c r="Z342" i="5"/>
  <c r="Z395" i="5"/>
  <c r="Z384" i="5"/>
  <c r="Z318" i="5"/>
  <c r="Z343" i="5"/>
  <c r="Z394" i="5"/>
  <c r="Z333" i="5"/>
  <c r="Z300" i="5"/>
  <c r="Z330" i="5"/>
  <c r="Z331" i="5"/>
  <c r="Z328" i="5"/>
  <c r="Z336" i="5"/>
  <c r="Z332" i="5"/>
  <c r="Z329" i="5"/>
  <c r="Z334" i="5"/>
  <c r="Z143" i="5"/>
  <c r="Z310" i="5"/>
  <c r="Z308" i="5"/>
  <c r="Z335" i="5"/>
  <c r="Z327" i="5"/>
  <c r="Z170" i="5"/>
  <c r="Z109" i="5"/>
  <c r="Z299" i="5"/>
  <c r="Z358" i="5"/>
  <c r="Z20" i="5"/>
  <c r="Z274" i="5"/>
  <c r="Z355" i="5"/>
  <c r="Z21" i="5"/>
  <c r="Z304" i="5"/>
  <c r="Z315" i="5"/>
  <c r="Z306" i="5"/>
  <c r="Z302" i="5"/>
  <c r="Z311" i="5"/>
  <c r="Z339" i="5"/>
  <c r="Z321" i="5"/>
  <c r="Z164" i="5"/>
  <c r="Z298" i="5"/>
  <c r="Z165" i="5"/>
  <c r="Z166" i="5"/>
  <c r="Z402" i="5"/>
  <c r="Z401" i="5"/>
  <c r="Z371" i="5"/>
  <c r="Z403" i="5"/>
  <c r="Z372" i="5"/>
  <c r="Z374" i="5"/>
  <c r="Z295" i="5"/>
  <c r="Z377" i="5"/>
  <c r="Z375" i="5"/>
  <c r="Z363" i="5"/>
  <c r="Z373" i="5"/>
  <c r="Z370" i="5"/>
  <c r="Z376" i="5"/>
  <c r="Z338" i="5"/>
  <c r="Z301" i="5"/>
  <c r="Z319" i="5"/>
  <c r="Z297" i="5"/>
  <c r="Z307" i="5"/>
  <c r="Z296" i="5"/>
  <c r="Z292" i="5"/>
  <c r="Z303" i="5"/>
  <c r="Z291" i="5"/>
  <c r="Z313" i="5"/>
  <c r="Z312" i="5"/>
  <c r="Z314" i="5"/>
  <c r="Z294" i="5"/>
  <c r="Z293" i="5"/>
  <c r="Z316" i="5"/>
  <c r="Z305" i="5"/>
  <c r="Z323" i="5"/>
  <c r="Z322" i="5"/>
  <c r="Z324" i="5"/>
  <c r="Z309" i="5"/>
  <c r="R43" i="2"/>
  <c r="R331" i="4"/>
  <c r="R343" i="4"/>
  <c r="R341" i="4"/>
  <c r="R342" i="4"/>
  <c r="R327" i="4"/>
  <c r="R339" i="4"/>
  <c r="R315" i="4"/>
  <c r="R316" i="4"/>
  <c r="R333" i="4"/>
  <c r="R337" i="4"/>
  <c r="R335" i="4"/>
  <c r="R336" i="4"/>
  <c r="R313" i="4"/>
  <c r="R325" i="4"/>
  <c r="R314" i="4"/>
  <c r="R318" i="4"/>
  <c r="R329" i="4"/>
  <c r="R319" i="4"/>
  <c r="R47" i="2"/>
  <c r="R345" i="4"/>
  <c r="R323" i="4"/>
  <c r="R346" i="4"/>
  <c r="R361" i="4"/>
  <c r="R355" i="4"/>
  <c r="R358" i="4"/>
  <c r="R354" i="4"/>
  <c r="R360" i="4"/>
  <c r="R362" i="4"/>
  <c r="R317" i="4"/>
  <c r="R359" i="4"/>
  <c r="R357" i="4"/>
  <c r="R366" i="4"/>
  <c r="R356" i="4"/>
  <c r="R364" i="4"/>
  <c r="R365" i="4"/>
  <c r="R33" i="2"/>
  <c r="R164" i="4"/>
  <c r="R163" i="4"/>
  <c r="R320" i="4"/>
  <c r="R162" i="4"/>
  <c r="R340" i="4"/>
  <c r="R347" i="4"/>
  <c r="R334" i="4"/>
  <c r="R324" i="4"/>
  <c r="R328" i="4"/>
  <c r="R338" i="4"/>
  <c r="R326" i="4"/>
  <c r="R28" i="4"/>
  <c r="R349" i="4"/>
  <c r="R247" i="4"/>
  <c r="R27" i="4"/>
  <c r="R350" i="4"/>
  <c r="R321" i="4"/>
  <c r="R107" i="4"/>
  <c r="R34" i="2"/>
  <c r="R168" i="4"/>
  <c r="R367" i="4"/>
  <c r="R375" i="4"/>
  <c r="R330" i="4"/>
  <c r="R332" i="4"/>
  <c r="R141" i="4"/>
  <c r="R374" i="4"/>
  <c r="R369" i="4"/>
  <c r="R372" i="4"/>
  <c r="R377" i="4"/>
  <c r="R376" i="4"/>
  <c r="R368" i="4"/>
  <c r="R371" i="4"/>
  <c r="R370" i="4"/>
  <c r="R322" i="4"/>
  <c r="R373" i="4"/>
  <c r="R296" i="4"/>
  <c r="R306" i="4"/>
  <c r="R303" i="4"/>
  <c r="R297" i="4"/>
  <c r="R284" i="4"/>
  <c r="R307" i="4"/>
  <c r="R302" i="4"/>
  <c r="R305" i="4"/>
  <c r="R304" i="4"/>
  <c r="R298" i="4"/>
  <c r="R99" i="4"/>
  <c r="R301" i="4"/>
  <c r="R308" i="4"/>
  <c r="R309" i="4"/>
  <c r="R299" i="4"/>
  <c r="R300" i="4"/>
  <c r="R310" i="4"/>
  <c r="R176" i="4"/>
  <c r="R266" i="4"/>
  <c r="R98" i="4"/>
  <c r="R216" i="4"/>
  <c r="R217" i="4"/>
  <c r="R294" i="4"/>
  <c r="R62" i="4"/>
  <c r="R97" i="4"/>
  <c r="R206" i="4"/>
  <c r="R187" i="4"/>
  <c r="R280" i="4"/>
  <c r="R47" i="4"/>
  <c r="R275" i="4"/>
  <c r="R218" i="4"/>
  <c r="R41" i="4"/>
  <c r="R26" i="4"/>
  <c r="R195" i="4"/>
  <c r="R277" i="4"/>
  <c r="R194" i="4"/>
  <c r="R7" i="2"/>
  <c r="R55" i="4"/>
  <c r="R198" i="4"/>
  <c r="R56" i="4"/>
  <c r="R192" i="4"/>
  <c r="R202" i="4"/>
  <c r="R96" i="4"/>
  <c r="R269" i="4"/>
  <c r="R203" i="4"/>
  <c r="R292" i="4"/>
  <c r="R66" i="4"/>
  <c r="R73" i="4"/>
  <c r="R8" i="4"/>
  <c r="R257" i="4"/>
  <c r="R3" i="4"/>
  <c r="R142" i="4"/>
  <c r="R201" i="4"/>
  <c r="R7" i="4"/>
  <c r="R129" i="4"/>
  <c r="R293" i="4"/>
  <c r="R232" i="4"/>
  <c r="R42" i="4"/>
  <c r="R43" i="4"/>
  <c r="R111" i="4"/>
  <c r="R125" i="4"/>
  <c r="R139" i="4"/>
  <c r="R193" i="4"/>
  <c r="R74" i="4"/>
  <c r="R91" i="4"/>
  <c r="R283" i="4"/>
  <c r="R286" i="4"/>
  <c r="R23" i="4"/>
  <c r="R24" i="4"/>
  <c r="R34" i="4"/>
  <c r="R65" i="4"/>
  <c r="R93" i="4"/>
  <c r="R123" i="4"/>
  <c r="R170" i="4"/>
  <c r="R6" i="4"/>
  <c r="R208" i="4"/>
  <c r="R352" i="4"/>
  <c r="R287" i="4"/>
  <c r="R229" i="4"/>
  <c r="R240" i="4"/>
  <c r="R2" i="4"/>
  <c r="R204" i="4"/>
  <c r="R37" i="4"/>
  <c r="R67" i="4"/>
  <c r="R33" i="4"/>
  <c r="R258" i="4"/>
  <c r="R112" i="4"/>
  <c r="R23" i="2"/>
  <c r="R191" i="4"/>
  <c r="R285" i="4"/>
  <c r="R288" i="4"/>
  <c r="R199" i="4"/>
  <c r="R200" i="4"/>
  <c r="R235" i="4"/>
  <c r="R256" i="4"/>
  <c r="R4" i="4"/>
  <c r="R282" i="4"/>
  <c r="R5" i="4"/>
  <c r="R312" i="4"/>
  <c r="R262" i="4"/>
  <c r="R69" i="4"/>
  <c r="R78" i="4"/>
  <c r="R11" i="4"/>
  <c r="R155" i="4"/>
  <c r="R261" i="4"/>
  <c r="R52" i="4"/>
  <c r="R61" i="4"/>
  <c r="R9" i="4"/>
  <c r="R148" i="4"/>
  <c r="R248" i="4"/>
  <c r="R103" i="4"/>
  <c r="R196" i="4"/>
  <c r="R214" i="4"/>
  <c r="R145" i="4"/>
  <c r="R233" i="4"/>
  <c r="R351" i="4"/>
  <c r="R45" i="4"/>
  <c r="R271" i="4"/>
  <c r="R153" i="4"/>
  <c r="R242" i="4"/>
  <c r="R68" i="4"/>
  <c r="R264" i="4"/>
  <c r="R133" i="4"/>
  <c r="R137" i="4"/>
  <c r="R161" i="4"/>
  <c r="R212" i="4"/>
  <c r="R230" i="4"/>
  <c r="R234" i="4"/>
  <c r="R80" i="4"/>
  <c r="R189" i="4"/>
  <c r="R243" i="4"/>
  <c r="R245" i="4"/>
  <c r="R72" i="4"/>
  <c r="R87" i="4"/>
  <c r="R276" i="4"/>
  <c r="R241" i="4"/>
  <c r="R244" i="4"/>
  <c r="R38" i="4"/>
  <c r="R63" i="4"/>
  <c r="R76" i="4"/>
  <c r="R253" i="4"/>
  <c r="R165" i="4"/>
  <c r="R281" i="4"/>
  <c r="R290" i="4"/>
  <c r="R36" i="4"/>
  <c r="R82" i="4"/>
  <c r="R86" i="4"/>
  <c r="R10" i="4"/>
  <c r="R108" i="4"/>
  <c r="R14" i="4"/>
  <c r="R126" i="4"/>
  <c r="R21" i="4"/>
  <c r="R22" i="4"/>
  <c r="R291" i="4"/>
  <c r="R222" i="4"/>
  <c r="R77" i="4"/>
  <c r="R92" i="4"/>
  <c r="R94" i="4"/>
  <c r="R265" i="4"/>
  <c r="R205" i="4"/>
  <c r="R236" i="4"/>
  <c r="R35" i="4"/>
  <c r="R57" i="4"/>
  <c r="R95" i="4"/>
  <c r="R210" i="4"/>
  <c r="R44" i="4"/>
  <c r="R263" i="4"/>
  <c r="R177" i="4"/>
  <c r="R20" i="4"/>
  <c r="R58" i="4"/>
  <c r="R79" i="4"/>
  <c r="R81" i="4"/>
  <c r="R84" i="4"/>
  <c r="R128" i="4"/>
  <c r="R19" i="4"/>
  <c r="R207" i="4"/>
  <c r="R209" i="4"/>
  <c r="R219" i="4"/>
  <c r="R251" i="4"/>
  <c r="R113" i="4"/>
  <c r="R117" i="4"/>
  <c r="R273" i="4"/>
  <c r="R220" i="4"/>
  <c r="R239" i="4"/>
  <c r="R71" i="4"/>
  <c r="R250" i="4"/>
  <c r="R260" i="4"/>
  <c r="R124" i="4"/>
  <c r="R132" i="4"/>
  <c r="R279" i="4"/>
  <c r="R25" i="4"/>
  <c r="R46" i="4"/>
  <c r="R70" i="4"/>
  <c r="R259" i="4"/>
  <c r="R159" i="4"/>
  <c r="R278" i="4"/>
  <c r="R138" i="4"/>
  <c r="R246" i="4"/>
  <c r="R53" i="4"/>
  <c r="R83" i="4"/>
  <c r="R119" i="4"/>
  <c r="R190" i="4"/>
  <c r="R157" i="4"/>
  <c r="R158" i="4"/>
  <c r="R188" i="4"/>
  <c r="R255" i="4"/>
  <c r="R54" i="4"/>
  <c r="R60" i="4"/>
  <c r="R104" i="4"/>
  <c r="R105" i="4"/>
  <c r="R106" i="4"/>
  <c r="R90" i="4"/>
  <c r="R109" i="4"/>
  <c r="R166" i="4"/>
  <c r="R211" i="4"/>
  <c r="R213" i="4"/>
  <c r="R249" i="4"/>
  <c r="R270" i="4"/>
  <c r="R122" i="4"/>
  <c r="R160" i="4"/>
  <c r="R39" i="4"/>
  <c r="R85" i="4"/>
  <c r="R228" i="4"/>
  <c r="R295" i="4"/>
  <c r="R40" i="4"/>
  <c r="R75" i="4"/>
  <c r="R110" i="4"/>
  <c r="R130" i="4"/>
  <c r="R152" i="4"/>
  <c r="R197" i="4"/>
  <c r="R215" i="4"/>
  <c r="R237" i="4"/>
  <c r="R50" i="4"/>
  <c r="R252" i="4"/>
  <c r="R100" i="4"/>
  <c r="R226" i="4"/>
  <c r="R227" i="4"/>
  <c r="R48" i="4"/>
  <c r="R102" i="4"/>
  <c r="R144" i="4"/>
  <c r="R120" i="4"/>
  <c r="R15" i="4"/>
  <c r="R143" i="4"/>
  <c r="R146" i="4"/>
  <c r="R151" i="4"/>
  <c r="R167" i="4"/>
  <c r="R169" i="4"/>
  <c r="R49" i="4"/>
  <c r="R51" i="4"/>
  <c r="R115" i="4"/>
  <c r="R121" i="4"/>
  <c r="R156" i="4"/>
  <c r="R64" i="4"/>
  <c r="R101" i="4"/>
  <c r="R254" i="4"/>
  <c r="R136" i="4"/>
  <c r="R140" i="4"/>
  <c r="R274" i="4"/>
  <c r="R118" i="4"/>
  <c r="R134" i="4"/>
  <c r="R149" i="4"/>
  <c r="Z369" i="5"/>
  <c r="H325" i="5"/>
  <c r="I325" i="5"/>
  <c r="Z352" i="4"/>
  <c r="Z353" i="4"/>
  <c r="Z363" i="4"/>
  <c r="U2" i="12"/>
  <c r="R238" i="4"/>
  <c r="R223" i="4"/>
  <c r="R114" i="4"/>
  <c r="R344" i="4"/>
  <c r="Q2" i="12"/>
  <c r="O2" i="12"/>
  <c r="N383" i="4"/>
  <c r="N404" i="4"/>
  <c r="M2" i="12"/>
  <c r="K2" i="12"/>
  <c r="J77" i="4"/>
  <c r="J171" i="4"/>
  <c r="J217" i="4"/>
  <c r="J218" i="4"/>
  <c r="J238" i="4"/>
  <c r="J76" i="4"/>
  <c r="J79" i="4"/>
  <c r="J264" i="4"/>
  <c r="J81" i="4"/>
  <c r="J82" i="4"/>
  <c r="J256" i="4"/>
  <c r="J257" i="4"/>
  <c r="J84" i="4"/>
  <c r="J258" i="4"/>
  <c r="J87" i="4"/>
  <c r="J10" i="4"/>
  <c r="J11" i="4"/>
  <c r="J91" i="4"/>
  <c r="J92" i="4"/>
  <c r="J259" i="4"/>
  <c r="J104" i="4"/>
  <c r="J105" i="4"/>
  <c r="J106" i="4"/>
  <c r="J123" i="4"/>
  <c r="J126" i="4"/>
  <c r="J137" i="4"/>
  <c r="J138" i="4"/>
  <c r="J169" i="4"/>
  <c r="J220" i="4"/>
  <c r="J249" i="4"/>
  <c r="J75" i="4"/>
  <c r="J80" i="4"/>
  <c r="J83" i="4"/>
  <c r="J93" i="4"/>
  <c r="J102" i="4"/>
  <c r="J115" i="4"/>
  <c r="J144" i="4"/>
  <c r="J23" i="2"/>
  <c r="J100" i="4"/>
  <c r="J133" i="4"/>
  <c r="J230" i="4"/>
  <c r="J101" i="4"/>
  <c r="J107" i="4"/>
  <c r="J265" i="4"/>
  <c r="J129" i="4"/>
  <c r="J143" i="4"/>
  <c r="J157" i="4"/>
  <c r="J158" i="4"/>
  <c r="J166" i="4"/>
  <c r="J168" i="4"/>
  <c r="J170" i="4"/>
  <c r="J197" i="4"/>
  <c r="J206" i="4"/>
  <c r="J207" i="4"/>
  <c r="J208" i="4"/>
  <c r="J212" i="4"/>
  <c r="J216" i="4"/>
  <c r="J227" i="4"/>
  <c r="J247" i="4"/>
  <c r="J85" i="4"/>
  <c r="J156" i="4"/>
  <c r="J211" i="4"/>
  <c r="J30" i="4"/>
  <c r="J70" i="4"/>
  <c r="J9" i="4"/>
  <c r="J12" i="4"/>
  <c r="J117" i="4"/>
  <c r="J15" i="4"/>
  <c r="J125" i="4"/>
  <c r="J130" i="4"/>
  <c r="J136" i="4"/>
  <c r="J165" i="4"/>
  <c r="J167" i="4"/>
  <c r="J210" i="4"/>
  <c r="J25" i="4"/>
  <c r="J26" i="4"/>
  <c r="J237" i="4"/>
  <c r="J73" i="4"/>
  <c r="J86" i="4"/>
  <c r="J267" i="4"/>
  <c r="J128" i="4"/>
  <c r="J153" i="4"/>
  <c r="J228" i="4"/>
  <c r="J71" i="4"/>
  <c r="J108" i="4"/>
  <c r="J209" i="4"/>
  <c r="J255" i="4"/>
  <c r="J214" i="4"/>
  <c r="J225" i="4"/>
  <c r="J236" i="4"/>
  <c r="J33" i="4"/>
  <c r="J72" i="4"/>
  <c r="J14" i="4"/>
  <c r="J124" i="4"/>
  <c r="J139" i="4"/>
  <c r="J150" i="4"/>
  <c r="J176" i="4"/>
  <c r="J281" i="4"/>
  <c r="J282" i="4"/>
  <c r="J199" i="4"/>
  <c r="J201" i="4"/>
  <c r="J202" i="4"/>
  <c r="J204" i="4"/>
  <c r="J31" i="4"/>
  <c r="J231" i="4"/>
  <c r="J232" i="4"/>
  <c r="J233" i="4"/>
  <c r="J235" i="4"/>
  <c r="J109" i="4"/>
  <c r="J190" i="4"/>
  <c r="J286" i="4"/>
  <c r="J20" i="4"/>
  <c r="J22" i="4"/>
  <c r="J23" i="4"/>
  <c r="J24" i="4"/>
  <c r="J28" i="4"/>
  <c r="J98" i="4"/>
  <c r="J141" i="4"/>
  <c r="J97" i="4"/>
  <c r="J110" i="4"/>
  <c r="J112" i="4"/>
  <c r="J187" i="4"/>
  <c r="J188" i="4"/>
  <c r="J189" i="4"/>
  <c r="J287" i="4"/>
  <c r="J223" i="4"/>
  <c r="J234" i="4"/>
  <c r="J50" i="4"/>
  <c r="J160" i="4"/>
  <c r="J278" i="4"/>
  <c r="J280" i="4"/>
  <c r="J193" i="4"/>
  <c r="J285" i="4"/>
  <c r="J289" i="4"/>
  <c r="J292" i="4"/>
  <c r="J293" i="4"/>
  <c r="J51" i="4"/>
  <c r="J3" i="4"/>
  <c r="J277" i="4"/>
  <c r="J16" i="4"/>
  <c r="J17" i="4"/>
  <c r="J18" i="4"/>
  <c r="J279" i="4"/>
  <c r="J290" i="4"/>
  <c r="J19" i="4"/>
  <c r="J8" i="4"/>
  <c r="J240" i="4"/>
  <c r="J242" i="4"/>
  <c r="J48" i="4"/>
  <c r="J74" i="4"/>
  <c r="J155" i="4"/>
  <c r="J177" i="4"/>
  <c r="J191" i="4"/>
  <c r="J283" i="4"/>
  <c r="J284" i="4"/>
  <c r="J29" i="4"/>
  <c r="J49" i="4"/>
  <c r="J2" i="4"/>
  <c r="J161" i="4"/>
  <c r="J229" i="4"/>
  <c r="J294" i="4"/>
  <c r="J32" i="4"/>
  <c r="J241" i="4"/>
  <c r="J271" i="4"/>
  <c r="J198" i="4"/>
  <c r="J239" i="4"/>
  <c r="J243" i="4"/>
  <c r="J244" i="4"/>
  <c r="J245" i="4"/>
  <c r="J122" i="4"/>
  <c r="J152" i="4"/>
  <c r="J5" i="4"/>
  <c r="J116" i="4"/>
  <c r="J192" i="4"/>
  <c r="J248" i="4"/>
  <c r="J44" i="4"/>
  <c r="J194" i="4"/>
  <c r="J96" i="4"/>
  <c r="J273" i="4"/>
  <c r="J275" i="4"/>
  <c r="J103" i="4"/>
  <c r="J118" i="4"/>
  <c r="J68" i="4"/>
  <c r="J291" i="4"/>
  <c r="J246" i="4"/>
  <c r="J34" i="4"/>
  <c r="J94" i="4"/>
  <c r="J148" i="4"/>
  <c r="J46" i="4"/>
  <c r="J7" i="4"/>
  <c r="J119" i="4"/>
  <c r="J35" i="4"/>
  <c r="J6" i="4"/>
  <c r="J45" i="4"/>
  <c r="J47" i="4"/>
  <c r="J60" i="4"/>
  <c r="J69" i="4"/>
  <c r="J41" i="4"/>
  <c r="J61" i="4"/>
  <c r="J196" i="4"/>
  <c r="J7" i="2"/>
  <c r="J120" i="4"/>
  <c r="J221" i="4"/>
  <c r="J62" i="4"/>
  <c r="J43" i="4"/>
  <c r="J66" i="4"/>
  <c r="J38" i="4"/>
  <c r="J78" i="4"/>
  <c r="J37" i="4"/>
  <c r="J42" i="4"/>
  <c r="J39" i="4"/>
  <c r="J268" i="4"/>
  <c r="J40" i="4"/>
  <c r="J111" i="4"/>
  <c r="J10" i="2"/>
  <c r="J254" i="4"/>
  <c r="J260" i="4"/>
  <c r="J36" i="4"/>
  <c r="J288" i="4"/>
  <c r="J8" i="2"/>
  <c r="J253" i="4"/>
  <c r="J65" i="4"/>
  <c r="J53" i="4"/>
  <c r="J63" i="4"/>
  <c r="J251" i="4"/>
  <c r="J64" i="4"/>
  <c r="J54" i="4"/>
  <c r="J95" i="4"/>
  <c r="J57" i="4"/>
  <c r="J113" i="4"/>
  <c r="J159" i="4"/>
  <c r="J58" i="4"/>
  <c r="J55" i="4"/>
  <c r="I2" i="12"/>
  <c r="H19" i="4"/>
  <c r="H198" i="4"/>
  <c r="G2" i="12"/>
  <c r="F250" i="4"/>
  <c r="F43" i="2"/>
  <c r="F52" i="4"/>
  <c r="F262" i="4"/>
  <c r="F263" i="4"/>
  <c r="F79" i="4"/>
  <c r="F264" i="4"/>
  <c r="F81" i="4"/>
  <c r="F82" i="4"/>
  <c r="F256" i="4"/>
  <c r="F257" i="4"/>
  <c r="F84" i="4"/>
  <c r="F258" i="4"/>
  <c r="F90" i="4"/>
  <c r="F10" i="4"/>
  <c r="F11" i="4"/>
  <c r="F91" i="4"/>
  <c r="F92" i="4"/>
  <c r="F259" i="4"/>
  <c r="F123" i="4"/>
  <c r="F169" i="4"/>
  <c r="F49" i="2"/>
  <c r="F295" i="4"/>
  <c r="F249" i="4"/>
  <c r="F80" i="4"/>
  <c r="F83" i="4"/>
  <c r="F93" i="4"/>
  <c r="F115" i="4"/>
  <c r="F133" i="4"/>
  <c r="F230" i="4"/>
  <c r="F107" i="4"/>
  <c r="F166" i="4"/>
  <c r="F34" i="2"/>
  <c r="F168" i="4"/>
  <c r="F170" i="4"/>
  <c r="F206" i="4"/>
  <c r="F216" i="4"/>
  <c r="F247" i="4"/>
  <c r="F30" i="4"/>
  <c r="F70" i="4"/>
  <c r="F125" i="4"/>
  <c r="F131" i="4"/>
  <c r="F136" i="4"/>
  <c r="F165" i="4"/>
  <c r="F167" i="4"/>
  <c r="F9" i="2"/>
  <c r="F8" i="2"/>
  <c r="F59" i="4"/>
  <c r="F73" i="4"/>
  <c r="F140" i="4"/>
  <c r="F255" i="4"/>
  <c r="F225" i="4"/>
  <c r="F236" i="4"/>
  <c r="F33" i="4"/>
  <c r="F72" i="4"/>
  <c r="F124" i="4"/>
  <c r="F176" i="4"/>
  <c r="F281" i="4"/>
  <c r="F282" i="4"/>
  <c r="F199" i="4"/>
  <c r="F200" i="4"/>
  <c r="F201" i="4"/>
  <c r="F202" i="4"/>
  <c r="F203" i="4"/>
  <c r="F204" i="4"/>
  <c r="F31" i="4"/>
  <c r="F231" i="4"/>
  <c r="F232" i="4"/>
  <c r="F233" i="4"/>
  <c r="F235" i="4"/>
  <c r="F109" i="4"/>
  <c r="F190" i="4"/>
  <c r="F286" i="4"/>
  <c r="F20" i="4"/>
  <c r="F21" i="4"/>
  <c r="F22" i="4"/>
  <c r="F23" i="4"/>
  <c r="F24" i="4"/>
  <c r="F27" i="4"/>
  <c r="F28" i="4"/>
  <c r="F98" i="4"/>
  <c r="F99" i="4"/>
  <c r="F141" i="4"/>
  <c r="F97" i="4"/>
  <c r="F110" i="4"/>
  <c r="F112" i="4"/>
  <c r="F187" i="4"/>
  <c r="F188" i="4"/>
  <c r="F189" i="4"/>
  <c r="F287" i="4"/>
  <c r="F234" i="4"/>
  <c r="F50" i="4"/>
  <c r="F160" i="4"/>
  <c r="F278" i="4"/>
  <c r="F280" i="4"/>
  <c r="F193" i="4"/>
  <c r="F285" i="4"/>
  <c r="F289" i="4"/>
  <c r="F292" i="4"/>
  <c r="F293" i="4"/>
  <c r="F51" i="4"/>
  <c r="F3" i="4"/>
  <c r="F277" i="4"/>
  <c r="F16" i="4"/>
  <c r="F17" i="4"/>
  <c r="F18" i="4"/>
  <c r="F174" i="4"/>
  <c r="F175" i="4"/>
  <c r="F279" i="4"/>
  <c r="F290" i="4"/>
  <c r="F19" i="4"/>
  <c r="F8" i="4"/>
  <c r="F5" i="2"/>
  <c r="F240" i="4"/>
  <c r="F242" i="4"/>
  <c r="F48" i="4"/>
  <c r="F74" i="4"/>
  <c r="F266" i="4"/>
  <c r="F135" i="4"/>
  <c r="F147" i="4"/>
  <c r="F155" i="4"/>
  <c r="F186" i="4"/>
  <c r="F191" i="4"/>
  <c r="F283" i="4"/>
  <c r="F173" i="4"/>
  <c r="F284" i="4"/>
  <c r="F29" i="4"/>
  <c r="F49" i="4"/>
  <c r="F2" i="4"/>
  <c r="F154" i="4"/>
  <c r="F161" i="4"/>
  <c r="F229" i="4"/>
  <c r="F294" i="4"/>
  <c r="F32" i="4"/>
  <c r="F241" i="4"/>
  <c r="F10" i="2"/>
  <c r="F272" i="4"/>
  <c r="F271" i="4"/>
  <c r="F198" i="4"/>
  <c r="F205" i="4"/>
  <c r="F239" i="4"/>
  <c r="F243" i="4"/>
  <c r="F244" i="4"/>
  <c r="F245" i="4"/>
  <c r="F132" i="4"/>
  <c r="F122" i="4"/>
  <c r="F145" i="4"/>
  <c r="F152" i="4"/>
  <c r="F116" i="4"/>
  <c r="F192" i="4"/>
  <c r="F248" i="4"/>
  <c r="F44" i="4"/>
  <c r="F194" i="4"/>
  <c r="F222" i="4"/>
  <c r="F134" i="4"/>
  <c r="F149" i="4"/>
  <c r="F96" i="4"/>
  <c r="F195" i="4"/>
  <c r="F273" i="4"/>
  <c r="F275" i="4"/>
  <c r="F118" i="4"/>
  <c r="F68" i="4"/>
  <c r="F291" i="4"/>
  <c r="F246" i="4"/>
  <c r="F34" i="4"/>
  <c r="F94" i="4"/>
  <c r="F46" i="4"/>
  <c r="F7" i="4"/>
  <c r="F119" i="4"/>
  <c r="F35" i="4"/>
  <c r="F67" i="4"/>
  <c r="F6" i="4"/>
  <c r="F45" i="4"/>
  <c r="F47" i="4"/>
  <c r="F60" i="4"/>
  <c r="F69" i="4"/>
  <c r="F41" i="4"/>
  <c r="F61" i="4"/>
  <c r="F7" i="2"/>
  <c r="F120" i="4"/>
  <c r="F221" i="4"/>
  <c r="F62" i="4"/>
  <c r="F151" i="4"/>
  <c r="F43" i="4"/>
  <c r="F66" i="4"/>
  <c r="F4" i="4"/>
  <c r="F38" i="4"/>
  <c r="F78" i="4"/>
  <c r="F37" i="4"/>
  <c r="F42" i="4"/>
  <c r="F252" i="4"/>
  <c r="F39" i="4"/>
  <c r="F40" i="4"/>
  <c r="F111" i="4"/>
  <c r="F276" i="4"/>
  <c r="F254" i="4"/>
  <c r="F260" i="4"/>
  <c r="F36" i="4"/>
  <c r="F288" i="4"/>
  <c r="F253" i="4"/>
  <c r="F65" i="4"/>
  <c r="F53" i="4"/>
  <c r="F63" i="4"/>
  <c r="F251" i="4"/>
  <c r="F64" i="4"/>
  <c r="F54" i="4"/>
  <c r="F95" i="4"/>
  <c r="F57" i="4"/>
  <c r="F113" i="4"/>
  <c r="F47" i="2"/>
  <c r="F159" i="4"/>
  <c r="F58" i="4"/>
  <c r="F55" i="4"/>
  <c r="F56" i="4"/>
  <c r="F296" i="4"/>
  <c r="F297" i="4"/>
  <c r="F298" i="4"/>
  <c r="F299" i="4"/>
  <c r="F301" i="4"/>
  <c r="F302" i="4"/>
  <c r="F303" i="4"/>
  <c r="F304" i="4"/>
  <c r="F300" i="4"/>
  <c r="F305" i="4"/>
  <c r="F308" i="4"/>
  <c r="F309" i="4"/>
  <c r="F310" i="4"/>
  <c r="F306" i="4"/>
  <c r="F48" i="2"/>
  <c r="F307" i="4"/>
  <c r="F328" i="4"/>
  <c r="F343" i="4"/>
  <c r="F341" i="4"/>
  <c r="F342" i="4"/>
  <c r="F332" i="4"/>
  <c r="F344" i="4"/>
  <c r="F331" i="4"/>
  <c r="F339" i="4"/>
  <c r="F324" i="4"/>
  <c r="F326" i="4"/>
  <c r="F329" i="4"/>
  <c r="F334" i="4"/>
  <c r="F333" i="4"/>
  <c r="F317" i="4"/>
  <c r="F319" i="4"/>
  <c r="F320" i="4"/>
  <c r="F321" i="4"/>
  <c r="F322" i="4"/>
  <c r="F323" i="4"/>
  <c r="F325" i="4"/>
  <c r="F327" i="4"/>
  <c r="F335" i="4"/>
  <c r="F336" i="4"/>
  <c r="F337" i="4"/>
  <c r="F338" i="4"/>
  <c r="F340" i="4"/>
  <c r="F330" i="4"/>
  <c r="F318" i="4"/>
  <c r="F315" i="4"/>
  <c r="F316" i="4"/>
  <c r="F314" i="4"/>
  <c r="F312" i="4"/>
  <c r="F313" i="4"/>
  <c r="F354" i="4"/>
  <c r="F345" i="4"/>
  <c r="F349" i="4"/>
  <c r="F350" i="4"/>
  <c r="F355" i="4"/>
  <c r="F356" i="4"/>
  <c r="F357" i="4"/>
  <c r="F358" i="4"/>
  <c r="F359" i="4"/>
  <c r="F360" i="4"/>
  <c r="F361" i="4"/>
  <c r="F362" i="4"/>
  <c r="F364" i="4"/>
  <c r="F365" i="4"/>
  <c r="F366" i="4"/>
  <c r="F346" i="4"/>
  <c r="F347" i="4"/>
  <c r="F348" i="4"/>
  <c r="F351" i="4"/>
  <c r="F352" i="4"/>
  <c r="F353" i="4"/>
  <c r="F363" i="4"/>
  <c r="F367" i="4"/>
  <c r="F368" i="4"/>
  <c r="F369" i="4"/>
  <c r="F370" i="4"/>
  <c r="F371" i="4"/>
  <c r="F372" i="4"/>
  <c r="F373" i="4"/>
  <c r="F374" i="4"/>
  <c r="F376" i="4"/>
  <c r="F375" i="4"/>
  <c r="F377" i="4"/>
  <c r="F386" i="4"/>
  <c r="F385" i="4"/>
  <c r="F383" i="4"/>
  <c r="F384" i="4"/>
  <c r="F387" i="4"/>
  <c r="F388" i="4"/>
  <c r="F389" i="4"/>
  <c r="F390" i="4"/>
  <c r="F391" i="4"/>
  <c r="F392" i="4"/>
  <c r="F393" i="4"/>
  <c r="F394" i="4"/>
  <c r="F395" i="4"/>
  <c r="F396" i="4"/>
  <c r="F398" i="4"/>
  <c r="F399" i="4"/>
  <c r="F400" i="4"/>
  <c r="F401" i="4"/>
  <c r="F402" i="4"/>
  <c r="F403" i="4"/>
  <c r="F404" i="4"/>
  <c r="F405" i="4"/>
  <c r="F406" i="4"/>
  <c r="F407" i="4"/>
  <c r="F397" i="4"/>
  <c r="E2" i="12"/>
  <c r="C2" i="12"/>
  <c r="E250" i="4"/>
  <c r="E43" i="2"/>
  <c r="E52" i="4"/>
  <c r="E262" i="4"/>
  <c r="E263" i="4"/>
  <c r="E79" i="4"/>
  <c r="E264" i="4"/>
  <c r="E81" i="4"/>
  <c r="E82" i="4"/>
  <c r="E256" i="4"/>
  <c r="E257" i="4"/>
  <c r="E84" i="4"/>
  <c r="E258" i="4"/>
  <c r="E90" i="4"/>
  <c r="E10" i="4"/>
  <c r="E11" i="4"/>
  <c r="E91" i="4"/>
  <c r="E92" i="4"/>
  <c r="E259" i="4"/>
  <c r="E123" i="4"/>
  <c r="E169" i="4"/>
  <c r="E49" i="2"/>
  <c r="E295" i="4"/>
  <c r="E249" i="4"/>
  <c r="E80" i="4"/>
  <c r="E83" i="4"/>
  <c r="E93" i="4"/>
  <c r="E115" i="4"/>
  <c r="E133" i="4"/>
  <c r="E230" i="4"/>
  <c r="E107" i="4"/>
  <c r="E166" i="4"/>
  <c r="E34" i="2"/>
  <c r="E168" i="4"/>
  <c r="E170" i="4"/>
  <c r="E206" i="4"/>
  <c r="E216" i="4"/>
  <c r="E247" i="4"/>
  <c r="E30" i="4"/>
  <c r="E70" i="4"/>
  <c r="E125" i="4"/>
  <c r="E131" i="4"/>
  <c r="E136" i="4"/>
  <c r="E165" i="4"/>
  <c r="E167" i="4"/>
  <c r="E9" i="2"/>
  <c r="E8" i="2"/>
  <c r="E59" i="4"/>
  <c r="E73" i="4"/>
  <c r="E140" i="4"/>
  <c r="E255" i="4"/>
  <c r="E225" i="4"/>
  <c r="E236" i="4"/>
  <c r="E33" i="4"/>
  <c r="E72" i="4"/>
  <c r="E124" i="4"/>
  <c r="E176" i="4"/>
  <c r="E281" i="4"/>
  <c r="E282" i="4"/>
  <c r="E199" i="4"/>
  <c r="E200" i="4"/>
  <c r="E201" i="4"/>
  <c r="E202" i="4"/>
  <c r="E203" i="4"/>
  <c r="E204" i="4"/>
  <c r="E31" i="4"/>
  <c r="E231" i="4"/>
  <c r="E232" i="4"/>
  <c r="E233" i="4"/>
  <c r="E235" i="4"/>
  <c r="E109" i="4"/>
  <c r="E190" i="4"/>
  <c r="E286" i="4"/>
  <c r="E20" i="4"/>
  <c r="E21" i="4"/>
  <c r="E22" i="4"/>
  <c r="E23" i="4"/>
  <c r="E24" i="4"/>
  <c r="E27" i="4"/>
  <c r="E28" i="4"/>
  <c r="E98" i="4"/>
  <c r="E99" i="4"/>
  <c r="E141" i="4"/>
  <c r="E97" i="4"/>
  <c r="E110" i="4"/>
  <c r="E112" i="4"/>
  <c r="E187" i="4"/>
  <c r="E188" i="4"/>
  <c r="E189" i="4"/>
  <c r="E287" i="4"/>
  <c r="E234" i="4"/>
  <c r="E50" i="4"/>
  <c r="E160" i="4"/>
  <c r="E278" i="4"/>
  <c r="E280" i="4"/>
  <c r="E193" i="4"/>
  <c r="E285" i="4"/>
  <c r="E289" i="4"/>
  <c r="E292" i="4"/>
  <c r="E293" i="4"/>
  <c r="E51" i="4"/>
  <c r="E3" i="4"/>
  <c r="E277" i="4"/>
  <c r="E16" i="4"/>
  <c r="E17" i="4"/>
  <c r="E18" i="4"/>
  <c r="E174" i="4"/>
  <c r="E175" i="4"/>
  <c r="E279" i="4"/>
  <c r="E290" i="4"/>
  <c r="E19" i="4"/>
  <c r="E8" i="4"/>
  <c r="E5" i="2"/>
  <c r="E240" i="4"/>
  <c r="E242" i="4"/>
  <c r="E48" i="4"/>
  <c r="E74" i="4"/>
  <c r="E266" i="4"/>
  <c r="E135" i="4"/>
  <c r="E147" i="4"/>
  <c r="E155" i="4"/>
  <c r="E186" i="4"/>
  <c r="E191" i="4"/>
  <c r="E283" i="4"/>
  <c r="E173" i="4"/>
  <c r="E284" i="4"/>
  <c r="E29" i="4"/>
  <c r="E49" i="4"/>
  <c r="E2" i="4"/>
  <c r="E154" i="4"/>
  <c r="E161" i="4"/>
  <c r="E229" i="4"/>
  <c r="E294" i="4"/>
  <c r="E32" i="4"/>
  <c r="E241" i="4"/>
  <c r="E10" i="2"/>
  <c r="E272" i="4"/>
  <c r="E271" i="4"/>
  <c r="E198" i="4"/>
  <c r="E205" i="4"/>
  <c r="E239" i="4"/>
  <c r="E243" i="4"/>
  <c r="E244" i="4"/>
  <c r="E245" i="4"/>
  <c r="E132" i="4"/>
  <c r="E122" i="4"/>
  <c r="E145" i="4"/>
  <c r="E152" i="4"/>
  <c r="E116" i="4"/>
  <c r="E192" i="4"/>
  <c r="E248" i="4"/>
  <c r="E44" i="4"/>
  <c r="E194" i="4"/>
  <c r="E222" i="4"/>
  <c r="E134" i="4"/>
  <c r="E149" i="4"/>
  <c r="E96" i="4"/>
  <c r="E195" i="4"/>
  <c r="E273" i="4"/>
  <c r="E275" i="4"/>
  <c r="E118" i="4"/>
  <c r="E68" i="4"/>
  <c r="E291" i="4"/>
  <c r="E246" i="4"/>
  <c r="E34" i="4"/>
  <c r="E94" i="4"/>
  <c r="E46" i="4"/>
  <c r="E7" i="4"/>
  <c r="E119" i="4"/>
  <c r="E35" i="4"/>
  <c r="E67" i="4"/>
  <c r="E6" i="4"/>
  <c r="E45" i="4"/>
  <c r="E47" i="4"/>
  <c r="E60" i="4"/>
  <c r="E69" i="4"/>
  <c r="E41" i="4"/>
  <c r="E61" i="4"/>
  <c r="E7" i="2"/>
  <c r="E120" i="4"/>
  <c r="E221" i="4"/>
  <c r="E62" i="4"/>
  <c r="E151" i="4"/>
  <c r="E43" i="4"/>
  <c r="E66" i="4"/>
  <c r="E4" i="4"/>
  <c r="E38" i="4"/>
  <c r="E78" i="4"/>
  <c r="E37" i="4"/>
  <c r="E42" i="4"/>
  <c r="E252" i="4"/>
  <c r="E39" i="4"/>
  <c r="E40" i="4"/>
  <c r="E111" i="4"/>
  <c r="E276" i="4"/>
  <c r="E254" i="4"/>
  <c r="E260" i="4"/>
  <c r="E36" i="4"/>
  <c r="E288" i="4"/>
  <c r="E253" i="4"/>
  <c r="E65" i="4"/>
  <c r="E53" i="4"/>
  <c r="E63" i="4"/>
  <c r="E251" i="4"/>
  <c r="E64" i="4"/>
  <c r="E54" i="4"/>
  <c r="E95" i="4"/>
  <c r="E57" i="4"/>
  <c r="E113" i="4"/>
  <c r="E47" i="2"/>
  <c r="E159" i="4"/>
  <c r="E58" i="4"/>
  <c r="E55" i="4"/>
  <c r="E56" i="4"/>
  <c r="E296" i="4"/>
  <c r="E297" i="4"/>
  <c r="E298" i="4"/>
  <c r="E299" i="4"/>
  <c r="E301" i="4"/>
  <c r="E302" i="4"/>
  <c r="E303" i="4"/>
  <c r="E304" i="4"/>
  <c r="E300" i="4"/>
  <c r="E305" i="4"/>
  <c r="E308" i="4"/>
  <c r="E309" i="4"/>
  <c r="E310" i="4"/>
  <c r="E306" i="4"/>
  <c r="E48" i="2"/>
  <c r="E307" i="4"/>
  <c r="E328" i="4"/>
  <c r="E343" i="4"/>
  <c r="E341" i="4"/>
  <c r="E342" i="4"/>
  <c r="E332" i="4"/>
  <c r="E344" i="4"/>
  <c r="E331" i="4"/>
  <c r="E339" i="4"/>
  <c r="E324" i="4"/>
  <c r="E326" i="4"/>
  <c r="E329" i="4"/>
  <c r="E334" i="4"/>
  <c r="E333" i="4"/>
  <c r="E317" i="4"/>
  <c r="E319" i="4"/>
  <c r="E320" i="4"/>
  <c r="E321" i="4"/>
  <c r="E322" i="4"/>
  <c r="E323" i="4"/>
  <c r="E325" i="4"/>
  <c r="E327" i="4"/>
  <c r="E335" i="4"/>
  <c r="E336" i="4"/>
  <c r="E337" i="4"/>
  <c r="E338" i="4"/>
  <c r="E340" i="4"/>
  <c r="E330" i="4"/>
  <c r="E318" i="4"/>
  <c r="E315" i="4"/>
  <c r="E316" i="4"/>
  <c r="E314" i="4"/>
  <c r="E312" i="4"/>
  <c r="E313" i="4"/>
  <c r="E354" i="4"/>
  <c r="E345" i="4"/>
  <c r="E349" i="4"/>
  <c r="E350" i="4"/>
  <c r="E355" i="4"/>
  <c r="E356" i="4"/>
  <c r="E357" i="4"/>
  <c r="E358" i="4"/>
  <c r="E359" i="4"/>
  <c r="E360" i="4"/>
  <c r="E361" i="4"/>
  <c r="E362" i="4"/>
  <c r="E364" i="4"/>
  <c r="E365" i="4"/>
  <c r="E366" i="4"/>
  <c r="E346" i="4"/>
  <c r="E347" i="4"/>
  <c r="E348" i="4"/>
  <c r="E351" i="4"/>
  <c r="E352" i="4"/>
  <c r="E353" i="4"/>
  <c r="E363" i="4"/>
  <c r="E367" i="4"/>
  <c r="E368" i="4"/>
  <c r="E369" i="4"/>
  <c r="E370" i="4"/>
  <c r="E371" i="4"/>
  <c r="E372" i="4"/>
  <c r="E373" i="4"/>
  <c r="E374" i="4"/>
  <c r="E376" i="4"/>
  <c r="E375" i="4"/>
  <c r="E377" i="4"/>
  <c r="E386" i="4"/>
  <c r="E385" i="4"/>
  <c r="E383" i="4"/>
  <c r="E384" i="4"/>
  <c r="E387" i="4"/>
  <c r="E388" i="4"/>
  <c r="E389" i="4"/>
  <c r="E390" i="4"/>
  <c r="E391" i="4"/>
  <c r="E392" i="4"/>
  <c r="E393" i="4"/>
  <c r="E394" i="4"/>
  <c r="E395" i="4"/>
  <c r="E396" i="4"/>
  <c r="E398" i="4"/>
  <c r="E399" i="4"/>
  <c r="E400" i="4"/>
  <c r="E401" i="4"/>
  <c r="E402" i="4"/>
  <c r="E403" i="4"/>
  <c r="E404" i="4"/>
  <c r="E405" i="4"/>
  <c r="E406" i="4"/>
  <c r="E407" i="4"/>
  <c r="E397" i="4"/>
  <c r="D2" i="12"/>
  <c r="F2" i="12"/>
  <c r="I77" i="4"/>
  <c r="I171" i="4"/>
  <c r="I217" i="4"/>
  <c r="I218" i="4"/>
  <c r="I238" i="4"/>
  <c r="I76" i="4"/>
  <c r="I79" i="4"/>
  <c r="I264" i="4"/>
  <c r="I81" i="4"/>
  <c r="I82" i="4"/>
  <c r="I256" i="4"/>
  <c r="I257" i="4"/>
  <c r="I84" i="4"/>
  <c r="I258" i="4"/>
  <c r="I87" i="4"/>
  <c r="I10" i="4"/>
  <c r="I11" i="4"/>
  <c r="I91" i="4"/>
  <c r="I92" i="4"/>
  <c r="I259" i="4"/>
  <c r="I104" i="4"/>
  <c r="I105" i="4"/>
  <c r="I106" i="4"/>
  <c r="I123" i="4"/>
  <c r="I126" i="4"/>
  <c r="I137" i="4"/>
  <c r="I138" i="4"/>
  <c r="I169" i="4"/>
  <c r="I220" i="4"/>
  <c r="I249" i="4"/>
  <c r="I75" i="4"/>
  <c r="I80" i="4"/>
  <c r="I83" i="4"/>
  <c r="I93" i="4"/>
  <c r="I102" i="4"/>
  <c r="I115" i="4"/>
  <c r="I144" i="4"/>
  <c r="I23" i="2"/>
  <c r="I100" i="4"/>
  <c r="I133" i="4"/>
  <c r="I230" i="4"/>
  <c r="I101" i="4"/>
  <c r="I265" i="4"/>
  <c r="I129" i="4"/>
  <c r="I143" i="4"/>
  <c r="I157" i="4"/>
  <c r="I158" i="4"/>
  <c r="I166" i="4"/>
  <c r="I170" i="4"/>
  <c r="I197" i="4"/>
  <c r="I206" i="4"/>
  <c r="I207" i="4"/>
  <c r="I208" i="4"/>
  <c r="I212" i="4"/>
  <c r="I216" i="4"/>
  <c r="I227" i="4"/>
  <c r="I85" i="4"/>
  <c r="I156" i="4"/>
  <c r="I211" i="4"/>
  <c r="I30" i="4"/>
  <c r="I70" i="4"/>
  <c r="I9" i="4"/>
  <c r="I12" i="4"/>
  <c r="I117" i="4"/>
  <c r="I15" i="4"/>
  <c r="I125" i="4"/>
  <c r="I130" i="4"/>
  <c r="I136" i="4"/>
  <c r="I165" i="4"/>
  <c r="I167" i="4"/>
  <c r="I210" i="4"/>
  <c r="I25" i="4"/>
  <c r="I26" i="4"/>
  <c r="I237" i="4"/>
  <c r="I73" i="4"/>
  <c r="I86" i="4"/>
  <c r="I267" i="4"/>
  <c r="I128" i="4"/>
  <c r="I153" i="4"/>
  <c r="I228" i="4"/>
  <c r="I71" i="4"/>
  <c r="I108" i="4"/>
  <c r="I209" i="4"/>
  <c r="I255" i="4"/>
  <c r="I214" i="4"/>
  <c r="I25" i="2"/>
  <c r="I225" i="4"/>
  <c r="I236" i="4"/>
  <c r="I33" i="4"/>
  <c r="I72" i="4"/>
  <c r="I14" i="4"/>
  <c r="I124" i="4"/>
  <c r="I139" i="4"/>
  <c r="I150" i="4"/>
  <c r="I176" i="4"/>
  <c r="I281" i="4"/>
  <c r="I282" i="4"/>
  <c r="I199" i="4"/>
  <c r="I201" i="4"/>
  <c r="I202" i="4"/>
  <c r="I204" i="4"/>
  <c r="I31" i="4"/>
  <c r="I231" i="4"/>
  <c r="I232" i="4"/>
  <c r="I233" i="4"/>
  <c r="I235" i="4"/>
  <c r="I109" i="4"/>
  <c r="I190" i="4"/>
  <c r="I286" i="4"/>
  <c r="I20" i="4"/>
  <c r="I22" i="4"/>
  <c r="I23" i="4"/>
  <c r="I24" i="4"/>
  <c r="I28" i="4"/>
  <c r="I98" i="4"/>
  <c r="I141" i="4"/>
  <c r="I97" i="4"/>
  <c r="I110" i="4"/>
  <c r="I112" i="4"/>
  <c r="I187" i="4"/>
  <c r="I188" i="4"/>
  <c r="I189" i="4"/>
  <c r="I287" i="4"/>
  <c r="I234" i="4"/>
  <c r="I50" i="4"/>
  <c r="I160" i="4"/>
  <c r="I278" i="4"/>
  <c r="I280" i="4"/>
  <c r="I193" i="4"/>
  <c r="I285" i="4"/>
  <c r="I289" i="4"/>
  <c r="I292" i="4"/>
  <c r="I293" i="4"/>
  <c r="I51" i="4"/>
  <c r="I3" i="4"/>
  <c r="I277" i="4"/>
  <c r="I16" i="4"/>
  <c r="I17" i="4"/>
  <c r="I18" i="4"/>
  <c r="I279" i="4"/>
  <c r="I290" i="4"/>
  <c r="I19" i="4"/>
  <c r="I8" i="4"/>
  <c r="I240" i="4"/>
  <c r="I242" i="4"/>
  <c r="I48" i="4"/>
  <c r="I74" i="4"/>
  <c r="I155" i="4"/>
  <c r="I177" i="4"/>
  <c r="I191" i="4"/>
  <c r="I283" i="4"/>
  <c r="I284" i="4"/>
  <c r="I29" i="4"/>
  <c r="I49" i="4"/>
  <c r="I2" i="4"/>
  <c r="I161" i="4"/>
  <c r="I229" i="4"/>
  <c r="I294" i="4"/>
  <c r="I32" i="4"/>
  <c r="I241" i="4"/>
  <c r="I271" i="4"/>
  <c r="I198" i="4"/>
  <c r="I239" i="4"/>
  <c r="I243" i="4"/>
  <c r="I244" i="4"/>
  <c r="I245" i="4"/>
  <c r="I122" i="4"/>
  <c r="I152" i="4"/>
  <c r="I5" i="4"/>
  <c r="I116" i="4"/>
  <c r="I192" i="4"/>
  <c r="I248" i="4"/>
  <c r="I44" i="4"/>
  <c r="I194" i="4"/>
  <c r="I96" i="4"/>
  <c r="I273" i="4"/>
  <c r="I275" i="4"/>
  <c r="I103" i="4"/>
  <c r="I118" i="4"/>
  <c r="I68" i="4"/>
  <c r="I291" i="4"/>
  <c r="I246" i="4"/>
  <c r="I34" i="4"/>
  <c r="I94" i="4"/>
  <c r="I148" i="4"/>
  <c r="I46" i="4"/>
  <c r="I7" i="4"/>
  <c r="I119" i="4"/>
  <c r="I35" i="4"/>
  <c r="I6" i="4"/>
  <c r="I45" i="4"/>
  <c r="I47" i="4"/>
  <c r="I60" i="4"/>
  <c r="I69" i="4"/>
  <c r="I41" i="4"/>
  <c r="I61" i="4"/>
  <c r="I196" i="4"/>
  <c r="I7" i="2"/>
  <c r="I120" i="4"/>
  <c r="I221" i="4"/>
  <c r="I62" i="4"/>
  <c r="I43" i="4"/>
  <c r="I66" i="4"/>
  <c r="I38" i="4"/>
  <c r="I78" i="4"/>
  <c r="I37" i="4"/>
  <c r="I42" i="4"/>
  <c r="I39" i="4"/>
  <c r="I268" i="4"/>
  <c r="I40" i="4"/>
  <c r="I111" i="4"/>
  <c r="I10" i="2"/>
  <c r="I254" i="4"/>
  <c r="I260" i="4"/>
  <c r="I36" i="4"/>
  <c r="I288" i="4"/>
  <c r="I8" i="2"/>
  <c r="I253" i="4"/>
  <c r="I65" i="4"/>
  <c r="I53" i="4"/>
  <c r="I63" i="4"/>
  <c r="I251" i="4"/>
  <c r="I64" i="4"/>
  <c r="I54" i="4"/>
  <c r="I95" i="4"/>
  <c r="I57" i="4"/>
  <c r="I113" i="4"/>
  <c r="I159" i="4"/>
  <c r="I58" i="4"/>
  <c r="I55" i="4"/>
  <c r="H2" i="12"/>
  <c r="J2" i="12"/>
  <c r="M59" i="4"/>
  <c r="M174" i="4"/>
  <c r="M127" i="4"/>
  <c r="M135" i="4"/>
  <c r="M147" i="4"/>
  <c r="M186" i="4"/>
  <c r="M173" i="4"/>
  <c r="M89" i="4"/>
  <c r="M268" i="4"/>
  <c r="M386" i="4"/>
  <c r="M385" i="4"/>
  <c r="M383" i="4"/>
  <c r="M384" i="4"/>
  <c r="M387" i="4"/>
  <c r="M388" i="4"/>
  <c r="M389" i="4"/>
  <c r="M390" i="4"/>
  <c r="M391" i="4"/>
  <c r="M392" i="4"/>
  <c r="M393" i="4"/>
  <c r="M394" i="4"/>
  <c r="M395" i="4"/>
  <c r="M396" i="4"/>
  <c r="M398" i="4"/>
  <c r="M399" i="4"/>
  <c r="M400" i="4"/>
  <c r="M401" i="4"/>
  <c r="M402" i="4"/>
  <c r="M403" i="4"/>
  <c r="M404" i="4"/>
  <c r="M405" i="4"/>
  <c r="M406" i="4"/>
  <c r="M407" i="4"/>
  <c r="M397" i="4"/>
  <c r="L2" i="12"/>
  <c r="N2" i="12"/>
  <c r="Q238" i="4"/>
  <c r="Q223" i="4"/>
  <c r="Q114" i="4"/>
  <c r="P2" i="12"/>
  <c r="R2" i="12"/>
  <c r="V2" i="12"/>
  <c r="Y324" i="4"/>
  <c r="Y363" i="4"/>
  <c r="B379" i="4"/>
  <c r="C379" i="4"/>
  <c r="B380" i="4"/>
  <c r="C380" i="4"/>
  <c r="B382" i="4"/>
  <c r="C382" i="4"/>
  <c r="C378" i="4"/>
  <c r="B2" i="12"/>
  <c r="AF3" i="6"/>
  <c r="AG3" i="6"/>
  <c r="AF4" i="6"/>
  <c r="AG4" i="6"/>
  <c r="AF5" i="6"/>
  <c r="AG5" i="6"/>
  <c r="AF6" i="6"/>
  <c r="AG6" i="6"/>
  <c r="AF21" i="6"/>
  <c r="AG21" i="6"/>
  <c r="AF22" i="6"/>
  <c r="AG22" i="6"/>
  <c r="AF23" i="6"/>
  <c r="AG23" i="6"/>
  <c r="AF47" i="6"/>
  <c r="AG47" i="6"/>
  <c r="AF7" i="6"/>
  <c r="AG7" i="6"/>
  <c r="AF48" i="6"/>
  <c r="AG48" i="6"/>
  <c r="AF8" i="6"/>
  <c r="AG8" i="6"/>
  <c r="AF27" i="6"/>
  <c r="AG27" i="6"/>
  <c r="AF28" i="6"/>
  <c r="AG28" i="6"/>
  <c r="AF29" i="6"/>
  <c r="AG29" i="6"/>
  <c r="AF30" i="6"/>
  <c r="AG30" i="6"/>
  <c r="AF86" i="6"/>
  <c r="AG86" i="6"/>
  <c r="AF87" i="6"/>
  <c r="AG87" i="6"/>
  <c r="AF64" i="6"/>
  <c r="AG64" i="6"/>
  <c r="AF88" i="6"/>
  <c r="AG88" i="6"/>
  <c r="AF37" i="6"/>
  <c r="AG37" i="6"/>
  <c r="AF40" i="6"/>
  <c r="AG40" i="6"/>
  <c r="AF41" i="6"/>
  <c r="AG41" i="6"/>
  <c r="AF42" i="6"/>
  <c r="AG42" i="6"/>
  <c r="AF45" i="6"/>
  <c r="AG45" i="6"/>
  <c r="AF43" i="6"/>
  <c r="AG43" i="6"/>
  <c r="AF280" i="6"/>
  <c r="AG280" i="6"/>
  <c r="AF9" i="6"/>
  <c r="AG9" i="6"/>
  <c r="AF49" i="6"/>
  <c r="AG49" i="6"/>
  <c r="AF50" i="6"/>
  <c r="AG50" i="6"/>
  <c r="AF10" i="6"/>
  <c r="AG10" i="6"/>
  <c r="AF114" i="6"/>
  <c r="AG114" i="6"/>
  <c r="AF11" i="6"/>
  <c r="AG11" i="6"/>
  <c r="AF51" i="6"/>
  <c r="AG51" i="6"/>
  <c r="AF52" i="6"/>
  <c r="AG52" i="6"/>
  <c r="AF62" i="6"/>
  <c r="AG62" i="6"/>
  <c r="AF53" i="6"/>
  <c r="AG53" i="6"/>
  <c r="AF65" i="6"/>
  <c r="AG65" i="6"/>
  <c r="AF66" i="6"/>
  <c r="AG66" i="6"/>
  <c r="AF67" i="6"/>
  <c r="AG67" i="6"/>
  <c r="AF68" i="6"/>
  <c r="AG68" i="6"/>
  <c r="AF69" i="6"/>
  <c r="AG69" i="6"/>
  <c r="AF204" i="6"/>
  <c r="AG204" i="6"/>
  <c r="AF157" i="6"/>
  <c r="AG157" i="6"/>
  <c r="AF70" i="6"/>
  <c r="AG70" i="6"/>
  <c r="AF106" i="6"/>
  <c r="AG106" i="6"/>
  <c r="AF205" i="6"/>
  <c r="AG205" i="6"/>
  <c r="AF89" i="6"/>
  <c r="AG89" i="6"/>
  <c r="AF90" i="6"/>
  <c r="AG90" i="6"/>
  <c r="AF85" i="6"/>
  <c r="AG85" i="6"/>
  <c r="AF91" i="6"/>
  <c r="AG91" i="6"/>
  <c r="AF92" i="6"/>
  <c r="AG92" i="6"/>
  <c r="AF93" i="6"/>
  <c r="AG93" i="6"/>
  <c r="AF94" i="6"/>
  <c r="AG94" i="6"/>
  <c r="AF95" i="6"/>
  <c r="AG95" i="6"/>
  <c r="AF96" i="6"/>
  <c r="AG96" i="6"/>
  <c r="AF103" i="6"/>
  <c r="AG103" i="6"/>
  <c r="AF97" i="6"/>
  <c r="AG97" i="6"/>
  <c r="AF230" i="6"/>
  <c r="AG230" i="6"/>
  <c r="AF231" i="6"/>
  <c r="AG231" i="6"/>
  <c r="AF71" i="6"/>
  <c r="AG71" i="6"/>
  <c r="AF104" i="6"/>
  <c r="AG104" i="6"/>
  <c r="AF105" i="6"/>
  <c r="AG105" i="6"/>
  <c r="AF98" i="6"/>
  <c r="AG98" i="6"/>
  <c r="AF99" i="6"/>
  <c r="AG99" i="6"/>
  <c r="AF100" i="6"/>
  <c r="AG100" i="6"/>
  <c r="AF107" i="6"/>
  <c r="AG107" i="6"/>
  <c r="AF108" i="6"/>
  <c r="AG108" i="6"/>
  <c r="AF109" i="6"/>
  <c r="AG109" i="6"/>
  <c r="AF101" i="6"/>
  <c r="AG101" i="6"/>
  <c r="AF54" i="6"/>
  <c r="AG54" i="6"/>
  <c r="AF115" i="6"/>
  <c r="AG115" i="6"/>
  <c r="AF116" i="6"/>
  <c r="AG116" i="6"/>
  <c r="AF117" i="6"/>
  <c r="AG117" i="6"/>
  <c r="AF55" i="6"/>
  <c r="AG55" i="6"/>
  <c r="AF123" i="6"/>
  <c r="AG123" i="6"/>
  <c r="AF124" i="6"/>
  <c r="AG124" i="6"/>
  <c r="AF125" i="6"/>
  <c r="AG125" i="6"/>
  <c r="AF129" i="6"/>
  <c r="AG129" i="6"/>
  <c r="AF130" i="6"/>
  <c r="AG130" i="6"/>
  <c r="AF269" i="6"/>
  <c r="AG269" i="6"/>
  <c r="AF158" i="6"/>
  <c r="AG158" i="6"/>
  <c r="AF110" i="6"/>
  <c r="AG110" i="6"/>
  <c r="AF111" i="6"/>
  <c r="AG111" i="6"/>
  <c r="AF112" i="6"/>
  <c r="AG112" i="6"/>
  <c r="AF31" i="6"/>
  <c r="AG31" i="6"/>
  <c r="AF163" i="6"/>
  <c r="AG163" i="6"/>
  <c r="AF164" i="6"/>
  <c r="AG164" i="6"/>
  <c r="AF165" i="6"/>
  <c r="AG165" i="6"/>
  <c r="AF206" i="6"/>
  <c r="AG206" i="6"/>
  <c r="AF139" i="6"/>
  <c r="AG139" i="6"/>
  <c r="AF166" i="6"/>
  <c r="AG166" i="6"/>
  <c r="AF56" i="6"/>
  <c r="AG56" i="6"/>
  <c r="AF281" i="6"/>
  <c r="AG281" i="6"/>
  <c r="AF232" i="6"/>
  <c r="AG232" i="6"/>
  <c r="AF194" i="6"/>
  <c r="AG194" i="6"/>
  <c r="AF140" i="6"/>
  <c r="AG140" i="6"/>
  <c r="AF173" i="6"/>
  <c r="AG173" i="6"/>
  <c r="AF174" i="6"/>
  <c r="AG174" i="6"/>
  <c r="AF131" i="6"/>
  <c r="AG131" i="6"/>
  <c r="AF12" i="6"/>
  <c r="AG12" i="6"/>
  <c r="AF294" i="6"/>
  <c r="AG294" i="6"/>
  <c r="AF195" i="6"/>
  <c r="AG195" i="6"/>
  <c r="AF207" i="6"/>
  <c r="AG207" i="6"/>
  <c r="AF141" i="6"/>
  <c r="AG141" i="6"/>
  <c r="AF208" i="6"/>
  <c r="AG208" i="6"/>
  <c r="AF132" i="6"/>
  <c r="AG132" i="6"/>
  <c r="AF13" i="6"/>
  <c r="AG13" i="6"/>
  <c r="AF46" i="6"/>
  <c r="AG46" i="6"/>
  <c r="AF258" i="6"/>
  <c r="AG258" i="6"/>
  <c r="AF24" i="6"/>
  <c r="AG24" i="6"/>
  <c r="AF233" i="6"/>
  <c r="AG233" i="6"/>
  <c r="AF196" i="6"/>
  <c r="AG196" i="6"/>
  <c r="AF72" i="6"/>
  <c r="AG72" i="6"/>
  <c r="AF259" i="6"/>
  <c r="AG259" i="6"/>
  <c r="AF38" i="6"/>
  <c r="AG38" i="6"/>
  <c r="AF73" i="6"/>
  <c r="AG73" i="6"/>
  <c r="AF74" i="6"/>
  <c r="AG74" i="6"/>
  <c r="AF282" i="6"/>
  <c r="AG282" i="6"/>
  <c r="AF75" i="6"/>
  <c r="AG75" i="6"/>
  <c r="AF234" i="6"/>
  <c r="AG234" i="6"/>
  <c r="AF235" i="6"/>
  <c r="AG235" i="6"/>
  <c r="AF209" i="6"/>
  <c r="AG209" i="6"/>
  <c r="AF270" i="6"/>
  <c r="AG270" i="6"/>
  <c r="AF210" i="6"/>
  <c r="AG210" i="6"/>
  <c r="AF133" i="6"/>
  <c r="AG133" i="6"/>
  <c r="AF76" i="6"/>
  <c r="AG76" i="6"/>
  <c r="AF211" i="6"/>
  <c r="AG211" i="6"/>
  <c r="AF25" i="6"/>
  <c r="AG25" i="6"/>
  <c r="AF135" i="6"/>
  <c r="AG135" i="6"/>
  <c r="AF236" i="6"/>
  <c r="AG236" i="6"/>
  <c r="AF159" i="6"/>
  <c r="AG159" i="6"/>
  <c r="AF77" i="6"/>
  <c r="AG77" i="6"/>
  <c r="AF260" i="6"/>
  <c r="AG260" i="6"/>
  <c r="AF271" i="6"/>
  <c r="AG271" i="6"/>
  <c r="AF126" i="6"/>
  <c r="AG126" i="6"/>
  <c r="AF142" i="6"/>
  <c r="AG142" i="6"/>
  <c r="AF237" i="6"/>
  <c r="AG237" i="6"/>
  <c r="AF272" i="6"/>
  <c r="AG272" i="6"/>
  <c r="AF57" i="6"/>
  <c r="AG57" i="6"/>
  <c r="AF212" i="6"/>
  <c r="AG212" i="6"/>
  <c r="AF273" i="6"/>
  <c r="AG273" i="6"/>
  <c r="AF283" i="6"/>
  <c r="AG283" i="6"/>
  <c r="AF118" i="6"/>
  <c r="AG118" i="6"/>
  <c r="AF119" i="6"/>
  <c r="AG119" i="6"/>
  <c r="AF14" i="6"/>
  <c r="AG14" i="6"/>
  <c r="AF120" i="6"/>
  <c r="AG120" i="6"/>
  <c r="AF197" i="6"/>
  <c r="AG197" i="6"/>
  <c r="AF151" i="6"/>
  <c r="AG151" i="6"/>
  <c r="AF213" i="6"/>
  <c r="AG213" i="6"/>
  <c r="AF198" i="6"/>
  <c r="AG198" i="6"/>
  <c r="AF26" i="6"/>
  <c r="AG26" i="6"/>
  <c r="AF261" i="6"/>
  <c r="AG261" i="6"/>
  <c r="AF121" i="6"/>
  <c r="AG121" i="6"/>
  <c r="AF127" i="6"/>
  <c r="AG127" i="6"/>
  <c r="AF238" i="6"/>
  <c r="AG238" i="6"/>
  <c r="AF239" i="6"/>
  <c r="AG239" i="6"/>
  <c r="AF240" i="6"/>
  <c r="AG240" i="6"/>
  <c r="AF134" i="6"/>
  <c r="AG134" i="6"/>
  <c r="AF58" i="6"/>
  <c r="AG58" i="6"/>
  <c r="AF39" i="6"/>
  <c r="AG39" i="6"/>
  <c r="AF44" i="6"/>
  <c r="AG44" i="6"/>
  <c r="AF175" i="6"/>
  <c r="AG175" i="6"/>
  <c r="AF78" i="6"/>
  <c r="AG78" i="6"/>
  <c r="AF32" i="6"/>
  <c r="AG32" i="6"/>
  <c r="AF188" i="6"/>
  <c r="AG188" i="6"/>
  <c r="AF136" i="6"/>
  <c r="AG136" i="6"/>
  <c r="AF137" i="6"/>
  <c r="AG137" i="6"/>
  <c r="AF138" i="6"/>
  <c r="AG138" i="6"/>
  <c r="AF241" i="6"/>
  <c r="AG241" i="6"/>
  <c r="AF242" i="6"/>
  <c r="AG242" i="6"/>
  <c r="AF243" i="6"/>
  <c r="AG243" i="6"/>
  <c r="AF33" i="6"/>
  <c r="AG33" i="6"/>
  <c r="AF79" i="6"/>
  <c r="AG79" i="6"/>
  <c r="AF113" i="6"/>
  <c r="AG113" i="6"/>
  <c r="AF244" i="6"/>
  <c r="AG244" i="6"/>
  <c r="AF245" i="6"/>
  <c r="AG245" i="6"/>
  <c r="AF284" i="6"/>
  <c r="AG284" i="6"/>
  <c r="AF285" i="6"/>
  <c r="AG285" i="6"/>
  <c r="AF34" i="6"/>
  <c r="AG34" i="6"/>
  <c r="AF176" i="6"/>
  <c r="AG176" i="6"/>
  <c r="AF152" i="6"/>
  <c r="AG152" i="6"/>
  <c r="AF246" i="6"/>
  <c r="AG246" i="6"/>
  <c r="AF274" i="6"/>
  <c r="AG274" i="6"/>
  <c r="AF247" i="6"/>
  <c r="AG247" i="6"/>
  <c r="AF80" i="6"/>
  <c r="AG80" i="6"/>
  <c r="AF248" i="6"/>
  <c r="AG248" i="6"/>
  <c r="AF81" i="6"/>
  <c r="AG81" i="6"/>
  <c r="AF262" i="6"/>
  <c r="AG262" i="6"/>
  <c r="AF160" i="6"/>
  <c r="AG160" i="6"/>
  <c r="AF286" i="6"/>
  <c r="AG286" i="6"/>
  <c r="AF143" i="6"/>
  <c r="AG143" i="6"/>
  <c r="AF59" i="6"/>
  <c r="AG59" i="6"/>
  <c r="AF214" i="6"/>
  <c r="AG214" i="6"/>
  <c r="AF215" i="6"/>
  <c r="AG215" i="6"/>
  <c r="AF216" i="6"/>
  <c r="AG216" i="6"/>
  <c r="AF199" i="6"/>
  <c r="AG199" i="6"/>
  <c r="AF217" i="6"/>
  <c r="AG217" i="6"/>
  <c r="AF128" i="6"/>
  <c r="AG128" i="6"/>
  <c r="AF144" i="6"/>
  <c r="AG144" i="6"/>
  <c r="AF145" i="6"/>
  <c r="AG145" i="6"/>
  <c r="AF177" i="6"/>
  <c r="AG177" i="6"/>
  <c r="AF153" i="6"/>
  <c r="AG153" i="6"/>
  <c r="AF218" i="6"/>
  <c r="AG218" i="6"/>
  <c r="AF200" i="6"/>
  <c r="AG200" i="6"/>
  <c r="AF219" i="6"/>
  <c r="AG219" i="6"/>
  <c r="AF220" i="6"/>
  <c r="AG220" i="6"/>
  <c r="AF201" i="6"/>
  <c r="AG201" i="6"/>
  <c r="AF221" i="6"/>
  <c r="AG221" i="6"/>
  <c r="AF222" i="6"/>
  <c r="AG222" i="6"/>
  <c r="AF223" i="6"/>
  <c r="AG223" i="6"/>
  <c r="AF146" i="6"/>
  <c r="AG146" i="6"/>
  <c r="AF147" i="6"/>
  <c r="AG147" i="6"/>
  <c r="AF148" i="6"/>
  <c r="AG148" i="6"/>
  <c r="AF82" i="6"/>
  <c r="AG82" i="6"/>
  <c r="AF184" i="6"/>
  <c r="AG184" i="6"/>
  <c r="AF185" i="6"/>
  <c r="AG185" i="6"/>
  <c r="AF186" i="6"/>
  <c r="AG186" i="6"/>
  <c r="AF150" i="6"/>
  <c r="AG150" i="6"/>
  <c r="AF154" i="6"/>
  <c r="AG154" i="6"/>
  <c r="AF161" i="6"/>
  <c r="AG161" i="6"/>
  <c r="AF167" i="6"/>
  <c r="AG167" i="6"/>
  <c r="AF168" i="6"/>
  <c r="AG168" i="6"/>
  <c r="AF178" i="6"/>
  <c r="AG178" i="6"/>
  <c r="AF189" i="6"/>
  <c r="AG189" i="6"/>
  <c r="AF187" i="6"/>
  <c r="AG187" i="6"/>
  <c r="AF190" i="6"/>
  <c r="AG190" i="6"/>
  <c r="AF193" i="6"/>
  <c r="AG193" i="6"/>
  <c r="AF191" i="6"/>
  <c r="AG191" i="6"/>
  <c r="AF192" i="6"/>
  <c r="AG192" i="6"/>
  <c r="AF202" i="6"/>
  <c r="AG202" i="6"/>
  <c r="AF224" i="6"/>
  <c r="AG224" i="6"/>
  <c r="AF162" i="6"/>
  <c r="AG162" i="6"/>
  <c r="AF249" i="6"/>
  <c r="AG249" i="6"/>
  <c r="AF203" i="6"/>
  <c r="AG203" i="6"/>
  <c r="AF250" i="6"/>
  <c r="AG250" i="6"/>
  <c r="AF251" i="6"/>
  <c r="AG251" i="6"/>
  <c r="AF252" i="6"/>
  <c r="AG252" i="6"/>
  <c r="AF253" i="6"/>
  <c r="AG253" i="6"/>
  <c r="AF275" i="6"/>
  <c r="AG275" i="6"/>
  <c r="AF254" i="6"/>
  <c r="AG254" i="6"/>
  <c r="AF255" i="6"/>
  <c r="AG255" i="6"/>
  <c r="AF263" i="6"/>
  <c r="AG263" i="6"/>
  <c r="AF264" i="6"/>
  <c r="AG264" i="6"/>
  <c r="AF265" i="6"/>
  <c r="AG265" i="6"/>
  <c r="AF276" i="6"/>
  <c r="AG276" i="6"/>
  <c r="AF277" i="6"/>
  <c r="AG277" i="6"/>
  <c r="AF278" i="6"/>
  <c r="AG278" i="6"/>
  <c r="AF279" i="6"/>
  <c r="AG279" i="6"/>
  <c r="AF225" i="6"/>
  <c r="AG225" i="6"/>
  <c r="AF155" i="6"/>
  <c r="AG155" i="6"/>
  <c r="AF35" i="6"/>
  <c r="AG35" i="6"/>
  <c r="AF149" i="6"/>
  <c r="AG149" i="6"/>
  <c r="AF287" i="6"/>
  <c r="AG287" i="6"/>
  <c r="AF266" i="6"/>
  <c r="AG266" i="6"/>
  <c r="AF267" i="6"/>
  <c r="AG267" i="6"/>
  <c r="AF122" i="6"/>
  <c r="AG122" i="6"/>
  <c r="AF226" i="6"/>
  <c r="AG226" i="6"/>
  <c r="AF227" i="6"/>
  <c r="AG227" i="6"/>
  <c r="AF228" i="6"/>
  <c r="AG228" i="6"/>
  <c r="AF256" i="6"/>
  <c r="AG256" i="6"/>
  <c r="AF268" i="6"/>
  <c r="AG268" i="6"/>
  <c r="AF229" i="6"/>
  <c r="AG229" i="6"/>
  <c r="AF83" i="6"/>
  <c r="AG83" i="6"/>
  <c r="AF84" i="6"/>
  <c r="AG84" i="6"/>
  <c r="AF63" i="6"/>
  <c r="AG63" i="6"/>
  <c r="AF60" i="6"/>
  <c r="AG60" i="6"/>
  <c r="AF288" i="6"/>
  <c r="AG288" i="6"/>
  <c r="AF289" i="6"/>
  <c r="AG289" i="6"/>
  <c r="AF290" i="6"/>
  <c r="AG290" i="6"/>
  <c r="AF291" i="6"/>
  <c r="AG291" i="6"/>
  <c r="AF292" i="6"/>
  <c r="AG292" i="6"/>
  <c r="AF169" i="6"/>
  <c r="AG169" i="6"/>
  <c r="AF170" i="6"/>
  <c r="AG170" i="6"/>
  <c r="AF179" i="6"/>
  <c r="AG179" i="6"/>
  <c r="AF156" i="6"/>
  <c r="AG156" i="6"/>
  <c r="AF171" i="6"/>
  <c r="AG171" i="6"/>
  <c r="AF257" i="6"/>
  <c r="AG257" i="6"/>
  <c r="AF293" i="6"/>
  <c r="AG293" i="6"/>
  <c r="AF61" i="6"/>
  <c r="AG61" i="6"/>
  <c r="AF15" i="6"/>
  <c r="AG15" i="6"/>
  <c r="AF16" i="6"/>
  <c r="AG16" i="6"/>
  <c r="AF17" i="6"/>
  <c r="AG17" i="6"/>
  <c r="AF18" i="6"/>
  <c r="AG18" i="6"/>
  <c r="AF19" i="6"/>
  <c r="AG19" i="6"/>
  <c r="AF20" i="6"/>
  <c r="AG20" i="6"/>
  <c r="AF180" i="6"/>
  <c r="AG180" i="6"/>
  <c r="AF36" i="6"/>
  <c r="AG36" i="6"/>
  <c r="AF181" i="6"/>
  <c r="AG181" i="6"/>
  <c r="AF295" i="6"/>
  <c r="AG295" i="6"/>
  <c r="AF172" i="6"/>
  <c r="AG172" i="6"/>
  <c r="AF182" i="6"/>
  <c r="AG182" i="6"/>
  <c r="AF183" i="6"/>
  <c r="AG183" i="6"/>
  <c r="AF102" i="6"/>
  <c r="AG102" i="6"/>
  <c r="AF296" i="6"/>
  <c r="AG296" i="6"/>
  <c r="AF297" i="6"/>
  <c r="AG297" i="6"/>
  <c r="AF298" i="6"/>
  <c r="AG298" i="6"/>
  <c r="AF299" i="6"/>
  <c r="AG299" i="6"/>
  <c r="AF300" i="6"/>
  <c r="AG300" i="6"/>
  <c r="AF301" i="6"/>
  <c r="AG301" i="6"/>
  <c r="AF302" i="6"/>
  <c r="AG302" i="6"/>
  <c r="AF303" i="6"/>
  <c r="AG303" i="6"/>
  <c r="AF304" i="6"/>
  <c r="AG304" i="6"/>
  <c r="AF305" i="6"/>
  <c r="AG305" i="6"/>
  <c r="AF306" i="6"/>
  <c r="AG306" i="6"/>
  <c r="AF307" i="6"/>
  <c r="AG307" i="6"/>
  <c r="AF308" i="6"/>
  <c r="AG308" i="6"/>
  <c r="AF309" i="6"/>
  <c r="AG309" i="6"/>
  <c r="AF310" i="6"/>
  <c r="AG310" i="6"/>
  <c r="AF312" i="6"/>
  <c r="AG312" i="6"/>
  <c r="AF313" i="6"/>
  <c r="AG313" i="6"/>
  <c r="AF314" i="6"/>
  <c r="AG314" i="6"/>
  <c r="AF315" i="6"/>
  <c r="AG315" i="6"/>
  <c r="AF316" i="6"/>
  <c r="AG316" i="6"/>
  <c r="AF317" i="6"/>
  <c r="AG317" i="6"/>
  <c r="AF318" i="6"/>
  <c r="AG318" i="6"/>
  <c r="AF319" i="6"/>
  <c r="AG319" i="6"/>
  <c r="AF320" i="6"/>
  <c r="AG320" i="6"/>
  <c r="AF321" i="6"/>
  <c r="AG321" i="6"/>
  <c r="AF322" i="6"/>
  <c r="AG322" i="6"/>
  <c r="AF323" i="6"/>
  <c r="AG323" i="6"/>
  <c r="AF324" i="6"/>
  <c r="AG324" i="6"/>
  <c r="AF325" i="6"/>
  <c r="AG325" i="6"/>
  <c r="AF326" i="6"/>
  <c r="AG326" i="6"/>
  <c r="AF327" i="6"/>
  <c r="AG327" i="6"/>
  <c r="AF328" i="6"/>
  <c r="AG328" i="6"/>
  <c r="AF329" i="6"/>
  <c r="AG329" i="6"/>
  <c r="AF330" i="6"/>
  <c r="AG330" i="6"/>
  <c r="AF331" i="6"/>
  <c r="AG331" i="6"/>
  <c r="AF332" i="6"/>
  <c r="AG332" i="6"/>
  <c r="AF333" i="6"/>
  <c r="AG333" i="6"/>
  <c r="AF334" i="6"/>
  <c r="AG334" i="6"/>
  <c r="AF335" i="6"/>
  <c r="AG335" i="6"/>
  <c r="AF336" i="6"/>
  <c r="AG336" i="6"/>
  <c r="AF337" i="6"/>
  <c r="AG337" i="6"/>
  <c r="AF338" i="6"/>
  <c r="AG338" i="6"/>
  <c r="AF343" i="6"/>
  <c r="AG343" i="6"/>
  <c r="AF339" i="6"/>
  <c r="AG339" i="6"/>
  <c r="AF340" i="6"/>
  <c r="AG340" i="6"/>
  <c r="AF344" i="6"/>
  <c r="AG344" i="6"/>
  <c r="AF341" i="6"/>
  <c r="AG341" i="6"/>
  <c r="AF342" i="6"/>
  <c r="AG342" i="6"/>
  <c r="AF358" i="6"/>
  <c r="AG358" i="6"/>
  <c r="AF345" i="6"/>
  <c r="AG345" i="6"/>
  <c r="AF359" i="6"/>
  <c r="AG359" i="6"/>
  <c r="AF346" i="6"/>
  <c r="AG346" i="6"/>
  <c r="AF347" i="6"/>
  <c r="AG347" i="6"/>
  <c r="AF348" i="6"/>
  <c r="AG348" i="6"/>
  <c r="AF349" i="6"/>
  <c r="AG349" i="6"/>
  <c r="AF350" i="6"/>
  <c r="AG350" i="6"/>
  <c r="AF351" i="6"/>
  <c r="AG351" i="6"/>
  <c r="AF352" i="6"/>
  <c r="AG352" i="6"/>
  <c r="AF353" i="6"/>
  <c r="AG353" i="6"/>
  <c r="AF360" i="6"/>
  <c r="AG360" i="6"/>
  <c r="AF361" i="6"/>
  <c r="AG361" i="6"/>
  <c r="AF362" i="6"/>
  <c r="AG362" i="6"/>
  <c r="AF363" i="6"/>
  <c r="AG363" i="6"/>
  <c r="AF364" i="6"/>
  <c r="AG364" i="6"/>
  <c r="AF365" i="6"/>
  <c r="AG365" i="6"/>
  <c r="AF366" i="6"/>
  <c r="AG366" i="6"/>
  <c r="AF354" i="6"/>
  <c r="AG354" i="6"/>
  <c r="AF355" i="6"/>
  <c r="AG355" i="6"/>
  <c r="AF356" i="6"/>
  <c r="AG356" i="6"/>
  <c r="AF357" i="6"/>
  <c r="AG357" i="6"/>
  <c r="AF367" i="6"/>
  <c r="AG367" i="6"/>
  <c r="AF368" i="6"/>
  <c r="AG368" i="6"/>
  <c r="AF369" i="6"/>
  <c r="AG369" i="6"/>
  <c r="AF370" i="6"/>
  <c r="AG370" i="6"/>
  <c r="AF371" i="6"/>
  <c r="AG371" i="6"/>
  <c r="AF372" i="6"/>
  <c r="AG372" i="6"/>
  <c r="AF373" i="6"/>
  <c r="AG373" i="6"/>
  <c r="AF374" i="6"/>
  <c r="AG374" i="6"/>
  <c r="AF375" i="6"/>
  <c r="AG375" i="6"/>
  <c r="AF376" i="6"/>
  <c r="AG376" i="6"/>
  <c r="AF377" i="6"/>
  <c r="AG377" i="6"/>
  <c r="AF379" i="6"/>
  <c r="AG379" i="6"/>
  <c r="AF382" i="6"/>
  <c r="AG382" i="6"/>
  <c r="AF378" i="6"/>
  <c r="AG378" i="6"/>
  <c r="AF381" i="6"/>
  <c r="AG381" i="6"/>
  <c r="AF380" i="6"/>
  <c r="AG380" i="6"/>
  <c r="AF406" i="6"/>
  <c r="AG406" i="6"/>
  <c r="AF384" i="6"/>
  <c r="AG384" i="6"/>
  <c r="AF405" i="6"/>
  <c r="AG405" i="6"/>
  <c r="AF404" i="6"/>
  <c r="AG404" i="6"/>
  <c r="AF387" i="6"/>
  <c r="AG387" i="6"/>
  <c r="AF388" i="6"/>
  <c r="AG388" i="6"/>
  <c r="AF389" i="6"/>
  <c r="AG389" i="6"/>
  <c r="AF390" i="6"/>
  <c r="AG390" i="6"/>
  <c r="AF391" i="6"/>
  <c r="AG391" i="6"/>
  <c r="AF386" i="6"/>
  <c r="AG386" i="6"/>
  <c r="AF402" i="6"/>
  <c r="AG402" i="6"/>
  <c r="AF392" i="6"/>
  <c r="AG392" i="6"/>
  <c r="AF393" i="6"/>
  <c r="AG393" i="6"/>
  <c r="AF394" i="6"/>
  <c r="AG394" i="6"/>
  <c r="AF395" i="6"/>
  <c r="AG395" i="6"/>
  <c r="AF396" i="6"/>
  <c r="AG396" i="6"/>
  <c r="AF397" i="6"/>
  <c r="AG397" i="6"/>
  <c r="AF383" i="6"/>
  <c r="AG383" i="6"/>
  <c r="AF403" i="6"/>
  <c r="AG403" i="6"/>
  <c r="AF398" i="6"/>
  <c r="AG398" i="6"/>
  <c r="AF385" i="6"/>
  <c r="AG385" i="6"/>
  <c r="AF407" i="6"/>
  <c r="AG407" i="6"/>
  <c r="AF399" i="6"/>
  <c r="AG399" i="6"/>
  <c r="AF400" i="6"/>
  <c r="AG400" i="6"/>
  <c r="AF401" i="6"/>
  <c r="AG401" i="6"/>
  <c r="AG2" i="6"/>
  <c r="AF2" i="6"/>
  <c r="AE3" i="6"/>
  <c r="AE4" i="6"/>
  <c r="AE5" i="6"/>
  <c r="AE6" i="6"/>
  <c r="AE21" i="6"/>
  <c r="AE22" i="6"/>
  <c r="AE23" i="6"/>
  <c r="AE47" i="6"/>
  <c r="AE7" i="6"/>
  <c r="AE48" i="6"/>
  <c r="AE8" i="6"/>
  <c r="AE27" i="6"/>
  <c r="AE28" i="6"/>
  <c r="AE29" i="6"/>
  <c r="AE30" i="6"/>
  <c r="AE86" i="6"/>
  <c r="AE87" i="6"/>
  <c r="AE64" i="6"/>
  <c r="AE88" i="6"/>
  <c r="AE37" i="6"/>
  <c r="AE40" i="6"/>
  <c r="AE41" i="6"/>
  <c r="AE42" i="6"/>
  <c r="AE45" i="6"/>
  <c r="AE43" i="6"/>
  <c r="AE280" i="6"/>
  <c r="AE9" i="6"/>
  <c r="AE49" i="6"/>
  <c r="AE50" i="6"/>
  <c r="AE10" i="6"/>
  <c r="AE114" i="6"/>
  <c r="AE11" i="6"/>
  <c r="AE51" i="6"/>
  <c r="AE52" i="6"/>
  <c r="AE62" i="6"/>
  <c r="AE53" i="6"/>
  <c r="AE65" i="6"/>
  <c r="AE66" i="6"/>
  <c r="AE67" i="6"/>
  <c r="AE68" i="6"/>
  <c r="AE69" i="6"/>
  <c r="AE204" i="6"/>
  <c r="AE157" i="6"/>
  <c r="AE70" i="6"/>
  <c r="AE106" i="6"/>
  <c r="AE205" i="6"/>
  <c r="AE89" i="6"/>
  <c r="AE90" i="6"/>
  <c r="AE85" i="6"/>
  <c r="AE91" i="6"/>
  <c r="AE92" i="6"/>
  <c r="AE93" i="6"/>
  <c r="AE94" i="6"/>
  <c r="AE95" i="6"/>
  <c r="AE96" i="6"/>
  <c r="AE103" i="6"/>
  <c r="AE97" i="6"/>
  <c r="AE230" i="6"/>
  <c r="AE231" i="6"/>
  <c r="AE71" i="6"/>
  <c r="AE104" i="6"/>
  <c r="AE105" i="6"/>
  <c r="AE98" i="6"/>
  <c r="AE99" i="6"/>
  <c r="AE100" i="6"/>
  <c r="AE107" i="6"/>
  <c r="AE108" i="6"/>
  <c r="AE109" i="6"/>
  <c r="AE101" i="6"/>
  <c r="AE54" i="6"/>
  <c r="AE115" i="6"/>
  <c r="AE116" i="6"/>
  <c r="AE117" i="6"/>
  <c r="AE55" i="6"/>
  <c r="AE123" i="6"/>
  <c r="AE124" i="6"/>
  <c r="AE125" i="6"/>
  <c r="AE129" i="6"/>
  <c r="AE130" i="6"/>
  <c r="AE269" i="6"/>
  <c r="AE158" i="6"/>
  <c r="AE110" i="6"/>
  <c r="AE111" i="6"/>
  <c r="AE112" i="6"/>
  <c r="AE31" i="6"/>
  <c r="AE163" i="6"/>
  <c r="AE164" i="6"/>
  <c r="AE165" i="6"/>
  <c r="AE206" i="6"/>
  <c r="AE139" i="6"/>
  <c r="AE166" i="6"/>
  <c r="AE56" i="6"/>
  <c r="AE281" i="6"/>
  <c r="AE232" i="6"/>
  <c r="AE194" i="6"/>
  <c r="AE140" i="6"/>
  <c r="AE173" i="6"/>
  <c r="AE174" i="6"/>
  <c r="AE131" i="6"/>
  <c r="AE12" i="6"/>
  <c r="AE294" i="6"/>
  <c r="AE195" i="6"/>
  <c r="AE207" i="6"/>
  <c r="AE141" i="6"/>
  <c r="AE208" i="6"/>
  <c r="AE132" i="6"/>
  <c r="AE13" i="6"/>
  <c r="AE46" i="6"/>
  <c r="AE258" i="6"/>
  <c r="AE24" i="6"/>
  <c r="AE233" i="6"/>
  <c r="AE196" i="6"/>
  <c r="AE72" i="6"/>
  <c r="AE259" i="6"/>
  <c r="AE38" i="6"/>
  <c r="AE73" i="6"/>
  <c r="AE74" i="6"/>
  <c r="AE282" i="6"/>
  <c r="AE75" i="6"/>
  <c r="AE234" i="6"/>
  <c r="AE235" i="6"/>
  <c r="AE209" i="6"/>
  <c r="AE270" i="6"/>
  <c r="AE210" i="6"/>
  <c r="AE133" i="6"/>
  <c r="AE76" i="6"/>
  <c r="AE211" i="6"/>
  <c r="AE25" i="6"/>
  <c r="AE135" i="6"/>
  <c r="AE236" i="6"/>
  <c r="AE159" i="6"/>
  <c r="AE77" i="6"/>
  <c r="AE260" i="6"/>
  <c r="AE271" i="6"/>
  <c r="AE126" i="6"/>
  <c r="AE142" i="6"/>
  <c r="AE237" i="6"/>
  <c r="AE272" i="6"/>
  <c r="AE57" i="6"/>
  <c r="AE212" i="6"/>
  <c r="AE273" i="6"/>
  <c r="AE283" i="6"/>
  <c r="AE118" i="6"/>
  <c r="AE119" i="6"/>
  <c r="AE14" i="6"/>
  <c r="AE120" i="6"/>
  <c r="AE197" i="6"/>
  <c r="AE151" i="6"/>
  <c r="AE213" i="6"/>
  <c r="AE198" i="6"/>
  <c r="AE26" i="6"/>
  <c r="AE261" i="6"/>
  <c r="AE121" i="6"/>
  <c r="AE127" i="6"/>
  <c r="AE238" i="6"/>
  <c r="AE239" i="6"/>
  <c r="AE240" i="6"/>
  <c r="AE134" i="6"/>
  <c r="AE58" i="6"/>
  <c r="AE39" i="6"/>
  <c r="AE44" i="6"/>
  <c r="AE175" i="6"/>
  <c r="AE78" i="6"/>
  <c r="AE32" i="6"/>
  <c r="AE188" i="6"/>
  <c r="AE136" i="6"/>
  <c r="AE137" i="6"/>
  <c r="AE138" i="6"/>
  <c r="AE241" i="6"/>
  <c r="AE242" i="6"/>
  <c r="AE243" i="6"/>
  <c r="AE33" i="6"/>
  <c r="AE79" i="6"/>
  <c r="AE113" i="6"/>
  <c r="AE244" i="6"/>
  <c r="AE245" i="6"/>
  <c r="AE284" i="6"/>
  <c r="AE285" i="6"/>
  <c r="AE34" i="6"/>
  <c r="AE176" i="6"/>
  <c r="AE152" i="6"/>
  <c r="AE246" i="6"/>
  <c r="AE274" i="6"/>
  <c r="AE247" i="6"/>
  <c r="AE80" i="6"/>
  <c r="AE248" i="6"/>
  <c r="AE81" i="6"/>
  <c r="AE262" i="6"/>
  <c r="AE160" i="6"/>
  <c r="AE286" i="6"/>
  <c r="AE143" i="6"/>
  <c r="AE59" i="6"/>
  <c r="AE214" i="6"/>
  <c r="AE215" i="6"/>
  <c r="AE216" i="6"/>
  <c r="AE199" i="6"/>
  <c r="AE217" i="6"/>
  <c r="AE128" i="6"/>
  <c r="AE144" i="6"/>
  <c r="AE145" i="6"/>
  <c r="AE177" i="6"/>
  <c r="AE153" i="6"/>
  <c r="AE218" i="6"/>
  <c r="AE200" i="6"/>
  <c r="AE219" i="6"/>
  <c r="AE220" i="6"/>
  <c r="AE201" i="6"/>
  <c r="AE221" i="6"/>
  <c r="AE222" i="6"/>
  <c r="AE223" i="6"/>
  <c r="AE146" i="6"/>
  <c r="AE147" i="6"/>
  <c r="AE148" i="6"/>
  <c r="AE82" i="6"/>
  <c r="AE184" i="6"/>
  <c r="AE185" i="6"/>
  <c r="AE186" i="6"/>
  <c r="AE150" i="6"/>
  <c r="AE154" i="6"/>
  <c r="AE161" i="6"/>
  <c r="AE167" i="6"/>
  <c r="AE168" i="6"/>
  <c r="AE178" i="6"/>
  <c r="AE189" i="6"/>
  <c r="AE187" i="6"/>
  <c r="AE190" i="6"/>
  <c r="AE193" i="6"/>
  <c r="AE191" i="6"/>
  <c r="AE192" i="6"/>
  <c r="AE202" i="6"/>
  <c r="AE224" i="6"/>
  <c r="AE162" i="6"/>
  <c r="AE249" i="6"/>
  <c r="AE203" i="6"/>
  <c r="AE250" i="6"/>
  <c r="AE251" i="6"/>
  <c r="AE252" i="6"/>
  <c r="AE253" i="6"/>
  <c r="AE275" i="6"/>
  <c r="AE254" i="6"/>
  <c r="AE255" i="6"/>
  <c r="AE263" i="6"/>
  <c r="AE264" i="6"/>
  <c r="AE265" i="6"/>
  <c r="AE276" i="6"/>
  <c r="AE277" i="6"/>
  <c r="AE278" i="6"/>
  <c r="AE279" i="6"/>
  <c r="AE225" i="6"/>
  <c r="AE155" i="6"/>
  <c r="AE35" i="6"/>
  <c r="AE149" i="6"/>
  <c r="AE287" i="6"/>
  <c r="AE266" i="6"/>
  <c r="AE267" i="6"/>
  <c r="AE122" i="6"/>
  <c r="AE226" i="6"/>
  <c r="AE227" i="6"/>
  <c r="AE228" i="6"/>
  <c r="AE256" i="6"/>
  <c r="AE268" i="6"/>
  <c r="AE229" i="6"/>
  <c r="AE83" i="6"/>
  <c r="AE84" i="6"/>
  <c r="AE63" i="6"/>
  <c r="AE60" i="6"/>
  <c r="AE288" i="6"/>
  <c r="AE289" i="6"/>
  <c r="AE290" i="6"/>
  <c r="AE291" i="6"/>
  <c r="AE292" i="6"/>
  <c r="AE169" i="6"/>
  <c r="AE170" i="6"/>
  <c r="AE179" i="6"/>
  <c r="AE156" i="6"/>
  <c r="AE171" i="6"/>
  <c r="AE257" i="6"/>
  <c r="AE293" i="6"/>
  <c r="AE61" i="6"/>
  <c r="AE15" i="6"/>
  <c r="AE16" i="6"/>
  <c r="AE17" i="6"/>
  <c r="AE18" i="6"/>
  <c r="AE19" i="6"/>
  <c r="AE20" i="6"/>
  <c r="AE180" i="6"/>
  <c r="AE36" i="6"/>
  <c r="AE181" i="6"/>
  <c r="AE295" i="6"/>
  <c r="AE172" i="6"/>
  <c r="AE182" i="6"/>
  <c r="AE183" i="6"/>
  <c r="AE102" i="6"/>
  <c r="AE296" i="6"/>
  <c r="AE297" i="6"/>
  <c r="AE298" i="6"/>
  <c r="AE299" i="6"/>
  <c r="AE300" i="6"/>
  <c r="AE301" i="6"/>
  <c r="AE302" i="6"/>
  <c r="AE303" i="6"/>
  <c r="AE304" i="6"/>
  <c r="AE305" i="6"/>
  <c r="AE306" i="6"/>
  <c r="AE307" i="6"/>
  <c r="AE308" i="6"/>
  <c r="AE309" i="6"/>
  <c r="AE310" i="6"/>
  <c r="AE312" i="6"/>
  <c r="AE313" i="6"/>
  <c r="AE314" i="6"/>
  <c r="AE315" i="6"/>
  <c r="AE316" i="6"/>
  <c r="AE317" i="6"/>
  <c r="AE318" i="6"/>
  <c r="AE319" i="6"/>
  <c r="AE320" i="6"/>
  <c r="AE321" i="6"/>
  <c r="AE322" i="6"/>
  <c r="AE323" i="6"/>
  <c r="AE324" i="6"/>
  <c r="AE325" i="6"/>
  <c r="AE326" i="6"/>
  <c r="AE327" i="6"/>
  <c r="AE328" i="6"/>
  <c r="AE329" i="6"/>
  <c r="AE330" i="6"/>
  <c r="AE331" i="6"/>
  <c r="AE332" i="6"/>
  <c r="AE333" i="6"/>
  <c r="AE334" i="6"/>
  <c r="AE335" i="6"/>
  <c r="AE336" i="6"/>
  <c r="AE337" i="6"/>
  <c r="AE338" i="6"/>
  <c r="AE343" i="6"/>
  <c r="AE339" i="6"/>
  <c r="AE340" i="6"/>
  <c r="AE344" i="6"/>
  <c r="AE341" i="6"/>
  <c r="AE342" i="6"/>
  <c r="AE358" i="6"/>
  <c r="AE345" i="6"/>
  <c r="AE359" i="6"/>
  <c r="AE346" i="6"/>
  <c r="AE347" i="6"/>
  <c r="AE348" i="6"/>
  <c r="AE349" i="6"/>
  <c r="AE350" i="6"/>
  <c r="AE351" i="6"/>
  <c r="AE352" i="6"/>
  <c r="AE353" i="6"/>
  <c r="AE360" i="6"/>
  <c r="AE361" i="6"/>
  <c r="AE362" i="6"/>
  <c r="AE363" i="6"/>
  <c r="AE364" i="6"/>
  <c r="AE365" i="6"/>
  <c r="AE366" i="6"/>
  <c r="AE354" i="6"/>
  <c r="AE355" i="6"/>
  <c r="AE356" i="6"/>
  <c r="AE357" i="6"/>
  <c r="AE367" i="6"/>
  <c r="AE368" i="6"/>
  <c r="AE369" i="6"/>
  <c r="AE370" i="6"/>
  <c r="AE371" i="6"/>
  <c r="AE372" i="6"/>
  <c r="AE373" i="6"/>
  <c r="AE374" i="6"/>
  <c r="AE375" i="6"/>
  <c r="AE376" i="6"/>
  <c r="AE377" i="6"/>
  <c r="AE379" i="6"/>
  <c r="AE382" i="6"/>
  <c r="AE378" i="6"/>
  <c r="AE381" i="6"/>
  <c r="AE380" i="6"/>
  <c r="AE406" i="6"/>
  <c r="AE384" i="6"/>
  <c r="AE405" i="6"/>
  <c r="AE404" i="6"/>
  <c r="AE387" i="6"/>
  <c r="AE388" i="6"/>
  <c r="AE389" i="6"/>
  <c r="AE390" i="6"/>
  <c r="AE391" i="6"/>
  <c r="AE386" i="6"/>
  <c r="AE402" i="6"/>
  <c r="AE392" i="6"/>
  <c r="AE393" i="6"/>
  <c r="AE394" i="6"/>
  <c r="AE395" i="6"/>
  <c r="AE396" i="6"/>
  <c r="AE397" i="6"/>
  <c r="AE383" i="6"/>
  <c r="AE403" i="6"/>
  <c r="AE398" i="6"/>
  <c r="AE385" i="6"/>
  <c r="AE407" i="6"/>
  <c r="AE399" i="6"/>
  <c r="AE400" i="6"/>
  <c r="AE401" i="6"/>
  <c r="AE2" i="6"/>
  <c r="AA3" i="6"/>
  <c r="AB3" i="6"/>
  <c r="AC3" i="6"/>
  <c r="AD3" i="6"/>
  <c r="AA4" i="6"/>
  <c r="AB4" i="6"/>
  <c r="AC4" i="6"/>
  <c r="AD4" i="6"/>
  <c r="AA5" i="6"/>
  <c r="AB5" i="6"/>
  <c r="AC5" i="6"/>
  <c r="AD5" i="6"/>
  <c r="AA6" i="6"/>
  <c r="AB6" i="6"/>
  <c r="AC6" i="6"/>
  <c r="AD6" i="6"/>
  <c r="AA21" i="6"/>
  <c r="AB21" i="6"/>
  <c r="AC21" i="6"/>
  <c r="AD21" i="6"/>
  <c r="AA22" i="6"/>
  <c r="AB22" i="6"/>
  <c r="AC22" i="6"/>
  <c r="AD22" i="6"/>
  <c r="AA23" i="6"/>
  <c r="AB23" i="6"/>
  <c r="AC23" i="6"/>
  <c r="AD23" i="6"/>
  <c r="AA47" i="6"/>
  <c r="AB47" i="6"/>
  <c r="AC47" i="6"/>
  <c r="AD47" i="6"/>
  <c r="AA7" i="6"/>
  <c r="AB7" i="6"/>
  <c r="AC7" i="6"/>
  <c r="AD7" i="6"/>
  <c r="AA48" i="6"/>
  <c r="AB48" i="6"/>
  <c r="AC48" i="6"/>
  <c r="AD48" i="6"/>
  <c r="AA8" i="6"/>
  <c r="AB8" i="6"/>
  <c r="AC8" i="6"/>
  <c r="AD8" i="6"/>
  <c r="AA27" i="6"/>
  <c r="AB27" i="6"/>
  <c r="AC27" i="6"/>
  <c r="AD27" i="6"/>
  <c r="AA28" i="6"/>
  <c r="AB28" i="6"/>
  <c r="AC28" i="6"/>
  <c r="AD28" i="6"/>
  <c r="AA29" i="6"/>
  <c r="AB29" i="6"/>
  <c r="AC29" i="6"/>
  <c r="AD29" i="6"/>
  <c r="AA30" i="6"/>
  <c r="AB30" i="6"/>
  <c r="AC30" i="6"/>
  <c r="AD30" i="6"/>
  <c r="AA86" i="6"/>
  <c r="AB86" i="6"/>
  <c r="AC86" i="6"/>
  <c r="AD86" i="6"/>
  <c r="AA87" i="6"/>
  <c r="AB87" i="6"/>
  <c r="AC87" i="6"/>
  <c r="AD87" i="6"/>
  <c r="AA64" i="6"/>
  <c r="AB64" i="6"/>
  <c r="AC64" i="6"/>
  <c r="AD64" i="6"/>
  <c r="AA88" i="6"/>
  <c r="AB88" i="6"/>
  <c r="AC88" i="6"/>
  <c r="AD88" i="6"/>
  <c r="AA37" i="6"/>
  <c r="AB37" i="6"/>
  <c r="AC37" i="6"/>
  <c r="AD37" i="6"/>
  <c r="AA40" i="6"/>
  <c r="AB40" i="6"/>
  <c r="AC40" i="6"/>
  <c r="AD40" i="6"/>
  <c r="AA41" i="6"/>
  <c r="AB41" i="6"/>
  <c r="AC41" i="6"/>
  <c r="AD41" i="6"/>
  <c r="AA42" i="6"/>
  <c r="AB42" i="6"/>
  <c r="AC42" i="6"/>
  <c r="AD42" i="6"/>
  <c r="AA45" i="6"/>
  <c r="AB45" i="6"/>
  <c r="AC45" i="6"/>
  <c r="AD45" i="6"/>
  <c r="AA43" i="6"/>
  <c r="AB43" i="6"/>
  <c r="AC43" i="6"/>
  <c r="AD43" i="6"/>
  <c r="AA280" i="6"/>
  <c r="AB280" i="6"/>
  <c r="AC280" i="6"/>
  <c r="AD280" i="6"/>
  <c r="AA9" i="6"/>
  <c r="AB9" i="6"/>
  <c r="AC9" i="6"/>
  <c r="AD9" i="6"/>
  <c r="AA49" i="6"/>
  <c r="AB49" i="6"/>
  <c r="AC49" i="6"/>
  <c r="AD49" i="6"/>
  <c r="AA50" i="6"/>
  <c r="AB50" i="6"/>
  <c r="AC50" i="6"/>
  <c r="AD50" i="6"/>
  <c r="AA10" i="6"/>
  <c r="AB10" i="6"/>
  <c r="AC10" i="6"/>
  <c r="AD10" i="6"/>
  <c r="AA114" i="6"/>
  <c r="AB114" i="6"/>
  <c r="AC114" i="6"/>
  <c r="AD114" i="6"/>
  <c r="AA11" i="6"/>
  <c r="AB11" i="6"/>
  <c r="AC11" i="6"/>
  <c r="AD11" i="6"/>
  <c r="AA51" i="6"/>
  <c r="AB51" i="6"/>
  <c r="AC51" i="6"/>
  <c r="AD51" i="6"/>
  <c r="AA52" i="6"/>
  <c r="AB52" i="6"/>
  <c r="AC52" i="6"/>
  <c r="AD52" i="6"/>
  <c r="AA62" i="6"/>
  <c r="AB62" i="6"/>
  <c r="AC62" i="6"/>
  <c r="AD62" i="6"/>
  <c r="AA53" i="6"/>
  <c r="AB53" i="6"/>
  <c r="AC53" i="6"/>
  <c r="AD53" i="6"/>
  <c r="AA65" i="6"/>
  <c r="AB65" i="6"/>
  <c r="AC65" i="6"/>
  <c r="AD65" i="6"/>
  <c r="AA66" i="6"/>
  <c r="AB66" i="6"/>
  <c r="AC66" i="6"/>
  <c r="AD66" i="6"/>
  <c r="AA67" i="6"/>
  <c r="AB67" i="6"/>
  <c r="AC67" i="6"/>
  <c r="AD67" i="6"/>
  <c r="AA68" i="6"/>
  <c r="AB68" i="6"/>
  <c r="AC68" i="6"/>
  <c r="AD68" i="6"/>
  <c r="AA69" i="6"/>
  <c r="AB69" i="6"/>
  <c r="AC69" i="6"/>
  <c r="AD69" i="6"/>
  <c r="AA204" i="6"/>
  <c r="AB204" i="6"/>
  <c r="AC204" i="6"/>
  <c r="AD204" i="6"/>
  <c r="AA157" i="6"/>
  <c r="AB157" i="6"/>
  <c r="AC157" i="6"/>
  <c r="AD157" i="6"/>
  <c r="AA70" i="6"/>
  <c r="AB70" i="6"/>
  <c r="AC70" i="6"/>
  <c r="AD70" i="6"/>
  <c r="AA106" i="6"/>
  <c r="AB106" i="6"/>
  <c r="AC106" i="6"/>
  <c r="AD106" i="6"/>
  <c r="AA205" i="6"/>
  <c r="AB205" i="6"/>
  <c r="AC205" i="6"/>
  <c r="AD205" i="6"/>
  <c r="AA89" i="6"/>
  <c r="AB89" i="6"/>
  <c r="AC89" i="6"/>
  <c r="AD89" i="6"/>
  <c r="AA90" i="6"/>
  <c r="AB90" i="6"/>
  <c r="AC90" i="6"/>
  <c r="AD90" i="6"/>
  <c r="AA85" i="6"/>
  <c r="AB85" i="6"/>
  <c r="AC85" i="6"/>
  <c r="AD85" i="6"/>
  <c r="AA91" i="6"/>
  <c r="AB91" i="6"/>
  <c r="AC91" i="6"/>
  <c r="AD91" i="6"/>
  <c r="AA92" i="6"/>
  <c r="AB92" i="6"/>
  <c r="AC92" i="6"/>
  <c r="AD92" i="6"/>
  <c r="AA93" i="6"/>
  <c r="AB93" i="6"/>
  <c r="AC93" i="6"/>
  <c r="AD93" i="6"/>
  <c r="AA94" i="6"/>
  <c r="AB94" i="6"/>
  <c r="AC94" i="6"/>
  <c r="AD94" i="6"/>
  <c r="AA95" i="6"/>
  <c r="AB95" i="6"/>
  <c r="AC95" i="6"/>
  <c r="AD95" i="6"/>
  <c r="AA96" i="6"/>
  <c r="AB96" i="6"/>
  <c r="AC96" i="6"/>
  <c r="AD96" i="6"/>
  <c r="AA103" i="6"/>
  <c r="AB103" i="6"/>
  <c r="AC103" i="6"/>
  <c r="AD103" i="6"/>
  <c r="AA97" i="6"/>
  <c r="AB97" i="6"/>
  <c r="AC97" i="6"/>
  <c r="AD97" i="6"/>
  <c r="AA230" i="6"/>
  <c r="AB230" i="6"/>
  <c r="AC230" i="6"/>
  <c r="AD230" i="6"/>
  <c r="AA231" i="6"/>
  <c r="AB231" i="6"/>
  <c r="AC231" i="6"/>
  <c r="AD231" i="6"/>
  <c r="AA71" i="6"/>
  <c r="AB71" i="6"/>
  <c r="AC71" i="6"/>
  <c r="AD71" i="6"/>
  <c r="AA104" i="6"/>
  <c r="AB104" i="6"/>
  <c r="AC104" i="6"/>
  <c r="AD104" i="6"/>
  <c r="AA105" i="6"/>
  <c r="AB105" i="6"/>
  <c r="AC105" i="6"/>
  <c r="AD105" i="6"/>
  <c r="AA98" i="6"/>
  <c r="AB98" i="6"/>
  <c r="AC98" i="6"/>
  <c r="AD98" i="6"/>
  <c r="AA99" i="6"/>
  <c r="AB99" i="6"/>
  <c r="AC99" i="6"/>
  <c r="AD99" i="6"/>
  <c r="AA100" i="6"/>
  <c r="AB100" i="6"/>
  <c r="AC100" i="6"/>
  <c r="AD100" i="6"/>
  <c r="AA107" i="6"/>
  <c r="AB107" i="6"/>
  <c r="AC107" i="6"/>
  <c r="AD107" i="6"/>
  <c r="AA108" i="6"/>
  <c r="AB108" i="6"/>
  <c r="AC108" i="6"/>
  <c r="AD108" i="6"/>
  <c r="AA109" i="6"/>
  <c r="AB109" i="6"/>
  <c r="AC109" i="6"/>
  <c r="AD109" i="6"/>
  <c r="AA101" i="6"/>
  <c r="AB101" i="6"/>
  <c r="AC101" i="6"/>
  <c r="AD101" i="6"/>
  <c r="AA54" i="6"/>
  <c r="AB54" i="6"/>
  <c r="AC54" i="6"/>
  <c r="AD54" i="6"/>
  <c r="AA115" i="6"/>
  <c r="AB115" i="6"/>
  <c r="AC115" i="6"/>
  <c r="AD115" i="6"/>
  <c r="AA116" i="6"/>
  <c r="AB116" i="6"/>
  <c r="AC116" i="6"/>
  <c r="AD116" i="6"/>
  <c r="AA117" i="6"/>
  <c r="AB117" i="6"/>
  <c r="AC117" i="6"/>
  <c r="AD117" i="6"/>
  <c r="AA55" i="6"/>
  <c r="AB55" i="6"/>
  <c r="AC55" i="6"/>
  <c r="AD55" i="6"/>
  <c r="AA123" i="6"/>
  <c r="AB123" i="6"/>
  <c r="AC123" i="6"/>
  <c r="AD123" i="6"/>
  <c r="AA124" i="6"/>
  <c r="AB124" i="6"/>
  <c r="AC124" i="6"/>
  <c r="AD124" i="6"/>
  <c r="AA125" i="6"/>
  <c r="AB125" i="6"/>
  <c r="AC125" i="6"/>
  <c r="AD125" i="6"/>
  <c r="AA129" i="6"/>
  <c r="AB129" i="6"/>
  <c r="AC129" i="6"/>
  <c r="AD129" i="6"/>
  <c r="AA130" i="6"/>
  <c r="AB130" i="6"/>
  <c r="AC130" i="6"/>
  <c r="AD130" i="6"/>
  <c r="AA269" i="6"/>
  <c r="AB269" i="6"/>
  <c r="AC269" i="6"/>
  <c r="AD269" i="6"/>
  <c r="AA158" i="6"/>
  <c r="AB158" i="6"/>
  <c r="AC158" i="6"/>
  <c r="AD158" i="6"/>
  <c r="AA110" i="6"/>
  <c r="AB110" i="6"/>
  <c r="AC110" i="6"/>
  <c r="AD110" i="6"/>
  <c r="AA111" i="6"/>
  <c r="AB111" i="6"/>
  <c r="AC111" i="6"/>
  <c r="AD111" i="6"/>
  <c r="AA112" i="6"/>
  <c r="AB112" i="6"/>
  <c r="AC112" i="6"/>
  <c r="AD112" i="6"/>
  <c r="AA31" i="6"/>
  <c r="AB31" i="6"/>
  <c r="AC31" i="6"/>
  <c r="AD31" i="6"/>
  <c r="AA163" i="6"/>
  <c r="AB163" i="6"/>
  <c r="AC163" i="6"/>
  <c r="AD163" i="6"/>
  <c r="AA164" i="6"/>
  <c r="AB164" i="6"/>
  <c r="AC164" i="6"/>
  <c r="AD164" i="6"/>
  <c r="AA165" i="6"/>
  <c r="AB165" i="6"/>
  <c r="AC165" i="6"/>
  <c r="AD165" i="6"/>
  <c r="AA206" i="6"/>
  <c r="AB206" i="6"/>
  <c r="AC206" i="6"/>
  <c r="AD206" i="6"/>
  <c r="AA139" i="6"/>
  <c r="AB139" i="6"/>
  <c r="AC139" i="6"/>
  <c r="AD139" i="6"/>
  <c r="AA166" i="6"/>
  <c r="AB166" i="6"/>
  <c r="AC166" i="6"/>
  <c r="AD166" i="6"/>
  <c r="AA56" i="6"/>
  <c r="AB56" i="6"/>
  <c r="AC56" i="6"/>
  <c r="AD56" i="6"/>
  <c r="AA281" i="6"/>
  <c r="AB281" i="6"/>
  <c r="AC281" i="6"/>
  <c r="AD281" i="6"/>
  <c r="AA232" i="6"/>
  <c r="AB232" i="6"/>
  <c r="AC232" i="6"/>
  <c r="AD232" i="6"/>
  <c r="AA194" i="6"/>
  <c r="AB194" i="6"/>
  <c r="AC194" i="6"/>
  <c r="AD194" i="6"/>
  <c r="AA140" i="6"/>
  <c r="AB140" i="6"/>
  <c r="AC140" i="6"/>
  <c r="AD140" i="6"/>
  <c r="AA173" i="6"/>
  <c r="AB173" i="6"/>
  <c r="AC173" i="6"/>
  <c r="AD173" i="6"/>
  <c r="AA174" i="6"/>
  <c r="AB174" i="6"/>
  <c r="AC174" i="6"/>
  <c r="AD174" i="6"/>
  <c r="AA131" i="6"/>
  <c r="AB131" i="6"/>
  <c r="AC131" i="6"/>
  <c r="AD131" i="6"/>
  <c r="AA12" i="6"/>
  <c r="AB12" i="6"/>
  <c r="AC12" i="6"/>
  <c r="AD12" i="6"/>
  <c r="AA294" i="6"/>
  <c r="AB294" i="6"/>
  <c r="AC294" i="6"/>
  <c r="AD294" i="6"/>
  <c r="AA195" i="6"/>
  <c r="AB195" i="6"/>
  <c r="AC195" i="6"/>
  <c r="AD195" i="6"/>
  <c r="AA207" i="6"/>
  <c r="AB207" i="6"/>
  <c r="AC207" i="6"/>
  <c r="AD207" i="6"/>
  <c r="AA141" i="6"/>
  <c r="AB141" i="6"/>
  <c r="AC141" i="6"/>
  <c r="AD141" i="6"/>
  <c r="AA208" i="6"/>
  <c r="AB208" i="6"/>
  <c r="AC208" i="6"/>
  <c r="AD208" i="6"/>
  <c r="AA132" i="6"/>
  <c r="AB132" i="6"/>
  <c r="AC132" i="6"/>
  <c r="AD132" i="6"/>
  <c r="AA13" i="6"/>
  <c r="AB13" i="6"/>
  <c r="AC13" i="6"/>
  <c r="AD13" i="6"/>
  <c r="AA46" i="6"/>
  <c r="AB46" i="6"/>
  <c r="AC46" i="6"/>
  <c r="AD46" i="6"/>
  <c r="AA258" i="6"/>
  <c r="AB258" i="6"/>
  <c r="AC258" i="6"/>
  <c r="AD258" i="6"/>
  <c r="AA24" i="6"/>
  <c r="AB24" i="6"/>
  <c r="AC24" i="6"/>
  <c r="AD24" i="6"/>
  <c r="AA233" i="6"/>
  <c r="AB233" i="6"/>
  <c r="AC233" i="6"/>
  <c r="AD233" i="6"/>
  <c r="AA196" i="6"/>
  <c r="AB196" i="6"/>
  <c r="AC196" i="6"/>
  <c r="AD196" i="6"/>
  <c r="AA72" i="6"/>
  <c r="AB72" i="6"/>
  <c r="AC72" i="6"/>
  <c r="AD72" i="6"/>
  <c r="AA259" i="6"/>
  <c r="AB259" i="6"/>
  <c r="AC259" i="6"/>
  <c r="AD259" i="6"/>
  <c r="AA38" i="6"/>
  <c r="AB38" i="6"/>
  <c r="AC38" i="6"/>
  <c r="AD38" i="6"/>
  <c r="AA73" i="6"/>
  <c r="AB73" i="6"/>
  <c r="AC73" i="6"/>
  <c r="AD73" i="6"/>
  <c r="AA74" i="6"/>
  <c r="AB74" i="6"/>
  <c r="AC74" i="6"/>
  <c r="AD74" i="6"/>
  <c r="AA282" i="6"/>
  <c r="AB282" i="6"/>
  <c r="AC282" i="6"/>
  <c r="AD282" i="6"/>
  <c r="AA75" i="6"/>
  <c r="AB75" i="6"/>
  <c r="AC75" i="6"/>
  <c r="AD75" i="6"/>
  <c r="AA234" i="6"/>
  <c r="AB234" i="6"/>
  <c r="AC234" i="6"/>
  <c r="AD234" i="6"/>
  <c r="AA235" i="6"/>
  <c r="AB235" i="6"/>
  <c r="AC235" i="6"/>
  <c r="AD235" i="6"/>
  <c r="AA209" i="6"/>
  <c r="AB209" i="6"/>
  <c r="AC209" i="6"/>
  <c r="AD209" i="6"/>
  <c r="AA270" i="6"/>
  <c r="AB270" i="6"/>
  <c r="AC270" i="6"/>
  <c r="AD270" i="6"/>
  <c r="AA210" i="6"/>
  <c r="AB210" i="6"/>
  <c r="AC210" i="6"/>
  <c r="AD210" i="6"/>
  <c r="AA133" i="6"/>
  <c r="AB133" i="6"/>
  <c r="AC133" i="6"/>
  <c r="AD133" i="6"/>
  <c r="AA76" i="6"/>
  <c r="AB76" i="6"/>
  <c r="AC76" i="6"/>
  <c r="AD76" i="6"/>
  <c r="AA211" i="6"/>
  <c r="AB211" i="6"/>
  <c r="AC211" i="6"/>
  <c r="AD211" i="6"/>
  <c r="AA25" i="6"/>
  <c r="AB25" i="6"/>
  <c r="AC25" i="6"/>
  <c r="AD25" i="6"/>
  <c r="AA135" i="6"/>
  <c r="AB135" i="6"/>
  <c r="AC135" i="6"/>
  <c r="AD135" i="6"/>
  <c r="AA236" i="6"/>
  <c r="AB236" i="6"/>
  <c r="AC236" i="6"/>
  <c r="AD236" i="6"/>
  <c r="AA159" i="6"/>
  <c r="AB159" i="6"/>
  <c r="AC159" i="6"/>
  <c r="AD159" i="6"/>
  <c r="AA77" i="6"/>
  <c r="AB77" i="6"/>
  <c r="AC77" i="6"/>
  <c r="AD77" i="6"/>
  <c r="AA260" i="6"/>
  <c r="AB260" i="6"/>
  <c r="AC260" i="6"/>
  <c r="AD260" i="6"/>
  <c r="AA271" i="6"/>
  <c r="AB271" i="6"/>
  <c r="AC271" i="6"/>
  <c r="AD271" i="6"/>
  <c r="AA126" i="6"/>
  <c r="AB126" i="6"/>
  <c r="AC126" i="6"/>
  <c r="AD126" i="6"/>
  <c r="AA142" i="6"/>
  <c r="AB142" i="6"/>
  <c r="AC142" i="6"/>
  <c r="AD142" i="6"/>
  <c r="AA237" i="6"/>
  <c r="AB237" i="6"/>
  <c r="AC237" i="6"/>
  <c r="AD237" i="6"/>
  <c r="AA272" i="6"/>
  <c r="AB272" i="6"/>
  <c r="AC272" i="6"/>
  <c r="AD272" i="6"/>
  <c r="AA57" i="6"/>
  <c r="AB57" i="6"/>
  <c r="AC57" i="6"/>
  <c r="AD57" i="6"/>
  <c r="AA212" i="6"/>
  <c r="AB212" i="6"/>
  <c r="AC212" i="6"/>
  <c r="AD212" i="6"/>
  <c r="AA273" i="6"/>
  <c r="AB273" i="6"/>
  <c r="AC273" i="6"/>
  <c r="AD273" i="6"/>
  <c r="AA283" i="6"/>
  <c r="AB283" i="6"/>
  <c r="AC283" i="6"/>
  <c r="AD283" i="6"/>
  <c r="AA118" i="6"/>
  <c r="AB118" i="6"/>
  <c r="AC118" i="6"/>
  <c r="AD118" i="6"/>
  <c r="AA119" i="6"/>
  <c r="AB119" i="6"/>
  <c r="AC119" i="6"/>
  <c r="AD119" i="6"/>
  <c r="AA14" i="6"/>
  <c r="AB14" i="6"/>
  <c r="AC14" i="6"/>
  <c r="AD14" i="6"/>
  <c r="AA120" i="6"/>
  <c r="AB120" i="6"/>
  <c r="AC120" i="6"/>
  <c r="AD120" i="6"/>
  <c r="AA197" i="6"/>
  <c r="AB197" i="6"/>
  <c r="AC197" i="6"/>
  <c r="AD197" i="6"/>
  <c r="AA151" i="6"/>
  <c r="AB151" i="6"/>
  <c r="AC151" i="6"/>
  <c r="AD151" i="6"/>
  <c r="AA213" i="6"/>
  <c r="AB213" i="6"/>
  <c r="AC213" i="6"/>
  <c r="AD213" i="6"/>
  <c r="AA198" i="6"/>
  <c r="AB198" i="6"/>
  <c r="AC198" i="6"/>
  <c r="AD198" i="6"/>
  <c r="AA26" i="6"/>
  <c r="AB26" i="6"/>
  <c r="AC26" i="6"/>
  <c r="AD26" i="6"/>
  <c r="AA261" i="6"/>
  <c r="AB261" i="6"/>
  <c r="AC261" i="6"/>
  <c r="AD261" i="6"/>
  <c r="AA121" i="6"/>
  <c r="AB121" i="6"/>
  <c r="AC121" i="6"/>
  <c r="AD121" i="6"/>
  <c r="AA127" i="6"/>
  <c r="AB127" i="6"/>
  <c r="AC127" i="6"/>
  <c r="AD127" i="6"/>
  <c r="AA238" i="6"/>
  <c r="AB238" i="6"/>
  <c r="AC238" i="6"/>
  <c r="AD238" i="6"/>
  <c r="AA239" i="6"/>
  <c r="AB239" i="6"/>
  <c r="AC239" i="6"/>
  <c r="AD239" i="6"/>
  <c r="AA240" i="6"/>
  <c r="AB240" i="6"/>
  <c r="AC240" i="6"/>
  <c r="AD240" i="6"/>
  <c r="AA134" i="6"/>
  <c r="AB134" i="6"/>
  <c r="AC134" i="6"/>
  <c r="AD134" i="6"/>
  <c r="AA58" i="6"/>
  <c r="AB58" i="6"/>
  <c r="AC58" i="6"/>
  <c r="AD58" i="6"/>
  <c r="AA39" i="6"/>
  <c r="AB39" i="6"/>
  <c r="AC39" i="6"/>
  <c r="AD39" i="6"/>
  <c r="AA44" i="6"/>
  <c r="AB44" i="6"/>
  <c r="AC44" i="6"/>
  <c r="AD44" i="6"/>
  <c r="AA175" i="6"/>
  <c r="AB175" i="6"/>
  <c r="AC175" i="6"/>
  <c r="AD175" i="6"/>
  <c r="AA78" i="6"/>
  <c r="AB78" i="6"/>
  <c r="AC78" i="6"/>
  <c r="AD78" i="6"/>
  <c r="AA32" i="6"/>
  <c r="AB32" i="6"/>
  <c r="AC32" i="6"/>
  <c r="AD32" i="6"/>
  <c r="AA188" i="6"/>
  <c r="AB188" i="6"/>
  <c r="AC188" i="6"/>
  <c r="AD188" i="6"/>
  <c r="AA136" i="6"/>
  <c r="AB136" i="6"/>
  <c r="AC136" i="6"/>
  <c r="AD136" i="6"/>
  <c r="AA137" i="6"/>
  <c r="AB137" i="6"/>
  <c r="AC137" i="6"/>
  <c r="AD137" i="6"/>
  <c r="AA138" i="6"/>
  <c r="AB138" i="6"/>
  <c r="AC138" i="6"/>
  <c r="AD138" i="6"/>
  <c r="AA241" i="6"/>
  <c r="AB241" i="6"/>
  <c r="AC241" i="6"/>
  <c r="AD241" i="6"/>
  <c r="AA242" i="6"/>
  <c r="AB242" i="6"/>
  <c r="AC242" i="6"/>
  <c r="AD242" i="6"/>
  <c r="AA243" i="6"/>
  <c r="AB243" i="6"/>
  <c r="AC243" i="6"/>
  <c r="AD243" i="6"/>
  <c r="AA33" i="6"/>
  <c r="AB33" i="6"/>
  <c r="AC33" i="6"/>
  <c r="AD33" i="6"/>
  <c r="AA79" i="6"/>
  <c r="AB79" i="6"/>
  <c r="AC79" i="6"/>
  <c r="AD79" i="6"/>
  <c r="AA113" i="6"/>
  <c r="AB113" i="6"/>
  <c r="AC113" i="6"/>
  <c r="AD113" i="6"/>
  <c r="AA244" i="6"/>
  <c r="AB244" i="6"/>
  <c r="AC244" i="6"/>
  <c r="AD244" i="6"/>
  <c r="AA245" i="6"/>
  <c r="AB245" i="6"/>
  <c r="AC245" i="6"/>
  <c r="AD245" i="6"/>
  <c r="AA284" i="6"/>
  <c r="AB284" i="6"/>
  <c r="AC284" i="6"/>
  <c r="AD284" i="6"/>
  <c r="AA285" i="6"/>
  <c r="AB285" i="6"/>
  <c r="AC285" i="6"/>
  <c r="AD285" i="6"/>
  <c r="AA34" i="6"/>
  <c r="AB34" i="6"/>
  <c r="AC34" i="6"/>
  <c r="AD34" i="6"/>
  <c r="AA176" i="6"/>
  <c r="AB176" i="6"/>
  <c r="AC176" i="6"/>
  <c r="AD176" i="6"/>
  <c r="AA152" i="6"/>
  <c r="AB152" i="6"/>
  <c r="AC152" i="6"/>
  <c r="AD152" i="6"/>
  <c r="AA246" i="6"/>
  <c r="AB246" i="6"/>
  <c r="AC246" i="6"/>
  <c r="AD246" i="6"/>
  <c r="AA274" i="6"/>
  <c r="AB274" i="6"/>
  <c r="AC274" i="6"/>
  <c r="AD274" i="6"/>
  <c r="AA247" i="6"/>
  <c r="AB247" i="6"/>
  <c r="AC247" i="6"/>
  <c r="AD247" i="6"/>
  <c r="AA80" i="6"/>
  <c r="AB80" i="6"/>
  <c r="AC80" i="6"/>
  <c r="AD80" i="6"/>
  <c r="AA248" i="6"/>
  <c r="AB248" i="6"/>
  <c r="AC248" i="6"/>
  <c r="AD248" i="6"/>
  <c r="AA81" i="6"/>
  <c r="AB81" i="6"/>
  <c r="AC81" i="6"/>
  <c r="AD81" i="6"/>
  <c r="AA262" i="6"/>
  <c r="AB262" i="6"/>
  <c r="AC262" i="6"/>
  <c r="AD262" i="6"/>
  <c r="AA160" i="6"/>
  <c r="AB160" i="6"/>
  <c r="AC160" i="6"/>
  <c r="AD160" i="6"/>
  <c r="AA286" i="6"/>
  <c r="AB286" i="6"/>
  <c r="AC286" i="6"/>
  <c r="AD286" i="6"/>
  <c r="AA143" i="6"/>
  <c r="AB143" i="6"/>
  <c r="AC143" i="6"/>
  <c r="AD143" i="6"/>
  <c r="AA59" i="6"/>
  <c r="AB59" i="6"/>
  <c r="AC59" i="6"/>
  <c r="AD59" i="6"/>
  <c r="AA214" i="6"/>
  <c r="AB214" i="6"/>
  <c r="AC214" i="6"/>
  <c r="AD214" i="6"/>
  <c r="AA215" i="6"/>
  <c r="AB215" i="6"/>
  <c r="AC215" i="6"/>
  <c r="AD215" i="6"/>
  <c r="AA216" i="6"/>
  <c r="AB216" i="6"/>
  <c r="AC216" i="6"/>
  <c r="AD216" i="6"/>
  <c r="AA199" i="6"/>
  <c r="AB199" i="6"/>
  <c r="AC199" i="6"/>
  <c r="AD199" i="6"/>
  <c r="AA217" i="6"/>
  <c r="AB217" i="6"/>
  <c r="AC217" i="6"/>
  <c r="AD217" i="6"/>
  <c r="AA128" i="6"/>
  <c r="AB128" i="6"/>
  <c r="AC128" i="6"/>
  <c r="AD128" i="6"/>
  <c r="AA144" i="6"/>
  <c r="AB144" i="6"/>
  <c r="AC144" i="6"/>
  <c r="AD144" i="6"/>
  <c r="AA145" i="6"/>
  <c r="AB145" i="6"/>
  <c r="AC145" i="6"/>
  <c r="AD145" i="6"/>
  <c r="AA177" i="6"/>
  <c r="AB177" i="6"/>
  <c r="AC177" i="6"/>
  <c r="AD177" i="6"/>
  <c r="AA153" i="6"/>
  <c r="AB153" i="6"/>
  <c r="AC153" i="6"/>
  <c r="AD153" i="6"/>
  <c r="AA218" i="6"/>
  <c r="AB218" i="6"/>
  <c r="AC218" i="6"/>
  <c r="AD218" i="6"/>
  <c r="AA200" i="6"/>
  <c r="AB200" i="6"/>
  <c r="AC200" i="6"/>
  <c r="AD200" i="6"/>
  <c r="AA219" i="6"/>
  <c r="AB219" i="6"/>
  <c r="AC219" i="6"/>
  <c r="AD219" i="6"/>
  <c r="AA220" i="6"/>
  <c r="AB220" i="6"/>
  <c r="AC220" i="6"/>
  <c r="AD220" i="6"/>
  <c r="AA201" i="6"/>
  <c r="AB201" i="6"/>
  <c r="AC201" i="6"/>
  <c r="AD201" i="6"/>
  <c r="AA221" i="6"/>
  <c r="AB221" i="6"/>
  <c r="AC221" i="6"/>
  <c r="AD221" i="6"/>
  <c r="AA222" i="6"/>
  <c r="AB222" i="6"/>
  <c r="AC222" i="6"/>
  <c r="AD222" i="6"/>
  <c r="AA223" i="6"/>
  <c r="AB223" i="6"/>
  <c r="AC223" i="6"/>
  <c r="AD223" i="6"/>
  <c r="AA146" i="6"/>
  <c r="AB146" i="6"/>
  <c r="AC146" i="6"/>
  <c r="AD146" i="6"/>
  <c r="AA147" i="6"/>
  <c r="AB147" i="6"/>
  <c r="AC147" i="6"/>
  <c r="AD147" i="6"/>
  <c r="AA148" i="6"/>
  <c r="AB148" i="6"/>
  <c r="AC148" i="6"/>
  <c r="AD148" i="6"/>
  <c r="AA82" i="6"/>
  <c r="AB82" i="6"/>
  <c r="AC82" i="6"/>
  <c r="AD82" i="6"/>
  <c r="AA184" i="6"/>
  <c r="AB184" i="6"/>
  <c r="AC184" i="6"/>
  <c r="AD184" i="6"/>
  <c r="AA185" i="6"/>
  <c r="AB185" i="6"/>
  <c r="AC185" i="6"/>
  <c r="AD185" i="6"/>
  <c r="AA186" i="6"/>
  <c r="AB186" i="6"/>
  <c r="AC186" i="6"/>
  <c r="AD186" i="6"/>
  <c r="AA150" i="6"/>
  <c r="AB150" i="6"/>
  <c r="AC150" i="6"/>
  <c r="AD150" i="6"/>
  <c r="AA154" i="6"/>
  <c r="AB154" i="6"/>
  <c r="AC154" i="6"/>
  <c r="AD154" i="6"/>
  <c r="AA161" i="6"/>
  <c r="AB161" i="6"/>
  <c r="AC161" i="6"/>
  <c r="AD161" i="6"/>
  <c r="AA167" i="6"/>
  <c r="AB167" i="6"/>
  <c r="AC167" i="6"/>
  <c r="AD167" i="6"/>
  <c r="AA168" i="6"/>
  <c r="AB168" i="6"/>
  <c r="AC168" i="6"/>
  <c r="AD168" i="6"/>
  <c r="AA178" i="6"/>
  <c r="AB178" i="6"/>
  <c r="AC178" i="6"/>
  <c r="AD178" i="6"/>
  <c r="AA189" i="6"/>
  <c r="AB189" i="6"/>
  <c r="AC189" i="6"/>
  <c r="AD189" i="6"/>
  <c r="AA187" i="6"/>
  <c r="AB187" i="6"/>
  <c r="AC187" i="6"/>
  <c r="AD187" i="6"/>
  <c r="AA190" i="6"/>
  <c r="AB190" i="6"/>
  <c r="AC190" i="6"/>
  <c r="AD190" i="6"/>
  <c r="AA193" i="6"/>
  <c r="AB193" i="6"/>
  <c r="AC193" i="6"/>
  <c r="AD193" i="6"/>
  <c r="AA191" i="6"/>
  <c r="AB191" i="6"/>
  <c r="AC191" i="6"/>
  <c r="AD191" i="6"/>
  <c r="AA192" i="6"/>
  <c r="AB192" i="6"/>
  <c r="AC192" i="6"/>
  <c r="AD192" i="6"/>
  <c r="AA202" i="6"/>
  <c r="AB202" i="6"/>
  <c r="AC202" i="6"/>
  <c r="AD202" i="6"/>
  <c r="AA224" i="6"/>
  <c r="AB224" i="6"/>
  <c r="AC224" i="6"/>
  <c r="AD224" i="6"/>
  <c r="AA162" i="6"/>
  <c r="AB162" i="6"/>
  <c r="AC162" i="6"/>
  <c r="AD162" i="6"/>
  <c r="AA249" i="6"/>
  <c r="AB249" i="6"/>
  <c r="AC249" i="6"/>
  <c r="AD249" i="6"/>
  <c r="AA203" i="6"/>
  <c r="AB203" i="6"/>
  <c r="AC203" i="6"/>
  <c r="AD203" i="6"/>
  <c r="AA250" i="6"/>
  <c r="AB250" i="6"/>
  <c r="AC250" i="6"/>
  <c r="AD250" i="6"/>
  <c r="AA251" i="6"/>
  <c r="AB251" i="6"/>
  <c r="AC251" i="6"/>
  <c r="AD251" i="6"/>
  <c r="AA252" i="6"/>
  <c r="AB252" i="6"/>
  <c r="AC252" i="6"/>
  <c r="AD252" i="6"/>
  <c r="AA253" i="6"/>
  <c r="AB253" i="6"/>
  <c r="AC253" i="6"/>
  <c r="AD253" i="6"/>
  <c r="AA275" i="6"/>
  <c r="AB275" i="6"/>
  <c r="AC275" i="6"/>
  <c r="AD275" i="6"/>
  <c r="AA254" i="6"/>
  <c r="AB254" i="6"/>
  <c r="AC254" i="6"/>
  <c r="AD254" i="6"/>
  <c r="AA255" i="6"/>
  <c r="AB255" i="6"/>
  <c r="AC255" i="6"/>
  <c r="AD255" i="6"/>
  <c r="AA263" i="6"/>
  <c r="AB263" i="6"/>
  <c r="AC263" i="6"/>
  <c r="AD263" i="6"/>
  <c r="AA264" i="6"/>
  <c r="AB264" i="6"/>
  <c r="AC264" i="6"/>
  <c r="AD264" i="6"/>
  <c r="AA265" i="6"/>
  <c r="AB265" i="6"/>
  <c r="AC265" i="6"/>
  <c r="AD265" i="6"/>
  <c r="AA276" i="6"/>
  <c r="AB276" i="6"/>
  <c r="AC276" i="6"/>
  <c r="AD276" i="6"/>
  <c r="AA277" i="6"/>
  <c r="AB277" i="6"/>
  <c r="AC277" i="6"/>
  <c r="AD277" i="6"/>
  <c r="AA278" i="6"/>
  <c r="AB278" i="6"/>
  <c r="AC278" i="6"/>
  <c r="AD278" i="6"/>
  <c r="AA279" i="6"/>
  <c r="AB279" i="6"/>
  <c r="AC279" i="6"/>
  <c r="AD279" i="6"/>
  <c r="AA225" i="6"/>
  <c r="AB225" i="6"/>
  <c r="AC225" i="6"/>
  <c r="AD225" i="6"/>
  <c r="AA155" i="6"/>
  <c r="AB155" i="6"/>
  <c r="AC155" i="6"/>
  <c r="AD155" i="6"/>
  <c r="AA35" i="6"/>
  <c r="AB35" i="6"/>
  <c r="AC35" i="6"/>
  <c r="AD35" i="6"/>
  <c r="AA149" i="6"/>
  <c r="AB149" i="6"/>
  <c r="AC149" i="6"/>
  <c r="AD149" i="6"/>
  <c r="AA287" i="6"/>
  <c r="AB287" i="6"/>
  <c r="AC287" i="6"/>
  <c r="AD287" i="6"/>
  <c r="AA266" i="6"/>
  <c r="AB266" i="6"/>
  <c r="AC266" i="6"/>
  <c r="AD266" i="6"/>
  <c r="AA267" i="6"/>
  <c r="AB267" i="6"/>
  <c r="AC267" i="6"/>
  <c r="AD267" i="6"/>
  <c r="AA122" i="6"/>
  <c r="AB122" i="6"/>
  <c r="AC122" i="6"/>
  <c r="AD122" i="6"/>
  <c r="AA226" i="6"/>
  <c r="AB226" i="6"/>
  <c r="AC226" i="6"/>
  <c r="AD226" i="6"/>
  <c r="AA227" i="6"/>
  <c r="AB227" i="6"/>
  <c r="AC227" i="6"/>
  <c r="AD227" i="6"/>
  <c r="AA228" i="6"/>
  <c r="AB228" i="6"/>
  <c r="AC228" i="6"/>
  <c r="AD228" i="6"/>
  <c r="AA256" i="6"/>
  <c r="AB256" i="6"/>
  <c r="AC256" i="6"/>
  <c r="AD256" i="6"/>
  <c r="AA268" i="6"/>
  <c r="AB268" i="6"/>
  <c r="AC268" i="6"/>
  <c r="AD268" i="6"/>
  <c r="AA229" i="6"/>
  <c r="AB229" i="6"/>
  <c r="AC229" i="6"/>
  <c r="AD229" i="6"/>
  <c r="AA83" i="6"/>
  <c r="AB83" i="6"/>
  <c r="AC83" i="6"/>
  <c r="AD83" i="6"/>
  <c r="AA84" i="6"/>
  <c r="AB84" i="6"/>
  <c r="AC84" i="6"/>
  <c r="AD84" i="6"/>
  <c r="AA63" i="6"/>
  <c r="AB63" i="6"/>
  <c r="AC63" i="6"/>
  <c r="AD63" i="6"/>
  <c r="AA60" i="6"/>
  <c r="AB60" i="6"/>
  <c r="AC60" i="6"/>
  <c r="AD60" i="6"/>
  <c r="AA288" i="6"/>
  <c r="AB288" i="6"/>
  <c r="AC288" i="6"/>
  <c r="AD288" i="6"/>
  <c r="AA289" i="6"/>
  <c r="AB289" i="6"/>
  <c r="AC289" i="6"/>
  <c r="AD289" i="6"/>
  <c r="AA290" i="6"/>
  <c r="AB290" i="6"/>
  <c r="AC290" i="6"/>
  <c r="AD290" i="6"/>
  <c r="AA291" i="6"/>
  <c r="AB291" i="6"/>
  <c r="AC291" i="6"/>
  <c r="AD291" i="6"/>
  <c r="AA292" i="6"/>
  <c r="AB292" i="6"/>
  <c r="AC292" i="6"/>
  <c r="AD292" i="6"/>
  <c r="AA169" i="6"/>
  <c r="AB169" i="6"/>
  <c r="AC169" i="6"/>
  <c r="AD169" i="6"/>
  <c r="AA170" i="6"/>
  <c r="AB170" i="6"/>
  <c r="AC170" i="6"/>
  <c r="AD170" i="6"/>
  <c r="AA179" i="6"/>
  <c r="AB179" i="6"/>
  <c r="AC179" i="6"/>
  <c r="AD179" i="6"/>
  <c r="AA156" i="6"/>
  <c r="AB156" i="6"/>
  <c r="AC156" i="6"/>
  <c r="AD156" i="6"/>
  <c r="AA171" i="6"/>
  <c r="AB171" i="6"/>
  <c r="AC171" i="6"/>
  <c r="AD171" i="6"/>
  <c r="AA257" i="6"/>
  <c r="AB257" i="6"/>
  <c r="AC257" i="6"/>
  <c r="AD257" i="6"/>
  <c r="AA293" i="6"/>
  <c r="AB293" i="6"/>
  <c r="AC293" i="6"/>
  <c r="AD293" i="6"/>
  <c r="AA61" i="6"/>
  <c r="AB61" i="6"/>
  <c r="AC61" i="6"/>
  <c r="AD61" i="6"/>
  <c r="AA15" i="6"/>
  <c r="AB15" i="6"/>
  <c r="AC15" i="6"/>
  <c r="AD15" i="6"/>
  <c r="AA16" i="6"/>
  <c r="AB16" i="6"/>
  <c r="AC16" i="6"/>
  <c r="AD16" i="6"/>
  <c r="AA17" i="6"/>
  <c r="AB17" i="6"/>
  <c r="AC17" i="6"/>
  <c r="AD17" i="6"/>
  <c r="AA18" i="6"/>
  <c r="AB18" i="6"/>
  <c r="AC18" i="6"/>
  <c r="AD18" i="6"/>
  <c r="AA19" i="6"/>
  <c r="AB19" i="6"/>
  <c r="AC19" i="6"/>
  <c r="AD19" i="6"/>
  <c r="AA20" i="6"/>
  <c r="AB20" i="6"/>
  <c r="AC20" i="6"/>
  <c r="AD20" i="6"/>
  <c r="AA180" i="6"/>
  <c r="AB180" i="6"/>
  <c r="AC180" i="6"/>
  <c r="AD180" i="6"/>
  <c r="AA36" i="6"/>
  <c r="AB36" i="6"/>
  <c r="AC36" i="6"/>
  <c r="AD36" i="6"/>
  <c r="AA181" i="6"/>
  <c r="AB181" i="6"/>
  <c r="AC181" i="6"/>
  <c r="AD181" i="6"/>
  <c r="AA295" i="6"/>
  <c r="AB295" i="6"/>
  <c r="AC295" i="6"/>
  <c r="AD295" i="6"/>
  <c r="AA172" i="6"/>
  <c r="AB172" i="6"/>
  <c r="AC172" i="6"/>
  <c r="AD172" i="6"/>
  <c r="AA182" i="6"/>
  <c r="AB182" i="6"/>
  <c r="AC182" i="6"/>
  <c r="AD182" i="6"/>
  <c r="AA183" i="6"/>
  <c r="AB183" i="6"/>
  <c r="AC183" i="6"/>
  <c r="AD183" i="6"/>
  <c r="AA102" i="6"/>
  <c r="AB102" i="6"/>
  <c r="AC102" i="6"/>
  <c r="AD102" i="6"/>
  <c r="AA296" i="6"/>
  <c r="AB296" i="6"/>
  <c r="AC296" i="6"/>
  <c r="AD296" i="6"/>
  <c r="AA297" i="6"/>
  <c r="AB297" i="6"/>
  <c r="AC297" i="6"/>
  <c r="AD297" i="6"/>
  <c r="AA298" i="6"/>
  <c r="AB298" i="6"/>
  <c r="AC298" i="6"/>
  <c r="AD298" i="6"/>
  <c r="AA299" i="6"/>
  <c r="AB299" i="6"/>
  <c r="AC299" i="6"/>
  <c r="AD299" i="6"/>
  <c r="AA300" i="6"/>
  <c r="AB300" i="6"/>
  <c r="AC300" i="6"/>
  <c r="AD300" i="6"/>
  <c r="AA301" i="6"/>
  <c r="AB301" i="6"/>
  <c r="AC301" i="6"/>
  <c r="AD301" i="6"/>
  <c r="AA302" i="6"/>
  <c r="AB302" i="6"/>
  <c r="AC302" i="6"/>
  <c r="AD302" i="6"/>
  <c r="AA303" i="6"/>
  <c r="AB303" i="6"/>
  <c r="AC303" i="6"/>
  <c r="AD303" i="6"/>
  <c r="AA304" i="6"/>
  <c r="AB304" i="6"/>
  <c r="AC304" i="6"/>
  <c r="AD304" i="6"/>
  <c r="AA305" i="6"/>
  <c r="AB305" i="6"/>
  <c r="AC305" i="6"/>
  <c r="AD305" i="6"/>
  <c r="AA306" i="6"/>
  <c r="AB306" i="6"/>
  <c r="AC306" i="6"/>
  <c r="AD306" i="6"/>
  <c r="AA307" i="6"/>
  <c r="AB307" i="6"/>
  <c r="AC307" i="6"/>
  <c r="AD307" i="6"/>
  <c r="AA308" i="6"/>
  <c r="AB308" i="6"/>
  <c r="AC308" i="6"/>
  <c r="AD308" i="6"/>
  <c r="AA309" i="6"/>
  <c r="AB309" i="6"/>
  <c r="AC309" i="6"/>
  <c r="AD309" i="6"/>
  <c r="AA310" i="6"/>
  <c r="AB310" i="6"/>
  <c r="AC310" i="6"/>
  <c r="AD310" i="6"/>
  <c r="AA312" i="6"/>
  <c r="AB312" i="6"/>
  <c r="AC312" i="6"/>
  <c r="AD312" i="6"/>
  <c r="AA313" i="6"/>
  <c r="AB313" i="6"/>
  <c r="AC313" i="6"/>
  <c r="AD313" i="6"/>
  <c r="AA314" i="6"/>
  <c r="AB314" i="6"/>
  <c r="AC314" i="6"/>
  <c r="AD314" i="6"/>
  <c r="AA315" i="6"/>
  <c r="AB315" i="6"/>
  <c r="AC315" i="6"/>
  <c r="AD315" i="6"/>
  <c r="AA316" i="6"/>
  <c r="AB316" i="6"/>
  <c r="AC316" i="6"/>
  <c r="AD316" i="6"/>
  <c r="AA317" i="6"/>
  <c r="AB317" i="6"/>
  <c r="AC317" i="6"/>
  <c r="AD317" i="6"/>
  <c r="AA318" i="6"/>
  <c r="AB318" i="6"/>
  <c r="AC318" i="6"/>
  <c r="AD318" i="6"/>
  <c r="AA319" i="6"/>
  <c r="AB319" i="6"/>
  <c r="AC319" i="6"/>
  <c r="AD319" i="6"/>
  <c r="AA320" i="6"/>
  <c r="AB320" i="6"/>
  <c r="AC320" i="6"/>
  <c r="AD320" i="6"/>
  <c r="AA321" i="6"/>
  <c r="AB321" i="6"/>
  <c r="AC321" i="6"/>
  <c r="AD321" i="6"/>
  <c r="AA322" i="6"/>
  <c r="AB322" i="6"/>
  <c r="AC322" i="6"/>
  <c r="AD322" i="6"/>
  <c r="AA323" i="6"/>
  <c r="AB323" i="6"/>
  <c r="AC323" i="6"/>
  <c r="AD323" i="6"/>
  <c r="AA324" i="6"/>
  <c r="AB324" i="6"/>
  <c r="AC324" i="6"/>
  <c r="AD324" i="6"/>
  <c r="AA325" i="6"/>
  <c r="AB325" i="6"/>
  <c r="AC325" i="6"/>
  <c r="AD325" i="6"/>
  <c r="AA326" i="6"/>
  <c r="AB326" i="6"/>
  <c r="AC326" i="6"/>
  <c r="AD326" i="6"/>
  <c r="AA327" i="6"/>
  <c r="AB327" i="6"/>
  <c r="AC327" i="6"/>
  <c r="AD327" i="6"/>
  <c r="AA328" i="6"/>
  <c r="AB328" i="6"/>
  <c r="AC328" i="6"/>
  <c r="AD328" i="6"/>
  <c r="AA329" i="6"/>
  <c r="AB329" i="6"/>
  <c r="AC329" i="6"/>
  <c r="AD329" i="6"/>
  <c r="AA330" i="6"/>
  <c r="AB330" i="6"/>
  <c r="AC330" i="6"/>
  <c r="AD330" i="6"/>
  <c r="AA331" i="6"/>
  <c r="AB331" i="6"/>
  <c r="AC331" i="6"/>
  <c r="AD331" i="6"/>
  <c r="AA332" i="6"/>
  <c r="AB332" i="6"/>
  <c r="AC332" i="6"/>
  <c r="AD332" i="6"/>
  <c r="AA333" i="6"/>
  <c r="AB333" i="6"/>
  <c r="AC333" i="6"/>
  <c r="AD333" i="6"/>
  <c r="AA334" i="6"/>
  <c r="AB334" i="6"/>
  <c r="AC334" i="6"/>
  <c r="AD334" i="6"/>
  <c r="AA335" i="6"/>
  <c r="AB335" i="6"/>
  <c r="AC335" i="6"/>
  <c r="AD335" i="6"/>
  <c r="AA336" i="6"/>
  <c r="AB336" i="6"/>
  <c r="AC336" i="6"/>
  <c r="AD336" i="6"/>
  <c r="AA337" i="6"/>
  <c r="AB337" i="6"/>
  <c r="AC337" i="6"/>
  <c r="AD337" i="6"/>
  <c r="AA338" i="6"/>
  <c r="AB338" i="6"/>
  <c r="AC338" i="6"/>
  <c r="AD338" i="6"/>
  <c r="AA343" i="6"/>
  <c r="AB343" i="6"/>
  <c r="AC343" i="6"/>
  <c r="AD343" i="6"/>
  <c r="AA339" i="6"/>
  <c r="AB339" i="6"/>
  <c r="AC339" i="6"/>
  <c r="AD339" i="6"/>
  <c r="AA340" i="6"/>
  <c r="AB340" i="6"/>
  <c r="AC340" i="6"/>
  <c r="AD340" i="6"/>
  <c r="AA344" i="6"/>
  <c r="AB344" i="6"/>
  <c r="AC344" i="6"/>
  <c r="AD344" i="6"/>
  <c r="AA341" i="6"/>
  <c r="AB341" i="6"/>
  <c r="AC341" i="6"/>
  <c r="AD341" i="6"/>
  <c r="AA342" i="6"/>
  <c r="AB342" i="6"/>
  <c r="AC342" i="6"/>
  <c r="AD342" i="6"/>
  <c r="AA358" i="6"/>
  <c r="AB358" i="6"/>
  <c r="AC358" i="6"/>
  <c r="AD358" i="6"/>
  <c r="AA345" i="6"/>
  <c r="AB345" i="6"/>
  <c r="AC345" i="6"/>
  <c r="AD345" i="6"/>
  <c r="AA359" i="6"/>
  <c r="AB359" i="6"/>
  <c r="AC359" i="6"/>
  <c r="AD359" i="6"/>
  <c r="AA346" i="6"/>
  <c r="AB346" i="6"/>
  <c r="AC346" i="6"/>
  <c r="AD346" i="6"/>
  <c r="AA347" i="6"/>
  <c r="AB347" i="6"/>
  <c r="AC347" i="6"/>
  <c r="AD347" i="6"/>
  <c r="AA348" i="6"/>
  <c r="AB348" i="6"/>
  <c r="AC348" i="6"/>
  <c r="AD348" i="6"/>
  <c r="AA349" i="6"/>
  <c r="AB349" i="6"/>
  <c r="AC349" i="6"/>
  <c r="AD349" i="6"/>
  <c r="AA350" i="6"/>
  <c r="AB350" i="6"/>
  <c r="AC350" i="6"/>
  <c r="AD350" i="6"/>
  <c r="AA351" i="6"/>
  <c r="AB351" i="6"/>
  <c r="AC351" i="6"/>
  <c r="AD351" i="6"/>
  <c r="AA352" i="6"/>
  <c r="AB352" i="6"/>
  <c r="AC352" i="6"/>
  <c r="AD352" i="6"/>
  <c r="AA353" i="6"/>
  <c r="AB353" i="6"/>
  <c r="AC353" i="6"/>
  <c r="AD353" i="6"/>
  <c r="AA360" i="6"/>
  <c r="AB360" i="6"/>
  <c r="AC360" i="6"/>
  <c r="AD360" i="6"/>
  <c r="AA361" i="6"/>
  <c r="AB361" i="6"/>
  <c r="AC361" i="6"/>
  <c r="AD361" i="6"/>
  <c r="AA362" i="6"/>
  <c r="AB362" i="6"/>
  <c r="AC362" i="6"/>
  <c r="AD362" i="6"/>
  <c r="AA363" i="6"/>
  <c r="AB363" i="6"/>
  <c r="AC363" i="6"/>
  <c r="AD363" i="6"/>
  <c r="AA364" i="6"/>
  <c r="AB364" i="6"/>
  <c r="AC364" i="6"/>
  <c r="AD364" i="6"/>
  <c r="AA365" i="6"/>
  <c r="AB365" i="6"/>
  <c r="AC365" i="6"/>
  <c r="AD365" i="6"/>
  <c r="AA366" i="6"/>
  <c r="AB366" i="6"/>
  <c r="AC366" i="6"/>
  <c r="AD366" i="6"/>
  <c r="AA354" i="6"/>
  <c r="AB354" i="6"/>
  <c r="AC354" i="6"/>
  <c r="AD354" i="6"/>
  <c r="AA355" i="6"/>
  <c r="AB355" i="6"/>
  <c r="AC355" i="6"/>
  <c r="AD355" i="6"/>
  <c r="AA356" i="6"/>
  <c r="AB356" i="6"/>
  <c r="AC356" i="6"/>
  <c r="AD356" i="6"/>
  <c r="AA357" i="6"/>
  <c r="AB357" i="6"/>
  <c r="AC357" i="6"/>
  <c r="AD357" i="6"/>
  <c r="AA367" i="6"/>
  <c r="AB367" i="6"/>
  <c r="AC367" i="6"/>
  <c r="AD367" i="6"/>
  <c r="AA368" i="6"/>
  <c r="AB368" i="6"/>
  <c r="AC368" i="6"/>
  <c r="AD368" i="6"/>
  <c r="AA369" i="6"/>
  <c r="AB369" i="6"/>
  <c r="AC369" i="6"/>
  <c r="AD369" i="6"/>
  <c r="AA370" i="6"/>
  <c r="AB370" i="6"/>
  <c r="AC370" i="6"/>
  <c r="AD370" i="6"/>
  <c r="AA371" i="6"/>
  <c r="AB371" i="6"/>
  <c r="AC371" i="6"/>
  <c r="AD371" i="6"/>
  <c r="AA372" i="6"/>
  <c r="AB372" i="6"/>
  <c r="AC372" i="6"/>
  <c r="AD372" i="6"/>
  <c r="AA373" i="6"/>
  <c r="AB373" i="6"/>
  <c r="AC373" i="6"/>
  <c r="AD373" i="6"/>
  <c r="AA374" i="6"/>
  <c r="AB374" i="6"/>
  <c r="AC374" i="6"/>
  <c r="AD374" i="6"/>
  <c r="AA375" i="6"/>
  <c r="AB375" i="6"/>
  <c r="AC375" i="6"/>
  <c r="AD375" i="6"/>
  <c r="AA376" i="6"/>
  <c r="AB376" i="6"/>
  <c r="AC376" i="6"/>
  <c r="AD376" i="6"/>
  <c r="AA377" i="6"/>
  <c r="AB377" i="6"/>
  <c r="AC377" i="6"/>
  <c r="AD377" i="6"/>
  <c r="AA379" i="6"/>
  <c r="AB379" i="6"/>
  <c r="AC379" i="6"/>
  <c r="AD379" i="6"/>
  <c r="AA382" i="6"/>
  <c r="AB382" i="6"/>
  <c r="AC382" i="6"/>
  <c r="AD382" i="6"/>
  <c r="AA378" i="6"/>
  <c r="AB378" i="6"/>
  <c r="AC378" i="6"/>
  <c r="AD378" i="6"/>
  <c r="AA381" i="6"/>
  <c r="AB381" i="6"/>
  <c r="AC381" i="6"/>
  <c r="AD381" i="6"/>
  <c r="AA380" i="6"/>
  <c r="AB380" i="6"/>
  <c r="AC380" i="6"/>
  <c r="AD380" i="6"/>
  <c r="AA406" i="6"/>
  <c r="AB406" i="6"/>
  <c r="AC406" i="6"/>
  <c r="AD406" i="6"/>
  <c r="AA384" i="6"/>
  <c r="AB384" i="6"/>
  <c r="AC384" i="6"/>
  <c r="AD384" i="6"/>
  <c r="AA405" i="6"/>
  <c r="AB405" i="6"/>
  <c r="AC405" i="6"/>
  <c r="AD405" i="6"/>
  <c r="AA404" i="6"/>
  <c r="AB404" i="6"/>
  <c r="AC404" i="6"/>
  <c r="AD404" i="6"/>
  <c r="AA387" i="6"/>
  <c r="AB387" i="6"/>
  <c r="AC387" i="6"/>
  <c r="AD387" i="6"/>
  <c r="AA388" i="6"/>
  <c r="AB388" i="6"/>
  <c r="AC388" i="6"/>
  <c r="AD388" i="6"/>
  <c r="AA389" i="6"/>
  <c r="AB389" i="6"/>
  <c r="AC389" i="6"/>
  <c r="AD389" i="6"/>
  <c r="AA390" i="6"/>
  <c r="AB390" i="6"/>
  <c r="AC390" i="6"/>
  <c r="AD390" i="6"/>
  <c r="AA391" i="6"/>
  <c r="AB391" i="6"/>
  <c r="AC391" i="6"/>
  <c r="AD391" i="6"/>
  <c r="AA386" i="6"/>
  <c r="AB386" i="6"/>
  <c r="AC386" i="6"/>
  <c r="AD386" i="6"/>
  <c r="AA402" i="6"/>
  <c r="AB402" i="6"/>
  <c r="AC402" i="6"/>
  <c r="AD402" i="6"/>
  <c r="AA392" i="6"/>
  <c r="AB392" i="6"/>
  <c r="AC392" i="6"/>
  <c r="AD392" i="6"/>
  <c r="AA393" i="6"/>
  <c r="AB393" i="6"/>
  <c r="AC393" i="6"/>
  <c r="AD393" i="6"/>
  <c r="AA394" i="6"/>
  <c r="AB394" i="6"/>
  <c r="AC394" i="6"/>
  <c r="AD394" i="6"/>
  <c r="AA395" i="6"/>
  <c r="AB395" i="6"/>
  <c r="AC395" i="6"/>
  <c r="AD395" i="6"/>
  <c r="AA396" i="6"/>
  <c r="AB396" i="6"/>
  <c r="AC396" i="6"/>
  <c r="AD396" i="6"/>
  <c r="AA397" i="6"/>
  <c r="AB397" i="6"/>
  <c r="AC397" i="6"/>
  <c r="AD397" i="6"/>
  <c r="AA383" i="6"/>
  <c r="AB383" i="6"/>
  <c r="AC383" i="6"/>
  <c r="AD383" i="6"/>
  <c r="AA403" i="6"/>
  <c r="AB403" i="6"/>
  <c r="AC403" i="6"/>
  <c r="AD403" i="6"/>
  <c r="AA398" i="6"/>
  <c r="AB398" i="6"/>
  <c r="AC398" i="6"/>
  <c r="AD398" i="6"/>
  <c r="AA385" i="6"/>
  <c r="AB385" i="6"/>
  <c r="AC385" i="6"/>
  <c r="AD385" i="6"/>
  <c r="AA407" i="6"/>
  <c r="AB407" i="6"/>
  <c r="AC407" i="6"/>
  <c r="AD407" i="6"/>
  <c r="AA399" i="6"/>
  <c r="AB399" i="6"/>
  <c r="AC399" i="6"/>
  <c r="AD399" i="6"/>
  <c r="AA400" i="6"/>
  <c r="AB400" i="6"/>
  <c r="AC400" i="6"/>
  <c r="AD400" i="6"/>
  <c r="AA401" i="6"/>
  <c r="AB401" i="6"/>
  <c r="AC401" i="6"/>
  <c r="AD401" i="6"/>
  <c r="AA2" i="6"/>
  <c r="AB2" i="6"/>
  <c r="AC2" i="6"/>
  <c r="AD2" i="6"/>
  <c r="X2" i="6"/>
  <c r="W2" i="6"/>
  <c r="V2" i="6"/>
  <c r="U2" i="6"/>
  <c r="U3" i="6"/>
  <c r="V3" i="6"/>
  <c r="W3" i="6"/>
  <c r="X3" i="6"/>
  <c r="U4" i="6"/>
  <c r="V4" i="6"/>
  <c r="W4" i="6"/>
  <c r="X4" i="6"/>
  <c r="U5" i="6"/>
  <c r="V5" i="6"/>
  <c r="W5" i="6"/>
  <c r="X5" i="6"/>
  <c r="U6" i="6"/>
  <c r="V6" i="6"/>
  <c r="W6" i="6"/>
  <c r="X6" i="6"/>
  <c r="U21" i="6"/>
  <c r="V21" i="6"/>
  <c r="W21" i="6"/>
  <c r="X21" i="6"/>
  <c r="U22" i="6"/>
  <c r="V22" i="6"/>
  <c r="W22" i="6"/>
  <c r="X22" i="6"/>
  <c r="U23" i="6"/>
  <c r="V23" i="6"/>
  <c r="W23" i="6"/>
  <c r="X23" i="6"/>
  <c r="U47" i="6"/>
  <c r="V47" i="6"/>
  <c r="W47" i="6"/>
  <c r="X47" i="6"/>
  <c r="U7" i="6"/>
  <c r="V7" i="6"/>
  <c r="W7" i="6"/>
  <c r="X7" i="6"/>
  <c r="U48" i="6"/>
  <c r="V48" i="6"/>
  <c r="W48" i="6"/>
  <c r="X48" i="6"/>
  <c r="U8" i="6"/>
  <c r="V8" i="6"/>
  <c r="W8" i="6"/>
  <c r="X8" i="6"/>
  <c r="U27" i="6"/>
  <c r="V27" i="6"/>
  <c r="W27" i="6"/>
  <c r="X27" i="6"/>
  <c r="U28" i="6"/>
  <c r="V28" i="6"/>
  <c r="W28" i="6"/>
  <c r="X28" i="6"/>
  <c r="U29" i="6"/>
  <c r="V29" i="6"/>
  <c r="W29" i="6"/>
  <c r="X29" i="6"/>
  <c r="U30" i="6"/>
  <c r="V30" i="6"/>
  <c r="W30" i="6"/>
  <c r="X30" i="6"/>
  <c r="U86" i="6"/>
  <c r="V86" i="6"/>
  <c r="W86" i="6"/>
  <c r="X86" i="6"/>
  <c r="U87" i="6"/>
  <c r="V87" i="6"/>
  <c r="W87" i="6"/>
  <c r="X87" i="6"/>
  <c r="U64" i="6"/>
  <c r="V64" i="6"/>
  <c r="W64" i="6"/>
  <c r="X64" i="6"/>
  <c r="U88" i="6"/>
  <c r="V88" i="6"/>
  <c r="W88" i="6"/>
  <c r="X88" i="6"/>
  <c r="U37" i="6"/>
  <c r="V37" i="6"/>
  <c r="W37" i="6"/>
  <c r="X37" i="6"/>
  <c r="U40" i="6"/>
  <c r="V40" i="6"/>
  <c r="W40" i="6"/>
  <c r="X40" i="6"/>
  <c r="U41" i="6"/>
  <c r="V41" i="6"/>
  <c r="W41" i="6"/>
  <c r="X41" i="6"/>
  <c r="U42" i="6"/>
  <c r="V42" i="6"/>
  <c r="W42" i="6"/>
  <c r="X42" i="6"/>
  <c r="U45" i="6"/>
  <c r="V45" i="6"/>
  <c r="W45" i="6"/>
  <c r="X45" i="6"/>
  <c r="U43" i="6"/>
  <c r="V43" i="6"/>
  <c r="W43" i="6"/>
  <c r="X43" i="6"/>
  <c r="U280" i="6"/>
  <c r="V280" i="6"/>
  <c r="W280" i="6"/>
  <c r="X280" i="6"/>
  <c r="U9" i="6"/>
  <c r="V9" i="6"/>
  <c r="W9" i="6"/>
  <c r="X9" i="6"/>
  <c r="U49" i="6"/>
  <c r="V49" i="6"/>
  <c r="W49" i="6"/>
  <c r="X49" i="6"/>
  <c r="U50" i="6"/>
  <c r="V50" i="6"/>
  <c r="W50" i="6"/>
  <c r="X50" i="6"/>
  <c r="U10" i="6"/>
  <c r="V10" i="6"/>
  <c r="W10" i="6"/>
  <c r="X10" i="6"/>
  <c r="U114" i="6"/>
  <c r="V114" i="6"/>
  <c r="W114" i="6"/>
  <c r="X114" i="6"/>
  <c r="U11" i="6"/>
  <c r="V11" i="6"/>
  <c r="W11" i="6"/>
  <c r="X11" i="6"/>
  <c r="U51" i="6"/>
  <c r="V51" i="6"/>
  <c r="W51" i="6"/>
  <c r="X51" i="6"/>
  <c r="U52" i="6"/>
  <c r="V52" i="6"/>
  <c r="W52" i="6"/>
  <c r="X52" i="6"/>
  <c r="U62" i="6"/>
  <c r="V62" i="6"/>
  <c r="W62" i="6"/>
  <c r="X62" i="6"/>
  <c r="U53" i="6"/>
  <c r="V53" i="6"/>
  <c r="W53" i="6"/>
  <c r="X53" i="6"/>
  <c r="U65" i="6"/>
  <c r="V65" i="6"/>
  <c r="W65" i="6"/>
  <c r="X65" i="6"/>
  <c r="U66" i="6"/>
  <c r="V66" i="6"/>
  <c r="W66" i="6"/>
  <c r="X66" i="6"/>
  <c r="U67" i="6"/>
  <c r="V67" i="6"/>
  <c r="W67" i="6"/>
  <c r="X67" i="6"/>
  <c r="U68" i="6"/>
  <c r="V68" i="6"/>
  <c r="W68" i="6"/>
  <c r="X68" i="6"/>
  <c r="U69" i="6"/>
  <c r="V69" i="6"/>
  <c r="W69" i="6"/>
  <c r="X69" i="6"/>
  <c r="U204" i="6"/>
  <c r="V204" i="6"/>
  <c r="W204" i="6"/>
  <c r="X204" i="6"/>
  <c r="U157" i="6"/>
  <c r="V157" i="6"/>
  <c r="W157" i="6"/>
  <c r="X157" i="6"/>
  <c r="U70" i="6"/>
  <c r="V70" i="6"/>
  <c r="W70" i="6"/>
  <c r="X70" i="6"/>
  <c r="U106" i="6"/>
  <c r="V106" i="6"/>
  <c r="W106" i="6"/>
  <c r="X106" i="6"/>
  <c r="U205" i="6"/>
  <c r="V205" i="6"/>
  <c r="W205" i="6"/>
  <c r="X205" i="6"/>
  <c r="U89" i="6"/>
  <c r="V89" i="6"/>
  <c r="W89" i="6"/>
  <c r="X89" i="6"/>
  <c r="U90" i="6"/>
  <c r="V90" i="6"/>
  <c r="W90" i="6"/>
  <c r="X90" i="6"/>
  <c r="U85" i="6"/>
  <c r="V85" i="6"/>
  <c r="W85" i="6"/>
  <c r="X85" i="6"/>
  <c r="U91" i="6"/>
  <c r="V91" i="6"/>
  <c r="W91" i="6"/>
  <c r="X91" i="6"/>
  <c r="U92" i="6"/>
  <c r="V92" i="6"/>
  <c r="W92" i="6"/>
  <c r="X92" i="6"/>
  <c r="U93" i="6"/>
  <c r="V93" i="6"/>
  <c r="W93" i="6"/>
  <c r="X93" i="6"/>
  <c r="U94" i="6"/>
  <c r="V94" i="6"/>
  <c r="W94" i="6"/>
  <c r="X94" i="6"/>
  <c r="U95" i="6"/>
  <c r="V95" i="6"/>
  <c r="W95" i="6"/>
  <c r="X95" i="6"/>
  <c r="U96" i="6"/>
  <c r="V96" i="6"/>
  <c r="W96" i="6"/>
  <c r="X96" i="6"/>
  <c r="U103" i="6"/>
  <c r="V103" i="6"/>
  <c r="W103" i="6"/>
  <c r="X103" i="6"/>
  <c r="U97" i="6"/>
  <c r="V97" i="6"/>
  <c r="W97" i="6"/>
  <c r="X97" i="6"/>
  <c r="U230" i="6"/>
  <c r="V230" i="6"/>
  <c r="W230" i="6"/>
  <c r="X230" i="6"/>
  <c r="U231" i="6"/>
  <c r="V231" i="6"/>
  <c r="W231" i="6"/>
  <c r="X231" i="6"/>
  <c r="U71" i="6"/>
  <c r="V71" i="6"/>
  <c r="W71" i="6"/>
  <c r="X71" i="6"/>
  <c r="U104" i="6"/>
  <c r="V104" i="6"/>
  <c r="W104" i="6"/>
  <c r="X104" i="6"/>
  <c r="U105" i="6"/>
  <c r="V105" i="6"/>
  <c r="W105" i="6"/>
  <c r="X105" i="6"/>
  <c r="U98" i="6"/>
  <c r="V98" i="6"/>
  <c r="W98" i="6"/>
  <c r="X98" i="6"/>
  <c r="U99" i="6"/>
  <c r="V99" i="6"/>
  <c r="W99" i="6"/>
  <c r="X99" i="6"/>
  <c r="U100" i="6"/>
  <c r="V100" i="6"/>
  <c r="W100" i="6"/>
  <c r="X100" i="6"/>
  <c r="U107" i="6"/>
  <c r="V107" i="6"/>
  <c r="W107" i="6"/>
  <c r="X107" i="6"/>
  <c r="U108" i="6"/>
  <c r="V108" i="6"/>
  <c r="W108" i="6"/>
  <c r="X108" i="6"/>
  <c r="U109" i="6"/>
  <c r="V109" i="6"/>
  <c r="W109" i="6"/>
  <c r="X109" i="6"/>
  <c r="U101" i="6"/>
  <c r="V101" i="6"/>
  <c r="W101" i="6"/>
  <c r="X101" i="6"/>
  <c r="U54" i="6"/>
  <c r="V54" i="6"/>
  <c r="W54" i="6"/>
  <c r="X54" i="6"/>
  <c r="U115" i="6"/>
  <c r="V115" i="6"/>
  <c r="W115" i="6"/>
  <c r="X115" i="6"/>
  <c r="U116" i="6"/>
  <c r="V116" i="6"/>
  <c r="W116" i="6"/>
  <c r="X116" i="6"/>
  <c r="U117" i="6"/>
  <c r="V117" i="6"/>
  <c r="W117" i="6"/>
  <c r="X117" i="6"/>
  <c r="U55" i="6"/>
  <c r="V55" i="6"/>
  <c r="W55" i="6"/>
  <c r="X55" i="6"/>
  <c r="U123" i="6"/>
  <c r="V123" i="6"/>
  <c r="W123" i="6"/>
  <c r="X123" i="6"/>
  <c r="U124" i="6"/>
  <c r="V124" i="6"/>
  <c r="W124" i="6"/>
  <c r="X124" i="6"/>
  <c r="U125" i="6"/>
  <c r="V125" i="6"/>
  <c r="W125" i="6"/>
  <c r="X125" i="6"/>
  <c r="U129" i="6"/>
  <c r="V129" i="6"/>
  <c r="W129" i="6"/>
  <c r="X129" i="6"/>
  <c r="U130" i="6"/>
  <c r="V130" i="6"/>
  <c r="W130" i="6"/>
  <c r="X130" i="6"/>
  <c r="U269" i="6"/>
  <c r="V269" i="6"/>
  <c r="W269" i="6"/>
  <c r="X269" i="6"/>
  <c r="U158" i="6"/>
  <c r="V158" i="6"/>
  <c r="W158" i="6"/>
  <c r="X158" i="6"/>
  <c r="U110" i="6"/>
  <c r="V110" i="6"/>
  <c r="W110" i="6"/>
  <c r="X110" i="6"/>
  <c r="U111" i="6"/>
  <c r="V111" i="6"/>
  <c r="W111" i="6"/>
  <c r="X111" i="6"/>
  <c r="U112" i="6"/>
  <c r="V112" i="6"/>
  <c r="W112" i="6"/>
  <c r="X112" i="6"/>
  <c r="U31" i="6"/>
  <c r="V31" i="6"/>
  <c r="W31" i="6"/>
  <c r="X31" i="6"/>
  <c r="U163" i="6"/>
  <c r="V163" i="6"/>
  <c r="W163" i="6"/>
  <c r="X163" i="6"/>
  <c r="U164" i="6"/>
  <c r="V164" i="6"/>
  <c r="W164" i="6"/>
  <c r="X164" i="6"/>
  <c r="U165" i="6"/>
  <c r="V165" i="6"/>
  <c r="W165" i="6"/>
  <c r="X165" i="6"/>
  <c r="U206" i="6"/>
  <c r="V206" i="6"/>
  <c r="W206" i="6"/>
  <c r="X206" i="6"/>
  <c r="U139" i="6"/>
  <c r="V139" i="6"/>
  <c r="W139" i="6"/>
  <c r="X139" i="6"/>
  <c r="U166" i="6"/>
  <c r="V166" i="6"/>
  <c r="W166" i="6"/>
  <c r="X166" i="6"/>
  <c r="U56" i="6"/>
  <c r="V56" i="6"/>
  <c r="W56" i="6"/>
  <c r="X56" i="6"/>
  <c r="U281" i="6"/>
  <c r="V281" i="6"/>
  <c r="W281" i="6"/>
  <c r="X281" i="6"/>
  <c r="U232" i="6"/>
  <c r="V232" i="6"/>
  <c r="W232" i="6"/>
  <c r="X232" i="6"/>
  <c r="U194" i="6"/>
  <c r="V194" i="6"/>
  <c r="W194" i="6"/>
  <c r="X194" i="6"/>
  <c r="U140" i="6"/>
  <c r="V140" i="6"/>
  <c r="W140" i="6"/>
  <c r="X140" i="6"/>
  <c r="U173" i="6"/>
  <c r="V173" i="6"/>
  <c r="W173" i="6"/>
  <c r="X173" i="6"/>
  <c r="U174" i="6"/>
  <c r="V174" i="6"/>
  <c r="W174" i="6"/>
  <c r="X174" i="6"/>
  <c r="U131" i="6"/>
  <c r="V131" i="6"/>
  <c r="W131" i="6"/>
  <c r="X131" i="6"/>
  <c r="U12" i="6"/>
  <c r="V12" i="6"/>
  <c r="W12" i="6"/>
  <c r="X12" i="6"/>
  <c r="U294" i="6"/>
  <c r="V294" i="6"/>
  <c r="W294" i="6"/>
  <c r="X294" i="6"/>
  <c r="U195" i="6"/>
  <c r="V195" i="6"/>
  <c r="W195" i="6"/>
  <c r="X195" i="6"/>
  <c r="U207" i="6"/>
  <c r="V207" i="6"/>
  <c r="W207" i="6"/>
  <c r="X207" i="6"/>
  <c r="U141" i="6"/>
  <c r="V141" i="6"/>
  <c r="W141" i="6"/>
  <c r="X141" i="6"/>
  <c r="U208" i="6"/>
  <c r="V208" i="6"/>
  <c r="W208" i="6"/>
  <c r="X208" i="6"/>
  <c r="U132" i="6"/>
  <c r="V132" i="6"/>
  <c r="W132" i="6"/>
  <c r="X132" i="6"/>
  <c r="U13" i="6"/>
  <c r="V13" i="6"/>
  <c r="W13" i="6"/>
  <c r="X13" i="6"/>
  <c r="U46" i="6"/>
  <c r="V46" i="6"/>
  <c r="W46" i="6"/>
  <c r="X46" i="6"/>
  <c r="U258" i="6"/>
  <c r="V258" i="6"/>
  <c r="W258" i="6"/>
  <c r="X258" i="6"/>
  <c r="U24" i="6"/>
  <c r="V24" i="6"/>
  <c r="W24" i="6"/>
  <c r="X24" i="6"/>
  <c r="U233" i="6"/>
  <c r="V233" i="6"/>
  <c r="W233" i="6"/>
  <c r="X233" i="6"/>
  <c r="U196" i="6"/>
  <c r="V196" i="6"/>
  <c r="W196" i="6"/>
  <c r="X196" i="6"/>
  <c r="U72" i="6"/>
  <c r="V72" i="6"/>
  <c r="W72" i="6"/>
  <c r="X72" i="6"/>
  <c r="U259" i="6"/>
  <c r="V259" i="6"/>
  <c r="W259" i="6"/>
  <c r="X259" i="6"/>
  <c r="U38" i="6"/>
  <c r="V38" i="6"/>
  <c r="W38" i="6"/>
  <c r="X38" i="6"/>
  <c r="U73" i="6"/>
  <c r="V73" i="6"/>
  <c r="W73" i="6"/>
  <c r="X73" i="6"/>
  <c r="U74" i="6"/>
  <c r="V74" i="6"/>
  <c r="W74" i="6"/>
  <c r="X74" i="6"/>
  <c r="U282" i="6"/>
  <c r="V282" i="6"/>
  <c r="W282" i="6"/>
  <c r="X282" i="6"/>
  <c r="U75" i="6"/>
  <c r="V75" i="6"/>
  <c r="W75" i="6"/>
  <c r="X75" i="6"/>
  <c r="U234" i="6"/>
  <c r="V234" i="6"/>
  <c r="W234" i="6"/>
  <c r="X234" i="6"/>
  <c r="U235" i="6"/>
  <c r="V235" i="6"/>
  <c r="W235" i="6"/>
  <c r="X235" i="6"/>
  <c r="U209" i="6"/>
  <c r="V209" i="6"/>
  <c r="W209" i="6"/>
  <c r="X209" i="6"/>
  <c r="U270" i="6"/>
  <c r="V270" i="6"/>
  <c r="W270" i="6"/>
  <c r="X270" i="6"/>
  <c r="U210" i="6"/>
  <c r="V210" i="6"/>
  <c r="W210" i="6"/>
  <c r="X210" i="6"/>
  <c r="U133" i="6"/>
  <c r="V133" i="6"/>
  <c r="W133" i="6"/>
  <c r="X133" i="6"/>
  <c r="U76" i="6"/>
  <c r="V76" i="6"/>
  <c r="W76" i="6"/>
  <c r="X76" i="6"/>
  <c r="U211" i="6"/>
  <c r="V211" i="6"/>
  <c r="W211" i="6"/>
  <c r="X211" i="6"/>
  <c r="U25" i="6"/>
  <c r="V25" i="6"/>
  <c r="W25" i="6"/>
  <c r="X25" i="6"/>
  <c r="U135" i="6"/>
  <c r="V135" i="6"/>
  <c r="W135" i="6"/>
  <c r="X135" i="6"/>
  <c r="U236" i="6"/>
  <c r="V236" i="6"/>
  <c r="W236" i="6"/>
  <c r="X236" i="6"/>
  <c r="U159" i="6"/>
  <c r="V159" i="6"/>
  <c r="W159" i="6"/>
  <c r="X159" i="6"/>
  <c r="U77" i="6"/>
  <c r="V77" i="6"/>
  <c r="W77" i="6"/>
  <c r="X77" i="6"/>
  <c r="U260" i="6"/>
  <c r="V260" i="6"/>
  <c r="W260" i="6"/>
  <c r="X260" i="6"/>
  <c r="U271" i="6"/>
  <c r="V271" i="6"/>
  <c r="W271" i="6"/>
  <c r="X271" i="6"/>
  <c r="U126" i="6"/>
  <c r="V126" i="6"/>
  <c r="W126" i="6"/>
  <c r="X126" i="6"/>
  <c r="U142" i="6"/>
  <c r="V142" i="6"/>
  <c r="W142" i="6"/>
  <c r="X142" i="6"/>
  <c r="U237" i="6"/>
  <c r="V237" i="6"/>
  <c r="W237" i="6"/>
  <c r="X237" i="6"/>
  <c r="U272" i="6"/>
  <c r="V272" i="6"/>
  <c r="W272" i="6"/>
  <c r="X272" i="6"/>
  <c r="U57" i="6"/>
  <c r="V57" i="6"/>
  <c r="W57" i="6"/>
  <c r="X57" i="6"/>
  <c r="U212" i="6"/>
  <c r="V212" i="6"/>
  <c r="W212" i="6"/>
  <c r="X212" i="6"/>
  <c r="U273" i="6"/>
  <c r="V273" i="6"/>
  <c r="W273" i="6"/>
  <c r="X273" i="6"/>
  <c r="U283" i="6"/>
  <c r="V283" i="6"/>
  <c r="W283" i="6"/>
  <c r="X283" i="6"/>
  <c r="U118" i="6"/>
  <c r="V118" i="6"/>
  <c r="W118" i="6"/>
  <c r="X118" i="6"/>
  <c r="U119" i="6"/>
  <c r="V119" i="6"/>
  <c r="W119" i="6"/>
  <c r="X119" i="6"/>
  <c r="U14" i="6"/>
  <c r="V14" i="6"/>
  <c r="W14" i="6"/>
  <c r="X14" i="6"/>
  <c r="U120" i="6"/>
  <c r="V120" i="6"/>
  <c r="W120" i="6"/>
  <c r="X120" i="6"/>
  <c r="U197" i="6"/>
  <c r="V197" i="6"/>
  <c r="W197" i="6"/>
  <c r="X197" i="6"/>
  <c r="U151" i="6"/>
  <c r="V151" i="6"/>
  <c r="W151" i="6"/>
  <c r="X151" i="6"/>
  <c r="U213" i="6"/>
  <c r="V213" i="6"/>
  <c r="W213" i="6"/>
  <c r="X213" i="6"/>
  <c r="U198" i="6"/>
  <c r="V198" i="6"/>
  <c r="W198" i="6"/>
  <c r="X198" i="6"/>
  <c r="U26" i="6"/>
  <c r="V26" i="6"/>
  <c r="W26" i="6"/>
  <c r="X26" i="6"/>
  <c r="U261" i="6"/>
  <c r="V261" i="6"/>
  <c r="W261" i="6"/>
  <c r="X261" i="6"/>
  <c r="U121" i="6"/>
  <c r="V121" i="6"/>
  <c r="W121" i="6"/>
  <c r="X121" i="6"/>
  <c r="U127" i="6"/>
  <c r="V127" i="6"/>
  <c r="W127" i="6"/>
  <c r="X127" i="6"/>
  <c r="U238" i="6"/>
  <c r="V238" i="6"/>
  <c r="W238" i="6"/>
  <c r="X238" i="6"/>
  <c r="U239" i="6"/>
  <c r="V239" i="6"/>
  <c r="W239" i="6"/>
  <c r="X239" i="6"/>
  <c r="U240" i="6"/>
  <c r="V240" i="6"/>
  <c r="W240" i="6"/>
  <c r="X240" i="6"/>
  <c r="U134" i="6"/>
  <c r="V134" i="6"/>
  <c r="W134" i="6"/>
  <c r="X134" i="6"/>
  <c r="U58" i="6"/>
  <c r="V58" i="6"/>
  <c r="W58" i="6"/>
  <c r="X58" i="6"/>
  <c r="U39" i="6"/>
  <c r="V39" i="6"/>
  <c r="W39" i="6"/>
  <c r="X39" i="6"/>
  <c r="U44" i="6"/>
  <c r="V44" i="6"/>
  <c r="W44" i="6"/>
  <c r="X44" i="6"/>
  <c r="U175" i="6"/>
  <c r="V175" i="6"/>
  <c r="W175" i="6"/>
  <c r="X175" i="6"/>
  <c r="U78" i="6"/>
  <c r="V78" i="6"/>
  <c r="W78" i="6"/>
  <c r="X78" i="6"/>
  <c r="U32" i="6"/>
  <c r="V32" i="6"/>
  <c r="W32" i="6"/>
  <c r="X32" i="6"/>
  <c r="U188" i="6"/>
  <c r="V188" i="6"/>
  <c r="W188" i="6"/>
  <c r="X188" i="6"/>
  <c r="U136" i="6"/>
  <c r="V136" i="6"/>
  <c r="W136" i="6"/>
  <c r="X136" i="6"/>
  <c r="U137" i="6"/>
  <c r="V137" i="6"/>
  <c r="W137" i="6"/>
  <c r="X137" i="6"/>
  <c r="U138" i="6"/>
  <c r="V138" i="6"/>
  <c r="W138" i="6"/>
  <c r="X138" i="6"/>
  <c r="U241" i="6"/>
  <c r="V241" i="6"/>
  <c r="W241" i="6"/>
  <c r="X241" i="6"/>
  <c r="U242" i="6"/>
  <c r="V242" i="6"/>
  <c r="W242" i="6"/>
  <c r="X242" i="6"/>
  <c r="U243" i="6"/>
  <c r="V243" i="6"/>
  <c r="W243" i="6"/>
  <c r="X243" i="6"/>
  <c r="U33" i="6"/>
  <c r="V33" i="6"/>
  <c r="W33" i="6"/>
  <c r="X33" i="6"/>
  <c r="U79" i="6"/>
  <c r="V79" i="6"/>
  <c r="W79" i="6"/>
  <c r="X79" i="6"/>
  <c r="U113" i="6"/>
  <c r="V113" i="6"/>
  <c r="W113" i="6"/>
  <c r="X113" i="6"/>
  <c r="U244" i="6"/>
  <c r="V244" i="6"/>
  <c r="W244" i="6"/>
  <c r="X244" i="6"/>
  <c r="U245" i="6"/>
  <c r="V245" i="6"/>
  <c r="W245" i="6"/>
  <c r="X245" i="6"/>
  <c r="U284" i="6"/>
  <c r="V284" i="6"/>
  <c r="W284" i="6"/>
  <c r="X284" i="6"/>
  <c r="U285" i="6"/>
  <c r="V285" i="6"/>
  <c r="W285" i="6"/>
  <c r="X285" i="6"/>
  <c r="U34" i="6"/>
  <c r="V34" i="6"/>
  <c r="W34" i="6"/>
  <c r="X34" i="6"/>
  <c r="U176" i="6"/>
  <c r="V176" i="6"/>
  <c r="W176" i="6"/>
  <c r="X176" i="6"/>
  <c r="U152" i="6"/>
  <c r="V152" i="6"/>
  <c r="W152" i="6"/>
  <c r="X152" i="6"/>
  <c r="U246" i="6"/>
  <c r="V246" i="6"/>
  <c r="W246" i="6"/>
  <c r="X246" i="6"/>
  <c r="U274" i="6"/>
  <c r="V274" i="6"/>
  <c r="W274" i="6"/>
  <c r="X274" i="6"/>
  <c r="U247" i="6"/>
  <c r="V247" i="6"/>
  <c r="W247" i="6"/>
  <c r="X247" i="6"/>
  <c r="U80" i="6"/>
  <c r="V80" i="6"/>
  <c r="W80" i="6"/>
  <c r="X80" i="6"/>
  <c r="U248" i="6"/>
  <c r="V248" i="6"/>
  <c r="W248" i="6"/>
  <c r="X248" i="6"/>
  <c r="U81" i="6"/>
  <c r="V81" i="6"/>
  <c r="W81" i="6"/>
  <c r="X81" i="6"/>
  <c r="U262" i="6"/>
  <c r="V262" i="6"/>
  <c r="W262" i="6"/>
  <c r="X262" i="6"/>
  <c r="U160" i="6"/>
  <c r="V160" i="6"/>
  <c r="W160" i="6"/>
  <c r="X160" i="6"/>
  <c r="U286" i="6"/>
  <c r="V286" i="6"/>
  <c r="W286" i="6"/>
  <c r="X286" i="6"/>
  <c r="U143" i="6"/>
  <c r="V143" i="6"/>
  <c r="W143" i="6"/>
  <c r="X143" i="6"/>
  <c r="U59" i="6"/>
  <c r="V59" i="6"/>
  <c r="W59" i="6"/>
  <c r="X59" i="6"/>
  <c r="U214" i="6"/>
  <c r="V214" i="6"/>
  <c r="W214" i="6"/>
  <c r="X214" i="6"/>
  <c r="U215" i="6"/>
  <c r="V215" i="6"/>
  <c r="W215" i="6"/>
  <c r="X215" i="6"/>
  <c r="U216" i="6"/>
  <c r="V216" i="6"/>
  <c r="W216" i="6"/>
  <c r="X216" i="6"/>
  <c r="U199" i="6"/>
  <c r="V199" i="6"/>
  <c r="W199" i="6"/>
  <c r="X199" i="6"/>
  <c r="U217" i="6"/>
  <c r="V217" i="6"/>
  <c r="W217" i="6"/>
  <c r="X217" i="6"/>
  <c r="U128" i="6"/>
  <c r="V128" i="6"/>
  <c r="W128" i="6"/>
  <c r="X128" i="6"/>
  <c r="U144" i="6"/>
  <c r="V144" i="6"/>
  <c r="W144" i="6"/>
  <c r="X144" i="6"/>
  <c r="U145" i="6"/>
  <c r="V145" i="6"/>
  <c r="W145" i="6"/>
  <c r="X145" i="6"/>
  <c r="U177" i="6"/>
  <c r="V177" i="6"/>
  <c r="W177" i="6"/>
  <c r="X177" i="6"/>
  <c r="U153" i="6"/>
  <c r="V153" i="6"/>
  <c r="W153" i="6"/>
  <c r="X153" i="6"/>
  <c r="U218" i="6"/>
  <c r="V218" i="6"/>
  <c r="W218" i="6"/>
  <c r="X218" i="6"/>
  <c r="U200" i="6"/>
  <c r="V200" i="6"/>
  <c r="W200" i="6"/>
  <c r="X200" i="6"/>
  <c r="U219" i="6"/>
  <c r="V219" i="6"/>
  <c r="W219" i="6"/>
  <c r="X219" i="6"/>
  <c r="U220" i="6"/>
  <c r="V220" i="6"/>
  <c r="W220" i="6"/>
  <c r="X220" i="6"/>
  <c r="U201" i="6"/>
  <c r="V201" i="6"/>
  <c r="W201" i="6"/>
  <c r="X201" i="6"/>
  <c r="U221" i="6"/>
  <c r="V221" i="6"/>
  <c r="W221" i="6"/>
  <c r="X221" i="6"/>
  <c r="U222" i="6"/>
  <c r="V222" i="6"/>
  <c r="W222" i="6"/>
  <c r="X222" i="6"/>
  <c r="U223" i="6"/>
  <c r="V223" i="6"/>
  <c r="W223" i="6"/>
  <c r="X223" i="6"/>
  <c r="U146" i="6"/>
  <c r="V146" i="6"/>
  <c r="W146" i="6"/>
  <c r="X146" i="6"/>
  <c r="U147" i="6"/>
  <c r="V147" i="6"/>
  <c r="W147" i="6"/>
  <c r="X147" i="6"/>
  <c r="U148" i="6"/>
  <c r="V148" i="6"/>
  <c r="W148" i="6"/>
  <c r="X148" i="6"/>
  <c r="U82" i="6"/>
  <c r="V82" i="6"/>
  <c r="W82" i="6"/>
  <c r="X82" i="6"/>
  <c r="U184" i="6"/>
  <c r="V184" i="6"/>
  <c r="W184" i="6"/>
  <c r="X184" i="6"/>
  <c r="U185" i="6"/>
  <c r="V185" i="6"/>
  <c r="W185" i="6"/>
  <c r="X185" i="6"/>
  <c r="U186" i="6"/>
  <c r="V186" i="6"/>
  <c r="W186" i="6"/>
  <c r="X186" i="6"/>
  <c r="U150" i="6"/>
  <c r="V150" i="6"/>
  <c r="W150" i="6"/>
  <c r="X150" i="6"/>
  <c r="U154" i="6"/>
  <c r="V154" i="6"/>
  <c r="W154" i="6"/>
  <c r="X154" i="6"/>
  <c r="U161" i="6"/>
  <c r="V161" i="6"/>
  <c r="W161" i="6"/>
  <c r="X161" i="6"/>
  <c r="U167" i="6"/>
  <c r="V167" i="6"/>
  <c r="W167" i="6"/>
  <c r="X167" i="6"/>
  <c r="U168" i="6"/>
  <c r="V168" i="6"/>
  <c r="W168" i="6"/>
  <c r="X168" i="6"/>
  <c r="U178" i="6"/>
  <c r="V178" i="6"/>
  <c r="W178" i="6"/>
  <c r="X178" i="6"/>
  <c r="U189" i="6"/>
  <c r="V189" i="6"/>
  <c r="W189" i="6"/>
  <c r="X189" i="6"/>
  <c r="U187" i="6"/>
  <c r="V187" i="6"/>
  <c r="W187" i="6"/>
  <c r="X187" i="6"/>
  <c r="U190" i="6"/>
  <c r="V190" i="6"/>
  <c r="W190" i="6"/>
  <c r="X190" i="6"/>
  <c r="U193" i="6"/>
  <c r="V193" i="6"/>
  <c r="W193" i="6"/>
  <c r="X193" i="6"/>
  <c r="U191" i="6"/>
  <c r="V191" i="6"/>
  <c r="W191" i="6"/>
  <c r="X191" i="6"/>
  <c r="U192" i="6"/>
  <c r="V192" i="6"/>
  <c r="W192" i="6"/>
  <c r="X192" i="6"/>
  <c r="U202" i="6"/>
  <c r="V202" i="6"/>
  <c r="W202" i="6"/>
  <c r="X202" i="6"/>
  <c r="U224" i="6"/>
  <c r="V224" i="6"/>
  <c r="W224" i="6"/>
  <c r="X224" i="6"/>
  <c r="U162" i="6"/>
  <c r="V162" i="6"/>
  <c r="W162" i="6"/>
  <c r="X162" i="6"/>
  <c r="U249" i="6"/>
  <c r="V249" i="6"/>
  <c r="W249" i="6"/>
  <c r="X249" i="6"/>
  <c r="U203" i="6"/>
  <c r="V203" i="6"/>
  <c r="W203" i="6"/>
  <c r="X203" i="6"/>
  <c r="U250" i="6"/>
  <c r="V250" i="6"/>
  <c r="W250" i="6"/>
  <c r="X250" i="6"/>
  <c r="U251" i="6"/>
  <c r="V251" i="6"/>
  <c r="W251" i="6"/>
  <c r="X251" i="6"/>
  <c r="U252" i="6"/>
  <c r="V252" i="6"/>
  <c r="W252" i="6"/>
  <c r="X252" i="6"/>
  <c r="U253" i="6"/>
  <c r="V253" i="6"/>
  <c r="W253" i="6"/>
  <c r="X253" i="6"/>
  <c r="U275" i="6"/>
  <c r="V275" i="6"/>
  <c r="W275" i="6"/>
  <c r="X275" i="6"/>
  <c r="U254" i="6"/>
  <c r="V254" i="6"/>
  <c r="W254" i="6"/>
  <c r="X254" i="6"/>
  <c r="U255" i="6"/>
  <c r="V255" i="6"/>
  <c r="W255" i="6"/>
  <c r="X255" i="6"/>
  <c r="U263" i="6"/>
  <c r="V263" i="6"/>
  <c r="W263" i="6"/>
  <c r="X263" i="6"/>
  <c r="U264" i="6"/>
  <c r="V264" i="6"/>
  <c r="W264" i="6"/>
  <c r="X264" i="6"/>
  <c r="U265" i="6"/>
  <c r="V265" i="6"/>
  <c r="W265" i="6"/>
  <c r="X265" i="6"/>
  <c r="U276" i="6"/>
  <c r="V276" i="6"/>
  <c r="W276" i="6"/>
  <c r="X276" i="6"/>
  <c r="U277" i="6"/>
  <c r="V277" i="6"/>
  <c r="W277" i="6"/>
  <c r="X277" i="6"/>
  <c r="U278" i="6"/>
  <c r="V278" i="6"/>
  <c r="W278" i="6"/>
  <c r="X278" i="6"/>
  <c r="U279" i="6"/>
  <c r="V279" i="6"/>
  <c r="W279" i="6"/>
  <c r="X279" i="6"/>
  <c r="U225" i="6"/>
  <c r="V225" i="6"/>
  <c r="W225" i="6"/>
  <c r="X225" i="6"/>
  <c r="U155" i="6"/>
  <c r="V155" i="6"/>
  <c r="W155" i="6"/>
  <c r="X155" i="6"/>
  <c r="U35" i="6"/>
  <c r="V35" i="6"/>
  <c r="W35" i="6"/>
  <c r="X35" i="6"/>
  <c r="U149" i="6"/>
  <c r="V149" i="6"/>
  <c r="W149" i="6"/>
  <c r="X149" i="6"/>
  <c r="U287" i="6"/>
  <c r="V287" i="6"/>
  <c r="W287" i="6"/>
  <c r="X287" i="6"/>
  <c r="U266" i="6"/>
  <c r="V266" i="6"/>
  <c r="W266" i="6"/>
  <c r="X266" i="6"/>
  <c r="U267" i="6"/>
  <c r="V267" i="6"/>
  <c r="W267" i="6"/>
  <c r="X267" i="6"/>
  <c r="U122" i="6"/>
  <c r="V122" i="6"/>
  <c r="W122" i="6"/>
  <c r="X122" i="6"/>
  <c r="U226" i="6"/>
  <c r="V226" i="6"/>
  <c r="W226" i="6"/>
  <c r="X226" i="6"/>
  <c r="U227" i="6"/>
  <c r="V227" i="6"/>
  <c r="W227" i="6"/>
  <c r="X227" i="6"/>
  <c r="U228" i="6"/>
  <c r="V228" i="6"/>
  <c r="W228" i="6"/>
  <c r="X228" i="6"/>
  <c r="U256" i="6"/>
  <c r="V256" i="6"/>
  <c r="W256" i="6"/>
  <c r="X256" i="6"/>
  <c r="U268" i="6"/>
  <c r="V268" i="6"/>
  <c r="W268" i="6"/>
  <c r="X268" i="6"/>
  <c r="U229" i="6"/>
  <c r="V229" i="6"/>
  <c r="W229" i="6"/>
  <c r="X229" i="6"/>
  <c r="U83" i="6"/>
  <c r="V83" i="6"/>
  <c r="W83" i="6"/>
  <c r="X83" i="6"/>
  <c r="U84" i="6"/>
  <c r="V84" i="6"/>
  <c r="W84" i="6"/>
  <c r="X84" i="6"/>
  <c r="U63" i="6"/>
  <c r="V63" i="6"/>
  <c r="W63" i="6"/>
  <c r="X63" i="6"/>
  <c r="U60" i="6"/>
  <c r="V60" i="6"/>
  <c r="W60" i="6"/>
  <c r="X60" i="6"/>
  <c r="U288" i="6"/>
  <c r="V288" i="6"/>
  <c r="W288" i="6"/>
  <c r="X288" i="6"/>
  <c r="U289" i="6"/>
  <c r="V289" i="6"/>
  <c r="W289" i="6"/>
  <c r="X289" i="6"/>
  <c r="U290" i="6"/>
  <c r="V290" i="6"/>
  <c r="W290" i="6"/>
  <c r="X290" i="6"/>
  <c r="U291" i="6"/>
  <c r="V291" i="6"/>
  <c r="W291" i="6"/>
  <c r="X291" i="6"/>
  <c r="U292" i="6"/>
  <c r="V292" i="6"/>
  <c r="W292" i="6"/>
  <c r="X292" i="6"/>
  <c r="U169" i="6"/>
  <c r="V169" i="6"/>
  <c r="W169" i="6"/>
  <c r="X169" i="6"/>
  <c r="U170" i="6"/>
  <c r="V170" i="6"/>
  <c r="W170" i="6"/>
  <c r="X170" i="6"/>
  <c r="U179" i="6"/>
  <c r="V179" i="6"/>
  <c r="W179" i="6"/>
  <c r="X179" i="6"/>
  <c r="U156" i="6"/>
  <c r="V156" i="6"/>
  <c r="W156" i="6"/>
  <c r="X156" i="6"/>
  <c r="U171" i="6"/>
  <c r="V171" i="6"/>
  <c r="W171" i="6"/>
  <c r="X171" i="6"/>
  <c r="U257" i="6"/>
  <c r="V257" i="6"/>
  <c r="W257" i="6"/>
  <c r="X257" i="6"/>
  <c r="U293" i="6"/>
  <c r="V293" i="6"/>
  <c r="W293" i="6"/>
  <c r="X293" i="6"/>
  <c r="U61" i="6"/>
  <c r="V61" i="6"/>
  <c r="W61" i="6"/>
  <c r="X61" i="6"/>
  <c r="U15" i="6"/>
  <c r="V15" i="6"/>
  <c r="W15" i="6"/>
  <c r="X15" i="6"/>
  <c r="U16" i="6"/>
  <c r="V16" i="6"/>
  <c r="W16" i="6"/>
  <c r="X16" i="6"/>
  <c r="U17" i="6"/>
  <c r="V17" i="6"/>
  <c r="W17" i="6"/>
  <c r="X17" i="6"/>
  <c r="U18" i="6"/>
  <c r="V18" i="6"/>
  <c r="W18" i="6"/>
  <c r="X18" i="6"/>
  <c r="U19" i="6"/>
  <c r="V19" i="6"/>
  <c r="W19" i="6"/>
  <c r="X19" i="6"/>
  <c r="U20" i="6"/>
  <c r="V20" i="6"/>
  <c r="W20" i="6"/>
  <c r="X20" i="6"/>
  <c r="U180" i="6"/>
  <c r="V180" i="6"/>
  <c r="W180" i="6"/>
  <c r="X180" i="6"/>
  <c r="U36" i="6"/>
  <c r="V36" i="6"/>
  <c r="W36" i="6"/>
  <c r="X36" i="6"/>
  <c r="U181" i="6"/>
  <c r="V181" i="6"/>
  <c r="W181" i="6"/>
  <c r="X181" i="6"/>
  <c r="U295" i="6"/>
  <c r="V295" i="6"/>
  <c r="W295" i="6"/>
  <c r="X295" i="6"/>
  <c r="U172" i="6"/>
  <c r="V172" i="6"/>
  <c r="W172" i="6"/>
  <c r="X172" i="6"/>
  <c r="U182" i="6"/>
  <c r="V182" i="6"/>
  <c r="W182" i="6"/>
  <c r="X182" i="6"/>
  <c r="U183" i="6"/>
  <c r="V183" i="6"/>
  <c r="W183" i="6"/>
  <c r="X183" i="6"/>
  <c r="U102" i="6"/>
  <c r="V102" i="6"/>
  <c r="W102" i="6"/>
  <c r="X102" i="6"/>
  <c r="U296" i="6"/>
  <c r="V296" i="6"/>
  <c r="W296" i="6"/>
  <c r="X296" i="6"/>
  <c r="U297" i="6"/>
  <c r="V297" i="6"/>
  <c r="W297" i="6"/>
  <c r="X297" i="6"/>
  <c r="U298" i="6"/>
  <c r="V298" i="6"/>
  <c r="W298" i="6"/>
  <c r="X298" i="6"/>
  <c r="U299" i="6"/>
  <c r="V299" i="6"/>
  <c r="W299" i="6"/>
  <c r="X299" i="6"/>
  <c r="U300" i="6"/>
  <c r="V300" i="6"/>
  <c r="W300" i="6"/>
  <c r="X300" i="6"/>
  <c r="U301" i="6"/>
  <c r="V301" i="6"/>
  <c r="W301" i="6"/>
  <c r="X301" i="6"/>
  <c r="U302" i="6"/>
  <c r="V302" i="6"/>
  <c r="W302" i="6"/>
  <c r="X302" i="6"/>
  <c r="U303" i="6"/>
  <c r="V303" i="6"/>
  <c r="W303" i="6"/>
  <c r="X303" i="6"/>
  <c r="U304" i="6"/>
  <c r="V304" i="6"/>
  <c r="W304" i="6"/>
  <c r="X304" i="6"/>
  <c r="U305" i="6"/>
  <c r="V305" i="6"/>
  <c r="W305" i="6"/>
  <c r="X305" i="6"/>
  <c r="U306" i="6"/>
  <c r="V306" i="6"/>
  <c r="W306" i="6"/>
  <c r="X306" i="6"/>
  <c r="U307" i="6"/>
  <c r="V307" i="6"/>
  <c r="W307" i="6"/>
  <c r="X307" i="6"/>
  <c r="U308" i="6"/>
  <c r="V308" i="6"/>
  <c r="W308" i="6"/>
  <c r="X308" i="6"/>
  <c r="U309" i="6"/>
  <c r="V309" i="6"/>
  <c r="W309" i="6"/>
  <c r="X309" i="6"/>
  <c r="U310" i="6"/>
  <c r="V310" i="6"/>
  <c r="W310" i="6"/>
  <c r="X310" i="6"/>
  <c r="U312" i="6"/>
  <c r="V312" i="6"/>
  <c r="W312" i="6"/>
  <c r="X312" i="6"/>
  <c r="U313" i="6"/>
  <c r="V313" i="6"/>
  <c r="W313" i="6"/>
  <c r="X313" i="6"/>
  <c r="U314" i="6"/>
  <c r="V314" i="6"/>
  <c r="W314" i="6"/>
  <c r="X314" i="6"/>
  <c r="U315" i="6"/>
  <c r="V315" i="6"/>
  <c r="W315" i="6"/>
  <c r="X315" i="6"/>
  <c r="U316" i="6"/>
  <c r="V316" i="6"/>
  <c r="W316" i="6"/>
  <c r="X316" i="6"/>
  <c r="U317" i="6"/>
  <c r="V317" i="6"/>
  <c r="W317" i="6"/>
  <c r="X317" i="6"/>
  <c r="U318" i="6"/>
  <c r="V318" i="6"/>
  <c r="W318" i="6"/>
  <c r="X318" i="6"/>
  <c r="U319" i="6"/>
  <c r="V319" i="6"/>
  <c r="W319" i="6"/>
  <c r="X319" i="6"/>
  <c r="U320" i="6"/>
  <c r="V320" i="6"/>
  <c r="W320" i="6"/>
  <c r="X320" i="6"/>
  <c r="U321" i="6"/>
  <c r="V321" i="6"/>
  <c r="W321" i="6"/>
  <c r="X321" i="6"/>
  <c r="U322" i="6"/>
  <c r="V322" i="6"/>
  <c r="W322" i="6"/>
  <c r="X322" i="6"/>
  <c r="U323" i="6"/>
  <c r="V323" i="6"/>
  <c r="W323" i="6"/>
  <c r="X323" i="6"/>
  <c r="U324" i="6"/>
  <c r="V324" i="6"/>
  <c r="W324" i="6"/>
  <c r="X324" i="6"/>
  <c r="U325" i="6"/>
  <c r="V325" i="6"/>
  <c r="W325" i="6"/>
  <c r="X325" i="6"/>
  <c r="U326" i="6"/>
  <c r="V326" i="6"/>
  <c r="W326" i="6"/>
  <c r="X326" i="6"/>
  <c r="U327" i="6"/>
  <c r="V327" i="6"/>
  <c r="W327" i="6"/>
  <c r="X327" i="6"/>
  <c r="U328" i="6"/>
  <c r="V328" i="6"/>
  <c r="W328" i="6"/>
  <c r="X328" i="6"/>
  <c r="U329" i="6"/>
  <c r="V329" i="6"/>
  <c r="W329" i="6"/>
  <c r="X329" i="6"/>
  <c r="U330" i="6"/>
  <c r="V330" i="6"/>
  <c r="W330" i="6"/>
  <c r="X330" i="6"/>
  <c r="U331" i="6"/>
  <c r="V331" i="6"/>
  <c r="W331" i="6"/>
  <c r="X331" i="6"/>
  <c r="U332" i="6"/>
  <c r="V332" i="6"/>
  <c r="W332" i="6"/>
  <c r="X332" i="6"/>
  <c r="U333" i="6"/>
  <c r="V333" i="6"/>
  <c r="W333" i="6"/>
  <c r="X333" i="6"/>
  <c r="U334" i="6"/>
  <c r="V334" i="6"/>
  <c r="W334" i="6"/>
  <c r="X334" i="6"/>
  <c r="U335" i="6"/>
  <c r="V335" i="6"/>
  <c r="W335" i="6"/>
  <c r="X335" i="6"/>
  <c r="U336" i="6"/>
  <c r="V336" i="6"/>
  <c r="W336" i="6"/>
  <c r="X336" i="6"/>
  <c r="U337" i="6"/>
  <c r="V337" i="6"/>
  <c r="W337" i="6"/>
  <c r="X337" i="6"/>
  <c r="U338" i="6"/>
  <c r="V338" i="6"/>
  <c r="W338" i="6"/>
  <c r="X338" i="6"/>
  <c r="U343" i="6"/>
  <c r="V343" i="6"/>
  <c r="W343" i="6"/>
  <c r="X343" i="6"/>
  <c r="U339" i="6"/>
  <c r="V339" i="6"/>
  <c r="W339" i="6"/>
  <c r="X339" i="6"/>
  <c r="U340" i="6"/>
  <c r="V340" i="6"/>
  <c r="W340" i="6"/>
  <c r="X340" i="6"/>
  <c r="U344" i="6"/>
  <c r="V344" i="6"/>
  <c r="W344" i="6"/>
  <c r="X344" i="6"/>
  <c r="U341" i="6"/>
  <c r="V341" i="6"/>
  <c r="W341" i="6"/>
  <c r="X341" i="6"/>
  <c r="U342" i="6"/>
  <c r="V342" i="6"/>
  <c r="W342" i="6"/>
  <c r="X342" i="6"/>
  <c r="U358" i="6"/>
  <c r="V358" i="6"/>
  <c r="W358" i="6"/>
  <c r="X358" i="6"/>
  <c r="U345" i="6"/>
  <c r="V345" i="6"/>
  <c r="W345" i="6"/>
  <c r="X345" i="6"/>
  <c r="U359" i="6"/>
  <c r="V359" i="6"/>
  <c r="W359" i="6"/>
  <c r="X359" i="6"/>
  <c r="U346" i="6"/>
  <c r="V346" i="6"/>
  <c r="W346" i="6"/>
  <c r="X346" i="6"/>
  <c r="U347" i="6"/>
  <c r="V347" i="6"/>
  <c r="W347" i="6"/>
  <c r="X347" i="6"/>
  <c r="U348" i="6"/>
  <c r="V348" i="6"/>
  <c r="W348" i="6"/>
  <c r="X348" i="6"/>
  <c r="U349" i="6"/>
  <c r="V349" i="6"/>
  <c r="W349" i="6"/>
  <c r="X349" i="6"/>
  <c r="U350" i="6"/>
  <c r="V350" i="6"/>
  <c r="W350" i="6"/>
  <c r="X350" i="6"/>
  <c r="U351" i="6"/>
  <c r="V351" i="6"/>
  <c r="W351" i="6"/>
  <c r="X351" i="6"/>
  <c r="U352" i="6"/>
  <c r="V352" i="6"/>
  <c r="W352" i="6"/>
  <c r="X352" i="6"/>
  <c r="U353" i="6"/>
  <c r="V353" i="6"/>
  <c r="W353" i="6"/>
  <c r="X353" i="6"/>
  <c r="U360" i="6"/>
  <c r="V360" i="6"/>
  <c r="W360" i="6"/>
  <c r="X360" i="6"/>
  <c r="U361" i="6"/>
  <c r="V361" i="6"/>
  <c r="W361" i="6"/>
  <c r="X361" i="6"/>
  <c r="U362" i="6"/>
  <c r="V362" i="6"/>
  <c r="W362" i="6"/>
  <c r="X362" i="6"/>
  <c r="U363" i="6"/>
  <c r="V363" i="6"/>
  <c r="W363" i="6"/>
  <c r="X363" i="6"/>
  <c r="U364" i="6"/>
  <c r="V364" i="6"/>
  <c r="W364" i="6"/>
  <c r="X364" i="6"/>
  <c r="U365" i="6"/>
  <c r="V365" i="6"/>
  <c r="W365" i="6"/>
  <c r="X365" i="6"/>
  <c r="U366" i="6"/>
  <c r="V366" i="6"/>
  <c r="W366" i="6"/>
  <c r="X366" i="6"/>
  <c r="U354" i="6"/>
  <c r="V354" i="6"/>
  <c r="W354" i="6"/>
  <c r="X354" i="6"/>
  <c r="U355" i="6"/>
  <c r="V355" i="6"/>
  <c r="W355" i="6"/>
  <c r="X355" i="6"/>
  <c r="U356" i="6"/>
  <c r="V356" i="6"/>
  <c r="W356" i="6"/>
  <c r="X356" i="6"/>
  <c r="U357" i="6"/>
  <c r="V357" i="6"/>
  <c r="W357" i="6"/>
  <c r="X357" i="6"/>
  <c r="U367" i="6"/>
  <c r="V367" i="6"/>
  <c r="W367" i="6"/>
  <c r="X367" i="6"/>
  <c r="U368" i="6"/>
  <c r="V368" i="6"/>
  <c r="W368" i="6"/>
  <c r="X368" i="6"/>
  <c r="U369" i="6"/>
  <c r="V369" i="6"/>
  <c r="W369" i="6"/>
  <c r="X369" i="6"/>
  <c r="U370" i="6"/>
  <c r="V370" i="6"/>
  <c r="W370" i="6"/>
  <c r="X370" i="6"/>
  <c r="U371" i="6"/>
  <c r="V371" i="6"/>
  <c r="W371" i="6"/>
  <c r="X371" i="6"/>
  <c r="U372" i="6"/>
  <c r="V372" i="6"/>
  <c r="W372" i="6"/>
  <c r="X372" i="6"/>
  <c r="U373" i="6"/>
  <c r="V373" i="6"/>
  <c r="W373" i="6"/>
  <c r="X373" i="6"/>
  <c r="U374" i="6"/>
  <c r="V374" i="6"/>
  <c r="W374" i="6"/>
  <c r="X374" i="6"/>
  <c r="U375" i="6"/>
  <c r="V375" i="6"/>
  <c r="W375" i="6"/>
  <c r="X375" i="6"/>
  <c r="U376" i="6"/>
  <c r="V376" i="6"/>
  <c r="W376" i="6"/>
  <c r="X376" i="6"/>
  <c r="U377" i="6"/>
  <c r="V377" i="6"/>
  <c r="W377" i="6"/>
  <c r="X377" i="6"/>
  <c r="U379" i="6"/>
  <c r="V379" i="6"/>
  <c r="W379" i="6"/>
  <c r="X379" i="6"/>
  <c r="U382" i="6"/>
  <c r="V382" i="6"/>
  <c r="W382" i="6"/>
  <c r="X382" i="6"/>
  <c r="U378" i="6"/>
  <c r="V378" i="6"/>
  <c r="W378" i="6"/>
  <c r="X378" i="6"/>
  <c r="U381" i="6"/>
  <c r="V381" i="6"/>
  <c r="W381" i="6"/>
  <c r="X381" i="6"/>
  <c r="U380" i="6"/>
  <c r="V380" i="6"/>
  <c r="W380" i="6"/>
  <c r="X380" i="6"/>
  <c r="U406" i="6"/>
  <c r="V406" i="6"/>
  <c r="W406" i="6"/>
  <c r="X406" i="6"/>
  <c r="U384" i="6"/>
  <c r="V384" i="6"/>
  <c r="W384" i="6"/>
  <c r="X384" i="6"/>
  <c r="U405" i="6"/>
  <c r="V405" i="6"/>
  <c r="W405" i="6"/>
  <c r="X405" i="6"/>
  <c r="U404" i="6"/>
  <c r="V404" i="6"/>
  <c r="W404" i="6"/>
  <c r="X404" i="6"/>
  <c r="U387" i="6"/>
  <c r="V387" i="6"/>
  <c r="W387" i="6"/>
  <c r="X387" i="6"/>
  <c r="U388" i="6"/>
  <c r="V388" i="6"/>
  <c r="W388" i="6"/>
  <c r="X388" i="6"/>
  <c r="U389" i="6"/>
  <c r="V389" i="6"/>
  <c r="W389" i="6"/>
  <c r="X389" i="6"/>
  <c r="U390" i="6"/>
  <c r="V390" i="6"/>
  <c r="W390" i="6"/>
  <c r="X390" i="6"/>
  <c r="U391" i="6"/>
  <c r="V391" i="6"/>
  <c r="W391" i="6"/>
  <c r="X391" i="6"/>
  <c r="U386" i="6"/>
  <c r="V386" i="6"/>
  <c r="W386" i="6"/>
  <c r="X386" i="6"/>
  <c r="U402" i="6"/>
  <c r="V402" i="6"/>
  <c r="W402" i="6"/>
  <c r="X402" i="6"/>
  <c r="U392" i="6"/>
  <c r="V392" i="6"/>
  <c r="W392" i="6"/>
  <c r="X392" i="6"/>
  <c r="U393" i="6"/>
  <c r="V393" i="6"/>
  <c r="W393" i="6"/>
  <c r="X393" i="6"/>
  <c r="U394" i="6"/>
  <c r="V394" i="6"/>
  <c r="W394" i="6"/>
  <c r="X394" i="6"/>
  <c r="U395" i="6"/>
  <c r="V395" i="6"/>
  <c r="W395" i="6"/>
  <c r="X395" i="6"/>
  <c r="U396" i="6"/>
  <c r="V396" i="6"/>
  <c r="W396" i="6"/>
  <c r="X396" i="6"/>
  <c r="U397" i="6"/>
  <c r="V397" i="6"/>
  <c r="W397" i="6"/>
  <c r="X397" i="6"/>
  <c r="U383" i="6"/>
  <c r="V383" i="6"/>
  <c r="W383" i="6"/>
  <c r="X383" i="6"/>
  <c r="U403" i="6"/>
  <c r="V403" i="6"/>
  <c r="W403" i="6"/>
  <c r="X403" i="6"/>
  <c r="U398" i="6"/>
  <c r="V398" i="6"/>
  <c r="W398" i="6"/>
  <c r="X398" i="6"/>
  <c r="U385" i="6"/>
  <c r="V385" i="6"/>
  <c r="W385" i="6"/>
  <c r="X385" i="6"/>
  <c r="U407" i="6"/>
  <c r="V407" i="6"/>
  <c r="W407" i="6"/>
  <c r="X407" i="6"/>
  <c r="U399" i="6"/>
  <c r="V399" i="6"/>
  <c r="W399" i="6"/>
  <c r="X399" i="6"/>
  <c r="U400" i="6"/>
  <c r="V400" i="6"/>
  <c r="W400" i="6"/>
  <c r="X400" i="6"/>
  <c r="U401" i="6"/>
  <c r="V401" i="6"/>
  <c r="W401" i="6"/>
  <c r="X401" i="6"/>
  <c r="C404" i="6"/>
  <c r="C153" i="6"/>
  <c r="C116" i="6"/>
  <c r="C115" i="6"/>
  <c r="C385" i="6"/>
  <c r="C322" i="6"/>
  <c r="C387" i="6"/>
  <c r="C395" i="6"/>
  <c r="C397" i="6"/>
  <c r="C134" i="6"/>
  <c r="C117" i="6"/>
  <c r="C286" i="6"/>
  <c r="C6" i="6"/>
  <c r="C34" i="6"/>
  <c r="C7" i="6"/>
  <c r="C384" i="6"/>
  <c r="C403" i="6"/>
  <c r="C173" i="6"/>
  <c r="C383" i="6"/>
  <c r="C280" i="6"/>
  <c r="C177" i="6"/>
  <c r="C222" i="6"/>
  <c r="C332" i="6"/>
  <c r="C129" i="6"/>
  <c r="C5" i="6"/>
  <c r="C4" i="6"/>
  <c r="C3" i="6"/>
  <c r="C337" i="6"/>
  <c r="C392" i="6"/>
  <c r="C400" i="6"/>
  <c r="C2" i="6"/>
  <c r="C114" i="6"/>
  <c r="C284" i="6"/>
  <c r="C330" i="6"/>
  <c r="C10" i="6"/>
  <c r="C369" i="6"/>
  <c r="C374" i="6"/>
  <c r="C367" i="6"/>
  <c r="C356" i="6"/>
  <c r="C407" i="6"/>
  <c r="C30" i="6"/>
  <c r="C151" i="6"/>
  <c r="C402" i="6"/>
  <c r="C40" i="6"/>
  <c r="C45" i="6"/>
  <c r="C386" i="6"/>
  <c r="C11" i="6"/>
  <c r="C198" i="6"/>
  <c r="C253" i="6"/>
  <c r="C355" i="6"/>
  <c r="C27" i="6"/>
  <c r="C406" i="6"/>
  <c r="C388" i="6"/>
  <c r="C390" i="6"/>
  <c r="C393" i="6"/>
  <c r="C394" i="6"/>
  <c r="C396" i="6"/>
  <c r="C401" i="6"/>
  <c r="C273" i="6"/>
  <c r="C285" i="6"/>
  <c r="C398" i="6"/>
  <c r="C271" i="6"/>
  <c r="C328" i="6"/>
  <c r="C29" i="6"/>
  <c r="C399" i="6"/>
  <c r="C26" i="6"/>
  <c r="C77" i="6"/>
  <c r="C86" i="6"/>
  <c r="C44" i="6"/>
  <c r="C19" i="6"/>
  <c r="C152" i="6"/>
  <c r="C39" i="6"/>
  <c r="C17" i="6"/>
  <c r="C135" i="6"/>
  <c r="C282" i="6"/>
  <c r="C283" i="6"/>
  <c r="C24" i="6"/>
  <c r="C254" i="6"/>
  <c r="C300" i="6"/>
  <c r="C391" i="6"/>
  <c r="C61" i="6"/>
  <c r="C293" i="6"/>
  <c r="C16" i="6"/>
  <c r="C18" i="6"/>
  <c r="C249" i="6"/>
  <c r="C12" i="6"/>
  <c r="C364" i="6"/>
  <c r="C405" i="6"/>
  <c r="C258" i="6"/>
  <c r="C379" i="6"/>
  <c r="C228" i="6"/>
  <c r="C357" i="6"/>
  <c r="C80" i="6"/>
  <c r="C236" i="6"/>
  <c r="C225" i="6"/>
  <c r="C131" i="6"/>
  <c r="C15" i="6"/>
  <c r="C25" i="6"/>
  <c r="C43" i="6"/>
  <c r="C20" i="6"/>
  <c r="C319" i="6"/>
  <c r="C389" i="6"/>
  <c r="C257" i="6"/>
  <c r="C68" i="6"/>
  <c r="C264" i="6"/>
  <c r="C299" i="6"/>
  <c r="C308" i="6"/>
  <c r="C298" i="6"/>
  <c r="C326" i="6"/>
  <c r="C158" i="6"/>
  <c r="C159" i="6"/>
  <c r="C233" i="6"/>
  <c r="C274" i="6"/>
  <c r="C35" i="6"/>
  <c r="C231" i="6"/>
  <c r="C371" i="6"/>
  <c r="C320" i="6"/>
  <c r="C230" i="6"/>
  <c r="C37" i="6"/>
  <c r="C187" i="6"/>
  <c r="C190" i="6"/>
  <c r="C219" i="6"/>
  <c r="C191" i="6"/>
  <c r="C192" i="6"/>
  <c r="C234" i="6"/>
  <c r="C176" i="6"/>
  <c r="C66" i="6"/>
  <c r="C279" i="6"/>
  <c r="C211" i="6"/>
  <c r="C149" i="6"/>
  <c r="C97" i="6"/>
  <c r="C139" i="6"/>
  <c r="C287" i="6"/>
  <c r="C265" i="6"/>
  <c r="C235" i="6"/>
  <c r="C246" i="6"/>
  <c r="C244" i="6"/>
  <c r="C189" i="6"/>
  <c r="C99" i="6"/>
  <c r="C212" i="6"/>
  <c r="C64" i="6"/>
  <c r="C382" i="6"/>
  <c r="C343" i="6"/>
  <c r="C132" i="6"/>
  <c r="C263" i="6"/>
  <c r="C210" i="6"/>
  <c r="C102" i="6"/>
  <c r="C106" i="6"/>
  <c r="C163" i="6"/>
  <c r="C183" i="6"/>
  <c r="C261" i="6"/>
  <c r="C100" i="6"/>
  <c r="C256" i="6"/>
  <c r="C157" i="6"/>
  <c r="C88" i="6"/>
  <c r="C42" i="6"/>
  <c r="C41" i="6"/>
  <c r="C121" i="6"/>
  <c r="C57" i="6"/>
  <c r="C70" i="6"/>
  <c r="C302" i="6"/>
  <c r="C174" i="6"/>
  <c r="C110" i="6"/>
  <c r="C111" i="6"/>
  <c r="C81" i="6"/>
  <c r="C186" i="6"/>
  <c r="C74" i="6"/>
  <c r="C250" i="6"/>
  <c r="C380" i="6"/>
  <c r="C73" i="6"/>
  <c r="C14" i="6"/>
  <c r="C381" i="6"/>
  <c r="C38" i="6"/>
  <c r="C248" i="6"/>
  <c r="C160" i="6"/>
  <c r="C108" i="6"/>
  <c r="C109" i="6"/>
  <c r="C107" i="6"/>
  <c r="C161" i="6"/>
  <c r="C310" i="6"/>
  <c r="C321" i="6"/>
  <c r="C268" i="6"/>
  <c r="C112" i="6"/>
  <c r="C178" i="6"/>
  <c r="C227" i="6"/>
  <c r="C226" i="6"/>
  <c r="C277" i="6"/>
  <c r="C262" i="6"/>
  <c r="C76" i="6"/>
  <c r="C90" i="6"/>
  <c r="C247" i="6"/>
  <c r="C103" i="6"/>
  <c r="C95" i="6"/>
  <c r="C276" i="6"/>
  <c r="C243" i="6"/>
  <c r="C255" i="6"/>
  <c r="C148" i="6"/>
  <c r="C136" i="6"/>
  <c r="C150" i="6"/>
  <c r="C154" i="6"/>
  <c r="C101" i="6"/>
  <c r="C56" i="6"/>
  <c r="C89" i="6"/>
  <c r="C91" i="6"/>
  <c r="C221" i="6"/>
  <c r="C361" i="6"/>
  <c r="C130" i="6"/>
  <c r="C59" i="6"/>
  <c r="C65" i="6"/>
  <c r="C93" i="6"/>
  <c r="C259" i="6"/>
  <c r="C96" i="6"/>
  <c r="C71" i="6"/>
  <c r="C214" i="6"/>
  <c r="C146" i="6"/>
  <c r="C305" i="6"/>
  <c r="C325" i="6"/>
  <c r="C281" i="6"/>
  <c r="C137" i="6"/>
  <c r="C75" i="6"/>
  <c r="C92" i="6"/>
  <c r="C260" i="6"/>
  <c r="C147" i="6"/>
  <c r="C309" i="6"/>
  <c r="C360" i="6"/>
  <c r="C267" i="6"/>
  <c r="C170" i="6"/>
  <c r="C201" i="6"/>
  <c r="C69" i="6"/>
  <c r="C124" i="6"/>
  <c r="C143" i="6"/>
  <c r="C94" i="6"/>
  <c r="C206" i="6"/>
  <c r="C123" i="6"/>
  <c r="C368" i="6"/>
  <c r="C318" i="6"/>
  <c r="C252" i="6"/>
  <c r="C241" i="6"/>
  <c r="C205" i="6"/>
  <c r="C270" i="6"/>
  <c r="C31" i="6"/>
  <c r="C138" i="6"/>
  <c r="C295" i="6"/>
  <c r="C171" i="6"/>
  <c r="C105" i="6"/>
  <c r="C203" i="6"/>
  <c r="C301" i="6"/>
  <c r="C98" i="6"/>
  <c r="C168" i="6"/>
  <c r="C167" i="6"/>
  <c r="C376" i="6"/>
  <c r="C53" i="6"/>
  <c r="C127" i="6"/>
  <c r="C84" i="6"/>
  <c r="C372" i="6"/>
  <c r="C60" i="6"/>
  <c r="C275" i="6"/>
  <c r="C245" i="6"/>
  <c r="C297" i="6"/>
  <c r="C304" i="6"/>
  <c r="C317" i="6"/>
  <c r="C79" i="6"/>
  <c r="C289" i="6"/>
  <c r="C220" i="6"/>
  <c r="C126" i="6"/>
  <c r="C133" i="6"/>
  <c r="C125" i="6"/>
  <c r="C33" i="6"/>
  <c r="C128" i="6"/>
  <c r="C269" i="6"/>
  <c r="C272" i="6"/>
  <c r="C238" i="6"/>
  <c r="C202" i="6"/>
  <c r="C169" i="6"/>
  <c r="C162" i="6"/>
  <c r="C323" i="6"/>
  <c r="C366" i="6"/>
  <c r="C362" i="6"/>
  <c r="C365" i="6"/>
  <c r="C140" i="6"/>
  <c r="C239" i="6"/>
  <c r="C67" i="6"/>
  <c r="C85" i="6"/>
  <c r="C197" i="6"/>
  <c r="C204" i="6"/>
  <c r="C113" i="6"/>
  <c r="C172" i="6"/>
  <c r="C296" i="6"/>
  <c r="C58" i="6"/>
  <c r="C251" i="6"/>
  <c r="C288" i="6"/>
  <c r="C144" i="6"/>
  <c r="C232" i="6"/>
  <c r="C87" i="6"/>
  <c r="C333" i="6"/>
  <c r="C181" i="6"/>
  <c r="C242" i="6"/>
  <c r="C175" i="6"/>
  <c r="C104" i="6"/>
  <c r="C237" i="6"/>
  <c r="C47" i="6"/>
  <c r="C156" i="6"/>
  <c r="C63" i="6"/>
  <c r="C36" i="6"/>
  <c r="C327" i="6"/>
  <c r="C165" i="6"/>
  <c r="C82" i="6"/>
  <c r="C291" i="6"/>
  <c r="C32" i="6"/>
  <c r="C119" i="6"/>
  <c r="C180" i="6"/>
  <c r="C83" i="6"/>
  <c r="C213" i="6"/>
  <c r="C351" i="6"/>
  <c r="C290" i="6"/>
  <c r="C224" i="6"/>
  <c r="C72" i="6"/>
  <c r="C195" i="6"/>
  <c r="C182" i="6"/>
  <c r="C209" i="6"/>
  <c r="C354" i="6"/>
  <c r="C62" i="6"/>
  <c r="C200" i="6"/>
  <c r="C145" i="6"/>
  <c r="C375" i="6"/>
  <c r="C155" i="6"/>
  <c r="C352" i="6"/>
  <c r="C331" i="6"/>
  <c r="C23" i="6"/>
  <c r="C199" i="6"/>
  <c r="C292" i="6"/>
  <c r="C21" i="6"/>
  <c r="C240" i="6"/>
  <c r="C184" i="6"/>
  <c r="C122" i="6"/>
  <c r="C164" i="6"/>
  <c r="C378" i="6"/>
  <c r="C8" i="6"/>
  <c r="C229" i="6"/>
  <c r="C51" i="6"/>
  <c r="C218" i="6"/>
  <c r="C22" i="6"/>
  <c r="C345" i="6"/>
  <c r="C216" i="6"/>
  <c r="C341" i="6"/>
  <c r="C303" i="6"/>
  <c r="C179" i="6"/>
  <c r="C194" i="6"/>
  <c r="C142" i="6"/>
  <c r="C118" i="6"/>
  <c r="C349" i="6"/>
  <c r="C217" i="6"/>
  <c r="C28" i="6"/>
  <c r="C207" i="6"/>
  <c r="C54" i="6"/>
  <c r="C55" i="6"/>
  <c r="C48" i="6"/>
  <c r="C306" i="6"/>
  <c r="C307" i="6"/>
  <c r="C185" i="6"/>
  <c r="C193" i="6"/>
  <c r="C329" i="6"/>
  <c r="C350" i="6"/>
  <c r="C188" i="6"/>
  <c r="C9" i="6"/>
  <c r="C52" i="6"/>
  <c r="C78" i="6"/>
  <c r="C342" i="6"/>
  <c r="C266" i="6"/>
  <c r="C120" i="6"/>
  <c r="C370" i="6"/>
  <c r="C50" i="6"/>
  <c r="C49" i="6"/>
  <c r="C141" i="6"/>
  <c r="C359" i="6"/>
  <c r="C196" i="6"/>
  <c r="C13" i="6"/>
  <c r="C373" i="6"/>
  <c r="C358" i="6"/>
  <c r="C312" i="6"/>
  <c r="C377" i="6"/>
  <c r="C46" i="6"/>
  <c r="C313" i="6"/>
  <c r="C314" i="6"/>
  <c r="C339" i="6"/>
  <c r="C340" i="6"/>
  <c r="C208" i="6"/>
  <c r="C215" i="6"/>
  <c r="C336" i="6"/>
  <c r="C353" i="6"/>
  <c r="C294" i="6"/>
  <c r="C335" i="6"/>
  <c r="C316" i="6"/>
  <c r="C334" i="6"/>
  <c r="C315" i="6"/>
  <c r="C363" i="6"/>
  <c r="C338" i="6"/>
  <c r="C346" i="6"/>
  <c r="C344" i="6"/>
  <c r="C347" i="6"/>
  <c r="C348" i="6"/>
  <c r="C166" i="6"/>
  <c r="C278" i="6"/>
  <c r="C324" i="6"/>
  <c r="C223" i="6"/>
  <c r="B324" i="6"/>
  <c r="B278" i="6"/>
  <c r="B166" i="6"/>
  <c r="B348" i="6"/>
  <c r="B347" i="6"/>
  <c r="B344" i="6"/>
  <c r="B346" i="6"/>
  <c r="B338" i="6"/>
  <c r="B363" i="6"/>
  <c r="B315" i="6"/>
  <c r="B334" i="6"/>
  <c r="B316" i="6"/>
  <c r="B335" i="6"/>
  <c r="B294" i="6"/>
  <c r="B353" i="6"/>
  <c r="B336" i="6"/>
  <c r="B215" i="6"/>
  <c r="B208" i="6"/>
  <c r="B340" i="6"/>
  <c r="B339" i="6"/>
  <c r="B314" i="6"/>
  <c r="B313" i="6"/>
  <c r="B46" i="6"/>
  <c r="B377" i="6"/>
  <c r="B312" i="6"/>
  <c r="B358" i="6"/>
  <c r="B373" i="6"/>
  <c r="B13" i="6"/>
  <c r="B196" i="6"/>
  <c r="B359" i="6"/>
  <c r="B141" i="6"/>
  <c r="B49" i="6"/>
  <c r="B50" i="6"/>
  <c r="B370" i="6"/>
  <c r="B120" i="6"/>
  <c r="B266" i="6"/>
  <c r="B342" i="6"/>
  <c r="B78" i="6"/>
  <c r="B52" i="6"/>
  <c r="B9" i="6"/>
  <c r="B188" i="6"/>
  <c r="B350" i="6"/>
  <c r="B329" i="6"/>
  <c r="B193" i="6"/>
  <c r="B307" i="6"/>
  <c r="B306" i="6"/>
  <c r="B48" i="6"/>
  <c r="B55" i="6"/>
  <c r="B54" i="6"/>
  <c r="B207" i="6"/>
  <c r="B28" i="6"/>
  <c r="B217" i="6"/>
  <c r="B349" i="6"/>
  <c r="B118" i="6"/>
  <c r="B142" i="6"/>
  <c r="B194" i="6"/>
  <c r="B179" i="6"/>
  <c r="B303" i="6"/>
  <c r="B341" i="6"/>
  <c r="B216" i="6"/>
  <c r="B345" i="6"/>
  <c r="B22" i="6"/>
  <c r="B218" i="6"/>
  <c r="B51" i="6"/>
  <c r="B229" i="6"/>
  <c r="B8" i="6"/>
  <c r="B378" i="6"/>
  <c r="B164" i="6"/>
  <c r="B122" i="6"/>
  <c r="B184" i="6"/>
  <c r="B240" i="6"/>
  <c r="B21" i="6"/>
  <c r="B292" i="6"/>
  <c r="B199" i="6"/>
  <c r="B23" i="6"/>
  <c r="B331" i="6"/>
  <c r="B352" i="6"/>
  <c r="B155" i="6"/>
  <c r="B375" i="6"/>
  <c r="B145" i="6"/>
  <c r="B200" i="6"/>
  <c r="B62" i="6"/>
  <c r="B354" i="6"/>
  <c r="B209" i="6"/>
  <c r="B182" i="6"/>
  <c r="B195" i="6"/>
  <c r="B72" i="6"/>
  <c r="B224" i="6"/>
  <c r="B290" i="6"/>
  <c r="B351" i="6"/>
  <c r="B213" i="6"/>
  <c r="B83" i="6"/>
  <c r="B180" i="6"/>
  <c r="B119" i="6"/>
  <c r="B32" i="6"/>
  <c r="B291" i="6"/>
  <c r="B82" i="6"/>
  <c r="B165" i="6"/>
  <c r="B327" i="6"/>
  <c r="B36" i="6"/>
  <c r="B63" i="6"/>
  <c r="B156" i="6"/>
  <c r="B47" i="6"/>
  <c r="B237" i="6"/>
  <c r="B104" i="6"/>
  <c r="B175" i="6"/>
  <c r="B242" i="6"/>
  <c r="B181" i="6"/>
  <c r="B333" i="6"/>
  <c r="B87" i="6"/>
  <c r="B232" i="6"/>
  <c r="B144" i="6"/>
  <c r="B288" i="6"/>
  <c r="B251" i="6"/>
  <c r="B58" i="6"/>
  <c r="B296" i="6"/>
  <c r="B172" i="6"/>
  <c r="B113" i="6"/>
  <c r="B204" i="6"/>
  <c r="B197" i="6"/>
  <c r="B85" i="6"/>
  <c r="B67" i="6"/>
  <c r="B239" i="6"/>
  <c r="B140" i="6"/>
  <c r="B365" i="6"/>
  <c r="B362" i="6"/>
  <c r="B366" i="6"/>
  <c r="B323" i="6"/>
  <c r="B162" i="6"/>
  <c r="B169" i="6"/>
  <c r="B202" i="6"/>
  <c r="B238" i="6"/>
  <c r="B272" i="6"/>
  <c r="B269" i="6"/>
  <c r="B128" i="6"/>
  <c r="B33" i="6"/>
  <c r="B125" i="6"/>
  <c r="B133" i="6"/>
  <c r="B126" i="6"/>
  <c r="B220" i="6"/>
  <c r="B289" i="6"/>
  <c r="B79" i="6"/>
  <c r="B317" i="6"/>
  <c r="B304" i="6"/>
  <c r="B297" i="6"/>
  <c r="B245" i="6"/>
  <c r="B275" i="6"/>
  <c r="B60" i="6"/>
  <c r="B372" i="6"/>
  <c r="B84" i="6"/>
  <c r="B127" i="6"/>
  <c r="B53" i="6"/>
  <c r="B376" i="6"/>
  <c r="B167" i="6"/>
  <c r="B168" i="6"/>
  <c r="B98" i="6"/>
  <c r="B301" i="6"/>
  <c r="B203" i="6"/>
  <c r="B105" i="6"/>
  <c r="B171" i="6"/>
  <c r="B295" i="6"/>
  <c r="B138" i="6"/>
  <c r="B31" i="6"/>
  <c r="B270" i="6"/>
  <c r="B205" i="6"/>
  <c r="B241" i="6"/>
  <c r="B252" i="6"/>
  <c r="B318" i="6"/>
  <c r="B368" i="6"/>
  <c r="B123" i="6"/>
  <c r="B206" i="6"/>
  <c r="B94" i="6"/>
  <c r="B143" i="6"/>
  <c r="B124" i="6"/>
  <c r="B69" i="6"/>
  <c r="B201" i="6"/>
  <c r="B170" i="6"/>
  <c r="B267" i="6"/>
  <c r="B360" i="6"/>
  <c r="B309" i="6"/>
  <c r="B147" i="6"/>
  <c r="B260" i="6"/>
  <c r="B92" i="6"/>
  <c r="B75" i="6"/>
  <c r="B137" i="6"/>
  <c r="B281" i="6"/>
  <c r="B325" i="6"/>
  <c r="B305" i="6"/>
  <c r="B146" i="6"/>
  <c r="B214" i="6"/>
  <c r="B71" i="6"/>
  <c r="B96" i="6"/>
  <c r="B259" i="6"/>
  <c r="B93" i="6"/>
  <c r="B65" i="6"/>
  <c r="B59" i="6"/>
  <c r="B130" i="6"/>
  <c r="B361" i="6"/>
  <c r="B221" i="6"/>
  <c r="B91" i="6"/>
  <c r="B89" i="6"/>
  <c r="B56" i="6"/>
  <c r="B101" i="6"/>
  <c r="B154" i="6"/>
  <c r="B150" i="6"/>
  <c r="B136" i="6"/>
  <c r="B148" i="6"/>
  <c r="B255" i="6"/>
  <c r="B243" i="6"/>
  <c r="B276" i="6"/>
  <c r="B95" i="6"/>
  <c r="B103" i="6"/>
  <c r="B247" i="6"/>
  <c r="B90" i="6"/>
  <c r="B76" i="6"/>
  <c r="B262" i="6"/>
  <c r="B277" i="6"/>
  <c r="B226" i="6"/>
  <c r="B227" i="6"/>
  <c r="B178" i="6"/>
  <c r="B112" i="6"/>
  <c r="B321" i="6"/>
  <c r="B310" i="6"/>
  <c r="B161" i="6"/>
  <c r="B107" i="6"/>
  <c r="B109" i="6"/>
  <c r="B108" i="6"/>
  <c r="B160" i="6"/>
  <c r="B248" i="6"/>
  <c r="B38" i="6"/>
  <c r="B381" i="6"/>
  <c r="B14" i="6"/>
  <c r="B73" i="6"/>
  <c r="B380" i="6"/>
  <c r="B250" i="6"/>
  <c r="B74" i="6"/>
  <c r="B81" i="6"/>
  <c r="B111" i="6"/>
  <c r="B110" i="6"/>
  <c r="B174" i="6"/>
  <c r="B302" i="6"/>
  <c r="B70" i="6"/>
  <c r="B57" i="6"/>
  <c r="B121" i="6"/>
  <c r="B41" i="6"/>
  <c r="B42" i="6"/>
  <c r="B88" i="6"/>
  <c r="B157" i="6"/>
  <c r="B256" i="6"/>
  <c r="B100" i="6"/>
  <c r="B261" i="6"/>
  <c r="B183" i="6"/>
  <c r="B163" i="6"/>
  <c r="B106" i="6"/>
  <c r="B102" i="6"/>
  <c r="B210" i="6"/>
  <c r="B263" i="6"/>
  <c r="B132" i="6"/>
  <c r="B343" i="6"/>
  <c r="B382" i="6"/>
  <c r="B64" i="6"/>
  <c r="B212" i="6"/>
  <c r="B99" i="6"/>
  <c r="B189" i="6"/>
  <c r="B244" i="6"/>
  <c r="B246" i="6"/>
  <c r="B235" i="6"/>
  <c r="B265" i="6"/>
  <c r="B287" i="6"/>
  <c r="B139" i="6"/>
  <c r="B97" i="6"/>
  <c r="B149" i="6"/>
  <c r="B211" i="6"/>
  <c r="B279" i="6"/>
  <c r="B176" i="6"/>
  <c r="B234" i="6"/>
  <c r="B192" i="6"/>
  <c r="B191" i="6"/>
  <c r="B219" i="6"/>
  <c r="B190" i="6"/>
  <c r="B187" i="6"/>
  <c r="B37" i="6"/>
  <c r="B230" i="6"/>
  <c r="B320" i="6"/>
  <c r="B371" i="6"/>
  <c r="B231" i="6"/>
  <c r="B35" i="6"/>
  <c r="B274" i="6"/>
  <c r="B233" i="6"/>
  <c r="B159" i="6"/>
  <c r="B158" i="6"/>
  <c r="B326" i="6"/>
  <c r="B298" i="6"/>
  <c r="B308" i="6"/>
  <c r="B299" i="6"/>
  <c r="B264" i="6"/>
  <c r="B68" i="6"/>
  <c r="B257" i="6"/>
  <c r="B389" i="6"/>
  <c r="B319" i="6"/>
  <c r="B20" i="6"/>
  <c r="B43" i="6"/>
  <c r="B25" i="6"/>
  <c r="B15" i="6"/>
  <c r="B131" i="6"/>
  <c r="B225" i="6"/>
  <c r="B236" i="6"/>
  <c r="B80" i="6"/>
  <c r="B357" i="6"/>
  <c r="B228" i="6"/>
  <c r="B379" i="6"/>
  <c r="B258" i="6"/>
  <c r="B405" i="6"/>
  <c r="B364" i="6"/>
  <c r="B12" i="6"/>
  <c r="B249" i="6"/>
  <c r="B18" i="6"/>
  <c r="B16" i="6"/>
  <c r="B293" i="6"/>
  <c r="B61" i="6"/>
  <c r="B391" i="6"/>
  <c r="B300" i="6"/>
  <c r="B254" i="6"/>
  <c r="B24" i="6"/>
  <c r="B283" i="6"/>
  <c r="B282" i="6"/>
  <c r="B135" i="6"/>
  <c r="B17" i="6"/>
  <c r="B39" i="6"/>
  <c r="B152" i="6"/>
  <c r="B19" i="6"/>
  <c r="B44" i="6"/>
  <c r="B86" i="6"/>
  <c r="B77" i="6"/>
  <c r="B26" i="6"/>
  <c r="B399" i="6"/>
  <c r="B29" i="6"/>
  <c r="B328" i="6"/>
  <c r="B271" i="6"/>
  <c r="B398" i="6"/>
  <c r="B285" i="6"/>
  <c r="B273" i="6"/>
  <c r="B401" i="6"/>
  <c r="B396" i="6"/>
  <c r="B394" i="6"/>
  <c r="B393" i="6"/>
  <c r="B390" i="6"/>
  <c r="B388" i="6"/>
  <c r="B406" i="6"/>
  <c r="B27" i="6"/>
  <c r="B355" i="6"/>
  <c r="B253" i="6"/>
  <c r="B198" i="6"/>
  <c r="B11" i="6"/>
  <c r="B386" i="6"/>
  <c r="B45" i="6"/>
  <c r="B40" i="6"/>
  <c r="B402" i="6"/>
  <c r="B151" i="6"/>
  <c r="B30" i="6"/>
  <c r="B407" i="6"/>
  <c r="B356" i="6"/>
  <c r="B367" i="6"/>
  <c r="B374" i="6"/>
  <c r="B369" i="6"/>
  <c r="B10" i="6"/>
  <c r="B330" i="6"/>
  <c r="B284" i="6"/>
  <c r="B114" i="6"/>
  <c r="B2" i="6"/>
  <c r="B400" i="6"/>
  <c r="B392" i="6"/>
  <c r="B337" i="6"/>
  <c r="B3" i="6"/>
  <c r="B4" i="6"/>
  <c r="B5" i="6"/>
  <c r="B129" i="6"/>
  <c r="B332" i="6"/>
  <c r="B222" i="6"/>
  <c r="B177" i="6"/>
  <c r="B280" i="6"/>
  <c r="B383" i="6"/>
  <c r="B173" i="6"/>
  <c r="B403" i="6"/>
  <c r="B384" i="6"/>
  <c r="B7" i="6"/>
  <c r="B34" i="6"/>
  <c r="B6" i="6"/>
  <c r="B286" i="6"/>
  <c r="B117" i="6"/>
  <c r="B134" i="6"/>
  <c r="B397" i="6"/>
  <c r="B395" i="6"/>
  <c r="B387" i="6"/>
  <c r="B322" i="6"/>
  <c r="B385" i="6"/>
  <c r="B115" i="6"/>
  <c r="B116" i="6"/>
  <c r="B153" i="6"/>
  <c r="B404" i="6"/>
  <c r="B223" i="6"/>
  <c r="A3" i="8"/>
  <c r="F262" i="5"/>
  <c r="E262" i="5"/>
  <c r="F259" i="5"/>
  <c r="E259" i="5"/>
  <c r="AD3" i="8"/>
  <c r="H48" i="5"/>
  <c r="H133" i="5"/>
  <c r="H272" i="5"/>
  <c r="H39" i="5"/>
  <c r="H26" i="5"/>
  <c r="H368" i="5"/>
  <c r="H262" i="5"/>
  <c r="H11" i="5"/>
  <c r="H259" i="5"/>
  <c r="H12" i="5"/>
  <c r="AE3" i="8"/>
  <c r="AF3" i="8"/>
  <c r="N48" i="5"/>
  <c r="N272" i="5"/>
  <c r="N39" i="5"/>
  <c r="N26" i="5"/>
  <c r="AG3" i="8"/>
  <c r="AH3" i="8"/>
  <c r="T262" i="5"/>
  <c r="T259" i="5"/>
  <c r="AI3" i="8"/>
  <c r="AJ3" i="8"/>
  <c r="AK3" i="8"/>
  <c r="AL3" i="8"/>
  <c r="A4" i="8"/>
  <c r="F241" i="5"/>
  <c r="E241" i="5"/>
  <c r="F261" i="5"/>
  <c r="E261" i="5"/>
  <c r="AD4" i="8"/>
  <c r="H59" i="5"/>
  <c r="H124" i="5"/>
  <c r="H241" i="5"/>
  <c r="H379" i="5"/>
  <c r="H20" i="5"/>
  <c r="H22" i="5"/>
  <c r="H261" i="5"/>
  <c r="AE4" i="8"/>
  <c r="AF4" i="8"/>
  <c r="N124" i="5"/>
  <c r="N379" i="5"/>
  <c r="AG4" i="8"/>
  <c r="AH4" i="8"/>
  <c r="T241" i="5"/>
  <c r="T261" i="5"/>
  <c r="AI4" i="8"/>
  <c r="AJ4" i="8"/>
  <c r="AK4" i="8"/>
  <c r="AL4" i="8"/>
  <c r="A5" i="8"/>
  <c r="F252" i="5"/>
  <c r="E252" i="5"/>
  <c r="F251" i="5"/>
  <c r="E251" i="5"/>
  <c r="AD5" i="8"/>
  <c r="H62" i="5"/>
  <c r="H177" i="5"/>
  <c r="H45" i="5"/>
  <c r="H10" i="5"/>
  <c r="H252" i="5"/>
  <c r="H25" i="5"/>
  <c r="H251" i="5"/>
  <c r="H29" i="5"/>
  <c r="AE5" i="8"/>
  <c r="AF5" i="8"/>
  <c r="N62" i="5"/>
  <c r="N45" i="5"/>
  <c r="N25" i="5"/>
  <c r="N29" i="5"/>
  <c r="AG5" i="8"/>
  <c r="AH5" i="8"/>
  <c r="T252" i="5"/>
  <c r="T251" i="5"/>
  <c r="AI5" i="8"/>
  <c r="AJ5" i="8"/>
  <c r="AK5" i="8"/>
  <c r="AL5" i="8"/>
  <c r="A6" i="8"/>
  <c r="AD6" i="8"/>
  <c r="H162" i="5"/>
  <c r="H58" i="5"/>
  <c r="H24" i="5"/>
  <c r="H122" i="5"/>
  <c r="H46" i="5"/>
  <c r="AE6" i="8"/>
  <c r="AF6" i="8"/>
  <c r="N78" i="5"/>
  <c r="N162" i="5"/>
  <c r="N118" i="5"/>
  <c r="N122" i="5"/>
  <c r="N46" i="5"/>
  <c r="AG6" i="8"/>
  <c r="AH6" i="8"/>
  <c r="AI6" i="8"/>
  <c r="AJ6" i="8"/>
  <c r="AK6" i="8"/>
  <c r="AL6" i="8"/>
  <c r="A7" i="8"/>
  <c r="F257" i="5"/>
  <c r="E257" i="5"/>
  <c r="AD7" i="8"/>
  <c r="H92" i="5"/>
  <c r="H60" i="5"/>
  <c r="H56" i="5"/>
  <c r="H257" i="5"/>
  <c r="H9" i="5"/>
  <c r="H27" i="5"/>
  <c r="H171" i="5"/>
  <c r="H47" i="5"/>
  <c r="AE7" i="8"/>
  <c r="AF7" i="8"/>
  <c r="N79" i="5"/>
  <c r="N27" i="5"/>
  <c r="N171" i="5"/>
  <c r="N47" i="5"/>
  <c r="AG7" i="8"/>
  <c r="AH7" i="8"/>
  <c r="T257" i="5"/>
  <c r="AI7" i="8"/>
  <c r="AJ7" i="8"/>
  <c r="AK7" i="8"/>
  <c r="AL7" i="8"/>
  <c r="A8" i="8"/>
  <c r="AD8" i="8"/>
  <c r="H84" i="5"/>
  <c r="H61" i="5"/>
  <c r="H266" i="5"/>
  <c r="H111" i="5"/>
  <c r="AE8" i="8"/>
  <c r="AF8" i="8"/>
  <c r="N84" i="5"/>
  <c r="N266" i="5"/>
  <c r="N111" i="5"/>
  <c r="AG8" i="8"/>
  <c r="AH8" i="8"/>
  <c r="AI8" i="8"/>
  <c r="AJ8" i="8"/>
  <c r="AK8" i="8"/>
  <c r="AL8" i="8"/>
  <c r="A9" i="8"/>
  <c r="F254" i="5"/>
  <c r="E254" i="5"/>
  <c r="F255" i="5"/>
  <c r="E255" i="5"/>
  <c r="AD9" i="8"/>
  <c r="H40" i="5"/>
  <c r="H85" i="5"/>
  <c r="H277" i="5"/>
  <c r="H254" i="5"/>
  <c r="H255" i="5"/>
  <c r="H23" i="5"/>
  <c r="H121" i="5"/>
  <c r="AE9" i="8"/>
  <c r="AF9" i="8"/>
  <c r="N130" i="5"/>
  <c r="N40" i="5"/>
  <c r="N85" i="5"/>
  <c r="N121" i="5"/>
  <c r="AG9" i="8"/>
  <c r="AH9" i="8"/>
  <c r="T254" i="5"/>
  <c r="T255" i="5"/>
  <c r="AI9" i="8"/>
  <c r="AJ9" i="8"/>
  <c r="AK9" i="8"/>
  <c r="AL9" i="8"/>
  <c r="A10" i="8"/>
  <c r="F256" i="5"/>
  <c r="E256" i="5"/>
  <c r="AD10" i="8"/>
  <c r="H65" i="5"/>
  <c r="H21" i="5"/>
  <c r="H285" i="5"/>
  <c r="H256" i="5"/>
  <c r="H112" i="5"/>
  <c r="AE10" i="8"/>
  <c r="AF10" i="8"/>
  <c r="N131" i="5"/>
  <c r="N65" i="5"/>
  <c r="N285" i="5"/>
  <c r="N112" i="5"/>
  <c r="AG10" i="8"/>
  <c r="AH10" i="8"/>
  <c r="T256" i="5"/>
  <c r="AI10" i="8"/>
  <c r="AJ10" i="8"/>
  <c r="AK10" i="8"/>
  <c r="AL10" i="8"/>
  <c r="A11" i="8"/>
  <c r="F260" i="5"/>
  <c r="E260" i="5"/>
  <c r="AD11" i="8"/>
  <c r="H276" i="5"/>
  <c r="H260" i="5"/>
  <c r="H113" i="5"/>
  <c r="AE11" i="8"/>
  <c r="AF11" i="8"/>
  <c r="N132" i="5"/>
  <c r="N276" i="5"/>
  <c r="N113" i="5"/>
  <c r="N159" i="5"/>
  <c r="AG11" i="8"/>
  <c r="AH11" i="8"/>
  <c r="T260" i="5"/>
  <c r="AI11" i="8"/>
  <c r="AJ11" i="8"/>
  <c r="AK11" i="8"/>
  <c r="AL11" i="8"/>
  <c r="A12" i="8"/>
  <c r="AD12" i="8"/>
  <c r="H394" i="5"/>
  <c r="H298" i="5"/>
  <c r="H284" i="5"/>
  <c r="H81" i="5"/>
  <c r="H136" i="5"/>
  <c r="H37" i="5"/>
  <c r="H97" i="5"/>
  <c r="AE12" i="8"/>
  <c r="AF12" i="8"/>
  <c r="N284" i="5"/>
  <c r="N81" i="5"/>
  <c r="N97" i="5"/>
  <c r="AG12" i="8"/>
  <c r="AH12" i="8"/>
  <c r="AI12" i="8"/>
  <c r="AJ12" i="8"/>
  <c r="AK12" i="8"/>
  <c r="AL12" i="8"/>
  <c r="AM12" i="8"/>
  <c r="AN12" i="8"/>
  <c r="AO12" i="8"/>
  <c r="A13" i="8"/>
  <c r="AD13" i="8"/>
  <c r="H54" i="5"/>
  <c r="H326" i="5"/>
  <c r="H86" i="5"/>
  <c r="H94" i="5"/>
  <c r="AE13" i="8"/>
  <c r="AF13" i="8"/>
  <c r="N158" i="5"/>
  <c r="N86" i="5"/>
  <c r="N106" i="5"/>
  <c r="N94" i="5"/>
  <c r="N157" i="5"/>
  <c r="AG13" i="8"/>
  <c r="AH13" i="8"/>
  <c r="AI13" i="8"/>
  <c r="AJ13" i="8"/>
  <c r="AK13" i="8"/>
  <c r="AL13" i="8"/>
  <c r="AM13" i="8"/>
  <c r="AN13" i="8"/>
  <c r="AO13" i="8"/>
  <c r="A14" i="8"/>
  <c r="AD14" i="8"/>
  <c r="H208" i="5"/>
  <c r="H170" i="5"/>
  <c r="AE14" i="8"/>
  <c r="AF14" i="8"/>
  <c r="N208" i="5"/>
  <c r="N160" i="5"/>
  <c r="N105" i="5"/>
  <c r="N170" i="5"/>
  <c r="AG14" i="8"/>
  <c r="AH14" i="8"/>
  <c r="AI14" i="8"/>
  <c r="AJ14" i="8"/>
  <c r="AK14" i="8"/>
  <c r="AL14" i="8"/>
  <c r="A15" i="8"/>
  <c r="F249" i="5"/>
  <c r="E249" i="5"/>
  <c r="AD15" i="8"/>
  <c r="H202" i="5"/>
  <c r="H197" i="5"/>
  <c r="H168" i="5"/>
  <c r="H249" i="5"/>
  <c r="H178" i="5"/>
  <c r="AE15" i="8"/>
  <c r="AF15" i="8"/>
  <c r="N168" i="5"/>
  <c r="AG15" i="8"/>
  <c r="AH15" i="8"/>
  <c r="T249" i="5"/>
  <c r="AI15" i="8"/>
  <c r="AJ15" i="8"/>
  <c r="AK15" i="8"/>
  <c r="AL15" i="8"/>
  <c r="A16" i="8"/>
  <c r="AD16" i="8"/>
  <c r="H69" i="5"/>
  <c r="H57" i="5"/>
  <c r="H98" i="5"/>
  <c r="AE16" i="8"/>
  <c r="AF16" i="8"/>
  <c r="N99" i="5"/>
  <c r="N98" i="5"/>
  <c r="AG16" i="8"/>
  <c r="AH16" i="8"/>
  <c r="AI16" i="8"/>
  <c r="AJ16" i="8"/>
  <c r="AK16" i="8"/>
  <c r="AL16" i="8"/>
  <c r="A17" i="8"/>
  <c r="AD17" i="8"/>
  <c r="H67" i="5"/>
  <c r="H205" i="5"/>
  <c r="H201" i="5"/>
  <c r="H80" i="5"/>
  <c r="H238" i="5"/>
  <c r="H30" i="5"/>
  <c r="H188" i="5"/>
  <c r="AE17" i="8"/>
  <c r="AF17" i="8"/>
  <c r="N67" i="5"/>
  <c r="N80" i="5"/>
  <c r="N238" i="5"/>
  <c r="N30" i="5"/>
  <c r="AG17" i="8"/>
  <c r="AH17" i="8"/>
  <c r="AI17" i="8"/>
  <c r="AJ17" i="8"/>
  <c r="AK17" i="8"/>
  <c r="AL17" i="8"/>
  <c r="AM17" i="8"/>
  <c r="AN17" i="8"/>
  <c r="AO17" i="8"/>
  <c r="A18" i="8"/>
  <c r="AD18" i="8"/>
  <c r="H386" i="5"/>
  <c r="H235" i="5"/>
  <c r="AE18" i="8"/>
  <c r="AF18" i="8"/>
  <c r="N386" i="5"/>
  <c r="N77" i="5"/>
  <c r="N235" i="5"/>
  <c r="AG18" i="8"/>
  <c r="AH18" i="8"/>
  <c r="AI18" i="8"/>
  <c r="AJ18" i="8"/>
  <c r="AK18" i="8"/>
  <c r="AL18" i="8"/>
  <c r="AM18" i="8"/>
  <c r="AN18" i="8"/>
  <c r="AO18" i="8"/>
  <c r="A19" i="8"/>
  <c r="AD19" i="8"/>
  <c r="H194" i="5"/>
  <c r="H44" i="5"/>
  <c r="H95" i="5"/>
  <c r="H191" i="5"/>
  <c r="H193" i="5"/>
  <c r="AE19" i="8"/>
  <c r="AF19" i="8"/>
  <c r="N194" i="5"/>
  <c r="N44" i="5"/>
  <c r="N95" i="5"/>
  <c r="N191" i="5"/>
  <c r="N193" i="5"/>
  <c r="AG19" i="8"/>
  <c r="AH19" i="8"/>
  <c r="AI19" i="8"/>
  <c r="AJ19" i="8"/>
  <c r="AK19" i="8"/>
  <c r="AL19" i="8"/>
  <c r="AM19" i="8"/>
  <c r="AN19" i="8"/>
  <c r="AO19" i="8"/>
  <c r="A20" i="8"/>
  <c r="AD20" i="8"/>
  <c r="H195" i="5"/>
  <c r="H172" i="5"/>
  <c r="H234" i="5"/>
  <c r="H192" i="5"/>
  <c r="AE20" i="8"/>
  <c r="AF20" i="8"/>
  <c r="N195" i="5"/>
  <c r="N172" i="5"/>
  <c r="N234" i="5"/>
  <c r="N192" i="5"/>
  <c r="AG20" i="8"/>
  <c r="AH20" i="8"/>
  <c r="AI20" i="8"/>
  <c r="AJ20" i="8"/>
  <c r="AK20" i="8"/>
  <c r="AL20" i="8"/>
  <c r="AM20" i="8"/>
  <c r="AN20" i="8"/>
  <c r="AO20" i="8"/>
  <c r="A21" i="8"/>
  <c r="AD21" i="8"/>
  <c r="H381" i="5"/>
  <c r="H236" i="5"/>
  <c r="H232" i="5"/>
  <c r="H203" i="5"/>
  <c r="AE21" i="8"/>
  <c r="AF21" i="8"/>
  <c r="N381" i="5"/>
  <c r="N236" i="5"/>
  <c r="AG21" i="8"/>
  <c r="AH21" i="8"/>
  <c r="AI21" i="8"/>
  <c r="AJ21" i="8"/>
  <c r="AK21" i="8"/>
  <c r="AL21" i="8"/>
  <c r="AM21" i="8"/>
  <c r="AN21" i="8"/>
  <c r="AO21" i="8"/>
  <c r="A22" i="8"/>
  <c r="AD22" i="8"/>
  <c r="H31" i="5"/>
  <c r="H17" i="5"/>
  <c r="H278" i="5"/>
  <c r="H233" i="5"/>
  <c r="H231" i="5"/>
  <c r="AE22" i="8"/>
  <c r="AF22" i="8"/>
  <c r="N31" i="5"/>
  <c r="N212" i="5"/>
  <c r="AG22" i="8"/>
  <c r="AH22" i="8"/>
  <c r="AI22" i="8"/>
  <c r="AJ22" i="8"/>
  <c r="AK22" i="8"/>
  <c r="AL22" i="8"/>
  <c r="AM22" i="8"/>
  <c r="AN22" i="8"/>
  <c r="AO22" i="8"/>
  <c r="A23" i="8"/>
  <c r="AD23" i="8"/>
  <c r="H196" i="5"/>
  <c r="H286" i="5"/>
  <c r="H273" i="5"/>
  <c r="H283" i="5"/>
  <c r="H267" i="5"/>
  <c r="AE23" i="8"/>
  <c r="AF23" i="8"/>
  <c r="N196" i="5"/>
  <c r="N286" i="5"/>
  <c r="N273" i="5"/>
  <c r="N283" i="5"/>
  <c r="N267" i="5"/>
  <c r="N213" i="5"/>
  <c r="AG23" i="8"/>
  <c r="AH23" i="8"/>
  <c r="AI23" i="8"/>
  <c r="AJ23" i="8"/>
  <c r="AK23" i="8"/>
  <c r="AL23" i="8"/>
  <c r="AM23" i="8"/>
  <c r="AN23" i="8"/>
  <c r="AO23" i="8"/>
  <c r="A24" i="8"/>
  <c r="AD24" i="8"/>
  <c r="H13" i="5"/>
  <c r="AE24" i="8"/>
  <c r="AF24" i="8"/>
  <c r="AG24" i="8"/>
  <c r="AH24" i="8"/>
  <c r="AI24" i="8"/>
  <c r="AJ24" i="8"/>
  <c r="AK24" i="8"/>
  <c r="AL24" i="8"/>
  <c r="A25" i="8"/>
  <c r="F245" i="5"/>
  <c r="E245" i="5"/>
  <c r="AD25" i="8"/>
  <c r="H75" i="5"/>
  <c r="H245" i="5"/>
  <c r="AE25" i="8"/>
  <c r="AF25" i="8"/>
  <c r="N209" i="5"/>
  <c r="N75" i="5"/>
  <c r="AG25" i="8"/>
  <c r="AH25" i="8"/>
  <c r="T245" i="5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H269" i="5"/>
  <c r="H200" i="5"/>
  <c r="AE27" i="8"/>
  <c r="AF27" i="8"/>
  <c r="N269" i="5"/>
  <c r="AG27" i="8"/>
  <c r="AH27" i="8"/>
  <c r="AI27" i="8"/>
  <c r="AJ27" i="8"/>
  <c r="AK27" i="8"/>
  <c r="AL27" i="8"/>
  <c r="A28" i="8"/>
  <c r="AD28" i="8"/>
  <c r="H281" i="5"/>
  <c r="AE28" i="8"/>
  <c r="AF28" i="8"/>
  <c r="N89" i="5"/>
  <c r="N119" i="5"/>
  <c r="N281" i="5"/>
  <c r="AG28" i="8"/>
  <c r="AH28" i="8"/>
  <c r="AI28" i="8"/>
  <c r="AJ28" i="8"/>
  <c r="AK28" i="8"/>
  <c r="AL28" i="8"/>
  <c r="A29" i="8"/>
  <c r="AD29" i="8"/>
  <c r="H34" i="5"/>
  <c r="AE29" i="8"/>
  <c r="AF29" i="8"/>
  <c r="AG29" i="8"/>
  <c r="AH29" i="8"/>
  <c r="AI29" i="8"/>
  <c r="AJ29" i="8"/>
  <c r="AK29" i="8"/>
  <c r="AL29" i="8"/>
  <c r="A30" i="8"/>
  <c r="F243" i="5"/>
  <c r="E243" i="5"/>
  <c r="AD30" i="8"/>
  <c r="H243" i="5"/>
  <c r="AE30" i="8"/>
  <c r="AF30" i="8"/>
  <c r="AG30" i="8"/>
  <c r="AH30" i="8"/>
  <c r="T243" i="5"/>
  <c r="AI30" i="8"/>
  <c r="AJ30" i="8"/>
  <c r="AK30" i="8"/>
  <c r="AL30" i="8"/>
  <c r="A31" i="8"/>
  <c r="AD31" i="8"/>
  <c r="H115" i="5"/>
  <c r="H120" i="5"/>
  <c r="H324" i="5"/>
  <c r="AE31" i="8"/>
  <c r="AF31" i="8"/>
  <c r="N115" i="5"/>
  <c r="N120" i="5"/>
  <c r="AG31" i="8"/>
  <c r="AH31" i="8"/>
  <c r="AI31" i="8"/>
  <c r="AJ31" i="8"/>
  <c r="AK31" i="8"/>
  <c r="AL31" i="8"/>
  <c r="A32" i="8"/>
  <c r="AD32" i="8"/>
  <c r="H137" i="5"/>
  <c r="H282" i="5"/>
  <c r="H333" i="5"/>
  <c r="AE32" i="8"/>
  <c r="AF32" i="8"/>
  <c r="N282" i="5"/>
  <c r="AG32" i="8"/>
  <c r="AH32" i="8"/>
  <c r="AI32" i="8"/>
  <c r="AJ32" i="8"/>
  <c r="AK32" i="8"/>
  <c r="AL32" i="8"/>
  <c r="A33" i="8"/>
  <c r="AD33" i="8"/>
  <c r="H371" i="5"/>
  <c r="H169" i="5"/>
  <c r="H395" i="5"/>
  <c r="AE33" i="8"/>
  <c r="AF33" i="8"/>
  <c r="N108" i="5"/>
  <c r="N169" i="5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H328" i="5"/>
  <c r="H367" i="5"/>
  <c r="AE35" i="8"/>
  <c r="AF35" i="8"/>
  <c r="AG35" i="8"/>
  <c r="AH35" i="8"/>
  <c r="AI35" i="8"/>
  <c r="AJ35" i="8"/>
  <c r="AK35" i="8"/>
  <c r="AL35" i="8"/>
  <c r="A36" i="8"/>
  <c r="AD36" i="8"/>
  <c r="H176" i="5"/>
  <c r="H374" i="5"/>
  <c r="H376" i="5"/>
  <c r="H384" i="5"/>
  <c r="H383" i="5"/>
  <c r="AE36" i="8"/>
  <c r="AF36" i="8"/>
  <c r="N104" i="5"/>
  <c r="N384" i="5"/>
  <c r="N383" i="5"/>
  <c r="AG36" i="8"/>
  <c r="AH36" i="8"/>
  <c r="AI36" i="8"/>
  <c r="AJ36" i="8"/>
  <c r="AK36" i="8"/>
  <c r="AL36" i="8"/>
  <c r="A37" i="8"/>
  <c r="F250" i="5"/>
  <c r="E250" i="5"/>
  <c r="F240" i="5"/>
  <c r="E240" i="5"/>
  <c r="AD37" i="8"/>
  <c r="H250" i="5"/>
  <c r="H51" i="5"/>
  <c r="H240" i="5"/>
  <c r="H390" i="5"/>
  <c r="H392" i="5"/>
  <c r="AE37" i="8"/>
  <c r="AF37" i="8"/>
  <c r="N51" i="5"/>
  <c r="N390" i="5"/>
  <c r="AG37" i="8"/>
  <c r="AH37" i="8"/>
  <c r="T250" i="5"/>
  <c r="T240" i="5"/>
  <c r="AI37" i="8"/>
  <c r="AJ37" i="8"/>
  <c r="AK37" i="8"/>
  <c r="AL37" i="8"/>
  <c r="AM37" i="8"/>
  <c r="AN37" i="8"/>
  <c r="A38" i="8"/>
  <c r="AD38" i="8"/>
  <c r="H332" i="5"/>
  <c r="AE38" i="8"/>
  <c r="AF38" i="8"/>
  <c r="N103" i="5"/>
  <c r="AG38" i="8"/>
  <c r="AH38" i="8"/>
  <c r="AI38" i="8"/>
  <c r="AJ38" i="8"/>
  <c r="AK38" i="8"/>
  <c r="AL38" i="8"/>
  <c r="AM38" i="8"/>
  <c r="AN38" i="8"/>
  <c r="AO38" i="8"/>
  <c r="A39" i="8"/>
  <c r="AD39" i="8"/>
  <c r="H38" i="5"/>
  <c r="AE39" i="8"/>
  <c r="AF39" i="8"/>
  <c r="N38" i="5"/>
  <c r="AG39" i="8"/>
  <c r="AH39" i="8"/>
  <c r="AI39" i="8"/>
  <c r="AJ39" i="8"/>
  <c r="AK39" i="8"/>
  <c r="AL39" i="8"/>
  <c r="A40" i="8"/>
  <c r="AD40" i="8"/>
  <c r="H52" i="5"/>
  <c r="AE40" i="8"/>
  <c r="AF40" i="8"/>
  <c r="N52" i="5"/>
  <c r="AG40" i="8"/>
  <c r="AH40" i="8"/>
  <c r="AI40" i="8"/>
  <c r="AJ40" i="8"/>
  <c r="AK40" i="8"/>
  <c r="AL40" i="8"/>
  <c r="AM40" i="8"/>
  <c r="AN40" i="8"/>
  <c r="A41" i="8"/>
  <c r="AD41" i="8"/>
  <c r="H49" i="5"/>
  <c r="H32" i="5"/>
  <c r="AE41" i="8"/>
  <c r="AF41" i="8"/>
  <c r="N49" i="5"/>
  <c r="AG41" i="8"/>
  <c r="AH41" i="8"/>
  <c r="AI41" i="8"/>
  <c r="AJ41" i="8"/>
  <c r="AK41" i="8"/>
  <c r="AL41" i="8"/>
  <c r="A42" i="8"/>
  <c r="AD42" i="8"/>
  <c r="H42" i="5"/>
  <c r="H138" i="5"/>
  <c r="AE42" i="8"/>
  <c r="AF42" i="8"/>
  <c r="N42" i="5"/>
  <c r="N102" i="5"/>
  <c r="AG42" i="8"/>
  <c r="AH42" i="8"/>
  <c r="AI42" i="8"/>
  <c r="AJ42" i="8"/>
  <c r="AK42" i="8"/>
  <c r="AL42" i="8"/>
  <c r="A43" i="8"/>
  <c r="AD43" i="8"/>
  <c r="H43" i="5"/>
  <c r="H35" i="5"/>
  <c r="AE43" i="8"/>
  <c r="AF43" i="8"/>
  <c r="N43" i="5"/>
  <c r="AG43" i="8"/>
  <c r="AH43" i="8"/>
  <c r="AI43" i="8"/>
  <c r="AJ43" i="8"/>
  <c r="AK43" i="8"/>
  <c r="AL43" i="8"/>
  <c r="A44" i="8"/>
  <c r="AD44" i="8"/>
  <c r="H36" i="5"/>
  <c r="AE44" i="8"/>
  <c r="AF44" i="8"/>
  <c r="AG44" i="8"/>
  <c r="AH44" i="8"/>
  <c r="AI44" i="8"/>
  <c r="AJ44" i="8"/>
  <c r="AK44" i="8"/>
  <c r="AL44" i="8"/>
  <c r="A45" i="8"/>
  <c r="AD45" i="8"/>
  <c r="H66" i="5"/>
  <c r="H366" i="5"/>
  <c r="H378" i="5"/>
  <c r="H50" i="5"/>
  <c r="AE45" i="8"/>
  <c r="AF45" i="8"/>
  <c r="N66" i="5"/>
  <c r="N378" i="5"/>
  <c r="N50" i="5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H270" i="5"/>
  <c r="H380" i="5"/>
  <c r="AE47" i="8"/>
  <c r="AF47" i="8"/>
  <c r="N129" i="5"/>
  <c r="N270" i="5"/>
  <c r="N380" i="5"/>
  <c r="AG47" i="8"/>
  <c r="AH47" i="8"/>
  <c r="AI47" i="8"/>
  <c r="AJ47" i="8"/>
  <c r="AK47" i="8"/>
  <c r="AL47" i="8"/>
  <c r="A48" i="8"/>
  <c r="AD48" i="8"/>
  <c r="H268" i="5"/>
  <c r="H385" i="5"/>
  <c r="AE48" i="8"/>
  <c r="AF48" i="8"/>
  <c r="N268" i="5"/>
  <c r="N385" i="5"/>
  <c r="AG48" i="8"/>
  <c r="AH48" i="8"/>
  <c r="AI48" i="8"/>
  <c r="AJ48" i="8"/>
  <c r="AK48" i="8"/>
  <c r="AL48" i="8"/>
  <c r="A49" i="8"/>
  <c r="AD49" i="8"/>
  <c r="H271" i="5"/>
  <c r="H387" i="5"/>
  <c r="H53" i="5"/>
  <c r="H14" i="5"/>
  <c r="AE49" i="8"/>
  <c r="AF49" i="8"/>
  <c r="N271" i="5"/>
  <c r="N387" i="5"/>
  <c r="N53" i="5"/>
  <c r="AG49" i="8"/>
  <c r="AH49" i="8"/>
  <c r="AI49" i="8"/>
  <c r="AJ49" i="8"/>
  <c r="AK49" i="8"/>
  <c r="AL49" i="8"/>
  <c r="A50" i="8"/>
  <c r="AD50" i="8"/>
  <c r="H388" i="5"/>
  <c r="H15" i="5"/>
  <c r="AE50" i="8"/>
  <c r="AF50" i="8"/>
  <c r="N388" i="5"/>
  <c r="AG50" i="8"/>
  <c r="AH50" i="8"/>
  <c r="AI50" i="8"/>
  <c r="AJ50" i="8"/>
  <c r="AK50" i="8"/>
  <c r="AL50" i="8"/>
  <c r="A51" i="8"/>
  <c r="AD51" i="8"/>
  <c r="H393" i="5"/>
  <c r="H16" i="5"/>
  <c r="AE51" i="8"/>
  <c r="AF51" i="8"/>
  <c r="N117" i="5"/>
  <c r="AG51" i="8"/>
  <c r="AH51" i="8"/>
  <c r="AI51" i="8"/>
  <c r="AJ51" i="8"/>
  <c r="AK51" i="8"/>
  <c r="AL51" i="8"/>
  <c r="A52" i="8"/>
  <c r="F244" i="5"/>
  <c r="E244" i="5"/>
  <c r="AD52" i="8"/>
  <c r="H244" i="5"/>
  <c r="AE52" i="8"/>
  <c r="AF52" i="8"/>
  <c r="AG52" i="8"/>
  <c r="AH52" i="8"/>
  <c r="T244" i="5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F246" i="5"/>
  <c r="E246" i="5"/>
  <c r="AD54" i="8"/>
  <c r="H246" i="5"/>
  <c r="AE54" i="8"/>
  <c r="AF54" i="8"/>
  <c r="AG54" i="8"/>
  <c r="AH54" i="8"/>
  <c r="T246" i="5"/>
  <c r="AI54" i="8"/>
  <c r="AJ54" i="8"/>
  <c r="AK54" i="8"/>
  <c r="AL54" i="8"/>
  <c r="A55" i="8"/>
  <c r="F247" i="5"/>
  <c r="E247" i="5"/>
  <c r="AD55" i="8"/>
  <c r="H41" i="5"/>
  <c r="H247" i="5"/>
  <c r="AE55" i="8"/>
  <c r="AF55" i="8"/>
  <c r="N41" i="5"/>
  <c r="AG55" i="8"/>
  <c r="AH55" i="8"/>
  <c r="T247" i="5"/>
  <c r="AI55" i="8"/>
  <c r="AJ55" i="8"/>
  <c r="AK55" i="8"/>
  <c r="AL55" i="8"/>
  <c r="A56" i="8"/>
  <c r="F253" i="5"/>
  <c r="E253" i="5"/>
  <c r="AD56" i="8"/>
  <c r="H253" i="5"/>
  <c r="AE56" i="8"/>
  <c r="AF56" i="8"/>
  <c r="AG56" i="8"/>
  <c r="AH56" i="8"/>
  <c r="T253" i="5"/>
  <c r="AI56" i="8"/>
  <c r="AJ56" i="8"/>
  <c r="AK56" i="8"/>
  <c r="AL56" i="8"/>
  <c r="A57" i="8"/>
  <c r="AD57" i="8"/>
  <c r="H55" i="5"/>
  <c r="H175" i="5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F242" i="5"/>
  <c r="E242" i="5"/>
  <c r="AD61" i="8"/>
  <c r="H242" i="5"/>
  <c r="AE61" i="8"/>
  <c r="AF61" i="8"/>
  <c r="AG61" i="8"/>
  <c r="AH61" i="8"/>
  <c r="T242" i="5"/>
  <c r="AI61" i="8"/>
  <c r="AJ61" i="8"/>
  <c r="AK61" i="8"/>
  <c r="AL61" i="8"/>
  <c r="A62" i="8"/>
  <c r="AD62" i="8"/>
  <c r="H279" i="5"/>
  <c r="AE62" i="8"/>
  <c r="AF62" i="8"/>
  <c r="AG62" i="8"/>
  <c r="AH62" i="8"/>
  <c r="AI62" i="8"/>
  <c r="AJ62" i="8"/>
  <c r="AK62" i="8"/>
  <c r="AL62" i="8"/>
  <c r="A63" i="8"/>
  <c r="AD63" i="8"/>
  <c r="H63" i="5"/>
  <c r="AE63" i="8"/>
  <c r="AF63" i="8"/>
  <c r="N63" i="5"/>
  <c r="AG63" i="8"/>
  <c r="AH63" i="8"/>
  <c r="AI63" i="8"/>
  <c r="AJ63" i="8"/>
  <c r="AK63" i="8"/>
  <c r="AL63" i="8"/>
  <c r="A64" i="8"/>
  <c r="F263" i="5"/>
  <c r="E263" i="5"/>
  <c r="AD64" i="8"/>
  <c r="H64" i="5"/>
  <c r="H274" i="5"/>
  <c r="H263" i="5"/>
  <c r="AE64" i="8"/>
  <c r="AF64" i="8"/>
  <c r="N64" i="5"/>
  <c r="N274" i="5"/>
  <c r="AG64" i="8"/>
  <c r="AH64" i="8"/>
  <c r="T263" i="5"/>
  <c r="AI64" i="8"/>
  <c r="AJ64" i="8"/>
  <c r="AK64" i="8"/>
  <c r="AL64" i="8"/>
  <c r="A65" i="8"/>
  <c r="F264" i="5"/>
  <c r="E264" i="5"/>
  <c r="AD65" i="8"/>
  <c r="H264" i="5"/>
  <c r="AE65" i="8"/>
  <c r="AF65" i="8"/>
  <c r="N109" i="5"/>
  <c r="AG65" i="8"/>
  <c r="AH65" i="8"/>
  <c r="T264" i="5"/>
  <c r="AI65" i="8"/>
  <c r="AJ65" i="8"/>
  <c r="AK65" i="8"/>
  <c r="AL65" i="8"/>
  <c r="A66" i="8"/>
  <c r="F265" i="5"/>
  <c r="E265" i="5"/>
  <c r="AD66" i="8"/>
  <c r="H265" i="5"/>
  <c r="AE66" i="8"/>
  <c r="AF66" i="8"/>
  <c r="AG66" i="8"/>
  <c r="AH66" i="8"/>
  <c r="T265" i="5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H68" i="5"/>
  <c r="AE68" i="8"/>
  <c r="AF68" i="8"/>
  <c r="N68" i="5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H70" i="5"/>
  <c r="AE70" i="8"/>
  <c r="AF70" i="8"/>
  <c r="N70" i="5"/>
  <c r="AG70" i="8"/>
  <c r="AH70" i="8"/>
  <c r="AI70" i="8"/>
  <c r="AJ70" i="8"/>
  <c r="AK70" i="8"/>
  <c r="AL70" i="8"/>
  <c r="A71" i="8"/>
  <c r="AD71" i="8"/>
  <c r="H71" i="5"/>
  <c r="AE71" i="8"/>
  <c r="AF71" i="8"/>
  <c r="N71" i="5"/>
  <c r="AG71" i="8"/>
  <c r="AH71" i="8"/>
  <c r="AI71" i="8"/>
  <c r="AJ71" i="8"/>
  <c r="AK71" i="8"/>
  <c r="AL71" i="8"/>
  <c r="A72" i="8"/>
  <c r="AD72" i="8"/>
  <c r="H72" i="5"/>
  <c r="H280" i="5"/>
  <c r="AE72" i="8"/>
  <c r="AF72" i="8"/>
  <c r="N72" i="5"/>
  <c r="N239" i="5"/>
  <c r="N280" i="5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N73" i="5"/>
  <c r="N87" i="5"/>
  <c r="AG74" i="8"/>
  <c r="AH74" i="8"/>
  <c r="AI74" i="8"/>
  <c r="AJ74" i="8"/>
  <c r="AK74" i="8"/>
  <c r="AL74" i="8"/>
  <c r="A75" i="8"/>
  <c r="AD75" i="8"/>
  <c r="H74" i="5"/>
  <c r="AE75" i="8"/>
  <c r="AF75" i="8"/>
  <c r="N74" i="5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H76" i="5"/>
  <c r="AE77" i="8"/>
  <c r="AF77" i="8"/>
  <c r="N76" i="5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H83" i="5"/>
  <c r="AE83" i="8"/>
  <c r="AF83" i="8"/>
  <c r="N83" i="5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N107" i="5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H96" i="5"/>
  <c r="AE89" i="8"/>
  <c r="AF89" i="8"/>
  <c r="N96" i="5"/>
  <c r="AG89" i="8"/>
  <c r="AH89" i="8"/>
  <c r="AI89" i="8"/>
  <c r="AJ89" i="8"/>
  <c r="AK89" i="8"/>
  <c r="AL89" i="8"/>
  <c r="A90" i="8"/>
  <c r="F248" i="5"/>
  <c r="E248" i="5"/>
  <c r="AD90" i="8"/>
  <c r="H248" i="5"/>
  <c r="AE90" i="8"/>
  <c r="AF90" i="8"/>
  <c r="AG90" i="8"/>
  <c r="AH90" i="8"/>
  <c r="T248" i="5"/>
  <c r="AI90" i="8"/>
  <c r="AJ90" i="8"/>
  <c r="AK90" i="8"/>
  <c r="AL90" i="8"/>
  <c r="A91" i="8"/>
  <c r="AD91" i="8"/>
  <c r="H190" i="5"/>
  <c r="AE91" i="8"/>
  <c r="AF91" i="8"/>
  <c r="N190" i="5"/>
  <c r="AG91" i="8"/>
  <c r="AH91" i="8"/>
  <c r="AI91" i="8"/>
  <c r="AJ91" i="8"/>
  <c r="AK91" i="8"/>
  <c r="AL91" i="8"/>
  <c r="A92" i="8"/>
  <c r="AD92" i="8"/>
  <c r="AE92" i="8"/>
  <c r="AF92" i="8"/>
  <c r="N88" i="5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H93" i="5"/>
  <c r="AE99" i="8"/>
  <c r="AF99" i="8"/>
  <c r="N93" i="5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H161" i="5"/>
  <c r="AE102" i="8"/>
  <c r="AF102" i="8"/>
  <c r="N161" i="5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H126" i="5"/>
  <c r="AE107" i="8"/>
  <c r="AF107" i="8"/>
  <c r="N126" i="5"/>
  <c r="AG107" i="8"/>
  <c r="AH107" i="8"/>
  <c r="AI107" i="8"/>
  <c r="AJ107" i="8"/>
  <c r="AK107" i="8"/>
  <c r="AL107" i="8"/>
  <c r="AM107" i="8"/>
  <c r="AN107" i="8"/>
  <c r="A108" i="8"/>
  <c r="AD108" i="8"/>
  <c r="H134" i="5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H322" i="5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H323" i="5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N110" i="5"/>
  <c r="AG119" i="8"/>
  <c r="AH119" i="8"/>
  <c r="AI119" i="8"/>
  <c r="AJ119" i="8"/>
  <c r="AK119" i="8"/>
  <c r="AL119" i="8"/>
  <c r="A120" i="8"/>
  <c r="AD120" i="8"/>
  <c r="H127" i="5"/>
  <c r="AE120" i="8"/>
  <c r="AF120" i="8"/>
  <c r="N127" i="5"/>
  <c r="AG120" i="8"/>
  <c r="AH120" i="8"/>
  <c r="AI120" i="8"/>
  <c r="AJ120" i="8"/>
  <c r="AK120" i="8"/>
  <c r="AL120" i="8"/>
  <c r="A121" i="8"/>
  <c r="AD121" i="8"/>
  <c r="H125" i="5"/>
  <c r="AE121" i="8"/>
  <c r="AF121" i="8"/>
  <c r="N125" i="5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H114" i="5"/>
  <c r="AE123" i="8"/>
  <c r="AF123" i="8"/>
  <c r="N114" i="5"/>
  <c r="AG123" i="8"/>
  <c r="AH123" i="8"/>
  <c r="AI123" i="8"/>
  <c r="AJ123" i="8"/>
  <c r="AK123" i="8"/>
  <c r="AL123" i="8"/>
  <c r="A124" i="8"/>
  <c r="AD124" i="8"/>
  <c r="H135" i="5"/>
  <c r="AE124" i="8"/>
  <c r="AF124" i="8"/>
  <c r="N211" i="5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N128" i="5"/>
  <c r="AG129" i="8"/>
  <c r="AH129" i="8"/>
  <c r="AI129" i="8"/>
  <c r="AJ129" i="8"/>
  <c r="AK129" i="8"/>
  <c r="AL129" i="8"/>
  <c r="A130" i="8"/>
  <c r="AD130" i="8"/>
  <c r="H370" i="5"/>
  <c r="AE130" i="8"/>
  <c r="AF130" i="8"/>
  <c r="AG130" i="8"/>
  <c r="AH130" i="8"/>
  <c r="AI130" i="8"/>
  <c r="AJ130" i="8"/>
  <c r="AK130" i="8"/>
  <c r="AL130" i="8"/>
  <c r="A131" i="8"/>
  <c r="AD131" i="8"/>
  <c r="H373" i="5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H375" i="5"/>
  <c r="AE133" i="8"/>
  <c r="AF133" i="8"/>
  <c r="AG133" i="8"/>
  <c r="AH133" i="8"/>
  <c r="AI133" i="8"/>
  <c r="AJ133" i="8"/>
  <c r="AK133" i="8"/>
  <c r="AL133" i="8"/>
  <c r="A134" i="8"/>
  <c r="AD134" i="8"/>
  <c r="H377" i="5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H207" i="5"/>
  <c r="H372" i="5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N214" i="5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H167" i="5"/>
  <c r="AE152" i="8"/>
  <c r="AF152" i="8"/>
  <c r="N167" i="5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H389" i="5"/>
  <c r="H299" i="5"/>
  <c r="AE154" i="8"/>
  <c r="AF154" i="8"/>
  <c r="N389" i="5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H327" i="5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H335" i="5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H334" i="5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H329" i="5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H336" i="5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H331" i="5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H163" i="5"/>
  <c r="H330" i="5"/>
  <c r="AE169" i="8"/>
  <c r="AF169" i="8"/>
  <c r="N163" i="5"/>
  <c r="AG169" i="8"/>
  <c r="AH169" i="8"/>
  <c r="AI169" i="8"/>
  <c r="AJ169" i="8"/>
  <c r="AK169" i="8"/>
  <c r="AL169" i="8"/>
  <c r="AM169" i="8"/>
  <c r="AN169" i="8"/>
  <c r="AO169" i="8"/>
  <c r="A170" i="8"/>
  <c r="AD170" i="8"/>
  <c r="H300" i="5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H391" i="5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H275" i="5"/>
  <c r="AE186" i="8"/>
  <c r="AF186" i="8"/>
  <c r="N275" i="5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H382" i="5"/>
  <c r="AE194" i="8"/>
  <c r="AF194" i="8"/>
  <c r="N382" i="5"/>
  <c r="AG194" i="8"/>
  <c r="AH194" i="8"/>
  <c r="AI194" i="8"/>
  <c r="AJ194" i="8"/>
  <c r="AK194" i="8"/>
  <c r="AL194" i="8"/>
  <c r="A195" i="8"/>
  <c r="AD195" i="8"/>
  <c r="H189" i="5"/>
  <c r="AE195" i="8"/>
  <c r="AF195" i="8"/>
  <c r="N189" i="5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H237" i="5"/>
  <c r="AE202" i="8"/>
  <c r="AF202" i="8"/>
  <c r="N237" i="5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H206" i="5"/>
  <c r="AE206" i="8"/>
  <c r="AF206" i="8"/>
  <c r="AG206" i="8"/>
  <c r="AH206" i="8"/>
  <c r="AI206" i="8"/>
  <c r="AJ206" i="8"/>
  <c r="AK206" i="8"/>
  <c r="AL206" i="8"/>
  <c r="A207" i="8"/>
  <c r="AD207" i="8"/>
  <c r="H204" i="5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N210" i="5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39" i="2"/>
  <c r="R39" i="8"/>
  <c r="R40" i="8"/>
  <c r="F200" i="5"/>
  <c r="F20" i="5"/>
  <c r="F52" i="5"/>
  <c r="F30" i="5"/>
  <c r="S40" i="8"/>
  <c r="I200" i="5"/>
  <c r="I243" i="5"/>
  <c r="I39" i="5"/>
  <c r="I257" i="5"/>
  <c r="I20" i="5"/>
  <c r="I52" i="5"/>
  <c r="I30" i="5"/>
  <c r="I51" i="5"/>
  <c r="T40" i="8"/>
  <c r="L39" i="5"/>
  <c r="L30" i="5"/>
  <c r="U40" i="8"/>
  <c r="O39" i="5"/>
  <c r="O52" i="5"/>
  <c r="O30" i="5"/>
  <c r="O51" i="5"/>
  <c r="V40" i="8"/>
  <c r="R243" i="5"/>
  <c r="R257" i="5"/>
  <c r="W40" i="8"/>
  <c r="X40" i="8"/>
  <c r="Y40" i="8"/>
  <c r="Z40" i="8"/>
  <c r="AA40" i="8"/>
  <c r="AB40" i="8"/>
  <c r="AC40" i="8"/>
  <c r="R41" i="8"/>
  <c r="F29" i="5"/>
  <c r="F382" i="5"/>
  <c r="F40" i="5"/>
  <c r="F136" i="5"/>
  <c r="F49" i="5"/>
  <c r="F32" i="5"/>
  <c r="S41" i="8"/>
  <c r="I29" i="5"/>
  <c r="I382" i="5"/>
  <c r="I40" i="5"/>
  <c r="I136" i="5"/>
  <c r="I49" i="5"/>
  <c r="I32" i="5"/>
  <c r="T41" i="8"/>
  <c r="L29" i="5"/>
  <c r="L382" i="5"/>
  <c r="L40" i="5"/>
  <c r="L49" i="5"/>
  <c r="L79" i="5"/>
  <c r="U41" i="8"/>
  <c r="O29" i="5"/>
  <c r="O382" i="5"/>
  <c r="O40" i="5"/>
  <c r="O49" i="5"/>
  <c r="O79" i="5"/>
  <c r="V41" i="8"/>
  <c r="W41" i="8"/>
  <c r="X41" i="8"/>
  <c r="Y41" i="8"/>
  <c r="Z41" i="8"/>
  <c r="AA41" i="8"/>
  <c r="AB41" i="8"/>
  <c r="AC41" i="8"/>
  <c r="R2" i="8"/>
  <c r="F41" i="5"/>
  <c r="S2" i="8"/>
  <c r="I286" i="5"/>
  <c r="I41" i="5"/>
  <c r="I120" i="5"/>
  <c r="I366" i="5"/>
  <c r="I34" i="5"/>
  <c r="T2" i="8"/>
  <c r="L286" i="5"/>
  <c r="L41" i="5"/>
  <c r="L120" i="5"/>
  <c r="U2" i="8"/>
  <c r="O286" i="5"/>
  <c r="O41" i="5"/>
  <c r="O120" i="5"/>
  <c r="V2" i="8"/>
  <c r="W2" i="8"/>
  <c r="X2" i="8"/>
  <c r="Y2" i="8"/>
  <c r="Z2" i="8"/>
  <c r="AA2" i="8"/>
  <c r="AB2" i="8"/>
  <c r="AC2" i="8"/>
  <c r="R42" i="8"/>
  <c r="F278" i="5"/>
  <c r="F42" i="5"/>
  <c r="F138" i="5"/>
  <c r="F67" i="5"/>
  <c r="F384" i="5"/>
  <c r="F31" i="5"/>
  <c r="S42" i="8"/>
  <c r="I278" i="5"/>
  <c r="I42" i="5"/>
  <c r="I138" i="5"/>
  <c r="I67" i="5"/>
  <c r="I384" i="5"/>
  <c r="I31" i="5"/>
  <c r="T42" i="8"/>
  <c r="L42" i="5"/>
  <c r="L67" i="5"/>
  <c r="L118" i="5"/>
  <c r="L384" i="5"/>
  <c r="L31" i="5"/>
  <c r="L102" i="5"/>
  <c r="U42" i="8"/>
  <c r="O42" i="5"/>
  <c r="O67" i="5"/>
  <c r="O118" i="5"/>
  <c r="O384" i="5"/>
  <c r="O31" i="5"/>
  <c r="O102" i="5"/>
  <c r="V42" i="8"/>
  <c r="W42" i="8"/>
  <c r="X42" i="8"/>
  <c r="Y42" i="8"/>
  <c r="Z42" i="8"/>
  <c r="AA42" i="8"/>
  <c r="AB42" i="8"/>
  <c r="AC42" i="8"/>
  <c r="R43" i="8"/>
  <c r="F43" i="5"/>
  <c r="F267" i="5"/>
  <c r="S43" i="8"/>
  <c r="I261" i="5"/>
  <c r="I43" i="5"/>
  <c r="I267" i="5"/>
  <c r="I35" i="5"/>
  <c r="T43" i="8"/>
  <c r="L43" i="5"/>
  <c r="L267" i="5"/>
  <c r="U43" i="8"/>
  <c r="O43" i="5"/>
  <c r="O267" i="5"/>
  <c r="V43" i="8"/>
  <c r="R261" i="5"/>
  <c r="W43" i="8"/>
  <c r="X43" i="8"/>
  <c r="Y43" i="8"/>
  <c r="Z43" i="8"/>
  <c r="AA43" i="8"/>
  <c r="AB43" i="8"/>
  <c r="AC43" i="8"/>
  <c r="R44" i="8"/>
  <c r="F386" i="5"/>
  <c r="F36" i="5"/>
  <c r="S44" i="8"/>
  <c r="I300" i="5"/>
  <c r="I44" i="5"/>
  <c r="I386" i="5"/>
  <c r="I368" i="5"/>
  <c r="I36" i="5"/>
  <c r="T44" i="8"/>
  <c r="L44" i="5"/>
  <c r="L386" i="5"/>
  <c r="U44" i="8"/>
  <c r="O44" i="5"/>
  <c r="O386" i="5"/>
  <c r="V44" i="8"/>
  <c r="W44" i="8"/>
  <c r="X44" i="8"/>
  <c r="Y44" i="8"/>
  <c r="Z44" i="8"/>
  <c r="AA44" i="8"/>
  <c r="AB44" i="8"/>
  <c r="AC44" i="8"/>
  <c r="R45" i="8"/>
  <c r="F45" i="5"/>
  <c r="F66" i="5"/>
  <c r="F47" i="5"/>
  <c r="F10" i="5"/>
  <c r="F378" i="5"/>
  <c r="F50" i="5"/>
  <c r="S45" i="8"/>
  <c r="I244" i="5"/>
  <c r="I45" i="5"/>
  <c r="I66" i="5"/>
  <c r="I47" i="5"/>
  <c r="I10" i="5"/>
  <c r="I378" i="5"/>
  <c r="I50" i="5"/>
  <c r="I9" i="5"/>
  <c r="T45" i="8"/>
  <c r="L45" i="5"/>
  <c r="L66" i="5"/>
  <c r="L47" i="5"/>
  <c r="L378" i="5"/>
  <c r="U45" i="8"/>
  <c r="O45" i="5"/>
  <c r="O66" i="5"/>
  <c r="O47" i="5"/>
  <c r="O378" i="5"/>
  <c r="O50" i="5"/>
  <c r="V45" i="8"/>
  <c r="R244" i="5"/>
  <c r="W45" i="8"/>
  <c r="X45" i="8"/>
  <c r="Y45" i="8"/>
  <c r="Z45" i="8"/>
  <c r="AA45" i="8"/>
  <c r="AB45" i="8"/>
  <c r="AC45" i="8"/>
  <c r="R46" i="8"/>
  <c r="F46" i="5"/>
  <c r="F269" i="5"/>
  <c r="F11" i="5"/>
  <c r="F379" i="5"/>
  <c r="S46" i="8"/>
  <c r="I254" i="5"/>
  <c r="I46" i="5"/>
  <c r="I269" i="5"/>
  <c r="I11" i="5"/>
  <c r="I379" i="5"/>
  <c r="T46" i="8"/>
  <c r="L46" i="5"/>
  <c r="L103" i="5"/>
  <c r="L269" i="5"/>
  <c r="L379" i="5"/>
  <c r="U46" i="8"/>
  <c r="O46" i="5"/>
  <c r="O103" i="5"/>
  <c r="O269" i="5"/>
  <c r="O379" i="5"/>
  <c r="V46" i="8"/>
  <c r="R254" i="5"/>
  <c r="W46" i="8"/>
  <c r="X46" i="8"/>
  <c r="Y46" i="8"/>
  <c r="Z46" i="8"/>
  <c r="AA46" i="8"/>
  <c r="AB46" i="8"/>
  <c r="AC46" i="8"/>
  <c r="R47" i="8"/>
  <c r="F281" i="5"/>
  <c r="F270" i="5"/>
  <c r="F380" i="5"/>
  <c r="S47" i="8"/>
  <c r="I256" i="5"/>
  <c r="I281" i="5"/>
  <c r="I270" i="5"/>
  <c r="I380" i="5"/>
  <c r="I259" i="5"/>
  <c r="T47" i="8"/>
  <c r="L281" i="5"/>
  <c r="L129" i="5"/>
  <c r="L270" i="5"/>
  <c r="L380" i="5"/>
  <c r="U47" i="8"/>
  <c r="O281" i="5"/>
  <c r="O129" i="5"/>
  <c r="O270" i="5"/>
  <c r="O380" i="5"/>
  <c r="V47" i="8"/>
  <c r="R256" i="5"/>
  <c r="R259" i="5"/>
  <c r="W47" i="8"/>
  <c r="X47" i="8"/>
  <c r="Y47" i="8"/>
  <c r="Z47" i="8"/>
  <c r="AA47" i="8"/>
  <c r="AB47" i="8"/>
  <c r="AC47" i="8"/>
  <c r="R3" i="8"/>
  <c r="F48" i="5"/>
  <c r="F133" i="5"/>
  <c r="F272" i="5"/>
  <c r="F26" i="5"/>
  <c r="F12" i="5"/>
  <c r="S3" i="8"/>
  <c r="I161" i="5"/>
  <c r="I48" i="5"/>
  <c r="I133" i="5"/>
  <c r="I272" i="5"/>
  <c r="I26" i="5"/>
  <c r="I262" i="5"/>
  <c r="I12" i="5"/>
  <c r="T3" i="8"/>
  <c r="L161" i="5"/>
  <c r="L48" i="5"/>
  <c r="L272" i="5"/>
  <c r="U3" i="8"/>
  <c r="O161" i="5"/>
  <c r="O48" i="5"/>
  <c r="O272" i="5"/>
  <c r="O26" i="5"/>
  <c r="V3" i="8"/>
  <c r="R262" i="5"/>
  <c r="W3" i="8"/>
  <c r="X3" i="8"/>
  <c r="Y3" i="8"/>
  <c r="Z3" i="8"/>
  <c r="AA3" i="8"/>
  <c r="AB3" i="8"/>
  <c r="AC3" i="8"/>
  <c r="R48" i="8"/>
  <c r="F97" i="5"/>
  <c r="F137" i="5"/>
  <c r="F268" i="5"/>
  <c r="F392" i="5"/>
  <c r="F385" i="5"/>
  <c r="F13" i="5"/>
  <c r="S48" i="8"/>
  <c r="I97" i="5"/>
  <c r="I137" i="5"/>
  <c r="I268" i="5"/>
  <c r="I392" i="5"/>
  <c r="I385" i="5"/>
  <c r="I13" i="5"/>
  <c r="T48" i="8"/>
  <c r="L97" i="5"/>
  <c r="L158" i="5"/>
  <c r="L268" i="5"/>
  <c r="L385" i="5"/>
  <c r="U48" i="8"/>
  <c r="O97" i="5"/>
  <c r="O158" i="5"/>
  <c r="O268" i="5"/>
  <c r="O385" i="5"/>
  <c r="V48" i="8"/>
  <c r="W48" i="8"/>
  <c r="X48" i="8"/>
  <c r="Y48" i="8"/>
  <c r="Z48" i="8"/>
  <c r="AA48" i="8"/>
  <c r="AB48" i="8"/>
  <c r="AC48" i="8"/>
  <c r="R49" i="8"/>
  <c r="F188" i="5"/>
  <c r="F271" i="5"/>
  <c r="F387" i="5"/>
  <c r="F53" i="5"/>
  <c r="F23" i="5"/>
  <c r="S49" i="8"/>
  <c r="I188" i="5"/>
  <c r="I271" i="5"/>
  <c r="I387" i="5"/>
  <c r="I53" i="5"/>
  <c r="I23" i="5"/>
  <c r="I14" i="5"/>
  <c r="T49" i="8"/>
  <c r="L271" i="5"/>
  <c r="L387" i="5"/>
  <c r="U49" i="8"/>
  <c r="O271" i="5"/>
  <c r="O387" i="5"/>
  <c r="O53" i="5"/>
  <c r="V49" i="8"/>
  <c r="W49" i="8"/>
  <c r="X49" i="8"/>
  <c r="Y49" i="8"/>
  <c r="Z49" i="8"/>
  <c r="AA49" i="8"/>
  <c r="AB49" i="8"/>
  <c r="AC49" i="8"/>
  <c r="R50" i="8"/>
  <c r="F25" i="5"/>
  <c r="F388" i="5"/>
  <c r="S50" i="8"/>
  <c r="I25" i="5"/>
  <c r="I388" i="5"/>
  <c r="I15" i="5"/>
  <c r="T50" i="8"/>
  <c r="L25" i="5"/>
  <c r="L388" i="5"/>
  <c r="U50" i="8"/>
  <c r="O25" i="5"/>
  <c r="O388" i="5"/>
  <c r="V50" i="8"/>
  <c r="W50" i="8"/>
  <c r="X50" i="8"/>
  <c r="Y50" i="8"/>
  <c r="Z50" i="8"/>
  <c r="AA50" i="8"/>
  <c r="AB50" i="8"/>
  <c r="AC50" i="8"/>
  <c r="R51" i="8"/>
  <c r="F65" i="5"/>
  <c r="F27" i="5"/>
  <c r="F393" i="5"/>
  <c r="F16" i="5"/>
  <c r="S51" i="8"/>
  <c r="I177" i="5"/>
  <c r="I65" i="5"/>
  <c r="I27" i="5"/>
  <c r="I393" i="5"/>
  <c r="I240" i="5"/>
  <c r="I16" i="5"/>
  <c r="T51" i="8"/>
  <c r="L117" i="5"/>
  <c r="L65" i="5"/>
  <c r="U51" i="8"/>
  <c r="O117" i="5"/>
  <c r="O65" i="5"/>
  <c r="O27" i="5"/>
  <c r="V51" i="8"/>
  <c r="R240" i="5"/>
  <c r="W51" i="8"/>
  <c r="X51" i="8"/>
  <c r="Y51" i="8"/>
  <c r="Z51" i="8"/>
  <c r="AA51" i="8"/>
  <c r="AB51" i="8"/>
  <c r="AC51" i="8"/>
  <c r="R52" i="8"/>
  <c r="F38" i="5"/>
  <c r="F383" i="5"/>
  <c r="F17" i="5"/>
  <c r="S52" i="8"/>
  <c r="I122" i="5"/>
  <c r="I38" i="5"/>
  <c r="I383" i="5"/>
  <c r="I17" i="5"/>
  <c r="T52" i="8"/>
  <c r="L122" i="5"/>
  <c r="L38" i="5"/>
  <c r="L383" i="5"/>
  <c r="U52" i="8"/>
  <c r="O122" i="5"/>
  <c r="O38" i="5"/>
  <c r="O383" i="5"/>
  <c r="V52" i="8"/>
  <c r="W52" i="8"/>
  <c r="X52" i="8"/>
  <c r="Y52" i="8"/>
  <c r="Z52" i="8"/>
  <c r="AA52" i="8"/>
  <c r="AB52" i="8"/>
  <c r="AC52" i="8"/>
  <c r="R53" i="8"/>
  <c r="S53" i="8"/>
  <c r="I241" i="5"/>
  <c r="I121" i="5"/>
  <c r="I245" i="5"/>
  <c r="T53" i="8"/>
  <c r="L121" i="5"/>
  <c r="U53" i="8"/>
  <c r="O121" i="5"/>
  <c r="V53" i="8"/>
  <c r="R241" i="5"/>
  <c r="R245" i="5"/>
  <c r="W53" i="8"/>
  <c r="X53" i="8"/>
  <c r="Y53" i="8"/>
  <c r="Z53" i="8"/>
  <c r="AA53" i="8"/>
  <c r="AB53" i="8"/>
  <c r="AC53" i="8"/>
  <c r="R54" i="8"/>
  <c r="F54" i="5"/>
  <c r="F62" i="5"/>
  <c r="F37" i="5"/>
  <c r="S54" i="8"/>
  <c r="I54" i="5"/>
  <c r="I62" i="5"/>
  <c r="I246" i="5"/>
  <c r="I37" i="5"/>
  <c r="T54" i="8"/>
  <c r="L62" i="5"/>
  <c r="U54" i="8"/>
  <c r="O62" i="5"/>
  <c r="V54" i="8"/>
  <c r="R246" i="5"/>
  <c r="W54" i="8"/>
  <c r="X54" i="8"/>
  <c r="Y54" i="8"/>
  <c r="Z54" i="8"/>
  <c r="AA54" i="8"/>
  <c r="AB54" i="8"/>
  <c r="AC54" i="8"/>
  <c r="R55" i="8"/>
  <c r="S55" i="8"/>
  <c r="I247" i="5"/>
  <c r="T55" i="8"/>
  <c r="U55" i="8"/>
  <c r="V55" i="8"/>
  <c r="R247" i="5"/>
  <c r="W55" i="8"/>
  <c r="X55" i="8"/>
  <c r="Y55" i="8"/>
  <c r="Z55" i="8"/>
  <c r="AA55" i="8"/>
  <c r="AB55" i="8"/>
  <c r="AC55" i="8"/>
  <c r="R56" i="8"/>
  <c r="F21" i="5"/>
  <c r="S56" i="8"/>
  <c r="I253" i="5"/>
  <c r="I21" i="5"/>
  <c r="T56" i="8"/>
  <c r="U56" i="8"/>
  <c r="V56" i="8"/>
  <c r="R253" i="5"/>
  <c r="W56" i="8"/>
  <c r="X56" i="8"/>
  <c r="Y56" i="8"/>
  <c r="Z56" i="8"/>
  <c r="AA56" i="8"/>
  <c r="AB56" i="8"/>
  <c r="AC56" i="8"/>
  <c r="R57" i="8"/>
  <c r="F61" i="5"/>
  <c r="F169" i="5"/>
  <c r="S57" i="8"/>
  <c r="I61" i="5"/>
  <c r="I55" i="5"/>
  <c r="I169" i="5"/>
  <c r="I175" i="5"/>
  <c r="I22" i="5"/>
  <c r="T57" i="8"/>
  <c r="L169" i="5"/>
  <c r="U57" i="8"/>
  <c r="O169" i="5"/>
  <c r="V57" i="8"/>
  <c r="W57" i="8"/>
  <c r="X57" i="8"/>
  <c r="Y57" i="8"/>
  <c r="Z57" i="8"/>
  <c r="AA57" i="8"/>
  <c r="AB57" i="8"/>
  <c r="AC57" i="8"/>
  <c r="R58" i="8"/>
  <c r="F381" i="5"/>
  <c r="F171" i="5"/>
  <c r="S58" i="8"/>
  <c r="I381" i="5"/>
  <c r="I56" i="5"/>
  <c r="I171" i="5"/>
  <c r="I176" i="5"/>
  <c r="I255" i="5"/>
  <c r="T58" i="8"/>
  <c r="L381" i="5"/>
  <c r="L171" i="5"/>
  <c r="U58" i="8"/>
  <c r="O381" i="5"/>
  <c r="O171" i="5"/>
  <c r="V58" i="8"/>
  <c r="R255" i="5"/>
  <c r="W58" i="8"/>
  <c r="X58" i="8"/>
  <c r="Y58" i="8"/>
  <c r="Z58" i="8"/>
  <c r="AA58" i="8"/>
  <c r="AB58" i="8"/>
  <c r="AC58" i="8"/>
  <c r="R59" i="8"/>
  <c r="F57" i="5"/>
  <c r="F24" i="5"/>
  <c r="S59" i="8"/>
  <c r="I57" i="5"/>
  <c r="I24" i="5"/>
  <c r="T59" i="8"/>
  <c r="U59" i="8"/>
  <c r="V59" i="8"/>
  <c r="W59" i="8"/>
  <c r="X59" i="8"/>
  <c r="Y59" i="8"/>
  <c r="Z59" i="8"/>
  <c r="AA59" i="8"/>
  <c r="AB59" i="8"/>
  <c r="AC59" i="8"/>
  <c r="R60" i="8"/>
  <c r="F390" i="5"/>
  <c r="S60" i="8"/>
  <c r="I58" i="5"/>
  <c r="I390" i="5"/>
  <c r="T60" i="8"/>
  <c r="L104" i="5"/>
  <c r="L390" i="5"/>
  <c r="U60" i="8"/>
  <c r="O104" i="5"/>
  <c r="O390" i="5"/>
  <c r="V60" i="8"/>
  <c r="W60" i="8"/>
  <c r="X60" i="8"/>
  <c r="Y60" i="8"/>
  <c r="Z60" i="8"/>
  <c r="AA60" i="8"/>
  <c r="AB60" i="8"/>
  <c r="AC60" i="8"/>
  <c r="R4" i="8"/>
  <c r="S4" i="8"/>
  <c r="I59" i="5"/>
  <c r="I124" i="5"/>
  <c r="T4" i="8"/>
  <c r="L124" i="5"/>
  <c r="U4" i="8"/>
  <c r="O124" i="5"/>
  <c r="V4" i="8"/>
  <c r="W4" i="8"/>
  <c r="X4" i="8"/>
  <c r="Y4" i="8"/>
  <c r="Z4" i="8"/>
  <c r="AA4" i="8"/>
  <c r="AB4" i="8"/>
  <c r="AC4" i="8"/>
  <c r="R61" i="8"/>
  <c r="F60" i="5"/>
  <c r="S61" i="8"/>
  <c r="I60" i="5"/>
  <c r="I242" i="5"/>
  <c r="T61" i="8"/>
  <c r="U61" i="8"/>
  <c r="V61" i="8"/>
  <c r="R242" i="5"/>
  <c r="W61" i="8"/>
  <c r="X61" i="8"/>
  <c r="Y61" i="8"/>
  <c r="Z61" i="8"/>
  <c r="AA61" i="8"/>
  <c r="AB61" i="8"/>
  <c r="AC61" i="8"/>
  <c r="R62" i="8"/>
  <c r="F279" i="5"/>
  <c r="S62" i="8"/>
  <c r="I279" i="5"/>
  <c r="I251" i="5"/>
  <c r="T62" i="8"/>
  <c r="U62" i="8"/>
  <c r="V62" i="8"/>
  <c r="R251" i="5"/>
  <c r="W62" i="8"/>
  <c r="X62" i="8"/>
  <c r="Y62" i="8"/>
  <c r="Z62" i="8"/>
  <c r="AA62" i="8"/>
  <c r="AB62" i="8"/>
  <c r="AC62" i="8"/>
  <c r="R5" i="8"/>
  <c r="S5" i="8"/>
  <c r="I252" i="5"/>
  <c r="T5" i="8"/>
  <c r="U5" i="8"/>
  <c r="V5" i="8"/>
  <c r="R252" i="5"/>
  <c r="W5" i="8"/>
  <c r="X5" i="8"/>
  <c r="Y5" i="8"/>
  <c r="Z5" i="8"/>
  <c r="AA5" i="8"/>
  <c r="AB5" i="8"/>
  <c r="AC5" i="8"/>
  <c r="R63" i="8"/>
  <c r="F63" i="5"/>
  <c r="S63" i="8"/>
  <c r="I63" i="5"/>
  <c r="I260" i="5"/>
  <c r="T63" i="8"/>
  <c r="L63" i="5"/>
  <c r="U63" i="8"/>
  <c r="O63" i="5"/>
  <c r="V63" i="8"/>
  <c r="R260" i="5"/>
  <c r="W63" i="8"/>
  <c r="X63" i="8"/>
  <c r="Y63" i="8"/>
  <c r="Z63" i="8"/>
  <c r="AA63" i="8"/>
  <c r="AB63" i="8"/>
  <c r="AC63" i="8"/>
  <c r="R64" i="8"/>
  <c r="F64" i="5"/>
  <c r="F274" i="5"/>
  <c r="S64" i="8"/>
  <c r="I64" i="5"/>
  <c r="I274" i="5"/>
  <c r="I263" i="5"/>
  <c r="T64" i="8"/>
  <c r="L64" i="5"/>
  <c r="L274" i="5"/>
  <c r="U64" i="8"/>
  <c r="O64" i="5"/>
  <c r="O274" i="5"/>
  <c r="V64" i="8"/>
  <c r="R263" i="5"/>
  <c r="W64" i="8"/>
  <c r="X64" i="8"/>
  <c r="Y64" i="8"/>
  <c r="Z64" i="8"/>
  <c r="AA64" i="8"/>
  <c r="AB64" i="8"/>
  <c r="AC64" i="8"/>
  <c r="R65" i="8"/>
  <c r="S65" i="8"/>
  <c r="I264" i="5"/>
  <c r="T65" i="8"/>
  <c r="L109" i="5"/>
  <c r="U65" i="8"/>
  <c r="O109" i="5"/>
  <c r="V65" i="8"/>
  <c r="R264" i="5"/>
  <c r="W65" i="8"/>
  <c r="X65" i="8"/>
  <c r="Y65" i="8"/>
  <c r="Z65" i="8"/>
  <c r="AA65" i="8"/>
  <c r="AB65" i="8"/>
  <c r="AC65" i="8"/>
  <c r="R66" i="8"/>
  <c r="F170" i="5"/>
  <c r="S66" i="8"/>
  <c r="I170" i="5"/>
  <c r="I265" i="5"/>
  <c r="T66" i="8"/>
  <c r="L77" i="5"/>
  <c r="L170" i="5"/>
  <c r="U66" i="8"/>
  <c r="O77" i="5"/>
  <c r="O170" i="5"/>
  <c r="V66" i="8"/>
  <c r="R265" i="5"/>
  <c r="W66" i="8"/>
  <c r="X66" i="8"/>
  <c r="Y66" i="8"/>
  <c r="Z66" i="8"/>
  <c r="AA66" i="8"/>
  <c r="AB66" i="8"/>
  <c r="AC66" i="8"/>
  <c r="R67" i="8"/>
  <c r="S67" i="8"/>
  <c r="I112" i="5"/>
  <c r="T67" i="8"/>
  <c r="L112" i="5"/>
  <c r="U67" i="8"/>
  <c r="O112" i="5"/>
  <c r="V67" i="8"/>
  <c r="W67" i="8"/>
  <c r="X67" i="8"/>
  <c r="Y67" i="8"/>
  <c r="Z67" i="8"/>
  <c r="AA67" i="8"/>
  <c r="AB67" i="8"/>
  <c r="AC67" i="8"/>
  <c r="R68" i="8"/>
  <c r="F68" i="5"/>
  <c r="S68" i="8"/>
  <c r="I68" i="5"/>
  <c r="T68" i="8"/>
  <c r="L68" i="5"/>
  <c r="L132" i="5"/>
  <c r="U68" i="8"/>
  <c r="O68" i="5"/>
  <c r="O132" i="5"/>
  <c r="V68" i="8"/>
  <c r="W68" i="8"/>
  <c r="X68" i="8"/>
  <c r="Y68" i="8"/>
  <c r="Z68" i="8"/>
  <c r="AA68" i="8"/>
  <c r="AB68" i="8"/>
  <c r="AC68" i="8"/>
  <c r="R69" i="8"/>
  <c r="S69" i="8"/>
  <c r="I69" i="5"/>
  <c r="T69" i="8"/>
  <c r="U69" i="8"/>
  <c r="V69" i="8"/>
  <c r="W69" i="8"/>
  <c r="X69" i="8"/>
  <c r="Y69" i="8"/>
  <c r="Z69" i="8"/>
  <c r="AA69" i="8"/>
  <c r="AB69" i="8"/>
  <c r="AC69" i="8"/>
  <c r="R70" i="8"/>
  <c r="S70" i="8"/>
  <c r="I70" i="5"/>
  <c r="T70" i="8"/>
  <c r="L70" i="5"/>
  <c r="U70" i="8"/>
  <c r="O70" i="5"/>
  <c r="V70" i="8"/>
  <c r="W70" i="8"/>
  <c r="X70" i="8"/>
  <c r="Y70" i="8"/>
  <c r="Z70" i="8"/>
  <c r="AA70" i="8"/>
  <c r="AB70" i="8"/>
  <c r="AC70" i="8"/>
  <c r="R71" i="8"/>
  <c r="F329" i="5"/>
  <c r="F71" i="5"/>
  <c r="S71" i="8"/>
  <c r="I329" i="5"/>
  <c r="I71" i="5"/>
  <c r="T71" i="8"/>
  <c r="L71" i="5"/>
  <c r="U71" i="8"/>
  <c r="O71" i="5"/>
  <c r="V71" i="8"/>
  <c r="W71" i="8"/>
  <c r="X71" i="8"/>
  <c r="Y71" i="8"/>
  <c r="Z71" i="8"/>
  <c r="AA71" i="8"/>
  <c r="AB71" i="8"/>
  <c r="AC71" i="8"/>
  <c r="R72" i="8"/>
  <c r="F334" i="5"/>
  <c r="F280" i="5"/>
  <c r="S72" i="8"/>
  <c r="I334" i="5"/>
  <c r="I72" i="5"/>
  <c r="I280" i="5"/>
  <c r="T72" i="8"/>
  <c r="L72" i="5"/>
  <c r="L239" i="5"/>
  <c r="L280" i="5"/>
  <c r="U72" i="8"/>
  <c r="O72" i="5"/>
  <c r="O239" i="5"/>
  <c r="O280" i="5"/>
  <c r="V72" i="8"/>
  <c r="W72" i="8"/>
  <c r="X72" i="8"/>
  <c r="Y72" i="8"/>
  <c r="Z72" i="8"/>
  <c r="AA72" i="8"/>
  <c r="AB72" i="8"/>
  <c r="AC72" i="8"/>
  <c r="R73" i="8"/>
  <c r="F327" i="5"/>
  <c r="F233" i="5"/>
  <c r="S73" i="8"/>
  <c r="I327" i="5"/>
  <c r="I233" i="5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L73" i="5"/>
  <c r="L87" i="5"/>
  <c r="U74" i="8"/>
  <c r="O73" i="5"/>
  <c r="O87" i="5"/>
  <c r="V74" i="8"/>
  <c r="W74" i="8"/>
  <c r="X74" i="8"/>
  <c r="Y74" i="8"/>
  <c r="Z74" i="8"/>
  <c r="AA74" i="8"/>
  <c r="AB74" i="8"/>
  <c r="AC74" i="8"/>
  <c r="R75" i="8"/>
  <c r="S75" i="8"/>
  <c r="I74" i="5"/>
  <c r="T75" i="8"/>
  <c r="L74" i="5"/>
  <c r="U75" i="8"/>
  <c r="O74" i="5"/>
  <c r="V75" i="8"/>
  <c r="W75" i="8"/>
  <c r="X75" i="8"/>
  <c r="Y75" i="8"/>
  <c r="Z75" i="8"/>
  <c r="AA75" i="8"/>
  <c r="AB75" i="8"/>
  <c r="AC75" i="8"/>
  <c r="R76" i="8"/>
  <c r="S76" i="8"/>
  <c r="I75" i="5"/>
  <c r="T76" i="8"/>
  <c r="L75" i="5"/>
  <c r="U76" i="8"/>
  <c r="O75" i="5"/>
  <c r="V76" i="8"/>
  <c r="W76" i="8"/>
  <c r="X76" i="8"/>
  <c r="Y76" i="8"/>
  <c r="Z76" i="8"/>
  <c r="AA76" i="8"/>
  <c r="AB76" i="8"/>
  <c r="AC76" i="8"/>
  <c r="R77" i="8"/>
  <c r="S77" i="8"/>
  <c r="I76" i="5"/>
  <c r="I249" i="5"/>
  <c r="T77" i="8"/>
  <c r="L76" i="5"/>
  <c r="U77" i="8"/>
  <c r="O76" i="5"/>
  <c r="V77" i="8"/>
  <c r="R249" i="5"/>
  <c r="W77" i="8"/>
  <c r="X77" i="8"/>
  <c r="Y77" i="8"/>
  <c r="Z77" i="8"/>
  <c r="AA77" i="8"/>
  <c r="AB77" i="8"/>
  <c r="AC77" i="8"/>
  <c r="R78" i="8"/>
  <c r="S78" i="8"/>
  <c r="I250" i="5"/>
  <c r="T78" i="8"/>
  <c r="U78" i="8"/>
  <c r="V78" i="8"/>
  <c r="R250" i="5"/>
  <c r="W78" i="8"/>
  <c r="X78" i="8"/>
  <c r="Y78" i="8"/>
  <c r="Z78" i="8"/>
  <c r="AA78" i="8"/>
  <c r="AB78" i="8"/>
  <c r="AC78" i="8"/>
  <c r="R6" i="8"/>
  <c r="S6" i="8"/>
  <c r="I162" i="5"/>
  <c r="T6" i="8"/>
  <c r="L78" i="5"/>
  <c r="L162" i="5"/>
  <c r="U6" i="8"/>
  <c r="O78" i="5"/>
  <c r="O162" i="5"/>
  <c r="V6" i="8"/>
  <c r="W6" i="8"/>
  <c r="X6" i="8"/>
  <c r="Y6" i="8"/>
  <c r="Z6" i="8"/>
  <c r="AA6" i="8"/>
  <c r="AB6" i="8"/>
  <c r="AC6" i="8"/>
  <c r="R7" i="8"/>
  <c r="F92" i="5"/>
  <c r="S7" i="8"/>
  <c r="I92" i="5"/>
  <c r="T7" i="8"/>
  <c r="U7" i="8"/>
  <c r="V7" i="8"/>
  <c r="W7" i="8"/>
  <c r="X7" i="8"/>
  <c r="Y7" i="8"/>
  <c r="Z7" i="8"/>
  <c r="AA7" i="8"/>
  <c r="AB7" i="8"/>
  <c r="AC7" i="8"/>
  <c r="R79" i="8"/>
  <c r="F80" i="5"/>
  <c r="S79" i="8"/>
  <c r="I80" i="5"/>
  <c r="I111" i="5"/>
  <c r="T79" i="8"/>
  <c r="L80" i="5"/>
  <c r="L111" i="5"/>
  <c r="U79" i="8"/>
  <c r="O80" i="5"/>
  <c r="O111" i="5"/>
  <c r="V79" i="8"/>
  <c r="W79" i="8"/>
  <c r="X79" i="8"/>
  <c r="Y79" i="8"/>
  <c r="Z79" i="8"/>
  <c r="AA79" i="8"/>
  <c r="AB79" i="8"/>
  <c r="AC79" i="8"/>
  <c r="R80" i="8"/>
  <c r="F81" i="5"/>
  <c r="F168" i="5"/>
  <c r="S80" i="8"/>
  <c r="I81" i="5"/>
  <c r="I168" i="5"/>
  <c r="T80" i="8"/>
  <c r="L81" i="5"/>
  <c r="L168" i="5"/>
  <c r="U80" i="8"/>
  <c r="O81" i="5"/>
  <c r="O168" i="5"/>
  <c r="V80" i="8"/>
  <c r="W80" i="8"/>
  <c r="X80" i="8"/>
  <c r="Y80" i="8"/>
  <c r="Z80" i="8"/>
  <c r="AA80" i="8"/>
  <c r="AB80" i="8"/>
  <c r="AC80" i="8"/>
  <c r="R81" i="8"/>
  <c r="S81" i="8"/>
  <c r="T81" i="8"/>
  <c r="L213" i="5"/>
  <c r="U81" i="8"/>
  <c r="O213" i="5"/>
  <c r="V81" i="8"/>
  <c r="W81" i="8"/>
  <c r="X81" i="8"/>
  <c r="Y81" i="8"/>
  <c r="Z81" i="8"/>
  <c r="AA81" i="8"/>
  <c r="AB81" i="8"/>
  <c r="AC81" i="8"/>
  <c r="R82" i="8"/>
  <c r="F282" i="5"/>
  <c r="S82" i="8"/>
  <c r="I282" i="5"/>
  <c r="T82" i="8"/>
  <c r="L282" i="5"/>
  <c r="U82" i="8"/>
  <c r="O282" i="5"/>
  <c r="V82" i="8"/>
  <c r="W82" i="8"/>
  <c r="X82" i="8"/>
  <c r="Y82" i="8"/>
  <c r="Z82" i="8"/>
  <c r="AA82" i="8"/>
  <c r="AB82" i="8"/>
  <c r="AC82" i="8"/>
  <c r="R83" i="8"/>
  <c r="F83" i="5"/>
  <c r="F276" i="5"/>
  <c r="S83" i="8"/>
  <c r="I83" i="5"/>
  <c r="I276" i="5"/>
  <c r="T83" i="8"/>
  <c r="L83" i="5"/>
  <c r="L276" i="5"/>
  <c r="U83" i="8"/>
  <c r="O83" i="5"/>
  <c r="O276" i="5"/>
  <c r="V83" i="8"/>
  <c r="W83" i="8"/>
  <c r="X83" i="8"/>
  <c r="Y83" i="8"/>
  <c r="Z83" i="8"/>
  <c r="AA83" i="8"/>
  <c r="AB83" i="8"/>
  <c r="AC83" i="8"/>
  <c r="R84" i="8"/>
  <c r="F84" i="5"/>
  <c r="F98" i="5"/>
  <c r="S84" i="8"/>
  <c r="I84" i="5"/>
  <c r="I98" i="5"/>
  <c r="T84" i="8"/>
  <c r="L84" i="5"/>
  <c r="L98" i="5"/>
  <c r="U84" i="8"/>
  <c r="O84" i="5"/>
  <c r="O98" i="5"/>
  <c r="V84" i="8"/>
  <c r="W84" i="8"/>
  <c r="X84" i="8"/>
  <c r="Y84" i="8"/>
  <c r="Z84" i="8"/>
  <c r="AA84" i="8"/>
  <c r="AB84" i="8"/>
  <c r="AC84" i="8"/>
  <c r="R85" i="8"/>
  <c r="S85" i="8"/>
  <c r="I85" i="5"/>
  <c r="T85" i="8"/>
  <c r="L85" i="5"/>
  <c r="U85" i="8"/>
  <c r="O85" i="5"/>
  <c r="V85" i="8"/>
  <c r="W85" i="8"/>
  <c r="X85" i="8"/>
  <c r="Y85" i="8"/>
  <c r="Z85" i="8"/>
  <c r="AA85" i="8"/>
  <c r="AB85" i="8"/>
  <c r="AC85" i="8"/>
  <c r="R86" i="8"/>
  <c r="F283" i="5"/>
  <c r="S86" i="8"/>
  <c r="I283" i="5"/>
  <c r="T86" i="8"/>
  <c r="L283" i="5"/>
  <c r="L106" i="5"/>
  <c r="U86" i="8"/>
  <c r="O283" i="5"/>
  <c r="O106" i="5"/>
  <c r="V86" i="8"/>
  <c r="W86" i="8"/>
  <c r="X86" i="8"/>
  <c r="Y86" i="8"/>
  <c r="Z86" i="8"/>
  <c r="AA86" i="8"/>
  <c r="AB86" i="8"/>
  <c r="AC86" i="8"/>
  <c r="R87" i="8"/>
  <c r="F284" i="5"/>
  <c r="S87" i="8"/>
  <c r="I284" i="5"/>
  <c r="T87" i="8"/>
  <c r="L284" i="5"/>
  <c r="L107" i="5"/>
  <c r="U87" i="8"/>
  <c r="O284" i="5"/>
  <c r="O107" i="5"/>
  <c r="V87" i="8"/>
  <c r="W87" i="8"/>
  <c r="X87" i="8"/>
  <c r="Y87" i="8"/>
  <c r="Z87" i="8"/>
  <c r="AA87" i="8"/>
  <c r="AB87" i="8"/>
  <c r="AC87" i="8"/>
  <c r="R88" i="8"/>
  <c r="F86" i="5"/>
  <c r="S88" i="8"/>
  <c r="I86" i="5"/>
  <c r="T88" i="8"/>
  <c r="L86" i="5"/>
  <c r="L108" i="5"/>
  <c r="U88" i="8"/>
  <c r="O86" i="5"/>
  <c r="O108" i="5"/>
  <c r="V88" i="8"/>
  <c r="W88" i="8"/>
  <c r="X88" i="8"/>
  <c r="Y88" i="8"/>
  <c r="Z88" i="8"/>
  <c r="AA88" i="8"/>
  <c r="AB88" i="8"/>
  <c r="AC88" i="8"/>
  <c r="R89" i="8"/>
  <c r="F96" i="5"/>
  <c r="S89" i="8"/>
  <c r="I96" i="5"/>
  <c r="T89" i="8"/>
  <c r="L159" i="5"/>
  <c r="L96" i="5"/>
  <c r="U89" i="8"/>
  <c r="O159" i="5"/>
  <c r="O96" i="5"/>
  <c r="V89" i="8"/>
  <c r="W89" i="8"/>
  <c r="X89" i="8"/>
  <c r="Y89" i="8"/>
  <c r="Z89" i="8"/>
  <c r="AA89" i="8"/>
  <c r="AB89" i="8"/>
  <c r="AC89" i="8"/>
  <c r="R90" i="8"/>
  <c r="F277" i="5"/>
  <c r="S90" i="8"/>
  <c r="I277" i="5"/>
  <c r="I248" i="5"/>
  <c r="T90" i="8"/>
  <c r="L160" i="5"/>
  <c r="U90" i="8"/>
  <c r="O160" i="5"/>
  <c r="V90" i="8"/>
  <c r="R248" i="5"/>
  <c r="W90" i="8"/>
  <c r="X90" i="8"/>
  <c r="Y90" i="8"/>
  <c r="Z90" i="8"/>
  <c r="AA90" i="8"/>
  <c r="AB90" i="8"/>
  <c r="AC90" i="8"/>
  <c r="R91" i="8"/>
  <c r="F190" i="5"/>
  <c r="S91" i="8"/>
  <c r="I190" i="5"/>
  <c r="I115" i="5"/>
  <c r="T91" i="8"/>
  <c r="L190" i="5"/>
  <c r="L115" i="5"/>
  <c r="U91" i="8"/>
  <c r="O190" i="5"/>
  <c r="O115" i="5"/>
  <c r="V91" i="8"/>
  <c r="W91" i="8"/>
  <c r="X91" i="8"/>
  <c r="Y91" i="8"/>
  <c r="Z91" i="8"/>
  <c r="AA91" i="8"/>
  <c r="AB91" i="8"/>
  <c r="AC91" i="8"/>
  <c r="R92" i="8"/>
  <c r="S92" i="8"/>
  <c r="T92" i="8"/>
  <c r="L88" i="5"/>
  <c r="U92" i="8"/>
  <c r="O88" i="5"/>
  <c r="V92" i="8"/>
  <c r="W92" i="8"/>
  <c r="X92" i="8"/>
  <c r="Y92" i="8"/>
  <c r="Z92" i="8"/>
  <c r="AA92" i="8"/>
  <c r="AB92" i="8"/>
  <c r="AC92" i="8"/>
  <c r="R93" i="8"/>
  <c r="F266" i="5"/>
  <c r="S93" i="8"/>
  <c r="I266" i="5"/>
  <c r="T93" i="8"/>
  <c r="L89" i="5"/>
  <c r="L266" i="5"/>
  <c r="U93" i="8"/>
  <c r="O89" i="5"/>
  <c r="O266" i="5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F192" i="5"/>
  <c r="S96" i="8"/>
  <c r="I192" i="5"/>
  <c r="T96" i="8"/>
  <c r="L192" i="5"/>
  <c r="U96" i="8"/>
  <c r="O192" i="5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F273" i="5"/>
  <c r="S98" i="8"/>
  <c r="I273" i="5"/>
  <c r="T98" i="8"/>
  <c r="L273" i="5"/>
  <c r="U98" i="8"/>
  <c r="O273" i="5"/>
  <c r="V98" i="8"/>
  <c r="W98" i="8"/>
  <c r="X98" i="8"/>
  <c r="Y98" i="8"/>
  <c r="Z98" i="8"/>
  <c r="AA98" i="8"/>
  <c r="AB98" i="8"/>
  <c r="AC98" i="8"/>
  <c r="R99" i="8"/>
  <c r="F93" i="5"/>
  <c r="S99" i="8"/>
  <c r="I93" i="5"/>
  <c r="T99" i="8"/>
  <c r="L93" i="5"/>
  <c r="U99" i="8"/>
  <c r="O93" i="5"/>
  <c r="V99" i="8"/>
  <c r="W99" i="8"/>
  <c r="X99" i="8"/>
  <c r="Y99" i="8"/>
  <c r="Z99" i="8"/>
  <c r="AA99" i="8"/>
  <c r="AB99" i="8"/>
  <c r="AC99" i="8"/>
  <c r="R100" i="8"/>
  <c r="S100" i="8"/>
  <c r="I94" i="5"/>
  <c r="T100" i="8"/>
  <c r="L94" i="5"/>
  <c r="U100" i="8"/>
  <c r="O94" i="5"/>
  <c r="V100" i="8"/>
  <c r="W100" i="8"/>
  <c r="X100" i="8"/>
  <c r="Y100" i="8"/>
  <c r="Z100" i="8"/>
  <c r="AA100" i="8"/>
  <c r="AB100" i="8"/>
  <c r="AC100" i="8"/>
  <c r="R101" i="8"/>
  <c r="F95" i="5"/>
  <c r="F285" i="5"/>
  <c r="S101" i="8"/>
  <c r="I95" i="5"/>
  <c r="I285" i="5"/>
  <c r="T101" i="8"/>
  <c r="L95" i="5"/>
  <c r="L285" i="5"/>
  <c r="U101" i="8"/>
  <c r="O95" i="5"/>
  <c r="O285" i="5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I126" i="5"/>
  <c r="T107" i="8"/>
  <c r="L126" i="5"/>
  <c r="U107" i="8"/>
  <c r="O126" i="5"/>
  <c r="V107" i="8"/>
  <c r="W107" i="8"/>
  <c r="X107" i="8"/>
  <c r="Y107" i="8"/>
  <c r="Z107" i="8"/>
  <c r="AA107" i="8"/>
  <c r="AB107" i="8"/>
  <c r="AC107" i="8"/>
  <c r="R108" i="8"/>
  <c r="F99" i="5"/>
  <c r="F134" i="5"/>
  <c r="S108" i="8"/>
  <c r="I99" i="5"/>
  <c r="I134" i="5"/>
  <c r="T108" i="8"/>
  <c r="L99" i="5"/>
  <c r="U108" i="8"/>
  <c r="O99" i="5"/>
  <c r="V108" i="8"/>
  <c r="W108" i="8"/>
  <c r="X108" i="8"/>
  <c r="Y108" i="8"/>
  <c r="Z108" i="8"/>
  <c r="AA108" i="8"/>
  <c r="AB108" i="8"/>
  <c r="AC108" i="8"/>
  <c r="R109" i="8"/>
  <c r="S109" i="8"/>
  <c r="I324" i="5"/>
  <c r="T109" i="8"/>
  <c r="U109" i="8"/>
  <c r="V109" i="8"/>
  <c r="W109" i="8"/>
  <c r="X109" i="8"/>
  <c r="Y109" i="8"/>
  <c r="Z109" i="8"/>
  <c r="AA109" i="8"/>
  <c r="AB109" i="8"/>
  <c r="AC109" i="8"/>
  <c r="R110" i="8"/>
  <c r="F101" i="5"/>
  <c r="S110" i="8"/>
  <c r="I322" i="5"/>
  <c r="T110" i="8"/>
  <c r="U110" i="8"/>
  <c r="V110" i="8"/>
  <c r="W110" i="8"/>
  <c r="X110" i="8"/>
  <c r="Y110" i="8"/>
  <c r="Z110" i="8"/>
  <c r="AA110" i="8"/>
  <c r="AB110" i="8"/>
  <c r="AC110" i="8"/>
  <c r="R111" i="8"/>
  <c r="S111" i="8"/>
  <c r="I323" i="5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L119" i="5"/>
  <c r="U113" i="8"/>
  <c r="O119" i="5"/>
  <c r="V113" i="8"/>
  <c r="W113" i="8"/>
  <c r="X113" i="8"/>
  <c r="Y113" i="8"/>
  <c r="Z113" i="8"/>
  <c r="AA113" i="8"/>
  <c r="AB113" i="8"/>
  <c r="AC113" i="8"/>
  <c r="R114" i="8"/>
  <c r="S114" i="8"/>
  <c r="T114" i="8"/>
  <c r="L105" i="5"/>
  <c r="U114" i="8"/>
  <c r="O105" i="5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L209" i="5"/>
  <c r="U118" i="8"/>
  <c r="O209" i="5"/>
  <c r="V118" i="8"/>
  <c r="W118" i="8"/>
  <c r="X118" i="8"/>
  <c r="Y118" i="8"/>
  <c r="Z118" i="8"/>
  <c r="AA118" i="8"/>
  <c r="AB118" i="8"/>
  <c r="AC118" i="8"/>
  <c r="R119" i="8"/>
  <c r="S119" i="8"/>
  <c r="T119" i="8"/>
  <c r="L110" i="5"/>
  <c r="U119" i="8"/>
  <c r="O110" i="5"/>
  <c r="V119" i="8"/>
  <c r="W119" i="8"/>
  <c r="X119" i="8"/>
  <c r="Y119" i="8"/>
  <c r="Z119" i="8"/>
  <c r="AA119" i="8"/>
  <c r="AB119" i="8"/>
  <c r="AC119" i="8"/>
  <c r="R120" i="8"/>
  <c r="F375" i="5"/>
  <c r="S120" i="8"/>
  <c r="I375" i="5"/>
  <c r="I127" i="5"/>
  <c r="T120" i="8"/>
  <c r="L127" i="5"/>
  <c r="U120" i="8"/>
  <c r="O127" i="5"/>
  <c r="V120" i="8"/>
  <c r="W120" i="8"/>
  <c r="X120" i="8"/>
  <c r="Y120" i="8"/>
  <c r="Z120" i="8"/>
  <c r="AA120" i="8"/>
  <c r="AB120" i="8"/>
  <c r="AC120" i="8"/>
  <c r="R121" i="8"/>
  <c r="S121" i="8"/>
  <c r="I125" i="5"/>
  <c r="T121" i="8"/>
  <c r="L130" i="5"/>
  <c r="L125" i="5"/>
  <c r="U121" i="8"/>
  <c r="O130" i="5"/>
  <c r="O125" i="5"/>
  <c r="V121" i="8"/>
  <c r="W121" i="8"/>
  <c r="X121" i="8"/>
  <c r="Y121" i="8"/>
  <c r="Z121" i="8"/>
  <c r="AA121" i="8"/>
  <c r="AB121" i="8"/>
  <c r="AC121" i="8"/>
  <c r="R122" i="8"/>
  <c r="S122" i="8"/>
  <c r="I113" i="5"/>
  <c r="T122" i="8"/>
  <c r="L113" i="5"/>
  <c r="U122" i="8"/>
  <c r="O113" i="5"/>
  <c r="V122" i="8"/>
  <c r="W122" i="8"/>
  <c r="X122" i="8"/>
  <c r="Y122" i="8"/>
  <c r="Z122" i="8"/>
  <c r="AA122" i="8"/>
  <c r="AB122" i="8"/>
  <c r="AC122" i="8"/>
  <c r="R123" i="8"/>
  <c r="S123" i="8"/>
  <c r="I114" i="5"/>
  <c r="T123" i="8"/>
  <c r="L114" i="5"/>
  <c r="U123" i="8"/>
  <c r="O114" i="5"/>
  <c r="V123" i="8"/>
  <c r="W123" i="8"/>
  <c r="X123" i="8"/>
  <c r="Y123" i="8"/>
  <c r="Z123" i="8"/>
  <c r="AA123" i="8"/>
  <c r="AB123" i="8"/>
  <c r="AC123" i="8"/>
  <c r="R124" i="8"/>
  <c r="F135" i="5"/>
  <c r="S124" i="8"/>
  <c r="I135" i="5"/>
  <c r="T124" i="8"/>
  <c r="L211" i="5"/>
  <c r="U124" i="8"/>
  <c r="O211" i="5"/>
  <c r="V124" i="8"/>
  <c r="W124" i="8"/>
  <c r="X124" i="8"/>
  <c r="Y124" i="8"/>
  <c r="Z124" i="8"/>
  <c r="AA124" i="8"/>
  <c r="AB124" i="8"/>
  <c r="AC124" i="8"/>
  <c r="R125" i="8"/>
  <c r="F232" i="5"/>
  <c r="S125" i="8"/>
  <c r="I232" i="5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F376" i="5"/>
  <c r="S129" i="8"/>
  <c r="I376" i="5"/>
  <c r="T129" i="8"/>
  <c r="L128" i="5"/>
  <c r="U129" i="8"/>
  <c r="O128" i="5"/>
  <c r="V129" i="8"/>
  <c r="W129" i="8"/>
  <c r="X129" i="8"/>
  <c r="Y129" i="8"/>
  <c r="Z129" i="8"/>
  <c r="AA129" i="8"/>
  <c r="AB129" i="8"/>
  <c r="AC129" i="8"/>
  <c r="R130" i="8"/>
  <c r="S130" i="8"/>
  <c r="I370" i="5"/>
  <c r="T130" i="8"/>
  <c r="U130" i="8"/>
  <c r="V130" i="8"/>
  <c r="W130" i="8"/>
  <c r="X130" i="8"/>
  <c r="Y130" i="8"/>
  <c r="Z130" i="8"/>
  <c r="AA130" i="8"/>
  <c r="AB130" i="8"/>
  <c r="AC130" i="8"/>
  <c r="R131" i="8"/>
  <c r="F373" i="5"/>
  <c r="S131" i="8"/>
  <c r="I373" i="5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L212" i="5"/>
  <c r="U132" i="8"/>
  <c r="O212" i="5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F377" i="5"/>
  <c r="S134" i="8"/>
  <c r="I377" i="5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I374" i="5"/>
  <c r="T136" i="8"/>
  <c r="U136" i="8"/>
  <c r="V136" i="8"/>
  <c r="W136" i="8"/>
  <c r="X136" i="8"/>
  <c r="Y136" i="8"/>
  <c r="Z136" i="8"/>
  <c r="AA136" i="8"/>
  <c r="AB136" i="8"/>
  <c r="AC136" i="8"/>
  <c r="R137" i="8"/>
  <c r="F372" i="5"/>
  <c r="S137" i="8"/>
  <c r="I207" i="5"/>
  <c r="I372" i="5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L214" i="5"/>
  <c r="U138" i="8"/>
  <c r="O214" i="5"/>
  <c r="V138" i="8"/>
  <c r="W138" i="8"/>
  <c r="X138" i="8"/>
  <c r="Y138" i="8"/>
  <c r="Z138" i="8"/>
  <c r="AA138" i="8"/>
  <c r="AB138" i="8"/>
  <c r="AC138" i="8"/>
  <c r="R139" i="8"/>
  <c r="F238" i="5"/>
  <c r="F371" i="5"/>
  <c r="S139" i="8"/>
  <c r="I326" i="5"/>
  <c r="I238" i="5"/>
  <c r="I371" i="5"/>
  <c r="T139" i="8"/>
  <c r="L238" i="5"/>
  <c r="U139" i="8"/>
  <c r="O238" i="5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I298" i="5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F331" i="5"/>
  <c r="S148" i="8"/>
  <c r="I331" i="5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L131" i="5"/>
  <c r="U10" i="8"/>
  <c r="O131" i="5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F167" i="5"/>
  <c r="S152" i="8"/>
  <c r="I167" i="5"/>
  <c r="T152" i="8"/>
  <c r="L167" i="5"/>
  <c r="U152" i="8"/>
  <c r="O167" i="5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F389" i="5"/>
  <c r="S154" i="8"/>
  <c r="I389" i="5"/>
  <c r="I299" i="5"/>
  <c r="T154" i="8"/>
  <c r="L389" i="5"/>
  <c r="U154" i="8"/>
  <c r="O389" i="5"/>
  <c r="V154" i="8"/>
  <c r="W154" i="8"/>
  <c r="X154" i="8"/>
  <c r="Y154" i="8"/>
  <c r="Z154" i="8"/>
  <c r="AA154" i="8"/>
  <c r="AB154" i="8"/>
  <c r="AC154" i="8"/>
  <c r="R155" i="8"/>
  <c r="S155" i="8"/>
  <c r="I178" i="5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F335" i="5"/>
  <c r="S158" i="8"/>
  <c r="I367" i="5"/>
  <c r="I335" i="5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F191" i="5"/>
  <c r="S162" i="8"/>
  <c r="I191" i="5"/>
  <c r="T162" i="8"/>
  <c r="L191" i="5"/>
  <c r="U162" i="8"/>
  <c r="O191" i="5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F332" i="5"/>
  <c r="S164" i="8"/>
  <c r="I332" i="5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F336" i="5"/>
  <c r="S166" i="8"/>
  <c r="I336" i="5"/>
  <c r="T166" i="8"/>
  <c r="U166" i="8"/>
  <c r="V166" i="8"/>
  <c r="W166" i="8"/>
  <c r="X166" i="8"/>
  <c r="Y166" i="8"/>
  <c r="Z166" i="8"/>
  <c r="AA166" i="8"/>
  <c r="AB166" i="8"/>
  <c r="AC166" i="8"/>
  <c r="R167" i="8"/>
  <c r="F328" i="5"/>
  <c r="S167" i="8"/>
  <c r="I328" i="5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F330" i="5"/>
  <c r="S169" i="8"/>
  <c r="I163" i="5"/>
  <c r="I330" i="5"/>
  <c r="T169" i="8"/>
  <c r="L163" i="5"/>
  <c r="U169" i="8"/>
  <c r="O163" i="5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F333" i="5"/>
  <c r="S171" i="8"/>
  <c r="I333" i="5"/>
  <c r="T171" i="8"/>
  <c r="U171" i="8"/>
  <c r="V171" i="8"/>
  <c r="W171" i="8"/>
  <c r="X171" i="8"/>
  <c r="Y171" i="8"/>
  <c r="Z171" i="8"/>
  <c r="AA171" i="8"/>
  <c r="AB171" i="8"/>
  <c r="AC171" i="8"/>
  <c r="R172" i="8"/>
  <c r="F236" i="5"/>
  <c r="S172" i="8"/>
  <c r="I236" i="5"/>
  <c r="T172" i="8"/>
  <c r="L236" i="5"/>
  <c r="U172" i="8"/>
  <c r="O236" i="5"/>
  <c r="V172" i="8"/>
  <c r="W172" i="8"/>
  <c r="X172" i="8"/>
  <c r="Y172" i="8"/>
  <c r="Z172" i="8"/>
  <c r="AA172" i="8"/>
  <c r="AB172" i="8"/>
  <c r="AC172" i="8"/>
  <c r="R12" i="8"/>
  <c r="F394" i="5"/>
  <c r="S12" i="8"/>
  <c r="I394" i="5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F395" i="5"/>
  <c r="S176" i="8"/>
  <c r="I395" i="5"/>
  <c r="T176" i="8"/>
  <c r="U176" i="8"/>
  <c r="V176" i="8"/>
  <c r="W176" i="8"/>
  <c r="X176" i="8"/>
  <c r="Y176" i="8"/>
  <c r="Z176" i="8"/>
  <c r="AA176" i="8"/>
  <c r="AB176" i="8"/>
  <c r="AC176" i="8"/>
  <c r="R177" i="8"/>
  <c r="F235" i="5"/>
  <c r="S177" i="8"/>
  <c r="I235" i="5"/>
  <c r="T177" i="8"/>
  <c r="L235" i="5"/>
  <c r="U177" i="8"/>
  <c r="O235" i="5"/>
  <c r="V177" i="8"/>
  <c r="W177" i="8"/>
  <c r="X177" i="8"/>
  <c r="Y177" i="8"/>
  <c r="Z177" i="8"/>
  <c r="AA177" i="8"/>
  <c r="AB177" i="8"/>
  <c r="AC177" i="8"/>
  <c r="R178" i="8"/>
  <c r="F275" i="5"/>
  <c r="F391" i="5"/>
  <c r="S178" i="8"/>
  <c r="I275" i="5"/>
  <c r="I391" i="5"/>
  <c r="T178" i="8"/>
  <c r="L275" i="5"/>
  <c r="U178" i="8"/>
  <c r="O275" i="5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F172" i="5"/>
  <c r="S180" i="8"/>
  <c r="I172" i="5"/>
  <c r="T180" i="8"/>
  <c r="L172" i="5"/>
  <c r="U180" i="8"/>
  <c r="O172" i="5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L157" i="5"/>
  <c r="U182" i="8"/>
  <c r="O157" i="5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F193" i="5"/>
  <c r="S194" i="8"/>
  <c r="I193" i="5"/>
  <c r="T194" i="8"/>
  <c r="L193" i="5"/>
  <c r="U194" i="8"/>
  <c r="O193" i="5"/>
  <c r="V194" i="8"/>
  <c r="W194" i="8"/>
  <c r="X194" i="8"/>
  <c r="Y194" i="8"/>
  <c r="Z194" i="8"/>
  <c r="AA194" i="8"/>
  <c r="AB194" i="8"/>
  <c r="AC194" i="8"/>
  <c r="R14" i="8"/>
  <c r="F208" i="5"/>
  <c r="S14" i="8"/>
  <c r="I208" i="5"/>
  <c r="T14" i="8"/>
  <c r="L210" i="5"/>
  <c r="L208" i="5"/>
  <c r="U14" i="8"/>
  <c r="O210" i="5"/>
  <c r="O208" i="5"/>
  <c r="V14" i="8"/>
  <c r="W14" i="8"/>
  <c r="X14" i="8"/>
  <c r="Y14" i="8"/>
  <c r="Z14" i="8"/>
  <c r="AA14" i="8"/>
  <c r="AB14" i="8"/>
  <c r="AC14" i="8"/>
  <c r="R195" i="8"/>
  <c r="F189" i="5"/>
  <c r="S195" i="8"/>
  <c r="I189" i="5"/>
  <c r="T195" i="8"/>
  <c r="L189" i="5"/>
  <c r="U195" i="8"/>
  <c r="O189" i="5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I201" i="5"/>
  <c r="T201" i="8"/>
  <c r="U201" i="8"/>
  <c r="V201" i="8"/>
  <c r="W201" i="8"/>
  <c r="X201" i="8"/>
  <c r="Y201" i="8"/>
  <c r="Z201" i="8"/>
  <c r="AA201" i="8"/>
  <c r="AB201" i="8"/>
  <c r="AC201" i="8"/>
  <c r="R15" i="8"/>
  <c r="S15" i="8"/>
  <c r="I202" i="5"/>
  <c r="I197" i="5"/>
  <c r="T15" i="8"/>
  <c r="U15" i="8"/>
  <c r="V15" i="8"/>
  <c r="W15" i="8"/>
  <c r="X15" i="8"/>
  <c r="Y15" i="8"/>
  <c r="Z15" i="8"/>
  <c r="AA15" i="8"/>
  <c r="AB15" i="8"/>
  <c r="AC15" i="8"/>
  <c r="R202" i="8"/>
  <c r="F237" i="5"/>
  <c r="F196" i="5"/>
  <c r="S202" i="8"/>
  <c r="I237" i="5"/>
  <c r="I196" i="5"/>
  <c r="T202" i="8"/>
  <c r="L237" i="5"/>
  <c r="L196" i="5"/>
  <c r="U202" i="8"/>
  <c r="O237" i="5"/>
  <c r="O196" i="5"/>
  <c r="V202" i="8"/>
  <c r="W202" i="8"/>
  <c r="X202" i="8"/>
  <c r="Y202" i="8"/>
  <c r="Z202" i="8"/>
  <c r="AA202" i="8"/>
  <c r="AB202" i="8"/>
  <c r="AC202" i="8"/>
  <c r="R203" i="8"/>
  <c r="F194" i="5"/>
  <c r="S203" i="8"/>
  <c r="I194" i="5"/>
  <c r="T203" i="8"/>
  <c r="L194" i="5"/>
  <c r="U203" i="8"/>
  <c r="O194" i="5"/>
  <c r="V203" i="8"/>
  <c r="W203" i="8"/>
  <c r="X203" i="8"/>
  <c r="Y203" i="8"/>
  <c r="Z203" i="8"/>
  <c r="AA203" i="8"/>
  <c r="AB203" i="8"/>
  <c r="AC203" i="8"/>
  <c r="R16" i="8"/>
  <c r="S16" i="8"/>
  <c r="I203" i="5"/>
  <c r="T16" i="8"/>
  <c r="U16" i="8"/>
  <c r="V16" i="8"/>
  <c r="W16" i="8"/>
  <c r="X16" i="8"/>
  <c r="Y16" i="8"/>
  <c r="Z16" i="8"/>
  <c r="AA16" i="8"/>
  <c r="AB16" i="8"/>
  <c r="AC16" i="8"/>
  <c r="R204" i="8"/>
  <c r="F195" i="5"/>
  <c r="S204" i="8"/>
  <c r="I195" i="5"/>
  <c r="T204" i="8"/>
  <c r="L195" i="5"/>
  <c r="U204" i="8"/>
  <c r="O195" i="5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I206" i="5"/>
  <c r="T206" i="8"/>
  <c r="U206" i="8"/>
  <c r="V206" i="8"/>
  <c r="W206" i="8"/>
  <c r="X206" i="8"/>
  <c r="Y206" i="8"/>
  <c r="Z206" i="8"/>
  <c r="AA206" i="8"/>
  <c r="AB206" i="8"/>
  <c r="AC206" i="8"/>
  <c r="R207" i="8"/>
  <c r="F204" i="5"/>
  <c r="S207" i="8"/>
  <c r="I204" i="5"/>
  <c r="T207" i="8"/>
  <c r="U207" i="8"/>
  <c r="V207" i="8"/>
  <c r="W207" i="8"/>
  <c r="X207" i="8"/>
  <c r="Y207" i="8"/>
  <c r="Z207" i="8"/>
  <c r="AA207" i="8"/>
  <c r="AB207" i="8"/>
  <c r="AC207" i="8"/>
  <c r="R208" i="8"/>
  <c r="F231" i="5"/>
  <c r="S208" i="8"/>
  <c r="I231" i="5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I205" i="5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F234" i="5"/>
  <c r="S220" i="8"/>
  <c r="I234" i="5"/>
  <c r="T220" i="8"/>
  <c r="L234" i="5"/>
  <c r="U220" i="8"/>
  <c r="O234" i="5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00" i="5"/>
  <c r="BA117" i="5"/>
  <c r="BA310" i="5"/>
  <c r="BA315" i="5"/>
  <c r="BA308" i="5"/>
  <c r="BA329" i="5"/>
  <c r="BA334" i="5"/>
  <c r="BA327" i="5"/>
  <c r="BA402" i="5"/>
  <c r="BA401" i="5"/>
  <c r="BA306" i="5"/>
  <c r="BA340" i="5"/>
  <c r="BA375" i="5"/>
  <c r="BA337" i="5"/>
  <c r="BA403" i="5"/>
  <c r="BA297" i="5"/>
  <c r="BA326" i="5"/>
  <c r="BA398" i="5"/>
  <c r="BA325" i="5"/>
  <c r="BA304" i="5"/>
  <c r="BA331" i="5"/>
  <c r="BA298" i="5"/>
  <c r="BA345" i="5"/>
  <c r="BA321" i="5"/>
  <c r="BA342" i="5"/>
  <c r="BA400" i="5"/>
  <c r="BA354" i="5"/>
  <c r="BA406" i="5"/>
  <c r="BA299" i="5"/>
  <c r="BA393" i="5"/>
  <c r="BA392" i="5"/>
  <c r="BA372" i="5"/>
  <c r="BA391" i="5"/>
  <c r="BA303" i="5"/>
  <c r="BA405" i="5"/>
  <c r="BA371" i="5"/>
  <c r="BA328" i="5"/>
  <c r="BA296" i="5"/>
  <c r="BA341" i="5"/>
  <c r="BA336" i="5"/>
  <c r="BA332" i="5"/>
  <c r="BA318" i="5"/>
  <c r="BA344" i="5"/>
  <c r="BA295" i="5"/>
  <c r="BA301" i="5"/>
  <c r="BA377" i="5"/>
  <c r="BA373" i="5"/>
  <c r="BA376" i="5"/>
  <c r="BA317" i="5"/>
  <c r="BA311" i="5"/>
  <c r="BA20" i="5"/>
  <c r="BA305" i="5"/>
  <c r="BA362" i="5"/>
  <c r="BA396" i="5"/>
  <c r="BA70" i="5"/>
  <c r="BA335" i="5"/>
  <c r="BA363" i="5"/>
  <c r="BA309" i="5"/>
  <c r="BA349" i="5"/>
  <c r="BA338" i="5"/>
  <c r="BA346" i="5"/>
  <c r="BA343" i="5"/>
  <c r="BA360" i="5"/>
  <c r="BA394" i="5"/>
  <c r="BA395" i="5"/>
  <c r="BA307" i="5"/>
  <c r="BA361" i="5"/>
  <c r="BA369" i="5"/>
  <c r="BA330" i="5"/>
  <c r="BA339" i="5"/>
  <c r="BA333" i="5"/>
  <c r="BA319" i="5"/>
  <c r="BA290" i="5"/>
  <c r="BA399" i="5"/>
  <c r="BA291" i="5"/>
  <c r="BA292" i="5"/>
  <c r="BA322" i="5"/>
  <c r="BA323" i="5"/>
  <c r="BA314" i="5"/>
  <c r="BA370" i="5"/>
  <c r="BA313" i="5"/>
  <c r="BA294" i="5"/>
  <c r="BA312" i="5"/>
  <c r="BA293" i="5"/>
  <c r="BA374" i="5"/>
  <c r="BA316" i="5"/>
  <c r="BA353" i="5"/>
  <c r="BA324" i="5"/>
  <c r="BA355" i="5"/>
  <c r="BA358" i="5"/>
  <c r="BA302" i="5"/>
  <c r="BA243" i="5"/>
  <c r="BF219" i="5"/>
  <c r="BF300" i="5"/>
  <c r="BF302" i="5"/>
  <c r="BF308" i="5"/>
  <c r="BF310" i="5"/>
  <c r="BF315" i="5"/>
  <c r="BF243" i="5"/>
  <c r="BF278" i="5"/>
  <c r="BF286" i="5"/>
  <c r="BF261" i="5"/>
  <c r="BF244" i="5"/>
  <c r="BF254" i="5"/>
  <c r="BF256" i="5"/>
  <c r="BF97" i="5"/>
  <c r="BF161" i="5"/>
  <c r="BF188" i="5"/>
  <c r="BF42" i="5"/>
  <c r="BF47" i="5"/>
  <c r="BF177" i="5"/>
  <c r="BF241" i="5"/>
  <c r="BF257" i="5"/>
  <c r="BF259" i="5"/>
  <c r="BF61" i="5"/>
  <c r="BF117" i="5"/>
  <c r="BF381" i="5"/>
  <c r="BF388" i="5"/>
  <c r="BF39" i="5"/>
  <c r="BF40" i="5"/>
  <c r="BF41" i="5"/>
  <c r="BF102" i="5"/>
  <c r="BF306" i="5"/>
  <c r="BF251" i="5"/>
  <c r="BF264" i="5"/>
  <c r="BF38" i="5"/>
  <c r="BF66" i="5"/>
  <c r="BF175" i="5"/>
  <c r="BF65" i="5"/>
  <c r="BF67" i="5"/>
  <c r="BF402" i="5"/>
  <c r="BF327" i="5"/>
  <c r="BF329" i="5"/>
  <c r="BF334" i="5"/>
  <c r="BF249" i="5"/>
  <c r="BF250" i="5"/>
  <c r="BF262" i="5"/>
  <c r="BF53" i="5"/>
  <c r="BF56" i="5"/>
  <c r="BF59" i="5"/>
  <c r="BF153" i="5"/>
  <c r="BF282" i="5"/>
  <c r="BF401" i="5"/>
  <c r="BF50" i="5"/>
  <c r="BF240" i="5"/>
  <c r="BF245" i="5"/>
  <c r="BF247" i="5"/>
  <c r="BF252" i="5"/>
  <c r="BF253" i="5"/>
  <c r="BF255" i="5"/>
  <c r="BF265" i="5"/>
  <c r="BF148" i="5"/>
  <c r="BF152" i="5"/>
  <c r="BF297" i="5"/>
  <c r="BF176" i="5"/>
  <c r="BF304" i="5"/>
  <c r="BF260" i="5"/>
  <c r="BF142" i="5"/>
  <c r="BF263" i="5"/>
  <c r="BF52" i="5"/>
  <c r="BF287" i="5"/>
  <c r="BF140" i="5"/>
  <c r="BF154" i="5"/>
  <c r="BF298" i="5"/>
  <c r="BF129" i="5"/>
  <c r="BF137" i="5"/>
  <c r="BF149" i="5"/>
  <c r="BF281" i="5"/>
  <c r="BF179" i="5"/>
  <c r="BF269" i="5"/>
  <c r="BF271" i="5"/>
  <c r="BF124" i="5"/>
  <c r="BF280" i="5"/>
  <c r="BF18" i="5"/>
  <c r="BF225" i="5"/>
  <c r="BF340" i="5"/>
  <c r="BF248" i="5"/>
  <c r="BF118" i="5"/>
  <c r="BF209" i="5"/>
  <c r="BF266" i="5"/>
  <c r="BF268" i="5"/>
  <c r="BF270" i="5"/>
  <c r="BF375" i="5"/>
  <c r="BF242" i="5"/>
  <c r="BF123" i="5"/>
  <c r="BF36" i="5"/>
  <c r="BF321" i="5"/>
  <c r="BF403" i="5"/>
  <c r="BF337" i="5"/>
  <c r="BF350" i="5"/>
  <c r="BF138" i="5"/>
  <c r="BF183" i="5"/>
  <c r="BF221" i="5"/>
  <c r="BF258" i="5"/>
  <c r="BF267" i="5"/>
  <c r="BF60" i="5"/>
  <c r="BF279" i="5"/>
  <c r="BF272" i="5"/>
  <c r="BF246" i="5"/>
  <c r="BF74" i="5"/>
  <c r="BF216" i="5"/>
  <c r="BF239" i="5"/>
  <c r="BF325" i="5"/>
  <c r="BF326" i="5"/>
  <c r="BF398" i="5"/>
  <c r="BF105" i="5"/>
  <c r="BF139" i="5"/>
  <c r="BF88" i="5"/>
  <c r="BF8" i="5"/>
  <c r="BF181" i="5"/>
  <c r="BF299" i="5"/>
  <c r="BF331" i="5"/>
  <c r="BF55" i="5"/>
  <c r="BF87" i="5"/>
  <c r="BF131" i="5"/>
  <c r="BF178" i="5"/>
  <c r="BF33" i="5"/>
  <c r="BF14" i="5"/>
  <c r="BF15" i="5"/>
  <c r="BF16" i="5"/>
  <c r="BF17" i="5"/>
  <c r="BF2" i="5"/>
  <c r="BF136" i="5"/>
  <c r="BF180" i="5"/>
  <c r="BF220" i="5"/>
  <c r="BF277" i="5"/>
  <c r="BF114" i="5"/>
  <c r="BF224" i="5"/>
  <c r="BF288" i="5"/>
  <c r="BF3" i="5"/>
  <c r="BF132" i="5"/>
  <c r="BF147" i="5"/>
  <c r="BF173" i="5"/>
  <c r="BF13" i="5"/>
  <c r="BF217" i="5"/>
  <c r="BF345" i="5"/>
  <c r="BF382" i="5"/>
  <c r="BE382" i="5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99" i="7"/>
  <c r="E100" i="7"/>
  <c r="E44" i="7"/>
  <c r="E45" i="7"/>
  <c r="E33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3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4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5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5" i="7"/>
  <c r="AM29" i="5"/>
  <c r="T39" i="2"/>
  <c r="T19" i="2"/>
  <c r="K43" i="2"/>
  <c r="K39" i="2"/>
  <c r="K19" i="2"/>
  <c r="BE400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87" i="5"/>
  <c r="BE54" i="5"/>
  <c r="BE288" i="5"/>
  <c r="BE289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2" i="5"/>
  <c r="BE73" i="5"/>
  <c r="BE74" i="5"/>
  <c r="BE75" i="5"/>
  <c r="BE76" i="5"/>
  <c r="BE77" i="5"/>
  <c r="BE78" i="5"/>
  <c r="BE79" i="5"/>
  <c r="BE80" i="5"/>
  <c r="BE81" i="5"/>
  <c r="BE320" i="5"/>
  <c r="BE82" i="5"/>
  <c r="BE83" i="5"/>
  <c r="BE84" i="5"/>
  <c r="BE85" i="5"/>
  <c r="BE283" i="5"/>
  <c r="BE284" i="5"/>
  <c r="BE86" i="5"/>
  <c r="BE28" i="5"/>
  <c r="BE277" i="5"/>
  <c r="BE87" i="5"/>
  <c r="BE88" i="5"/>
  <c r="BE89" i="5"/>
  <c r="BE90" i="5"/>
  <c r="BE91" i="5"/>
  <c r="BE92" i="5"/>
  <c r="BE3" i="5"/>
  <c r="BE4" i="5"/>
  <c r="BE93" i="5"/>
  <c r="BE94" i="5"/>
  <c r="BE95" i="5"/>
  <c r="BE285" i="5"/>
  <c r="BE96" i="5"/>
  <c r="BE278" i="5"/>
  <c r="BE286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30" i="5"/>
  <c r="BE115" i="5"/>
  <c r="BE116" i="5"/>
  <c r="BE347" i="5"/>
  <c r="BE348" i="5"/>
  <c r="BE5" i="5"/>
  <c r="BE117" i="5"/>
  <c r="BE6" i="5"/>
  <c r="BE350" i="5"/>
  <c r="BE118" i="5"/>
  <c r="BE351" i="5"/>
  <c r="BE352" i="5"/>
  <c r="BE7" i="5"/>
  <c r="BE119" i="5"/>
  <c r="BE120" i="5"/>
  <c r="BE356" i="5"/>
  <c r="BE121" i="5"/>
  <c r="BE122" i="5"/>
  <c r="BE123" i="5"/>
  <c r="BE124" i="5"/>
  <c r="BE8" i="5"/>
  <c r="BE357" i="5"/>
  <c r="BE125" i="5"/>
  <c r="BE126" i="5"/>
  <c r="BE359" i="5"/>
  <c r="BE127" i="5"/>
  <c r="BE128" i="5"/>
  <c r="BE129" i="5"/>
  <c r="BE130" i="5"/>
  <c r="BE131" i="5"/>
  <c r="BE132" i="5"/>
  <c r="BE31" i="5"/>
  <c r="BE133" i="5"/>
  <c r="BE134" i="5"/>
  <c r="BE32" i="5"/>
  <c r="BE135" i="5"/>
  <c r="BE136" i="5"/>
  <c r="BE279" i="5"/>
  <c r="BE137" i="5"/>
  <c r="BE138" i="5"/>
  <c r="BE139" i="5"/>
  <c r="BE140" i="5"/>
  <c r="BE141" i="5"/>
  <c r="BE142" i="5"/>
  <c r="BE143" i="5"/>
  <c r="BE144" i="5"/>
  <c r="BE145" i="5"/>
  <c r="BE146" i="5"/>
  <c r="BE364" i="5"/>
  <c r="BE147" i="5"/>
  <c r="BE148" i="5"/>
  <c r="BE149" i="5"/>
  <c r="BE150" i="5"/>
  <c r="BE365" i="5"/>
  <c r="BE366" i="5"/>
  <c r="BE367" i="5"/>
  <c r="BE151" i="5"/>
  <c r="BE152" i="5"/>
  <c r="BE368" i="5"/>
  <c r="BE153" i="5"/>
  <c r="BE154" i="5"/>
  <c r="BE155" i="5"/>
  <c r="BE156" i="5"/>
  <c r="BE157" i="5"/>
  <c r="BE158" i="5"/>
  <c r="BE159" i="5"/>
  <c r="BE160" i="5"/>
  <c r="BE161" i="5"/>
  <c r="BE162" i="5"/>
  <c r="BE280" i="5"/>
  <c r="BE281" i="5"/>
  <c r="BE163" i="5"/>
  <c r="BE164" i="5"/>
  <c r="BE165" i="5"/>
  <c r="BE166" i="5"/>
  <c r="BE9" i="5"/>
  <c r="BE10" i="5"/>
  <c r="BE11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378" i="5"/>
  <c r="BE379" i="5"/>
  <c r="BE380" i="5"/>
  <c r="BE193" i="5"/>
  <c r="BE194" i="5"/>
  <c r="BE195" i="5"/>
  <c r="BE381" i="5"/>
  <c r="BE383" i="5"/>
  <c r="BE384" i="5"/>
  <c r="BE33" i="5"/>
  <c r="BE385" i="5"/>
  <c r="BE386" i="5"/>
  <c r="BE387" i="5"/>
  <c r="BE388" i="5"/>
  <c r="BE196" i="5"/>
  <c r="BE197" i="5"/>
  <c r="BE198" i="5"/>
  <c r="BE199" i="5"/>
  <c r="BE389" i="5"/>
  <c r="BE200" i="5"/>
  <c r="BE12" i="5"/>
  <c r="BE201" i="5"/>
  <c r="BE202" i="5"/>
  <c r="BE203" i="5"/>
  <c r="BE204" i="5"/>
  <c r="BE205" i="5"/>
  <c r="BE206" i="5"/>
  <c r="BE13" i="5"/>
  <c r="BE14" i="5"/>
  <c r="BE15" i="5"/>
  <c r="BE207" i="5"/>
  <c r="BE16" i="5"/>
  <c r="BE17" i="5"/>
  <c r="BE34" i="5"/>
  <c r="BE35" i="5"/>
  <c r="BE208" i="5"/>
  <c r="BE209" i="5"/>
  <c r="BE390" i="5"/>
  <c r="BE210" i="5"/>
  <c r="BE211" i="5"/>
  <c r="BE212" i="5"/>
  <c r="BE282" i="5"/>
  <c r="BE213" i="5"/>
  <c r="BE18" i="5"/>
  <c r="BE214" i="5"/>
  <c r="BE215" i="5"/>
  <c r="BE216" i="5"/>
  <c r="BE217" i="5"/>
  <c r="BE218" i="5"/>
  <c r="BE19" i="5"/>
  <c r="BE219" i="5"/>
  <c r="BE220" i="5"/>
  <c r="BE221" i="5"/>
  <c r="BE222" i="5"/>
  <c r="BE223" i="5"/>
  <c r="BE224" i="5"/>
  <c r="BE225" i="5"/>
  <c r="BE226" i="5"/>
  <c r="BE227" i="5"/>
  <c r="BE228" i="5"/>
  <c r="BE392" i="5"/>
  <c r="BE393" i="5"/>
  <c r="BE36" i="5"/>
  <c r="BE229" i="5"/>
  <c r="BE230" i="5"/>
  <c r="BE231" i="5"/>
  <c r="BE397" i="5"/>
  <c r="BE232" i="5"/>
  <c r="BE20" i="5"/>
  <c r="BE21" i="5"/>
  <c r="BE22" i="5"/>
  <c r="BE23" i="5"/>
  <c r="BE24" i="5"/>
  <c r="BE233" i="5"/>
  <c r="BE37" i="5"/>
  <c r="BE234" i="5"/>
  <c r="BE235" i="5"/>
  <c r="BE236" i="5"/>
  <c r="BE237" i="5"/>
  <c r="BE238" i="5"/>
  <c r="BE239" i="5"/>
  <c r="BE258" i="5"/>
  <c r="BE266" i="5"/>
  <c r="BE267" i="5"/>
  <c r="BE268" i="5"/>
  <c r="BE269" i="5"/>
  <c r="BE270" i="5"/>
  <c r="BE271" i="5"/>
  <c r="BE272" i="5"/>
  <c r="BE273" i="5"/>
  <c r="BE274" i="5"/>
  <c r="BE25" i="5"/>
  <c r="BE404" i="5"/>
  <c r="BE26" i="5"/>
  <c r="BE27" i="5"/>
  <c r="BE275" i="5"/>
  <c r="BE276" i="5"/>
  <c r="BE317" i="5"/>
  <c r="BE318" i="5"/>
  <c r="BE325" i="5"/>
  <c r="BE326" i="5"/>
  <c r="BE340" i="5"/>
  <c r="BE341" i="5"/>
  <c r="BE342" i="5"/>
  <c r="BE343" i="5"/>
  <c r="BE344" i="5"/>
  <c r="BE391" i="5"/>
  <c r="BE394" i="5"/>
  <c r="BE395" i="5"/>
  <c r="BE398" i="5"/>
  <c r="BE405" i="5"/>
  <c r="BE406" i="5"/>
  <c r="BE290" i="5"/>
  <c r="BE291" i="5"/>
  <c r="BE292" i="5"/>
  <c r="BE293" i="5"/>
  <c r="BE294" i="5"/>
  <c r="BE295" i="5"/>
  <c r="BE296" i="5"/>
  <c r="BE297" i="5"/>
  <c r="BE298" i="5"/>
  <c r="BE299" i="5"/>
  <c r="BE300" i="5"/>
  <c r="BE301" i="5"/>
  <c r="BE302" i="5"/>
  <c r="BE303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21" i="5"/>
  <c r="BE322" i="5"/>
  <c r="BE323" i="5"/>
  <c r="BE324" i="5"/>
  <c r="BE346" i="5"/>
  <c r="BE369" i="5"/>
  <c r="BE319" i="5"/>
  <c r="BE338" i="5"/>
  <c r="BE339" i="5"/>
  <c r="BE353" i="5"/>
  <c r="BE355" i="5"/>
  <c r="BE358" i="5"/>
  <c r="BE360" i="5"/>
  <c r="BE361" i="5"/>
  <c r="BE362" i="5"/>
  <c r="BE363" i="5"/>
  <c r="BE370" i="5"/>
  <c r="BE371" i="5"/>
  <c r="BE372" i="5"/>
  <c r="BE373" i="5"/>
  <c r="BE374" i="5"/>
  <c r="BE375" i="5"/>
  <c r="BE376" i="5"/>
  <c r="BE377" i="5"/>
  <c r="BE396" i="5"/>
  <c r="BE401" i="5"/>
  <c r="BE402" i="5"/>
  <c r="BE403" i="5"/>
  <c r="BE327" i="5"/>
  <c r="BE328" i="5"/>
  <c r="BE329" i="5"/>
  <c r="BE330" i="5"/>
  <c r="BE331" i="5"/>
  <c r="BE332" i="5"/>
  <c r="BE333" i="5"/>
  <c r="BE334" i="5"/>
  <c r="BE335" i="5"/>
  <c r="BE336" i="5"/>
  <c r="BE399" i="5"/>
  <c r="BE337" i="5"/>
  <c r="BE345" i="5"/>
  <c r="BE349" i="5"/>
  <c r="BE354" i="5"/>
  <c r="BE240" i="5"/>
  <c r="BE241" i="5"/>
  <c r="BE242" i="5"/>
  <c r="BE243" i="5"/>
  <c r="BE244" i="5"/>
  <c r="BE245" i="5"/>
  <c r="BE246" i="5"/>
  <c r="BE247" i="5"/>
  <c r="BE248" i="5"/>
  <c r="BE249" i="5"/>
  <c r="BE250" i="5"/>
  <c r="BE251" i="5"/>
  <c r="BE252" i="5"/>
  <c r="BE253" i="5"/>
  <c r="BE254" i="5"/>
  <c r="BE255" i="5"/>
  <c r="BE256" i="5"/>
  <c r="BE257" i="5"/>
  <c r="BE259" i="5"/>
  <c r="BE260" i="5"/>
  <c r="BE261" i="5"/>
  <c r="BE262" i="5"/>
  <c r="BE263" i="5"/>
  <c r="BE264" i="5"/>
  <c r="BE265" i="5"/>
  <c r="BE29" i="5"/>
  <c r="BC29" i="5"/>
  <c r="BC400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87" i="5"/>
  <c r="BC54" i="5"/>
  <c r="BC288" i="5"/>
  <c r="BC289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2" i="5"/>
  <c r="BC73" i="5"/>
  <c r="BC74" i="5"/>
  <c r="BC75" i="5"/>
  <c r="BC76" i="5"/>
  <c r="BC77" i="5"/>
  <c r="BC78" i="5"/>
  <c r="BC79" i="5"/>
  <c r="BC80" i="5"/>
  <c r="BC81" i="5"/>
  <c r="BC320" i="5"/>
  <c r="BC82" i="5"/>
  <c r="BC83" i="5"/>
  <c r="BC84" i="5"/>
  <c r="BC85" i="5"/>
  <c r="BC283" i="5"/>
  <c r="BC284" i="5"/>
  <c r="BC86" i="5"/>
  <c r="BC28" i="5"/>
  <c r="BC277" i="5"/>
  <c r="BC87" i="5"/>
  <c r="BC88" i="5"/>
  <c r="BC89" i="5"/>
  <c r="BC90" i="5"/>
  <c r="BC91" i="5"/>
  <c r="BC92" i="5"/>
  <c r="BC3" i="5"/>
  <c r="BC4" i="5"/>
  <c r="BC93" i="5"/>
  <c r="BC94" i="5"/>
  <c r="BC95" i="5"/>
  <c r="BC285" i="5"/>
  <c r="BC96" i="5"/>
  <c r="BC278" i="5"/>
  <c r="BC28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30" i="5"/>
  <c r="BC115" i="5"/>
  <c r="BC116" i="5"/>
  <c r="BC347" i="5"/>
  <c r="BC348" i="5"/>
  <c r="BC5" i="5"/>
  <c r="BC117" i="5"/>
  <c r="BC6" i="5"/>
  <c r="BC350" i="5"/>
  <c r="BC351" i="5"/>
  <c r="BC352" i="5"/>
  <c r="BC7" i="5"/>
  <c r="BC119" i="5"/>
  <c r="BC120" i="5"/>
  <c r="BC356" i="5"/>
  <c r="BC121" i="5"/>
  <c r="BC122" i="5"/>
  <c r="BC123" i="5"/>
  <c r="BC124" i="5"/>
  <c r="BC8" i="5"/>
  <c r="BC357" i="5"/>
  <c r="BC125" i="5"/>
  <c r="BC126" i="5"/>
  <c r="BC359" i="5"/>
  <c r="BC127" i="5"/>
  <c r="BC128" i="5"/>
  <c r="BC129" i="5"/>
  <c r="BC130" i="5"/>
  <c r="BC131" i="5"/>
  <c r="BC132" i="5"/>
  <c r="BC31" i="5"/>
  <c r="BC133" i="5"/>
  <c r="BC134" i="5"/>
  <c r="BC32" i="5"/>
  <c r="BC135" i="5"/>
  <c r="BC136" i="5"/>
  <c r="BC279" i="5"/>
  <c r="BC137" i="5"/>
  <c r="BC138" i="5"/>
  <c r="BC139" i="5"/>
  <c r="BC140" i="5"/>
  <c r="BC141" i="5"/>
  <c r="BC142" i="5"/>
  <c r="BC143" i="5"/>
  <c r="BC144" i="5"/>
  <c r="BC145" i="5"/>
  <c r="BC146" i="5"/>
  <c r="BC364" i="5"/>
  <c r="BC147" i="5"/>
  <c r="BC148" i="5"/>
  <c r="BC149" i="5"/>
  <c r="BC150" i="5"/>
  <c r="BC365" i="5"/>
  <c r="BC366" i="5"/>
  <c r="BC367" i="5"/>
  <c r="BC151" i="5"/>
  <c r="BC152" i="5"/>
  <c r="BC368" i="5"/>
  <c r="BC153" i="5"/>
  <c r="BC154" i="5"/>
  <c r="BC155" i="5"/>
  <c r="BC156" i="5"/>
  <c r="BC157" i="5"/>
  <c r="BC158" i="5"/>
  <c r="BC159" i="5"/>
  <c r="BC160" i="5"/>
  <c r="BC161" i="5"/>
  <c r="BC162" i="5"/>
  <c r="BC280" i="5"/>
  <c r="BC281" i="5"/>
  <c r="BC163" i="5"/>
  <c r="BC164" i="5"/>
  <c r="BC165" i="5"/>
  <c r="BC166" i="5"/>
  <c r="BC9" i="5"/>
  <c r="BC10" i="5"/>
  <c r="BC11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378" i="5"/>
  <c r="BC379" i="5"/>
  <c r="BC380" i="5"/>
  <c r="BC193" i="5"/>
  <c r="BC194" i="5"/>
  <c r="BC195" i="5"/>
  <c r="BC381" i="5"/>
  <c r="BC382" i="5"/>
  <c r="BC383" i="5"/>
  <c r="BC384" i="5"/>
  <c r="BC33" i="5"/>
  <c r="BC385" i="5"/>
  <c r="BC386" i="5"/>
  <c r="BC387" i="5"/>
  <c r="BC388" i="5"/>
  <c r="BC196" i="5"/>
  <c r="BC197" i="5"/>
  <c r="BC198" i="5"/>
  <c r="BC199" i="5"/>
  <c r="BC389" i="5"/>
  <c r="BC200" i="5"/>
  <c r="BC12" i="5"/>
  <c r="BC201" i="5"/>
  <c r="BC202" i="5"/>
  <c r="BC203" i="5"/>
  <c r="BC204" i="5"/>
  <c r="BC205" i="5"/>
  <c r="BC206" i="5"/>
  <c r="BC13" i="5"/>
  <c r="BC14" i="5"/>
  <c r="BC15" i="5"/>
  <c r="BC207" i="5"/>
  <c r="BC16" i="5"/>
  <c r="BC17" i="5"/>
  <c r="BC34" i="5"/>
  <c r="BC35" i="5"/>
  <c r="BC208" i="5"/>
  <c r="BC209" i="5"/>
  <c r="BC390" i="5"/>
  <c r="BC210" i="5"/>
  <c r="BC211" i="5"/>
  <c r="BC212" i="5"/>
  <c r="BC282" i="5"/>
  <c r="BC213" i="5"/>
  <c r="BC18" i="5"/>
  <c r="BC214" i="5"/>
  <c r="BC215" i="5"/>
  <c r="BC216" i="5"/>
  <c r="BC217" i="5"/>
  <c r="BC218" i="5"/>
  <c r="BC19" i="5"/>
  <c r="BC219" i="5"/>
  <c r="BC220" i="5"/>
  <c r="BC221" i="5"/>
  <c r="BC222" i="5"/>
  <c r="BC223" i="5"/>
  <c r="BC224" i="5"/>
  <c r="BC225" i="5"/>
  <c r="BC226" i="5"/>
  <c r="BC227" i="5"/>
  <c r="BC228" i="5"/>
  <c r="BC392" i="5"/>
  <c r="BC393" i="5"/>
  <c r="BC36" i="5"/>
  <c r="BC229" i="5"/>
  <c r="BC230" i="5"/>
  <c r="BC231" i="5"/>
  <c r="BC397" i="5"/>
  <c r="BC232" i="5"/>
  <c r="BC20" i="5"/>
  <c r="BC21" i="5"/>
  <c r="BC22" i="5"/>
  <c r="BC23" i="5"/>
  <c r="BC24" i="5"/>
  <c r="BC233" i="5"/>
  <c r="BC37" i="5"/>
  <c r="BC234" i="5"/>
  <c r="BC235" i="5"/>
  <c r="BC236" i="5"/>
  <c r="BC237" i="5"/>
  <c r="BC238" i="5"/>
  <c r="BC239" i="5"/>
  <c r="BC258" i="5"/>
  <c r="BC266" i="5"/>
  <c r="BC267" i="5"/>
  <c r="BC268" i="5"/>
  <c r="BC269" i="5"/>
  <c r="BC270" i="5"/>
  <c r="BC271" i="5"/>
  <c r="BC272" i="5"/>
  <c r="BC273" i="5"/>
  <c r="BC274" i="5"/>
  <c r="BC25" i="5"/>
  <c r="BC404" i="5"/>
  <c r="BC26" i="5"/>
  <c r="BC27" i="5"/>
  <c r="BC275" i="5"/>
  <c r="BC276" i="5"/>
  <c r="BC317" i="5"/>
  <c r="BC318" i="5"/>
  <c r="BC325" i="5"/>
  <c r="BC326" i="5"/>
  <c r="BC340" i="5"/>
  <c r="BC341" i="5"/>
  <c r="BC342" i="5"/>
  <c r="BC343" i="5"/>
  <c r="BC344" i="5"/>
  <c r="BC391" i="5"/>
  <c r="BC394" i="5"/>
  <c r="BC395" i="5"/>
  <c r="BC398" i="5"/>
  <c r="BC405" i="5"/>
  <c r="BC406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21" i="5"/>
  <c r="BC322" i="5"/>
  <c r="BC323" i="5"/>
  <c r="BC324" i="5"/>
  <c r="BC346" i="5"/>
  <c r="BC369" i="5"/>
  <c r="BC319" i="5"/>
  <c r="BC338" i="5"/>
  <c r="BC339" i="5"/>
  <c r="BC353" i="5"/>
  <c r="BC355" i="5"/>
  <c r="BC358" i="5"/>
  <c r="BC360" i="5"/>
  <c r="BC361" i="5"/>
  <c r="BC362" i="5"/>
  <c r="BC363" i="5"/>
  <c r="BC370" i="5"/>
  <c r="BC371" i="5"/>
  <c r="BC372" i="5"/>
  <c r="BC373" i="5"/>
  <c r="BC374" i="5"/>
  <c r="BC375" i="5"/>
  <c r="BC376" i="5"/>
  <c r="BC377" i="5"/>
  <c r="BC396" i="5"/>
  <c r="BC401" i="5"/>
  <c r="BC402" i="5"/>
  <c r="BC403" i="5"/>
  <c r="BC327" i="5"/>
  <c r="BC328" i="5"/>
  <c r="BC329" i="5"/>
  <c r="BC330" i="5"/>
  <c r="BC331" i="5"/>
  <c r="BC332" i="5"/>
  <c r="BC333" i="5"/>
  <c r="BC334" i="5"/>
  <c r="BC335" i="5"/>
  <c r="BC336" i="5"/>
  <c r="BC399" i="5"/>
  <c r="BC337" i="5"/>
  <c r="BC345" i="5"/>
  <c r="BC349" i="5"/>
  <c r="BC354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9" i="5"/>
  <c r="BC260" i="5"/>
  <c r="BC261" i="5"/>
  <c r="BC262" i="5"/>
  <c r="BC263" i="5"/>
  <c r="BC264" i="5"/>
  <c r="BC265" i="5"/>
  <c r="BB400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87" i="5"/>
  <c r="BB54" i="5"/>
  <c r="BB288" i="5"/>
  <c r="BB289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2" i="5"/>
  <c r="BB73" i="5"/>
  <c r="BB74" i="5"/>
  <c r="BB75" i="5"/>
  <c r="BB76" i="5"/>
  <c r="BB77" i="5"/>
  <c r="BB78" i="5"/>
  <c r="BB79" i="5"/>
  <c r="BB80" i="5"/>
  <c r="BB81" i="5"/>
  <c r="BB320" i="5"/>
  <c r="BB82" i="5"/>
  <c r="BB83" i="5"/>
  <c r="BB84" i="5"/>
  <c r="BB85" i="5"/>
  <c r="BB283" i="5"/>
  <c r="BB284" i="5"/>
  <c r="BB86" i="5"/>
  <c r="BB28" i="5"/>
  <c r="BB277" i="5"/>
  <c r="BB87" i="5"/>
  <c r="BB88" i="5"/>
  <c r="BB89" i="5"/>
  <c r="BB90" i="5"/>
  <c r="BB91" i="5"/>
  <c r="BB92" i="5"/>
  <c r="BB3" i="5"/>
  <c r="BB4" i="5"/>
  <c r="BB93" i="5"/>
  <c r="BB94" i="5"/>
  <c r="BB95" i="5"/>
  <c r="BB285" i="5"/>
  <c r="BB96" i="5"/>
  <c r="BB278" i="5"/>
  <c r="BB286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30" i="5"/>
  <c r="BB115" i="5"/>
  <c r="BB116" i="5"/>
  <c r="BB347" i="5"/>
  <c r="BB348" i="5"/>
  <c r="BB5" i="5"/>
  <c r="BB117" i="5"/>
  <c r="BB6" i="5"/>
  <c r="BB350" i="5"/>
  <c r="BB118" i="5"/>
  <c r="BB351" i="5"/>
  <c r="BB352" i="5"/>
  <c r="BB7" i="5"/>
  <c r="BB119" i="5"/>
  <c r="BB120" i="5"/>
  <c r="BB356" i="5"/>
  <c r="BB121" i="5"/>
  <c r="BB122" i="5"/>
  <c r="BB123" i="5"/>
  <c r="BB124" i="5"/>
  <c r="BB8" i="5"/>
  <c r="BB357" i="5"/>
  <c r="BB125" i="5"/>
  <c r="BB126" i="5"/>
  <c r="BB359" i="5"/>
  <c r="BB127" i="5"/>
  <c r="BB128" i="5"/>
  <c r="BB129" i="5"/>
  <c r="BB130" i="5"/>
  <c r="BB131" i="5"/>
  <c r="BB132" i="5"/>
  <c r="BB31" i="5"/>
  <c r="BB133" i="5"/>
  <c r="BB134" i="5"/>
  <c r="BB32" i="5"/>
  <c r="BB135" i="5"/>
  <c r="BB136" i="5"/>
  <c r="BB279" i="5"/>
  <c r="BB137" i="5"/>
  <c r="BB138" i="5"/>
  <c r="BB139" i="5"/>
  <c r="BB140" i="5"/>
  <c r="BB141" i="5"/>
  <c r="BB142" i="5"/>
  <c r="BB143" i="5"/>
  <c r="BB144" i="5"/>
  <c r="BB145" i="5"/>
  <c r="BB146" i="5"/>
  <c r="BB364" i="5"/>
  <c r="BB147" i="5"/>
  <c r="BB148" i="5"/>
  <c r="BB149" i="5"/>
  <c r="BB150" i="5"/>
  <c r="BB365" i="5"/>
  <c r="BB366" i="5"/>
  <c r="BB367" i="5"/>
  <c r="BB151" i="5"/>
  <c r="BB152" i="5"/>
  <c r="BB368" i="5"/>
  <c r="BB153" i="5"/>
  <c r="BB154" i="5"/>
  <c r="BB155" i="5"/>
  <c r="BB156" i="5"/>
  <c r="BB157" i="5"/>
  <c r="BB158" i="5"/>
  <c r="BB159" i="5"/>
  <c r="BB160" i="5"/>
  <c r="BB161" i="5"/>
  <c r="BB162" i="5"/>
  <c r="BB280" i="5"/>
  <c r="BB281" i="5"/>
  <c r="BB163" i="5"/>
  <c r="BB164" i="5"/>
  <c r="BB165" i="5"/>
  <c r="BB166" i="5"/>
  <c r="BB9" i="5"/>
  <c r="BB10" i="5"/>
  <c r="BB11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378" i="5"/>
  <c r="BB379" i="5"/>
  <c r="BB380" i="5"/>
  <c r="BB193" i="5"/>
  <c r="BB194" i="5"/>
  <c r="BB195" i="5"/>
  <c r="BB381" i="5"/>
  <c r="BB382" i="5"/>
  <c r="BB383" i="5"/>
  <c r="BB384" i="5"/>
  <c r="BB33" i="5"/>
  <c r="BB385" i="5"/>
  <c r="BB386" i="5"/>
  <c r="BB387" i="5"/>
  <c r="BB388" i="5"/>
  <c r="BB196" i="5"/>
  <c r="BB197" i="5"/>
  <c r="BB198" i="5"/>
  <c r="BB199" i="5"/>
  <c r="BB389" i="5"/>
  <c r="BB200" i="5"/>
  <c r="BB12" i="5"/>
  <c r="BB201" i="5"/>
  <c r="BB202" i="5"/>
  <c r="BB203" i="5"/>
  <c r="BB204" i="5"/>
  <c r="BB205" i="5"/>
  <c r="BB206" i="5"/>
  <c r="BB13" i="5"/>
  <c r="BB14" i="5"/>
  <c r="BB15" i="5"/>
  <c r="BB207" i="5"/>
  <c r="BB16" i="5"/>
  <c r="BB17" i="5"/>
  <c r="BB34" i="5"/>
  <c r="BB35" i="5"/>
  <c r="BB208" i="5"/>
  <c r="BB209" i="5"/>
  <c r="BB390" i="5"/>
  <c r="BB210" i="5"/>
  <c r="BB211" i="5"/>
  <c r="BB212" i="5"/>
  <c r="BB282" i="5"/>
  <c r="BB213" i="5"/>
  <c r="BB18" i="5"/>
  <c r="BB214" i="5"/>
  <c r="BB215" i="5"/>
  <c r="BB216" i="5"/>
  <c r="BB217" i="5"/>
  <c r="BB218" i="5"/>
  <c r="BB19" i="5"/>
  <c r="BB219" i="5"/>
  <c r="BB220" i="5"/>
  <c r="BB221" i="5"/>
  <c r="BB222" i="5"/>
  <c r="BB223" i="5"/>
  <c r="BB224" i="5"/>
  <c r="BB225" i="5"/>
  <c r="BB226" i="5"/>
  <c r="BB227" i="5"/>
  <c r="BB228" i="5"/>
  <c r="BB392" i="5"/>
  <c r="BB393" i="5"/>
  <c r="BB36" i="5"/>
  <c r="BB229" i="5"/>
  <c r="BB230" i="5"/>
  <c r="BB231" i="5"/>
  <c r="BB397" i="5"/>
  <c r="BB232" i="5"/>
  <c r="BB20" i="5"/>
  <c r="BB21" i="5"/>
  <c r="BB22" i="5"/>
  <c r="BB23" i="5"/>
  <c r="BB24" i="5"/>
  <c r="BB233" i="5"/>
  <c r="BB37" i="5"/>
  <c r="BB234" i="5"/>
  <c r="BB235" i="5"/>
  <c r="BB236" i="5"/>
  <c r="BB237" i="5"/>
  <c r="BB238" i="5"/>
  <c r="BB239" i="5"/>
  <c r="BB258" i="5"/>
  <c r="BB266" i="5"/>
  <c r="BB267" i="5"/>
  <c r="BB268" i="5"/>
  <c r="BB269" i="5"/>
  <c r="BB270" i="5"/>
  <c r="BB271" i="5"/>
  <c r="BB272" i="5"/>
  <c r="BB273" i="5"/>
  <c r="BB274" i="5"/>
  <c r="BB25" i="5"/>
  <c r="BB404" i="5"/>
  <c r="BB26" i="5"/>
  <c r="BB27" i="5"/>
  <c r="BB275" i="5"/>
  <c r="BB276" i="5"/>
  <c r="BB317" i="5"/>
  <c r="BB318" i="5"/>
  <c r="BB325" i="5"/>
  <c r="BB326" i="5"/>
  <c r="BB340" i="5"/>
  <c r="BB341" i="5"/>
  <c r="BB342" i="5"/>
  <c r="BB343" i="5"/>
  <c r="BB344" i="5"/>
  <c r="BB391" i="5"/>
  <c r="BB394" i="5"/>
  <c r="BB395" i="5"/>
  <c r="BB398" i="5"/>
  <c r="BB405" i="5"/>
  <c r="BB406" i="5"/>
  <c r="BB290" i="5"/>
  <c r="BB291" i="5"/>
  <c r="BB292" i="5"/>
  <c r="BB293" i="5"/>
  <c r="BB294" i="5"/>
  <c r="BB295" i="5"/>
  <c r="BB296" i="5"/>
  <c r="BB297" i="5"/>
  <c r="BB298" i="5"/>
  <c r="BB299" i="5"/>
  <c r="BB300" i="5"/>
  <c r="BB301" i="5"/>
  <c r="BB302" i="5"/>
  <c r="BB303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21" i="5"/>
  <c r="BB322" i="5"/>
  <c r="BB323" i="5"/>
  <c r="BB324" i="5"/>
  <c r="BB346" i="5"/>
  <c r="BB369" i="5"/>
  <c r="BB319" i="5"/>
  <c r="BB338" i="5"/>
  <c r="BB339" i="5"/>
  <c r="BB353" i="5"/>
  <c r="BB355" i="5"/>
  <c r="BB358" i="5"/>
  <c r="BB360" i="5"/>
  <c r="BB361" i="5"/>
  <c r="BB362" i="5"/>
  <c r="BB363" i="5"/>
  <c r="BB370" i="5"/>
  <c r="BB371" i="5"/>
  <c r="BB372" i="5"/>
  <c r="BB373" i="5"/>
  <c r="BB374" i="5"/>
  <c r="BB375" i="5"/>
  <c r="BB376" i="5"/>
  <c r="BB377" i="5"/>
  <c r="BB396" i="5"/>
  <c r="BB401" i="5"/>
  <c r="BB402" i="5"/>
  <c r="BB403" i="5"/>
  <c r="BB327" i="5"/>
  <c r="BB328" i="5"/>
  <c r="BB329" i="5"/>
  <c r="BB330" i="5"/>
  <c r="BB331" i="5"/>
  <c r="BB332" i="5"/>
  <c r="BB333" i="5"/>
  <c r="BB334" i="5"/>
  <c r="BB335" i="5"/>
  <c r="BB336" i="5"/>
  <c r="BB399" i="5"/>
  <c r="BB337" i="5"/>
  <c r="BB345" i="5"/>
  <c r="BB349" i="5"/>
  <c r="BB354" i="5"/>
  <c r="BB240" i="5"/>
  <c r="BB241" i="5"/>
  <c r="BB242" i="5"/>
  <c r="BB243" i="5"/>
  <c r="BB244" i="5"/>
  <c r="BB245" i="5"/>
  <c r="BB246" i="5"/>
  <c r="BB247" i="5"/>
  <c r="BB248" i="5"/>
  <c r="BB249" i="5"/>
  <c r="BB250" i="5"/>
  <c r="BB251" i="5"/>
  <c r="BB252" i="5"/>
  <c r="BB253" i="5"/>
  <c r="BB254" i="5"/>
  <c r="BB255" i="5"/>
  <c r="BB256" i="5"/>
  <c r="BB257" i="5"/>
  <c r="BB259" i="5"/>
  <c r="BB260" i="5"/>
  <c r="BB261" i="5"/>
  <c r="BB262" i="5"/>
  <c r="BB263" i="5"/>
  <c r="BB264" i="5"/>
  <c r="BB265" i="5"/>
  <c r="BB29" i="5"/>
  <c r="W43" i="2"/>
  <c r="H43" i="2"/>
  <c r="T29" i="2"/>
  <c r="T38" i="2"/>
  <c r="T40" i="2"/>
  <c r="T32" i="2"/>
  <c r="T31" i="2"/>
  <c r="T30" i="2"/>
  <c r="T23" i="2"/>
  <c r="T12" i="2"/>
  <c r="T6" i="2"/>
  <c r="T27" i="2"/>
  <c r="T5" i="2"/>
  <c r="T36" i="2"/>
  <c r="T37" i="2"/>
  <c r="T35" i="2"/>
  <c r="T33" i="2"/>
  <c r="T13" i="2"/>
  <c r="T25" i="2"/>
  <c r="T4" i="2"/>
  <c r="T7" i="2"/>
  <c r="T9" i="2"/>
  <c r="T8" i="2"/>
  <c r="T10" i="2"/>
  <c r="AH296" i="4"/>
  <c r="AH297" i="4"/>
  <c r="AH298" i="4"/>
  <c r="AH299" i="4"/>
  <c r="AH302" i="4"/>
  <c r="AH303" i="4"/>
  <c r="AH304" i="4"/>
  <c r="AH305" i="4"/>
  <c r="AH308" i="4"/>
  <c r="AH309" i="4"/>
  <c r="AH310" i="4"/>
  <c r="AH306" i="4"/>
  <c r="AH307" i="4"/>
  <c r="AH328" i="4"/>
  <c r="AH343" i="4"/>
  <c r="AH341" i="4"/>
  <c r="AH342" i="4"/>
  <c r="AH332" i="4"/>
  <c r="AH344" i="4"/>
  <c r="AH331" i="4"/>
  <c r="AH339" i="4"/>
  <c r="AH324" i="4"/>
  <c r="AH326" i="4"/>
  <c r="AH329" i="4"/>
  <c r="AH334" i="4"/>
  <c r="AH333" i="4"/>
  <c r="AH317" i="4"/>
  <c r="AH319" i="4"/>
  <c r="AH320" i="4"/>
  <c r="AH321" i="4"/>
  <c r="AH322" i="4"/>
  <c r="AH323" i="4"/>
  <c r="AH325" i="4"/>
  <c r="AH327" i="4"/>
  <c r="AH335" i="4"/>
  <c r="AH336" i="4"/>
  <c r="AH337" i="4"/>
  <c r="AH338" i="4"/>
  <c r="AH340" i="4"/>
  <c r="AH330" i="4"/>
  <c r="AH318" i="4"/>
  <c r="AH315" i="4"/>
  <c r="AH316" i="4"/>
  <c r="AH314" i="4"/>
  <c r="AH312" i="4"/>
  <c r="AH313" i="4"/>
  <c r="AH354" i="4"/>
  <c r="AH345" i="4"/>
  <c r="AH349" i="4"/>
  <c r="AH350" i="4"/>
  <c r="AH355" i="4"/>
  <c r="AH356" i="4"/>
  <c r="AH357" i="4"/>
  <c r="AH358" i="4"/>
  <c r="AH359" i="4"/>
  <c r="AH360" i="4"/>
  <c r="AH361" i="4"/>
  <c r="AH362" i="4"/>
  <c r="AH364" i="4"/>
  <c r="AH365" i="4"/>
  <c r="AH366" i="4"/>
  <c r="AH346" i="4"/>
  <c r="AH347" i="4"/>
  <c r="AH348" i="4"/>
  <c r="AH351" i="4"/>
  <c r="AH352" i="4"/>
  <c r="AH353" i="4"/>
  <c r="AH363" i="4"/>
  <c r="AH367" i="4"/>
  <c r="AH368" i="4"/>
  <c r="AH369" i="4"/>
  <c r="AH370" i="4"/>
  <c r="AH371" i="4"/>
  <c r="AH372" i="4"/>
  <c r="AH373" i="4"/>
  <c r="AH374" i="4"/>
  <c r="AH376" i="4"/>
  <c r="AH375" i="4"/>
  <c r="AH377" i="4"/>
  <c r="AH379" i="4"/>
  <c r="AH380" i="4"/>
  <c r="AH381" i="4"/>
  <c r="AH382" i="4"/>
  <c r="AH378" i="4"/>
  <c r="AH386" i="4"/>
  <c r="AH385" i="4"/>
  <c r="AH383" i="4"/>
  <c r="AH384" i="4"/>
  <c r="AH387" i="4"/>
  <c r="AH388" i="4"/>
  <c r="AH389" i="4"/>
  <c r="AH390" i="4"/>
  <c r="AH391" i="4"/>
  <c r="AH392" i="4"/>
  <c r="AH393" i="4"/>
  <c r="AH394" i="4"/>
  <c r="AH395" i="4"/>
  <c r="AH396" i="4"/>
  <c r="AH398" i="4"/>
  <c r="AH399" i="4"/>
  <c r="AH400" i="4"/>
  <c r="AH401" i="4"/>
  <c r="AH402" i="4"/>
  <c r="AH403" i="4"/>
  <c r="AH404" i="4"/>
  <c r="AH405" i="4"/>
  <c r="AH406" i="4"/>
  <c r="AH407" i="4"/>
  <c r="AH397" i="4"/>
  <c r="BF79" i="5"/>
  <c r="I44" i="3"/>
  <c r="E9" i="3"/>
  <c r="E10" i="3"/>
  <c r="E11" i="3"/>
  <c r="E12" i="3"/>
  <c r="E14" i="3"/>
  <c r="E15" i="3"/>
  <c r="E19" i="3"/>
  <c r="E20" i="3"/>
  <c r="E21" i="3"/>
  <c r="E22" i="3"/>
  <c r="E23" i="3"/>
  <c r="E24" i="3"/>
  <c r="E25" i="3"/>
  <c r="E27" i="3"/>
  <c r="E29" i="3"/>
  <c r="E30" i="3"/>
  <c r="E41" i="3"/>
  <c r="E31" i="3"/>
  <c r="E32" i="3"/>
  <c r="E42" i="3"/>
  <c r="E43" i="3"/>
  <c r="E44" i="3"/>
  <c r="E33" i="3"/>
  <c r="E34" i="3"/>
  <c r="E35" i="3"/>
  <c r="E36" i="3"/>
  <c r="E37" i="3"/>
  <c r="E38" i="3"/>
  <c r="E39" i="3"/>
  <c r="E40" i="3"/>
  <c r="E6" i="3"/>
  <c r="I37" i="3"/>
  <c r="I32" i="3"/>
  <c r="I22" i="3"/>
  <c r="I30" i="3"/>
  <c r="AM287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1" i="2"/>
  <c r="K21" i="2"/>
  <c r="G30" i="2"/>
  <c r="G31" i="2"/>
  <c r="G40" i="2"/>
  <c r="K40" i="2"/>
  <c r="G29" i="2"/>
  <c r="G15" i="2"/>
  <c r="K15" i="2"/>
  <c r="G14" i="2"/>
  <c r="K14" i="2"/>
  <c r="T14" i="2"/>
  <c r="G13" i="2"/>
  <c r="G7" i="2"/>
  <c r="K7" i="2"/>
  <c r="S7" i="2"/>
  <c r="G12" i="2"/>
  <c r="K12" i="2"/>
  <c r="G10" i="2"/>
  <c r="K10" i="2"/>
  <c r="S10" i="2"/>
  <c r="G8" i="2"/>
  <c r="K8" i="2"/>
  <c r="G9" i="2"/>
  <c r="K9" i="2"/>
  <c r="S9" i="2"/>
  <c r="G35" i="2"/>
  <c r="K35" i="2"/>
  <c r="G33" i="2"/>
  <c r="K33" i="2"/>
  <c r="G5" i="2"/>
  <c r="K5" i="2"/>
  <c r="G4" i="2"/>
  <c r="K4" i="2"/>
  <c r="G36" i="2"/>
  <c r="K36" i="2"/>
  <c r="G37" i="2"/>
  <c r="K37" i="2"/>
  <c r="G6" i="2"/>
  <c r="G24" i="2"/>
  <c r="G34" i="2"/>
  <c r="K34" i="2"/>
  <c r="T34" i="2"/>
  <c r="G39" i="2"/>
  <c r="G38" i="2"/>
  <c r="K38" i="2"/>
  <c r="G23" i="2"/>
  <c r="K23" i="2"/>
  <c r="G43" i="2"/>
  <c r="G44" i="2"/>
  <c r="K44" i="2"/>
  <c r="W44" i="2"/>
  <c r="G48" i="2"/>
  <c r="G47" i="2"/>
  <c r="G49" i="2"/>
  <c r="G20" i="2"/>
  <c r="G28" i="2"/>
  <c r="T28" i="2"/>
  <c r="G19" i="2"/>
  <c r="G32" i="2"/>
  <c r="G25" i="2"/>
  <c r="G26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74" i="5"/>
  <c r="AR274" i="5"/>
  <c r="AT274" i="5"/>
  <c r="AU274" i="5"/>
  <c r="AV274" i="5"/>
  <c r="AW274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58" i="5"/>
  <c r="AQ258" i="5"/>
  <c r="AR258" i="5"/>
  <c r="AT258" i="5"/>
  <c r="AU258" i="5"/>
  <c r="AV258" i="5"/>
  <c r="AW258" i="5"/>
  <c r="AP287" i="5"/>
  <c r="AQ287" i="5"/>
  <c r="AR287" i="5"/>
  <c r="AS287" i="5"/>
  <c r="AT287" i="5"/>
  <c r="AU287" i="5"/>
  <c r="AV287" i="5"/>
  <c r="AW287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88" i="5"/>
  <c r="AR288" i="5"/>
  <c r="AS288" i="5"/>
  <c r="AT288" i="5"/>
  <c r="AU288" i="5"/>
  <c r="AV288" i="5"/>
  <c r="AW288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5" i="5"/>
  <c r="AQ5" i="5"/>
  <c r="AR5" i="5"/>
  <c r="AS5" i="5"/>
  <c r="AT5" i="5"/>
  <c r="AU5" i="5"/>
  <c r="AV5" i="5"/>
  <c r="AW5" i="5"/>
  <c r="AP356" i="5"/>
  <c r="AQ356" i="5"/>
  <c r="AR356" i="5"/>
  <c r="AS356" i="5"/>
  <c r="AT356" i="5"/>
  <c r="AU356" i="5"/>
  <c r="AV356" i="5"/>
  <c r="AW356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0" i="5"/>
  <c r="AR20" i="5"/>
  <c r="AS20" i="5"/>
  <c r="AT20" i="5"/>
  <c r="AU20" i="5"/>
  <c r="AV20" i="5"/>
  <c r="AW20" i="5"/>
  <c r="AZ20" i="5"/>
  <c r="AP21" i="5"/>
  <c r="AR21" i="5"/>
  <c r="AT21" i="5"/>
  <c r="AU21" i="5"/>
  <c r="AV21" i="5"/>
  <c r="AW21" i="5"/>
  <c r="AP23" i="5"/>
  <c r="AR23" i="5"/>
  <c r="AU23" i="5"/>
  <c r="AP50" i="5"/>
  <c r="AR50" i="5"/>
  <c r="AT50" i="5"/>
  <c r="AU50" i="5"/>
  <c r="AV50" i="5"/>
  <c r="AW50" i="5"/>
  <c r="AP277" i="5"/>
  <c r="AR277" i="5"/>
  <c r="AS277" i="5"/>
  <c r="AT277" i="5"/>
  <c r="AU277" i="5"/>
  <c r="AV277" i="5"/>
  <c r="AW277" i="5"/>
  <c r="AP104" i="5"/>
  <c r="AQ104" i="5"/>
  <c r="AR104" i="5"/>
  <c r="AT104" i="5"/>
  <c r="AU104" i="5"/>
  <c r="AV104" i="5"/>
  <c r="AW104" i="5"/>
  <c r="AP350" i="5"/>
  <c r="AQ350" i="5"/>
  <c r="AR350" i="5"/>
  <c r="AT350" i="5"/>
  <c r="AU350" i="5"/>
  <c r="AV350" i="5"/>
  <c r="AW350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13" i="5"/>
  <c r="AR13" i="5"/>
  <c r="AT13" i="5"/>
  <c r="AU13" i="5"/>
  <c r="AV13" i="5"/>
  <c r="AW13" i="5"/>
  <c r="AP14" i="5"/>
  <c r="AR14" i="5"/>
  <c r="AS14" i="5"/>
  <c r="AT14" i="5"/>
  <c r="AU14" i="5"/>
  <c r="AV14" i="5"/>
  <c r="AW14" i="5"/>
  <c r="AP15" i="5"/>
  <c r="AR15" i="5"/>
  <c r="AT15" i="5"/>
  <c r="AU15" i="5"/>
  <c r="AV15" i="5"/>
  <c r="AW15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404" i="5"/>
  <c r="AR404" i="5"/>
  <c r="AS404" i="5"/>
  <c r="AT404" i="5"/>
  <c r="AU404" i="5"/>
  <c r="AV404" i="5"/>
  <c r="AW404" i="5"/>
  <c r="AP61" i="5"/>
  <c r="AR61" i="5"/>
  <c r="AS61" i="5"/>
  <c r="AU61" i="5"/>
  <c r="AP110" i="5"/>
  <c r="AQ110" i="5"/>
  <c r="AR110" i="5"/>
  <c r="AT110" i="5"/>
  <c r="AU110" i="5"/>
  <c r="AV110" i="5"/>
  <c r="AW110" i="5"/>
  <c r="AP7" i="5"/>
  <c r="AQ7" i="5"/>
  <c r="AR7" i="5"/>
  <c r="AT7" i="5"/>
  <c r="AU7" i="5"/>
  <c r="AV7" i="5"/>
  <c r="AW7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25" i="5"/>
  <c r="AR25" i="5"/>
  <c r="AT25" i="5"/>
  <c r="AU25" i="5"/>
  <c r="AV25" i="5"/>
  <c r="AW2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89" i="5"/>
  <c r="AR289" i="5"/>
  <c r="AS289" i="5"/>
  <c r="AT289" i="5"/>
  <c r="AU289" i="5"/>
  <c r="AV289" i="5"/>
  <c r="AW289" i="5"/>
  <c r="AP81" i="5"/>
  <c r="AR81" i="5"/>
  <c r="AT81" i="5"/>
  <c r="AU81" i="5"/>
  <c r="AV81" i="5"/>
  <c r="AW81" i="5"/>
  <c r="AP320" i="5"/>
  <c r="AR320" i="5"/>
  <c r="AT320" i="5"/>
  <c r="AU320" i="5"/>
  <c r="AV320" i="5"/>
  <c r="AW320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86" i="5"/>
  <c r="AR86" i="5"/>
  <c r="AT86" i="5"/>
  <c r="AU86" i="5"/>
  <c r="AV86" i="5"/>
  <c r="AW86" i="5"/>
  <c r="AP28" i="5"/>
  <c r="AR28" i="5"/>
  <c r="AT28" i="5"/>
  <c r="AU28" i="5"/>
  <c r="AV28" i="5"/>
  <c r="AW28" i="5"/>
  <c r="AP92" i="5"/>
  <c r="AR92" i="5"/>
  <c r="AS92" i="5"/>
  <c r="AT92" i="5"/>
  <c r="AU92" i="5"/>
  <c r="AV92" i="5"/>
  <c r="AW92" i="5"/>
  <c r="AP3" i="5"/>
  <c r="AR3" i="5"/>
  <c r="AT3" i="5"/>
  <c r="AU3" i="5"/>
  <c r="AV3" i="5"/>
  <c r="AW3" i="5"/>
  <c r="AP4" i="5"/>
  <c r="AR4" i="5"/>
  <c r="AT4" i="5"/>
  <c r="AU4" i="5"/>
  <c r="AV4" i="5"/>
  <c r="AW4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85" i="5"/>
  <c r="AR285" i="5"/>
  <c r="AT285" i="5"/>
  <c r="AU285" i="5"/>
  <c r="AV285" i="5"/>
  <c r="AW285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347" i="5"/>
  <c r="AQ347" i="5"/>
  <c r="AR347" i="5"/>
  <c r="AT347" i="5"/>
  <c r="AU347" i="5"/>
  <c r="AV347" i="5"/>
  <c r="AW34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381" i="5"/>
  <c r="AR381" i="5"/>
  <c r="AT381" i="5"/>
  <c r="AU381" i="5"/>
  <c r="AV381" i="5"/>
  <c r="AW381" i="5"/>
  <c r="AP382" i="5"/>
  <c r="AR382" i="5"/>
  <c r="AT382" i="5"/>
  <c r="AU382" i="5"/>
  <c r="AV382" i="5"/>
  <c r="AW382" i="5"/>
  <c r="AP386" i="5"/>
  <c r="AR386" i="5"/>
  <c r="AT386" i="5"/>
  <c r="AU386" i="5"/>
  <c r="AV386" i="5"/>
  <c r="AW386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67" i="5"/>
  <c r="AR267" i="5"/>
  <c r="AT267" i="5"/>
  <c r="AU267" i="5"/>
  <c r="AV267" i="5"/>
  <c r="AW267" i="5"/>
  <c r="AP269" i="5"/>
  <c r="AR269" i="5"/>
  <c r="AT269" i="5"/>
  <c r="AU269" i="5"/>
  <c r="AV269" i="5"/>
  <c r="AW269" i="5"/>
  <c r="AP276" i="5"/>
  <c r="AR276" i="5"/>
  <c r="AT276" i="5"/>
  <c r="AU276" i="5"/>
  <c r="AV276" i="5"/>
  <c r="AW276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24" i="5"/>
  <c r="AR24" i="5"/>
  <c r="AU24" i="5"/>
  <c r="AP233" i="5"/>
  <c r="AR233" i="5"/>
  <c r="AU233" i="5"/>
  <c r="AP72" i="5"/>
  <c r="AR72" i="5"/>
  <c r="AT72" i="5"/>
  <c r="AU72" i="5"/>
  <c r="AV72" i="5"/>
  <c r="AW72" i="5"/>
  <c r="AP2" i="5"/>
  <c r="AQ2" i="5"/>
  <c r="AR2" i="5"/>
  <c r="AT2" i="5"/>
  <c r="AU2" i="5"/>
  <c r="AV2" i="5"/>
  <c r="AW2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8" i="5"/>
  <c r="AQ8" i="5"/>
  <c r="AR8" i="5"/>
  <c r="AT8" i="5"/>
  <c r="AU8" i="5"/>
  <c r="AV8" i="5"/>
  <c r="AW8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387" i="5"/>
  <c r="AR387" i="5"/>
  <c r="AT387" i="5"/>
  <c r="AU387" i="5"/>
  <c r="AV387" i="5"/>
  <c r="AW387" i="5"/>
  <c r="AP389" i="5"/>
  <c r="AR389" i="5"/>
  <c r="AT389" i="5"/>
  <c r="AU389" i="5"/>
  <c r="AV389" i="5"/>
  <c r="AW389" i="5"/>
  <c r="AP12" i="5"/>
  <c r="AR12" i="5"/>
  <c r="AT12" i="5"/>
  <c r="AU12" i="5"/>
  <c r="AV12" i="5"/>
  <c r="AW12" i="5"/>
  <c r="AP212" i="5"/>
  <c r="AQ212" i="5"/>
  <c r="AR212" i="5"/>
  <c r="AT212" i="5"/>
  <c r="AU212" i="5"/>
  <c r="AV212" i="5"/>
  <c r="AW212" i="5"/>
  <c r="AP18" i="5"/>
  <c r="AQ18" i="5"/>
  <c r="AR18" i="5"/>
  <c r="AT18" i="5"/>
  <c r="AU18" i="5"/>
  <c r="AV18" i="5"/>
  <c r="AW18" i="5"/>
  <c r="AP19" i="5"/>
  <c r="AR19" i="5"/>
  <c r="AT19" i="5"/>
  <c r="AU19" i="5"/>
  <c r="AV19" i="5"/>
  <c r="AW19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378" i="5"/>
  <c r="AR378" i="5"/>
  <c r="AT378" i="5"/>
  <c r="AU378" i="5"/>
  <c r="AV378" i="5"/>
  <c r="AW378" i="5"/>
  <c r="AP380" i="5"/>
  <c r="AR380" i="5"/>
  <c r="AT380" i="5"/>
  <c r="AU380" i="5"/>
  <c r="AV380" i="5"/>
  <c r="AW380" i="5"/>
  <c r="AP195" i="5"/>
  <c r="AR195" i="5"/>
  <c r="AT195" i="5"/>
  <c r="AU195" i="5"/>
  <c r="AV195" i="5"/>
  <c r="AW195" i="5"/>
  <c r="AP385" i="5"/>
  <c r="AR385" i="5"/>
  <c r="AT385" i="5"/>
  <c r="AU385" i="5"/>
  <c r="AV385" i="5"/>
  <c r="AW385" i="5"/>
  <c r="AP29" i="5"/>
  <c r="AR29" i="5"/>
  <c r="AT29" i="5"/>
  <c r="AU29" i="5"/>
  <c r="AV29" i="5"/>
  <c r="AW29" i="5"/>
  <c r="AP392" i="5"/>
  <c r="AR392" i="5"/>
  <c r="AT392" i="5"/>
  <c r="AU392" i="5"/>
  <c r="AV392" i="5"/>
  <c r="AW392" i="5"/>
  <c r="AP393" i="5"/>
  <c r="AR393" i="5"/>
  <c r="AT393" i="5"/>
  <c r="AU393" i="5"/>
  <c r="AV393" i="5"/>
  <c r="AW393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6" i="5"/>
  <c r="AQ6" i="5"/>
  <c r="AR6" i="5"/>
  <c r="AS6" i="5"/>
  <c r="AT6" i="5"/>
  <c r="AU6" i="5"/>
  <c r="AV6" i="5"/>
  <c r="AW6" i="5"/>
  <c r="AP31" i="5"/>
  <c r="AR31" i="5"/>
  <c r="AT31" i="5"/>
  <c r="AU31" i="5"/>
  <c r="AV31" i="5"/>
  <c r="AW31" i="5"/>
  <c r="AP368" i="5"/>
  <c r="AR368" i="5"/>
  <c r="AT368" i="5"/>
  <c r="AU368" i="5"/>
  <c r="AV368" i="5"/>
  <c r="AW368" i="5"/>
  <c r="AP9" i="5"/>
  <c r="AR9" i="5"/>
  <c r="AT9" i="5"/>
  <c r="AU9" i="5"/>
  <c r="AV9" i="5"/>
  <c r="AW9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379" i="5"/>
  <c r="AR379" i="5"/>
  <c r="AT379" i="5"/>
  <c r="AU379" i="5"/>
  <c r="AV379" i="5"/>
  <c r="AW379" i="5"/>
  <c r="AP211" i="5"/>
  <c r="AQ211" i="5"/>
  <c r="AR211" i="5"/>
  <c r="AT211" i="5"/>
  <c r="AU211" i="5"/>
  <c r="AV211" i="5"/>
  <c r="AW211" i="5"/>
  <c r="AP282" i="5"/>
  <c r="AR282" i="5"/>
  <c r="AT282" i="5"/>
  <c r="AU282" i="5"/>
  <c r="AV282" i="5"/>
  <c r="AW282" i="5"/>
  <c r="AP36" i="5"/>
  <c r="AR36" i="5"/>
  <c r="AT36" i="5"/>
  <c r="AU36" i="5"/>
  <c r="AV36" i="5"/>
  <c r="AW36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348" i="5"/>
  <c r="AR348" i="5"/>
  <c r="AS348" i="5"/>
  <c r="AT348" i="5"/>
  <c r="AU348" i="5"/>
  <c r="AV348" i="5"/>
  <c r="AW34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383" i="5"/>
  <c r="AR383" i="5"/>
  <c r="AT383" i="5"/>
  <c r="AU383" i="5"/>
  <c r="AV383" i="5"/>
  <c r="AW383" i="5"/>
  <c r="AP176" i="5"/>
  <c r="AR176" i="5"/>
  <c r="AS176" i="5"/>
  <c r="AU176" i="5"/>
  <c r="AP179" i="5"/>
  <c r="AQ179" i="5"/>
  <c r="AR179" i="5"/>
  <c r="AT179" i="5"/>
  <c r="AU179" i="5"/>
  <c r="AV179" i="5"/>
  <c r="AW179" i="5"/>
  <c r="AP384" i="5"/>
  <c r="AR384" i="5"/>
  <c r="AT384" i="5"/>
  <c r="AU384" i="5"/>
  <c r="AV384" i="5"/>
  <c r="AW384" i="5"/>
  <c r="AP268" i="5"/>
  <c r="AR268" i="5"/>
  <c r="AT268" i="5"/>
  <c r="AU268" i="5"/>
  <c r="AV268" i="5"/>
  <c r="AW268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30" i="5"/>
  <c r="AR30" i="5"/>
  <c r="AT30" i="5"/>
  <c r="AU30" i="5"/>
  <c r="AV30" i="5"/>
  <c r="AW30" i="5"/>
  <c r="AP124" i="5"/>
  <c r="AR124" i="5"/>
  <c r="AT124" i="5"/>
  <c r="AU124" i="5"/>
  <c r="AV124" i="5"/>
  <c r="AW124" i="5"/>
  <c r="AP175" i="5"/>
  <c r="AR175" i="5"/>
  <c r="AS175" i="5"/>
  <c r="AU175" i="5"/>
  <c r="AP22" i="5"/>
  <c r="AR22" i="5"/>
  <c r="AU22" i="5"/>
  <c r="AP270" i="5"/>
  <c r="AR270" i="5"/>
  <c r="AT270" i="5"/>
  <c r="AU270" i="5"/>
  <c r="AV270" i="5"/>
  <c r="AW270" i="5"/>
  <c r="AP271" i="5"/>
  <c r="AR271" i="5"/>
  <c r="AT271" i="5"/>
  <c r="AU271" i="5"/>
  <c r="AV271" i="5"/>
  <c r="AW271" i="5"/>
  <c r="AP272" i="5"/>
  <c r="AR272" i="5"/>
  <c r="AT272" i="5"/>
  <c r="AU272" i="5"/>
  <c r="AV272" i="5"/>
  <c r="AW272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66" i="5"/>
  <c r="AR266" i="5"/>
  <c r="AT266" i="5"/>
  <c r="AU266" i="5"/>
  <c r="AV266" i="5"/>
  <c r="AW266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359" i="5"/>
  <c r="AR359" i="5"/>
  <c r="AS359" i="5"/>
  <c r="AT359" i="5"/>
  <c r="AU359" i="5"/>
  <c r="AV359" i="5"/>
  <c r="AW359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357" i="5"/>
  <c r="AR357" i="5"/>
  <c r="AT357" i="5"/>
  <c r="AU357" i="5"/>
  <c r="AV357" i="5"/>
  <c r="AW357" i="5"/>
  <c r="AP37" i="5"/>
  <c r="AR37" i="5"/>
  <c r="AU37" i="5"/>
  <c r="AP134" i="5"/>
  <c r="AR134" i="5"/>
  <c r="AS134" i="5"/>
  <c r="AT134" i="5"/>
  <c r="AU134" i="5"/>
  <c r="AV134" i="5"/>
  <c r="AW134" i="5"/>
  <c r="AP352" i="5"/>
  <c r="AQ352" i="5"/>
  <c r="AR352" i="5"/>
  <c r="AS352" i="5"/>
  <c r="AT352" i="5"/>
  <c r="AU352" i="5"/>
  <c r="AV352" i="5"/>
  <c r="AW352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365" i="5"/>
  <c r="AQ365" i="5"/>
  <c r="AR365" i="5"/>
  <c r="AS365" i="5"/>
  <c r="AT365" i="5"/>
  <c r="AU365" i="5"/>
  <c r="AV365" i="5"/>
  <c r="AW365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33" i="5"/>
  <c r="AQ33" i="5"/>
  <c r="AR33" i="5"/>
  <c r="AT33" i="5"/>
  <c r="AU33" i="5"/>
  <c r="AV33" i="5"/>
  <c r="AW33" i="5"/>
  <c r="AP221" i="5"/>
  <c r="AQ221" i="5"/>
  <c r="AR221" i="5"/>
  <c r="AS221" i="5"/>
  <c r="AT221" i="5"/>
  <c r="AU221" i="5"/>
  <c r="AV221" i="5"/>
  <c r="AW221" i="5"/>
  <c r="AP397" i="5"/>
  <c r="AR397" i="5"/>
  <c r="AT397" i="5"/>
  <c r="AU397" i="5"/>
  <c r="AV397" i="5"/>
  <c r="AW397" i="5"/>
  <c r="AP366" i="5"/>
  <c r="AR366" i="5"/>
  <c r="AT366" i="5"/>
  <c r="AU366" i="5"/>
  <c r="AV366" i="5"/>
  <c r="AW366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75" i="5"/>
  <c r="AR275" i="5"/>
  <c r="AT275" i="5"/>
  <c r="AU275" i="5"/>
  <c r="AV275" i="5"/>
  <c r="AW275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364" i="5"/>
  <c r="AR364" i="5"/>
  <c r="AT364" i="5"/>
  <c r="AU364" i="5"/>
  <c r="AV364" i="5"/>
  <c r="AW364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390" i="5"/>
  <c r="AR390" i="5"/>
  <c r="AT390" i="5"/>
  <c r="AU390" i="5"/>
  <c r="AV390" i="5"/>
  <c r="AW390" i="5"/>
  <c r="AP48" i="5"/>
  <c r="AR48" i="5"/>
  <c r="AT48" i="5"/>
  <c r="AU48" i="5"/>
  <c r="AV48" i="5"/>
  <c r="AW48" i="5"/>
  <c r="AP273" i="5"/>
  <c r="AR273" i="5"/>
  <c r="AT273" i="5"/>
  <c r="AU273" i="5"/>
  <c r="AV273" i="5"/>
  <c r="AW273" i="5"/>
  <c r="AP26" i="5"/>
  <c r="AR26" i="5"/>
  <c r="AT26" i="5"/>
  <c r="AU26" i="5"/>
  <c r="AV26" i="5"/>
  <c r="AW2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35" i="5"/>
  <c r="AR35" i="5"/>
  <c r="AT35" i="5"/>
  <c r="AU35" i="5"/>
  <c r="AV35" i="5"/>
  <c r="AW35" i="5"/>
  <c r="AP43" i="5"/>
  <c r="AR43" i="5"/>
  <c r="AT43" i="5"/>
  <c r="AU43" i="5"/>
  <c r="AV43" i="5"/>
  <c r="AW43" i="5"/>
  <c r="AP34" i="5"/>
  <c r="AR34" i="5"/>
  <c r="AT34" i="5"/>
  <c r="AU34" i="5"/>
  <c r="AV34" i="5"/>
  <c r="AW34" i="5"/>
  <c r="AP27" i="5"/>
  <c r="AR27" i="5"/>
  <c r="AT27" i="5"/>
  <c r="AU27" i="5"/>
  <c r="AV27" i="5"/>
  <c r="AW2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32" i="5"/>
  <c r="AR32" i="5"/>
  <c r="AS32" i="5"/>
  <c r="AT32" i="5"/>
  <c r="AU32" i="5"/>
  <c r="AV32" i="5"/>
  <c r="AW32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79" i="5"/>
  <c r="AR279" i="5"/>
  <c r="AS279" i="5"/>
  <c r="AT279" i="5"/>
  <c r="AU279" i="5"/>
  <c r="AV279" i="5"/>
  <c r="AW279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351" i="5"/>
  <c r="AQ351" i="5"/>
  <c r="AR351" i="5"/>
  <c r="AT351" i="5"/>
  <c r="AU351" i="5"/>
  <c r="AV351" i="5"/>
  <c r="AW351" i="5"/>
  <c r="AP281" i="5"/>
  <c r="AR281" i="5"/>
  <c r="AT281" i="5"/>
  <c r="AU281" i="5"/>
  <c r="AV281" i="5"/>
  <c r="AW281" i="5"/>
  <c r="AP367" i="5"/>
  <c r="AR367" i="5"/>
  <c r="AS367" i="5"/>
  <c r="AT367" i="5"/>
  <c r="AU367" i="5"/>
  <c r="AV367" i="5"/>
  <c r="AW367" i="5"/>
  <c r="AP286" i="5"/>
  <c r="AR286" i="5"/>
  <c r="AT286" i="5"/>
  <c r="AU286" i="5"/>
  <c r="AV286" i="5"/>
  <c r="AW286" i="5"/>
  <c r="AP38" i="5"/>
  <c r="AR38" i="5"/>
  <c r="AT38" i="5"/>
  <c r="AU38" i="5"/>
  <c r="AV38" i="5"/>
  <c r="AW38" i="5"/>
  <c r="AP280" i="5"/>
  <c r="AR280" i="5"/>
  <c r="AT280" i="5"/>
  <c r="AU280" i="5"/>
  <c r="AV280" i="5"/>
  <c r="AW280" i="5"/>
  <c r="AP388" i="5"/>
  <c r="AR388" i="5"/>
  <c r="AT388" i="5"/>
  <c r="AU388" i="5"/>
  <c r="AV388" i="5"/>
  <c r="AW388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78" i="5"/>
  <c r="AR278" i="5"/>
  <c r="AT278" i="5"/>
  <c r="AU278" i="5"/>
  <c r="AV278" i="5"/>
  <c r="AW278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317" i="5"/>
  <c r="AR317" i="5"/>
  <c r="AS317" i="5"/>
  <c r="AT317" i="5"/>
  <c r="AU317" i="5"/>
  <c r="AV317" i="5"/>
  <c r="AW317" i="5"/>
  <c r="AX317" i="5"/>
  <c r="AY317" i="5"/>
  <c r="AZ317" i="5"/>
  <c r="AP318" i="5"/>
  <c r="AR318" i="5"/>
  <c r="AS318" i="5"/>
  <c r="AT318" i="5"/>
  <c r="AU318" i="5"/>
  <c r="AV318" i="5"/>
  <c r="AW318" i="5"/>
  <c r="AX318" i="5"/>
  <c r="AY318" i="5"/>
  <c r="AZ318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41" i="5"/>
  <c r="AR341" i="5"/>
  <c r="AS341" i="5"/>
  <c r="AT341" i="5"/>
  <c r="AU341" i="5"/>
  <c r="AV341" i="5"/>
  <c r="AW341" i="5"/>
  <c r="AX341" i="5"/>
  <c r="AY341" i="5"/>
  <c r="AZ341" i="5"/>
  <c r="AP342" i="5"/>
  <c r="AR342" i="5"/>
  <c r="AS342" i="5"/>
  <c r="AT342" i="5"/>
  <c r="AU342" i="5"/>
  <c r="AV342" i="5"/>
  <c r="AW342" i="5"/>
  <c r="AX342" i="5"/>
  <c r="AY342" i="5"/>
  <c r="AZ342" i="5"/>
  <c r="AP343" i="5"/>
  <c r="AR343" i="5"/>
  <c r="AS343" i="5"/>
  <c r="AT343" i="5"/>
  <c r="AU343" i="5"/>
  <c r="AV343" i="5"/>
  <c r="AW343" i="5"/>
  <c r="AX343" i="5"/>
  <c r="AY343" i="5"/>
  <c r="AZ343" i="5"/>
  <c r="AP344" i="5"/>
  <c r="AR344" i="5"/>
  <c r="AS344" i="5"/>
  <c r="AT344" i="5"/>
  <c r="AU344" i="5"/>
  <c r="AV344" i="5"/>
  <c r="AW344" i="5"/>
  <c r="AX344" i="5"/>
  <c r="AY344" i="5"/>
  <c r="AZ344" i="5"/>
  <c r="AP340" i="5"/>
  <c r="AR340" i="5"/>
  <c r="AS340" i="5"/>
  <c r="AT340" i="5"/>
  <c r="AU340" i="5"/>
  <c r="AV340" i="5"/>
  <c r="AW340" i="5"/>
  <c r="AX340" i="5"/>
  <c r="AY340" i="5"/>
  <c r="AZ340" i="5"/>
  <c r="AP391" i="5"/>
  <c r="AR391" i="5"/>
  <c r="AS391" i="5"/>
  <c r="AT391" i="5"/>
  <c r="AU391" i="5"/>
  <c r="AV391" i="5"/>
  <c r="AW391" i="5"/>
  <c r="AX391" i="5"/>
  <c r="AY391" i="5"/>
  <c r="AZ391" i="5"/>
  <c r="AP398" i="5"/>
  <c r="AR398" i="5"/>
  <c r="AS398" i="5"/>
  <c r="AT398" i="5"/>
  <c r="AU398" i="5"/>
  <c r="AV398" i="5"/>
  <c r="AW398" i="5"/>
  <c r="AX398" i="5"/>
  <c r="AY398" i="5"/>
  <c r="AZ398" i="5"/>
  <c r="AP405" i="5"/>
  <c r="AR405" i="5"/>
  <c r="AS405" i="5"/>
  <c r="AT405" i="5"/>
  <c r="AU405" i="5"/>
  <c r="AV405" i="5"/>
  <c r="AW405" i="5"/>
  <c r="AX405" i="5"/>
  <c r="AY405" i="5"/>
  <c r="AZ405" i="5"/>
  <c r="AP406" i="5"/>
  <c r="AR406" i="5"/>
  <c r="AS406" i="5"/>
  <c r="AT406" i="5"/>
  <c r="AU406" i="5"/>
  <c r="AV406" i="5"/>
  <c r="AW406" i="5"/>
  <c r="AX406" i="5"/>
  <c r="AY406" i="5"/>
  <c r="AZ406" i="5"/>
  <c r="AP394" i="5"/>
  <c r="AR394" i="5"/>
  <c r="AS394" i="5"/>
  <c r="AT394" i="5"/>
  <c r="AU394" i="5"/>
  <c r="AV394" i="5"/>
  <c r="AW394" i="5"/>
  <c r="AX394" i="5"/>
  <c r="AY394" i="5"/>
  <c r="AZ394" i="5"/>
  <c r="AP395" i="5"/>
  <c r="AR395" i="5"/>
  <c r="AS395" i="5"/>
  <c r="AT395" i="5"/>
  <c r="AU395" i="5"/>
  <c r="AV395" i="5"/>
  <c r="AW395" i="5"/>
  <c r="AX395" i="5"/>
  <c r="AY395" i="5"/>
  <c r="AZ395" i="5"/>
  <c r="AP324" i="5"/>
  <c r="AR324" i="5"/>
  <c r="AS324" i="5"/>
  <c r="AT324" i="5"/>
  <c r="AU324" i="5"/>
  <c r="AV324" i="5"/>
  <c r="AW324" i="5"/>
  <c r="AX324" i="5"/>
  <c r="AY324" i="5"/>
  <c r="AZ324" i="5"/>
  <c r="AP306" i="5"/>
  <c r="AR306" i="5"/>
  <c r="AS306" i="5"/>
  <c r="AT306" i="5"/>
  <c r="AU306" i="5"/>
  <c r="AV306" i="5"/>
  <c r="AW306" i="5"/>
  <c r="AX306" i="5"/>
  <c r="AY306" i="5"/>
  <c r="AZ306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69" i="5"/>
  <c r="AR369" i="5"/>
  <c r="AS369" i="5"/>
  <c r="AT369" i="5"/>
  <c r="AU369" i="5"/>
  <c r="AV369" i="5"/>
  <c r="AW369" i="5"/>
  <c r="AX369" i="5"/>
  <c r="AY369" i="5"/>
  <c r="AZ369" i="5"/>
  <c r="AP309" i="5"/>
  <c r="AR309" i="5"/>
  <c r="AS309" i="5"/>
  <c r="AT309" i="5"/>
  <c r="AU309" i="5"/>
  <c r="AV309" i="5"/>
  <c r="AW309" i="5"/>
  <c r="AX309" i="5"/>
  <c r="AY309" i="5"/>
  <c r="AZ309" i="5"/>
  <c r="AP316" i="5"/>
  <c r="AR316" i="5"/>
  <c r="AS316" i="5"/>
  <c r="AT316" i="5"/>
  <c r="AU316" i="5"/>
  <c r="AV316" i="5"/>
  <c r="AW316" i="5"/>
  <c r="AX316" i="5"/>
  <c r="AY316" i="5"/>
  <c r="AZ316" i="5"/>
  <c r="AP302" i="5"/>
  <c r="AR302" i="5"/>
  <c r="AS302" i="5"/>
  <c r="AT302" i="5"/>
  <c r="AU302" i="5"/>
  <c r="AV302" i="5"/>
  <c r="AW302" i="5"/>
  <c r="AX302" i="5"/>
  <c r="AY302" i="5"/>
  <c r="AZ302" i="5"/>
  <c r="AP304" i="5"/>
  <c r="AR304" i="5"/>
  <c r="AS304" i="5"/>
  <c r="AT304" i="5"/>
  <c r="AU304" i="5"/>
  <c r="AV304" i="5"/>
  <c r="AW304" i="5"/>
  <c r="AX304" i="5"/>
  <c r="AY304" i="5"/>
  <c r="AZ304" i="5"/>
  <c r="AP307" i="5"/>
  <c r="AR307" i="5"/>
  <c r="AS307" i="5"/>
  <c r="AT307" i="5"/>
  <c r="AU307" i="5"/>
  <c r="AV307" i="5"/>
  <c r="AW307" i="5"/>
  <c r="AX307" i="5"/>
  <c r="AY307" i="5"/>
  <c r="AZ307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295" i="5"/>
  <c r="AR295" i="5"/>
  <c r="AS295" i="5"/>
  <c r="AT295" i="5"/>
  <c r="AU295" i="5"/>
  <c r="AV295" i="5"/>
  <c r="AW295" i="5"/>
  <c r="AX295" i="5"/>
  <c r="AY295" i="5"/>
  <c r="AZ295" i="5"/>
  <c r="AP297" i="5"/>
  <c r="AR297" i="5"/>
  <c r="AS297" i="5"/>
  <c r="AT297" i="5"/>
  <c r="AU297" i="5"/>
  <c r="AV297" i="5"/>
  <c r="AW297" i="5"/>
  <c r="AX297" i="5"/>
  <c r="AY297" i="5"/>
  <c r="AZ297" i="5"/>
  <c r="AP298" i="5"/>
  <c r="AR298" i="5"/>
  <c r="AS298" i="5"/>
  <c r="AT298" i="5"/>
  <c r="AU298" i="5"/>
  <c r="AV298" i="5"/>
  <c r="AW298" i="5"/>
  <c r="AX298" i="5"/>
  <c r="AY298" i="5"/>
  <c r="AZ29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3" i="5"/>
  <c r="AR303" i="5"/>
  <c r="AS303" i="5"/>
  <c r="AT303" i="5"/>
  <c r="AU303" i="5"/>
  <c r="AV303" i="5"/>
  <c r="AW303" i="5"/>
  <c r="AX303" i="5"/>
  <c r="AY303" i="5"/>
  <c r="AZ303" i="5"/>
  <c r="AP305" i="5"/>
  <c r="AR305" i="5"/>
  <c r="AS305" i="5"/>
  <c r="AT305" i="5"/>
  <c r="AU305" i="5"/>
  <c r="AV305" i="5"/>
  <c r="AW305" i="5"/>
  <c r="AX305" i="5"/>
  <c r="AY305" i="5"/>
  <c r="AZ305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5" i="5"/>
  <c r="AR315" i="5"/>
  <c r="AS315" i="5"/>
  <c r="AT315" i="5"/>
  <c r="AU315" i="5"/>
  <c r="AV315" i="5"/>
  <c r="AW315" i="5"/>
  <c r="AX315" i="5"/>
  <c r="AY315" i="5"/>
  <c r="AZ315" i="5"/>
  <c r="AP308" i="5"/>
  <c r="AR308" i="5"/>
  <c r="AS308" i="5"/>
  <c r="AT308" i="5"/>
  <c r="AU308" i="5"/>
  <c r="AV308" i="5"/>
  <c r="AW308" i="5"/>
  <c r="AX308" i="5"/>
  <c r="AY308" i="5"/>
  <c r="AZ308" i="5"/>
  <c r="AP321" i="5"/>
  <c r="AR321" i="5"/>
  <c r="AS321" i="5"/>
  <c r="AT321" i="5"/>
  <c r="AU321" i="5"/>
  <c r="AV321" i="5"/>
  <c r="AW321" i="5"/>
  <c r="AX321" i="5"/>
  <c r="AY321" i="5"/>
  <c r="AZ321" i="5"/>
  <c r="AP296" i="5"/>
  <c r="AR296" i="5"/>
  <c r="AS296" i="5"/>
  <c r="AT296" i="5"/>
  <c r="AU296" i="5"/>
  <c r="AV296" i="5"/>
  <c r="AW296" i="5"/>
  <c r="AX296" i="5"/>
  <c r="AY296" i="5"/>
  <c r="AZ296" i="5"/>
  <c r="AP293" i="5"/>
  <c r="AR293" i="5"/>
  <c r="AS293" i="5"/>
  <c r="AT293" i="5"/>
  <c r="AU293" i="5"/>
  <c r="AV293" i="5"/>
  <c r="AW293" i="5"/>
  <c r="AX293" i="5"/>
  <c r="AY293" i="5"/>
  <c r="AZ293" i="5"/>
  <c r="AP294" i="5"/>
  <c r="AR294" i="5"/>
  <c r="AS294" i="5"/>
  <c r="AT294" i="5"/>
  <c r="AU294" i="5"/>
  <c r="AV294" i="5"/>
  <c r="AW294" i="5"/>
  <c r="AX294" i="5"/>
  <c r="AY294" i="5"/>
  <c r="AZ294" i="5"/>
  <c r="AP292" i="5"/>
  <c r="AR292" i="5"/>
  <c r="AS292" i="5"/>
  <c r="AT292" i="5"/>
  <c r="AU292" i="5"/>
  <c r="AV292" i="5"/>
  <c r="AW292" i="5"/>
  <c r="AX292" i="5"/>
  <c r="AY292" i="5"/>
  <c r="AZ292" i="5"/>
  <c r="AP290" i="5"/>
  <c r="AR290" i="5"/>
  <c r="AS290" i="5"/>
  <c r="AT290" i="5"/>
  <c r="AU290" i="5"/>
  <c r="AV290" i="5"/>
  <c r="AW290" i="5"/>
  <c r="AX290" i="5"/>
  <c r="AY290" i="5"/>
  <c r="AZ290" i="5"/>
  <c r="AP291" i="5"/>
  <c r="AR291" i="5"/>
  <c r="AS291" i="5"/>
  <c r="AT291" i="5"/>
  <c r="AU291" i="5"/>
  <c r="AV291" i="5"/>
  <c r="AW291" i="5"/>
  <c r="AX291" i="5"/>
  <c r="AY291" i="5"/>
  <c r="AZ291" i="5"/>
  <c r="AP363" i="5"/>
  <c r="AR363" i="5"/>
  <c r="AS363" i="5"/>
  <c r="AT363" i="5"/>
  <c r="AU363" i="5"/>
  <c r="AV363" i="5"/>
  <c r="AW363" i="5"/>
  <c r="AX363" i="5"/>
  <c r="AY363" i="5"/>
  <c r="AZ363" i="5"/>
  <c r="AP319" i="5"/>
  <c r="AR319" i="5"/>
  <c r="AS319" i="5"/>
  <c r="AT319" i="5"/>
  <c r="AU319" i="5"/>
  <c r="AV319" i="5"/>
  <c r="AW319" i="5"/>
  <c r="AX319" i="5"/>
  <c r="AY319" i="5"/>
  <c r="AZ319" i="5"/>
  <c r="AP355" i="5"/>
  <c r="AR355" i="5"/>
  <c r="AS355" i="5"/>
  <c r="AT355" i="5"/>
  <c r="AU355" i="5"/>
  <c r="AV355" i="5"/>
  <c r="AW355" i="5"/>
  <c r="AX355" i="5"/>
  <c r="AY355" i="5"/>
  <c r="AZ355" i="5"/>
  <c r="AP358" i="5"/>
  <c r="AR358" i="5"/>
  <c r="AS358" i="5"/>
  <c r="AT358" i="5"/>
  <c r="AU358" i="5"/>
  <c r="AV358" i="5"/>
  <c r="AW358" i="5"/>
  <c r="AX358" i="5"/>
  <c r="AY358" i="5"/>
  <c r="AZ358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401" i="5"/>
  <c r="AR401" i="5"/>
  <c r="AS401" i="5"/>
  <c r="AT401" i="5"/>
  <c r="AU401" i="5"/>
  <c r="AV401" i="5"/>
  <c r="AW401" i="5"/>
  <c r="AX401" i="5"/>
  <c r="AY401" i="5"/>
  <c r="AZ401" i="5"/>
  <c r="AP402" i="5"/>
  <c r="AR402" i="5"/>
  <c r="AS402" i="5"/>
  <c r="AT402" i="5"/>
  <c r="AU402" i="5"/>
  <c r="AV402" i="5"/>
  <c r="AW402" i="5"/>
  <c r="AX402" i="5"/>
  <c r="AY402" i="5"/>
  <c r="AZ402" i="5"/>
  <c r="AP403" i="5"/>
  <c r="AR403" i="5"/>
  <c r="AS403" i="5"/>
  <c r="AT403" i="5"/>
  <c r="AU403" i="5"/>
  <c r="AV403" i="5"/>
  <c r="AW403" i="5"/>
  <c r="AX403" i="5"/>
  <c r="AY403" i="5"/>
  <c r="AZ403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53" i="5"/>
  <c r="AR353" i="5"/>
  <c r="AS353" i="5"/>
  <c r="AT353" i="5"/>
  <c r="AU353" i="5"/>
  <c r="AV353" i="5"/>
  <c r="AW353" i="5"/>
  <c r="AX353" i="5"/>
  <c r="AY353" i="5"/>
  <c r="AZ353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96" i="5"/>
  <c r="AR396" i="5"/>
  <c r="AS396" i="5"/>
  <c r="AT396" i="5"/>
  <c r="AU396" i="5"/>
  <c r="AV396" i="5"/>
  <c r="AW396" i="5"/>
  <c r="AX396" i="5"/>
  <c r="AY396" i="5"/>
  <c r="AZ396" i="5"/>
  <c r="AP327" i="5"/>
  <c r="AR327" i="5"/>
  <c r="AS327" i="5"/>
  <c r="AT327" i="5"/>
  <c r="AU327" i="5"/>
  <c r="AV327" i="5"/>
  <c r="AW327" i="5"/>
  <c r="AX327" i="5"/>
  <c r="AY327" i="5"/>
  <c r="AZ327" i="5"/>
  <c r="AP328" i="5"/>
  <c r="AR328" i="5"/>
  <c r="AS328" i="5"/>
  <c r="AT328" i="5"/>
  <c r="AU328" i="5"/>
  <c r="AV328" i="5"/>
  <c r="AW328" i="5"/>
  <c r="AX328" i="5"/>
  <c r="AY328" i="5"/>
  <c r="AZ328" i="5"/>
  <c r="AP329" i="5"/>
  <c r="AR329" i="5"/>
  <c r="AS329" i="5"/>
  <c r="AT329" i="5"/>
  <c r="AU329" i="5"/>
  <c r="AV329" i="5"/>
  <c r="AW329" i="5"/>
  <c r="AX329" i="5"/>
  <c r="AY329" i="5"/>
  <c r="AZ329" i="5"/>
  <c r="AP330" i="5"/>
  <c r="AR330" i="5"/>
  <c r="AS330" i="5"/>
  <c r="AT330" i="5"/>
  <c r="AU330" i="5"/>
  <c r="AV330" i="5"/>
  <c r="AW330" i="5"/>
  <c r="AX330" i="5"/>
  <c r="AY330" i="5"/>
  <c r="AZ330" i="5"/>
  <c r="AP331" i="5"/>
  <c r="AR331" i="5"/>
  <c r="AS331" i="5"/>
  <c r="AT331" i="5"/>
  <c r="AU331" i="5"/>
  <c r="AV331" i="5"/>
  <c r="AW331" i="5"/>
  <c r="AX331" i="5"/>
  <c r="AY331" i="5"/>
  <c r="AZ331" i="5"/>
  <c r="AP332" i="5"/>
  <c r="AR332" i="5"/>
  <c r="AS332" i="5"/>
  <c r="AT332" i="5"/>
  <c r="AU332" i="5"/>
  <c r="AV332" i="5"/>
  <c r="AW332" i="5"/>
  <c r="AX332" i="5"/>
  <c r="AY332" i="5"/>
  <c r="AZ332" i="5"/>
  <c r="AP333" i="5"/>
  <c r="AR333" i="5"/>
  <c r="AS333" i="5"/>
  <c r="AT333" i="5"/>
  <c r="AU333" i="5"/>
  <c r="AV333" i="5"/>
  <c r="AW333" i="5"/>
  <c r="AX333" i="5"/>
  <c r="AY333" i="5"/>
  <c r="AZ333" i="5"/>
  <c r="AP334" i="5"/>
  <c r="AR334" i="5"/>
  <c r="AS334" i="5"/>
  <c r="AT334" i="5"/>
  <c r="AU334" i="5"/>
  <c r="AV334" i="5"/>
  <c r="AW334" i="5"/>
  <c r="AX334" i="5"/>
  <c r="AY334" i="5"/>
  <c r="AZ334" i="5"/>
  <c r="AP336" i="5"/>
  <c r="AR336" i="5"/>
  <c r="AS336" i="5"/>
  <c r="AT336" i="5"/>
  <c r="AU336" i="5"/>
  <c r="AV336" i="5"/>
  <c r="AW336" i="5"/>
  <c r="AX336" i="5"/>
  <c r="AY336" i="5"/>
  <c r="AZ336" i="5"/>
  <c r="AP335" i="5"/>
  <c r="AR335" i="5"/>
  <c r="AS335" i="5"/>
  <c r="AT335" i="5"/>
  <c r="AU335" i="5"/>
  <c r="AV335" i="5"/>
  <c r="AW335" i="5"/>
  <c r="AX335" i="5"/>
  <c r="AY335" i="5"/>
  <c r="AZ335" i="5"/>
  <c r="AP399" i="5"/>
  <c r="AR399" i="5"/>
  <c r="AS399" i="5"/>
  <c r="AT399" i="5"/>
  <c r="AU399" i="5"/>
  <c r="AV399" i="5"/>
  <c r="AW399" i="5"/>
  <c r="AX399" i="5"/>
  <c r="AY399" i="5"/>
  <c r="AZ399" i="5"/>
  <c r="AP345" i="5"/>
  <c r="AQ345" i="5"/>
  <c r="AR345" i="5"/>
  <c r="AS345" i="5"/>
  <c r="AT345" i="5"/>
  <c r="AU345" i="5"/>
  <c r="AV345" i="5"/>
  <c r="AW345" i="5"/>
  <c r="AX345" i="5"/>
  <c r="AY345" i="5"/>
  <c r="AZ345" i="5"/>
  <c r="AP349" i="5"/>
  <c r="AQ349" i="5"/>
  <c r="AR349" i="5"/>
  <c r="AS349" i="5"/>
  <c r="AT349" i="5"/>
  <c r="AU349" i="5"/>
  <c r="AV349" i="5"/>
  <c r="AW349" i="5"/>
  <c r="AX349" i="5"/>
  <c r="AY349" i="5"/>
  <c r="AZ349" i="5"/>
  <c r="AP354" i="5"/>
  <c r="AQ354" i="5"/>
  <c r="AR354" i="5"/>
  <c r="AS354" i="5"/>
  <c r="AT354" i="5"/>
  <c r="AU354" i="5"/>
  <c r="AV354" i="5"/>
  <c r="AW354" i="5"/>
  <c r="AX354" i="5"/>
  <c r="AY354" i="5"/>
  <c r="AZ354" i="5"/>
  <c r="AP337" i="5"/>
  <c r="AQ337" i="5"/>
  <c r="AR337" i="5"/>
  <c r="AS337" i="5"/>
  <c r="AT337" i="5"/>
  <c r="AU337" i="5"/>
  <c r="AV337" i="5"/>
  <c r="AW337" i="5"/>
  <c r="AX337" i="5"/>
  <c r="AY337" i="5"/>
  <c r="AZ337" i="5"/>
  <c r="AP400" i="5"/>
  <c r="AQ400" i="5"/>
  <c r="AR400" i="5"/>
  <c r="AS400" i="5"/>
  <c r="AT400" i="5"/>
  <c r="AU400" i="5"/>
  <c r="AV400" i="5"/>
  <c r="AW400" i="5"/>
  <c r="AX400" i="5"/>
  <c r="AY400" i="5"/>
  <c r="AZ400" i="5"/>
  <c r="AR243" i="5"/>
  <c r="AS243" i="5"/>
  <c r="AT243" i="5"/>
  <c r="AU243" i="5"/>
  <c r="AV243" i="5"/>
  <c r="AW243" i="5"/>
  <c r="AX243" i="5"/>
  <c r="AY243" i="5"/>
  <c r="AR242" i="5"/>
  <c r="AS242" i="5"/>
  <c r="AT242" i="5"/>
  <c r="AU242" i="5"/>
  <c r="AV242" i="5"/>
  <c r="AW242" i="5"/>
  <c r="AX242" i="5"/>
  <c r="AY242" i="5"/>
  <c r="AR240" i="5"/>
  <c r="AS240" i="5"/>
  <c r="AT240" i="5"/>
  <c r="AU240" i="5"/>
  <c r="AV240" i="5"/>
  <c r="AW240" i="5"/>
  <c r="AX240" i="5"/>
  <c r="AY240" i="5"/>
  <c r="AR241" i="5"/>
  <c r="AS241" i="5"/>
  <c r="AT241" i="5"/>
  <c r="AU241" i="5"/>
  <c r="AV241" i="5"/>
  <c r="AW241" i="5"/>
  <c r="AX241" i="5"/>
  <c r="AY241" i="5"/>
  <c r="AR244" i="5"/>
  <c r="AS244" i="5"/>
  <c r="AT244" i="5"/>
  <c r="AU244" i="5"/>
  <c r="AV244" i="5"/>
  <c r="AW244" i="5"/>
  <c r="AX244" i="5"/>
  <c r="AY244" i="5"/>
  <c r="AR245" i="5"/>
  <c r="AS245" i="5"/>
  <c r="AT245" i="5"/>
  <c r="AU245" i="5"/>
  <c r="AV245" i="5"/>
  <c r="AW245" i="5"/>
  <c r="AX245" i="5"/>
  <c r="AY245" i="5"/>
  <c r="AR246" i="5"/>
  <c r="AS246" i="5"/>
  <c r="AT246" i="5"/>
  <c r="AU246" i="5"/>
  <c r="AV246" i="5"/>
  <c r="AW246" i="5"/>
  <c r="AX246" i="5"/>
  <c r="AY246" i="5"/>
  <c r="AR247" i="5"/>
  <c r="AS247" i="5"/>
  <c r="AT247" i="5"/>
  <c r="AU247" i="5"/>
  <c r="AV247" i="5"/>
  <c r="AW247" i="5"/>
  <c r="AX247" i="5"/>
  <c r="AY247" i="5"/>
  <c r="AR248" i="5"/>
  <c r="AS248" i="5"/>
  <c r="AT248" i="5"/>
  <c r="AU248" i="5"/>
  <c r="AV248" i="5"/>
  <c r="AW248" i="5"/>
  <c r="AX248" i="5"/>
  <c r="AY248" i="5"/>
  <c r="AR249" i="5"/>
  <c r="AS249" i="5"/>
  <c r="AT249" i="5"/>
  <c r="AU249" i="5"/>
  <c r="AV249" i="5"/>
  <c r="AW249" i="5"/>
  <c r="AX249" i="5"/>
  <c r="AY249" i="5"/>
  <c r="AR250" i="5"/>
  <c r="AS250" i="5"/>
  <c r="AT250" i="5"/>
  <c r="AU250" i="5"/>
  <c r="AV250" i="5"/>
  <c r="AW250" i="5"/>
  <c r="AX250" i="5"/>
  <c r="AY250" i="5"/>
  <c r="AR251" i="5"/>
  <c r="AS251" i="5"/>
  <c r="AT251" i="5"/>
  <c r="AU251" i="5"/>
  <c r="AV251" i="5"/>
  <c r="AW251" i="5"/>
  <c r="AX251" i="5"/>
  <c r="AY251" i="5"/>
  <c r="AR252" i="5"/>
  <c r="AS252" i="5"/>
  <c r="AT252" i="5"/>
  <c r="AU252" i="5"/>
  <c r="AV252" i="5"/>
  <c r="AW252" i="5"/>
  <c r="AX252" i="5"/>
  <c r="AY252" i="5"/>
  <c r="AR253" i="5"/>
  <c r="AS253" i="5"/>
  <c r="AT253" i="5"/>
  <c r="AU253" i="5"/>
  <c r="AV253" i="5"/>
  <c r="AW253" i="5"/>
  <c r="AX253" i="5"/>
  <c r="AY253" i="5"/>
  <c r="AR255" i="5"/>
  <c r="AS255" i="5"/>
  <c r="AT255" i="5"/>
  <c r="AU255" i="5"/>
  <c r="AV255" i="5"/>
  <c r="AW255" i="5"/>
  <c r="AX255" i="5"/>
  <c r="AY255" i="5"/>
  <c r="AR256" i="5"/>
  <c r="AS256" i="5"/>
  <c r="AT256" i="5"/>
  <c r="AU256" i="5"/>
  <c r="AV256" i="5"/>
  <c r="AW256" i="5"/>
  <c r="AX256" i="5"/>
  <c r="AY256" i="5"/>
  <c r="AR257" i="5"/>
  <c r="AS257" i="5"/>
  <c r="AT257" i="5"/>
  <c r="AU257" i="5"/>
  <c r="AV257" i="5"/>
  <c r="AW257" i="5"/>
  <c r="AX257" i="5"/>
  <c r="AY257" i="5"/>
  <c r="AR259" i="5"/>
  <c r="AS259" i="5"/>
  <c r="AT259" i="5"/>
  <c r="AU259" i="5"/>
  <c r="AV259" i="5"/>
  <c r="AW259" i="5"/>
  <c r="AX259" i="5"/>
  <c r="AY259" i="5"/>
  <c r="AR260" i="5"/>
  <c r="AS260" i="5"/>
  <c r="AT260" i="5"/>
  <c r="AU260" i="5"/>
  <c r="AV260" i="5"/>
  <c r="AW260" i="5"/>
  <c r="AX260" i="5"/>
  <c r="AY260" i="5"/>
  <c r="AR261" i="5"/>
  <c r="AS261" i="5"/>
  <c r="AT261" i="5"/>
  <c r="AU261" i="5"/>
  <c r="AV261" i="5"/>
  <c r="AW261" i="5"/>
  <c r="AX261" i="5"/>
  <c r="AY261" i="5"/>
  <c r="AR262" i="5"/>
  <c r="AS262" i="5"/>
  <c r="AT262" i="5"/>
  <c r="AU262" i="5"/>
  <c r="AV262" i="5"/>
  <c r="AW262" i="5"/>
  <c r="AX262" i="5"/>
  <c r="AY262" i="5"/>
  <c r="AR263" i="5"/>
  <c r="AS263" i="5"/>
  <c r="AT263" i="5"/>
  <c r="AU263" i="5"/>
  <c r="AV263" i="5"/>
  <c r="AW263" i="5"/>
  <c r="AX263" i="5"/>
  <c r="AY263" i="5"/>
  <c r="AR264" i="5"/>
  <c r="AS264" i="5"/>
  <c r="AT264" i="5"/>
  <c r="AU264" i="5"/>
  <c r="AV264" i="5"/>
  <c r="AW264" i="5"/>
  <c r="AX264" i="5"/>
  <c r="AY264" i="5"/>
  <c r="AR265" i="5"/>
  <c r="AS265" i="5"/>
  <c r="AT265" i="5"/>
  <c r="AU265" i="5"/>
  <c r="AV265" i="5"/>
  <c r="AW265" i="5"/>
  <c r="AX265" i="5"/>
  <c r="AY265" i="5"/>
  <c r="AR254" i="5"/>
  <c r="AS254" i="5"/>
  <c r="AT254" i="5"/>
  <c r="AU254" i="5"/>
  <c r="AV254" i="5"/>
  <c r="AW254" i="5"/>
  <c r="AX254" i="5"/>
  <c r="AY254" i="5"/>
  <c r="AL25" i="2"/>
  <c r="AL32" i="2"/>
  <c r="AL19" i="2"/>
  <c r="AL28" i="2"/>
  <c r="AL20" i="2"/>
  <c r="AL21" i="2"/>
  <c r="AL30" i="2"/>
  <c r="AL31" i="2"/>
  <c r="AL40" i="2"/>
  <c r="AL29" i="2"/>
  <c r="AL15" i="2"/>
  <c r="AL14" i="2"/>
  <c r="AL13" i="2"/>
  <c r="AL7" i="2"/>
  <c r="AL12" i="2"/>
  <c r="AL10" i="2"/>
  <c r="AL8" i="2"/>
  <c r="AL9" i="2"/>
  <c r="AL35" i="2"/>
  <c r="AL33" i="2"/>
  <c r="AL5" i="2"/>
  <c r="AL4" i="2"/>
  <c r="AL36" i="2"/>
  <c r="AL37" i="2"/>
  <c r="AL6" i="2"/>
  <c r="AL24" i="2"/>
  <c r="AL27" i="2"/>
  <c r="AL34" i="2"/>
  <c r="AL39" i="2"/>
  <c r="AL38" i="2"/>
  <c r="AL23" i="2"/>
  <c r="AL43" i="2"/>
  <c r="AL44" i="2"/>
  <c r="AL48" i="2"/>
  <c r="AL47" i="2"/>
  <c r="AL49" i="2"/>
  <c r="AK26" i="2"/>
  <c r="AD26" i="2"/>
  <c r="AD25" i="2"/>
  <c r="AD32" i="2"/>
  <c r="AD19" i="2"/>
  <c r="AD28" i="2"/>
  <c r="AD20" i="2"/>
  <c r="AD21" i="2"/>
  <c r="AD30" i="2"/>
  <c r="AD31" i="2"/>
  <c r="AD40" i="2"/>
  <c r="AD29" i="2"/>
  <c r="AD15" i="2"/>
  <c r="AD14" i="2"/>
  <c r="AD13" i="2"/>
  <c r="AD7" i="2"/>
  <c r="AD12" i="2"/>
  <c r="AD10" i="2"/>
  <c r="AD8" i="2"/>
  <c r="AD9" i="2"/>
  <c r="AD35" i="2"/>
  <c r="AD33" i="2"/>
  <c r="AD5" i="2"/>
  <c r="AD4" i="2"/>
  <c r="AD36" i="2"/>
  <c r="AD37" i="2"/>
  <c r="AD6" i="2"/>
  <c r="AD24" i="2"/>
  <c r="AD27" i="2"/>
  <c r="AD34" i="2"/>
  <c r="AD39" i="2"/>
  <c r="AD38" i="2"/>
  <c r="AD23" i="2"/>
  <c r="AD43" i="2"/>
  <c r="AD44" i="2"/>
  <c r="AD48" i="2"/>
  <c r="AD47" i="2"/>
  <c r="AD49" i="2"/>
  <c r="AE26" i="2"/>
  <c r="AB181" i="4"/>
  <c r="AB261" i="4"/>
  <c r="AB127" i="4"/>
  <c r="AB135" i="4"/>
  <c r="AB140" i="4"/>
  <c r="AB147" i="4"/>
  <c r="AB182" i="4"/>
  <c r="AB184" i="4"/>
  <c r="AB185" i="4"/>
  <c r="AB267" i="4"/>
  <c r="AB272" i="4"/>
  <c r="AB131" i="4"/>
  <c r="AB146" i="4"/>
  <c r="AB48" i="4"/>
  <c r="AB49" i="4"/>
  <c r="AB50" i="4"/>
  <c r="AB51" i="4"/>
  <c r="AB52" i="4"/>
  <c r="AB263" i="4"/>
  <c r="AB264" i="4"/>
  <c r="AB80" i="4"/>
  <c r="AB82" i="4"/>
  <c r="AB83" i="4"/>
  <c r="AB257" i="4"/>
  <c r="AB84" i="4"/>
  <c r="AB258" i="4"/>
  <c r="AB90" i="4"/>
  <c r="AB10" i="4"/>
  <c r="AB11" i="4"/>
  <c r="AB91" i="4"/>
  <c r="AB92" i="4"/>
  <c r="AB93" i="4"/>
  <c r="AB259" i="4"/>
  <c r="AB116" i="4"/>
  <c r="AB125" i="4"/>
  <c r="AB295" i="4"/>
  <c r="AB249" i="4"/>
  <c r="AB79" i="4"/>
  <c r="AB81" i="4"/>
  <c r="AB256" i="4"/>
  <c r="AB88" i="4"/>
  <c r="AB89" i="4"/>
  <c r="AB94" i="4"/>
  <c r="AB96" i="4"/>
  <c r="AB103" i="4"/>
  <c r="AB2" i="4"/>
  <c r="AB115" i="4"/>
  <c r="AB15" i="4"/>
  <c r="AB130" i="4"/>
  <c r="AB137" i="4"/>
  <c r="AB254" i="4"/>
  <c r="AB16" i="4"/>
  <c r="AB17" i="4"/>
  <c r="AB18" i="4"/>
  <c r="AB165" i="4"/>
  <c r="AB166" i="4"/>
  <c r="AB167" i="4"/>
  <c r="AB169" i="4"/>
  <c r="AB170" i="4"/>
  <c r="AB178" i="4"/>
  <c r="AB281" i="4"/>
  <c r="AB282" i="4"/>
  <c r="AB199" i="4"/>
  <c r="AB200" i="4"/>
  <c r="AB201" i="4"/>
  <c r="AB202" i="4"/>
  <c r="AB203" i="4"/>
  <c r="AB204" i="4"/>
  <c r="AB25" i="4"/>
  <c r="AB221" i="4"/>
  <c r="AB29" i="4"/>
  <c r="AB30" i="4"/>
  <c r="AB31" i="4"/>
  <c r="AB231" i="4"/>
  <c r="AB32" i="4"/>
  <c r="AB232" i="4"/>
  <c r="AB233" i="4"/>
  <c r="AB234" i="4"/>
  <c r="AB235" i="4"/>
  <c r="AB236" i="4"/>
  <c r="AB237" i="4"/>
  <c r="AB33" i="4"/>
  <c r="AB36" i="4"/>
  <c r="AB37" i="4"/>
  <c r="AB38" i="4"/>
  <c r="AB39" i="4"/>
  <c r="AB40" i="4"/>
  <c r="AB44" i="4"/>
  <c r="AB46" i="4"/>
  <c r="AB262" i="4"/>
  <c r="AB53" i="4"/>
  <c r="AB54" i="4"/>
  <c r="AB55" i="4"/>
  <c r="AB56" i="4"/>
  <c r="AB57" i="4"/>
  <c r="AB58" i="4"/>
  <c r="AB60" i="4"/>
  <c r="AB61" i="4"/>
  <c r="AB62" i="4"/>
  <c r="AB63" i="4"/>
  <c r="AB64" i="4"/>
  <c r="AB65" i="4"/>
  <c r="AB66" i="4"/>
  <c r="AB67" i="4"/>
  <c r="AB68" i="4"/>
  <c r="AB69" i="4"/>
  <c r="AB70" i="4"/>
  <c r="AB9" i="4"/>
  <c r="AB71" i="4"/>
  <c r="AB72" i="4"/>
  <c r="AB73" i="4"/>
  <c r="AB74" i="4"/>
  <c r="AB75" i="4"/>
  <c r="AB76" i="4"/>
  <c r="AB77" i="4"/>
  <c r="AB78" i="4"/>
  <c r="AB85" i="4"/>
  <c r="AB86" i="4"/>
  <c r="AB87" i="4"/>
  <c r="AB251" i="4"/>
  <c r="AB98" i="4"/>
  <c r="AB99" i="4"/>
  <c r="AB100" i="4"/>
  <c r="AB101" i="4"/>
  <c r="AB102" i="4"/>
  <c r="AB104" i="4"/>
  <c r="AB105" i="4"/>
  <c r="AB106" i="4"/>
  <c r="AB108" i="4"/>
  <c r="AB109" i="4"/>
  <c r="AB110" i="4"/>
  <c r="AB111" i="4"/>
  <c r="AB112" i="4"/>
  <c r="AB113" i="4"/>
  <c r="AB114" i="4"/>
  <c r="AB265" i="4"/>
  <c r="AB14" i="4"/>
  <c r="AB117" i="4"/>
  <c r="AB119" i="4"/>
  <c r="AB121" i="4"/>
  <c r="AB123" i="4"/>
  <c r="AB124" i="4"/>
  <c r="AB126" i="4"/>
  <c r="AB128" i="4"/>
  <c r="AB129" i="4"/>
  <c r="AB3" i="4"/>
  <c r="AB132" i="4"/>
  <c r="AB4" i="4"/>
  <c r="AB133" i="4"/>
  <c r="AB134" i="4"/>
  <c r="AB136" i="4"/>
  <c r="AB138" i="4"/>
  <c r="AB139" i="4"/>
  <c r="AB141" i="4"/>
  <c r="AB143" i="4"/>
  <c r="AB144" i="4"/>
  <c r="AB273" i="4"/>
  <c r="AB145" i="4"/>
  <c r="AB275" i="4"/>
  <c r="AB149" i="4"/>
  <c r="AB277" i="4"/>
  <c r="AB151" i="4"/>
  <c r="AB153" i="4"/>
  <c r="AB155" i="4"/>
  <c r="AB156" i="4"/>
  <c r="AB157" i="4"/>
  <c r="AB158" i="4"/>
  <c r="AB159" i="4"/>
  <c r="AB160" i="4"/>
  <c r="AB253" i="4"/>
  <c r="AB161" i="4"/>
  <c r="AB172" i="4"/>
  <c r="AB176" i="4"/>
  <c r="AB177" i="4"/>
  <c r="AB179" i="4"/>
  <c r="AB180" i="4"/>
  <c r="AB183" i="4"/>
  <c r="AB187" i="4"/>
  <c r="AB188" i="4"/>
  <c r="AB189" i="4"/>
  <c r="AB190" i="4"/>
  <c r="AB278" i="4"/>
  <c r="AB279" i="4"/>
  <c r="AB280" i="4"/>
  <c r="AB191" i="4"/>
  <c r="AB283" i="4"/>
  <c r="AB284" i="4"/>
  <c r="AB5" i="4"/>
  <c r="AB285" i="4"/>
  <c r="AB286" i="4"/>
  <c r="AB287" i="4"/>
  <c r="AB288" i="4"/>
  <c r="AB289" i="4"/>
  <c r="AB197" i="4"/>
  <c r="AB290" i="4"/>
  <c r="AB198" i="4"/>
  <c r="AB19" i="4"/>
  <c r="AB20" i="4"/>
  <c r="AB21" i="4"/>
  <c r="AB22" i="4"/>
  <c r="AB23" i="4"/>
  <c r="AB24" i="4"/>
  <c r="AB6" i="4"/>
  <c r="AB7" i="4"/>
  <c r="AB206" i="4"/>
  <c r="AB207" i="4"/>
  <c r="AB291" i="4"/>
  <c r="AB208" i="4"/>
  <c r="AB209" i="4"/>
  <c r="AB210" i="4"/>
  <c r="AB255" i="4"/>
  <c r="AB211" i="4"/>
  <c r="AB212" i="4"/>
  <c r="AB213" i="4"/>
  <c r="AB214" i="4"/>
  <c r="AB215" i="4"/>
  <c r="AB216" i="4"/>
  <c r="AB26" i="4"/>
  <c r="AB217" i="4"/>
  <c r="AB218" i="4"/>
  <c r="AB220" i="4"/>
  <c r="AB224" i="4"/>
  <c r="AB227" i="4"/>
  <c r="AB228" i="4"/>
  <c r="AB229" i="4"/>
  <c r="AB294" i="4"/>
  <c r="AB230" i="4"/>
  <c r="AB239" i="4"/>
  <c r="AB240" i="4"/>
  <c r="AB241" i="4"/>
  <c r="AB242" i="4"/>
  <c r="AB243" i="4"/>
  <c r="AB244" i="4"/>
  <c r="AB245" i="4"/>
  <c r="AB246" i="4"/>
  <c r="AB34" i="4"/>
  <c r="AB35" i="4"/>
  <c r="AB248" i="4"/>
  <c r="AB41" i="4"/>
  <c r="AB42" i="4"/>
  <c r="AB43" i="4"/>
  <c r="AB45" i="4"/>
  <c r="AB47" i="4"/>
  <c r="AB260" i="4"/>
  <c r="AB95" i="4"/>
  <c r="AB12" i="4"/>
  <c r="AB13" i="4"/>
  <c r="AB122" i="4"/>
  <c r="AB276" i="4"/>
  <c r="AB152" i="4"/>
  <c r="AB171" i="4"/>
  <c r="AB192" i="4"/>
  <c r="AB193" i="4"/>
  <c r="AB205" i="4"/>
  <c r="AB8" i="4"/>
  <c r="AB269" i="4"/>
  <c r="AB270" i="4"/>
  <c r="AB142" i="4"/>
  <c r="AB148" i="4"/>
  <c r="AB194" i="4"/>
  <c r="AB195" i="4"/>
  <c r="AB196" i="4"/>
  <c r="AB292" i="4"/>
  <c r="AB293" i="4"/>
  <c r="AB118" i="4"/>
  <c r="AB271" i="4"/>
  <c r="AB274" i="4"/>
  <c r="AB120" i="4"/>
  <c r="AB252" i="4"/>
  <c r="AB150" i="4"/>
  <c r="AB222" i="4"/>
  <c r="AB223" i="4"/>
  <c r="AB225" i="4"/>
  <c r="AB238" i="4"/>
  <c r="AB97" i="4"/>
  <c r="AB174" i="4"/>
  <c r="AB226" i="4"/>
  <c r="AB59" i="4"/>
  <c r="AB173" i="4"/>
  <c r="AB175" i="4"/>
  <c r="AB186" i="4"/>
  <c r="AB219" i="4"/>
  <c r="AB107" i="4"/>
  <c r="AB162" i="4"/>
  <c r="AB163" i="4"/>
  <c r="AB164" i="4"/>
  <c r="AB168" i="4"/>
  <c r="AB27" i="4"/>
  <c r="AB28" i="4"/>
  <c r="AB247" i="4"/>
  <c r="AB266" i="4"/>
  <c r="AB154" i="4"/>
  <c r="AB268" i="4"/>
  <c r="AB299" i="4"/>
  <c r="AB298" i="4"/>
  <c r="AB296" i="4"/>
  <c r="AB297" i="4"/>
  <c r="AB300" i="4"/>
  <c r="AB305" i="4"/>
  <c r="AB308" i="4"/>
  <c r="AB309" i="4"/>
  <c r="AB310" i="4"/>
  <c r="AB301" i="4"/>
  <c r="AB302" i="4"/>
  <c r="AB303" i="4"/>
  <c r="AB304" i="4"/>
  <c r="AB307" i="4"/>
  <c r="AB306" i="4"/>
  <c r="AB315" i="4"/>
  <c r="AB316" i="4"/>
  <c r="AB317" i="4"/>
  <c r="AB318" i="4"/>
  <c r="AB319" i="4"/>
  <c r="AB320" i="4"/>
  <c r="AB321" i="4"/>
  <c r="AB322" i="4"/>
  <c r="AB335" i="4"/>
  <c r="AB336" i="4"/>
  <c r="AB337" i="4"/>
  <c r="AB338" i="4"/>
  <c r="AB339" i="4"/>
  <c r="AB341" i="4"/>
  <c r="AB342" i="4"/>
  <c r="AB343" i="4"/>
  <c r="AB312" i="4"/>
  <c r="AB313" i="4"/>
  <c r="AB314" i="4"/>
  <c r="AB328" i="4"/>
  <c r="AB329" i="4"/>
  <c r="AB330" i="4"/>
  <c r="AB331" i="4"/>
  <c r="AB340" i="4"/>
  <c r="AB333" i="4"/>
  <c r="AB344" i="4"/>
  <c r="AB332" i="4"/>
  <c r="AB325" i="4"/>
  <c r="AB323" i="4"/>
  <c r="AB324" i="4"/>
  <c r="AB326" i="4"/>
  <c r="AB327" i="4"/>
  <c r="AB334" i="4"/>
  <c r="AB345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48" i="4"/>
  <c r="AB346" i="4"/>
  <c r="AB347" i="4"/>
  <c r="AB372" i="4"/>
  <c r="AB368" i="4"/>
  <c r="AB376" i="4"/>
  <c r="AB367" i="4"/>
  <c r="AB369" i="4"/>
  <c r="AB371" i="4"/>
  <c r="AB374" i="4"/>
  <c r="AB377" i="4"/>
  <c r="AB370" i="4"/>
  <c r="AB373" i="4"/>
  <c r="AB375" i="4"/>
  <c r="AB382" i="4"/>
  <c r="AB381" i="4"/>
  <c r="AB380" i="4"/>
  <c r="AB379" i="4"/>
  <c r="AB378" i="4"/>
  <c r="AB386" i="4"/>
  <c r="AB401" i="4"/>
  <c r="AB404" i="4"/>
  <c r="AB387" i="4"/>
  <c r="AB388" i="4"/>
  <c r="AB389" i="4"/>
  <c r="AB390" i="4"/>
  <c r="AB396" i="4"/>
  <c r="AB397" i="4"/>
  <c r="AB398" i="4"/>
  <c r="AB399" i="4"/>
  <c r="AB403" i="4"/>
  <c r="AB383" i="4"/>
  <c r="AB384" i="4"/>
  <c r="AB385" i="4"/>
  <c r="AB392" i="4"/>
  <c r="AB393" i="4"/>
  <c r="AB394" i="4"/>
  <c r="AB395" i="4"/>
  <c r="AB400" i="4"/>
  <c r="AB402" i="4"/>
  <c r="AB405" i="4"/>
  <c r="AB406" i="4"/>
  <c r="AB407" i="4"/>
  <c r="AB391" i="4"/>
  <c r="AB250" i="4"/>
  <c r="AC250" i="4"/>
  <c r="BD114" i="5"/>
  <c r="BD195" i="5"/>
  <c r="BD194" i="5"/>
  <c r="BD12" i="5"/>
  <c r="BD170" i="5"/>
  <c r="BD109" i="5"/>
  <c r="BD274" i="5"/>
  <c r="BD117" i="5"/>
  <c r="BD171" i="5"/>
  <c r="BD29" i="5"/>
  <c r="BD227" i="5"/>
  <c r="BD139" i="5"/>
  <c r="BD77" i="5"/>
  <c r="BD258" i="5"/>
  <c r="BD222" i="5"/>
  <c r="BD79" i="5"/>
  <c r="BD173" i="5"/>
  <c r="BD287" i="5"/>
  <c r="BD165" i="5"/>
  <c r="BD166" i="5"/>
  <c r="BD184" i="5"/>
  <c r="BD186" i="5"/>
  <c r="BD187" i="5"/>
  <c r="BD306" i="5"/>
  <c r="BD400" i="5"/>
  <c r="BD337" i="5"/>
  <c r="BD345" i="5"/>
  <c r="BD244" i="5"/>
  <c r="BD261" i="5"/>
  <c r="BD262" i="5"/>
  <c r="BD241" i="5"/>
  <c r="BD51" i="5"/>
  <c r="BD52" i="5"/>
  <c r="BD120" i="5"/>
  <c r="BD50" i="5"/>
  <c r="BD53" i="5"/>
  <c r="BD66" i="5"/>
  <c r="BD122" i="5"/>
  <c r="BD138" i="5"/>
  <c r="BD281" i="5"/>
  <c r="BD169" i="5"/>
  <c r="BD162" i="5"/>
  <c r="BD154" i="5"/>
  <c r="BD168" i="5"/>
  <c r="BD41" i="5"/>
  <c r="BD124" i="5"/>
  <c r="BD42" i="5"/>
  <c r="BD56" i="5"/>
  <c r="BD266" i="5"/>
  <c r="BD55" i="5"/>
  <c r="BD111" i="5"/>
  <c r="BD273" i="5"/>
  <c r="BD48" i="5"/>
  <c r="BD62" i="5"/>
  <c r="BD282" i="5"/>
  <c r="BD121" i="5"/>
  <c r="BD161" i="5"/>
  <c r="BD190" i="5"/>
  <c r="BD192" i="5"/>
  <c r="BD72" i="5"/>
  <c r="BD286" i="5"/>
  <c r="BD85" i="5"/>
  <c r="BD11" i="5"/>
  <c r="BD60" i="5"/>
  <c r="BD285" i="5"/>
  <c r="BD276" i="5"/>
  <c r="BD268" i="5"/>
  <c r="BD271" i="5"/>
  <c r="BD115" i="5"/>
  <c r="BD126" i="5"/>
  <c r="BD10" i="5"/>
  <c r="BD59" i="5"/>
  <c r="BD378" i="5"/>
  <c r="BD270" i="5"/>
  <c r="BD272" i="5"/>
  <c r="BD23" i="5"/>
  <c r="BD65" i="5"/>
  <c r="BD70" i="5"/>
  <c r="BD379" i="5"/>
  <c r="BD27" i="5"/>
  <c r="BD81" i="5"/>
  <c r="BD83" i="5"/>
  <c r="BD278" i="5"/>
  <c r="BD364" i="5"/>
  <c r="BD280" i="5"/>
  <c r="BD13" i="5"/>
  <c r="BD269" i="5"/>
  <c r="BD97" i="5"/>
  <c r="BD207" i="5"/>
  <c r="BD86" i="5"/>
  <c r="BD37" i="5"/>
  <c r="BD38" i="5"/>
  <c r="BD381" i="5"/>
  <c r="BD71" i="5"/>
  <c r="BD14" i="5"/>
  <c r="BD15" i="5"/>
  <c r="BD74" i="5"/>
  <c r="BD94" i="5"/>
  <c r="BD40" i="5"/>
  <c r="BD84" i="5"/>
  <c r="BD3" i="5"/>
  <c r="BD390" i="5"/>
  <c r="BD24" i="5"/>
  <c r="BD167" i="5"/>
  <c r="BD135" i="5"/>
  <c r="BD137" i="5"/>
  <c r="BD238" i="5"/>
  <c r="BD157" i="5"/>
  <c r="BD191" i="5"/>
  <c r="BD385" i="5"/>
  <c r="BD47" i="5"/>
  <c r="BD69" i="5"/>
  <c r="BD80" i="5"/>
  <c r="BD387" i="5"/>
  <c r="BD388" i="5"/>
  <c r="BD389" i="5"/>
  <c r="BD357" i="5"/>
  <c r="BD82" i="5"/>
  <c r="BD30" i="5"/>
  <c r="BD163" i="5"/>
  <c r="BD235" i="5"/>
  <c r="BD193" i="5"/>
  <c r="BD383" i="5"/>
  <c r="BD267" i="5"/>
  <c r="BD236" i="5"/>
  <c r="BD22" i="5"/>
  <c r="BD382" i="5"/>
  <c r="BD63" i="5"/>
  <c r="BD231" i="5"/>
  <c r="BD233" i="5"/>
  <c r="BD283" i="5"/>
  <c r="BD34" i="5"/>
  <c r="BD237" i="5"/>
  <c r="BD76" i="5"/>
  <c r="BD28" i="5"/>
  <c r="BD4" i="5"/>
  <c r="BD9" i="5"/>
  <c r="BD201" i="5"/>
  <c r="BD202" i="5"/>
  <c r="BD39" i="5"/>
  <c r="BD386" i="5"/>
  <c r="BD95" i="5"/>
  <c r="BD26" i="5"/>
  <c r="BD206" i="5"/>
  <c r="BD25" i="5"/>
  <c r="BD67" i="5"/>
  <c r="BD93" i="5"/>
  <c r="BD17" i="5"/>
  <c r="BD16" i="5"/>
  <c r="BD125" i="5"/>
  <c r="BD45" i="5"/>
  <c r="BD393" i="5"/>
  <c r="BD113" i="5"/>
  <c r="BD35" i="5"/>
  <c r="BD44" i="5"/>
  <c r="BD75" i="5"/>
  <c r="BD284" i="5"/>
  <c r="BD234" i="5"/>
  <c r="BD68" i="5"/>
  <c r="BD127" i="5"/>
  <c r="BD203" i="5"/>
  <c r="BD36" i="5"/>
  <c r="BD392" i="5"/>
  <c r="BD196" i="5"/>
  <c r="BD197" i="5"/>
  <c r="BD31" i="5"/>
  <c r="BD58" i="5"/>
  <c r="BD205" i="5"/>
  <c r="BD57" i="5"/>
  <c r="BD204" i="5"/>
  <c r="BD200" i="5"/>
  <c r="BD368" i="5"/>
  <c r="BD149" i="5"/>
  <c r="BD43" i="5"/>
  <c r="BD19" i="5"/>
  <c r="BD99" i="5"/>
  <c r="BD366" i="5"/>
  <c r="BD49" i="5"/>
  <c r="BD380" i="5"/>
  <c r="BD208" i="5"/>
  <c r="BD64" i="5"/>
  <c r="BD100" i="5"/>
  <c r="BD218" i="5"/>
  <c r="BD384" i="5"/>
  <c r="BD143" i="5"/>
  <c r="BD21" i="5"/>
  <c r="BD279" i="5"/>
  <c r="BD142" i="5"/>
  <c r="BD153" i="5"/>
  <c r="BD61" i="5"/>
  <c r="BD92" i="5"/>
  <c r="BD156" i="5"/>
  <c r="BD404" i="5"/>
  <c r="BD177" i="5"/>
  <c r="BD277" i="5"/>
  <c r="BD175" i="5"/>
  <c r="BD188" i="5"/>
  <c r="BD289" i="5"/>
  <c r="BD288" i="5"/>
  <c r="BD367" i="5"/>
  <c r="BD176" i="5"/>
  <c r="BD54" i="5"/>
  <c r="BD133" i="5"/>
  <c r="BD348" i="5"/>
  <c r="BD101" i="5"/>
  <c r="BD20" i="5"/>
  <c r="BD46" i="5"/>
  <c r="BD96" i="5"/>
  <c r="BD275" i="5"/>
  <c r="BD98" i="5"/>
  <c r="BD232" i="5"/>
  <c r="BD320" i="5"/>
  <c r="BD118" i="5"/>
  <c r="BD172" i="5"/>
  <c r="BD397" i="5"/>
  <c r="BD151" i="5"/>
  <c r="BD359" i="5"/>
  <c r="BD134" i="5"/>
  <c r="BD91" i="5"/>
  <c r="BD147" i="5"/>
  <c r="BD32" i="5"/>
  <c r="BD90" i="5"/>
  <c r="BD136" i="5"/>
  <c r="BD223" i="5"/>
  <c r="BD178" i="5"/>
  <c r="BD224" i="5"/>
  <c r="BD112" i="5"/>
  <c r="BD159" i="5"/>
  <c r="BD152" i="5"/>
  <c r="BD8" i="5"/>
  <c r="BD132" i="5"/>
  <c r="BD239" i="5"/>
  <c r="BD119" i="5"/>
  <c r="BD18" i="5"/>
  <c r="BD105" i="5"/>
  <c r="BD7" i="5"/>
  <c r="BD129" i="5"/>
  <c r="BD33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350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347" i="5"/>
  <c r="BD2" i="5"/>
  <c r="BD210" i="5"/>
  <c r="BD141" i="5"/>
  <c r="BD225" i="5"/>
  <c r="BD131" i="5"/>
  <c r="BD220" i="5"/>
  <c r="BD219" i="5"/>
  <c r="BD351" i="5"/>
  <c r="BD5" i="5"/>
  <c r="BD216" i="5"/>
  <c r="BD116" i="5"/>
  <c r="BD6" i="5"/>
  <c r="BD352" i="5"/>
  <c r="BD356" i="5"/>
  <c r="BD123" i="5"/>
  <c r="BD144" i="5"/>
  <c r="BD148" i="5"/>
  <c r="BD365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26" i="5"/>
  <c r="BD406" i="5"/>
  <c r="BD340" i="5"/>
  <c r="BD341" i="5"/>
  <c r="BD318" i="5"/>
  <c r="BD344" i="5"/>
  <c r="BD398" i="5"/>
  <c r="BD405" i="5"/>
  <c r="BD342" i="5"/>
  <c r="BD395" i="5"/>
  <c r="BD325" i="5"/>
  <c r="BD391" i="5"/>
  <c r="BD343" i="5"/>
  <c r="BD317" i="5"/>
  <c r="BD394" i="5"/>
  <c r="BD300" i="5"/>
  <c r="BD299" i="5"/>
  <c r="BD298" i="5"/>
  <c r="BD312" i="5"/>
  <c r="BD314" i="5"/>
  <c r="BD323" i="5"/>
  <c r="BD322" i="5"/>
  <c r="BD324" i="5"/>
  <c r="BD346" i="5"/>
  <c r="BD305" i="5"/>
  <c r="BD295" i="5"/>
  <c r="BD290" i="5"/>
  <c r="BD291" i="5"/>
  <c r="BD292" i="5"/>
  <c r="BD293" i="5"/>
  <c r="BD294" i="5"/>
  <c r="BD296" i="5"/>
  <c r="BD297" i="5"/>
  <c r="BD301" i="5"/>
  <c r="BD302" i="5"/>
  <c r="BD303" i="5"/>
  <c r="BD304" i="5"/>
  <c r="BD307" i="5"/>
  <c r="BD308" i="5"/>
  <c r="BD309" i="5"/>
  <c r="BD310" i="5"/>
  <c r="BD311" i="5"/>
  <c r="BD313" i="5"/>
  <c r="BD315" i="5"/>
  <c r="BD316" i="5"/>
  <c r="BD321" i="5"/>
  <c r="BD369" i="5"/>
  <c r="BD353" i="5"/>
  <c r="BD358" i="5"/>
  <c r="BD355" i="5"/>
  <c r="BD339" i="5"/>
  <c r="BD402" i="5"/>
  <c r="BD401" i="5"/>
  <c r="BD371" i="5"/>
  <c r="BD403" i="5"/>
  <c r="BD372" i="5"/>
  <c r="BD374" i="5"/>
  <c r="BD377" i="5"/>
  <c r="BD375" i="5"/>
  <c r="BD373" i="5"/>
  <c r="BD376" i="5"/>
  <c r="BD338" i="5"/>
  <c r="BD370" i="5"/>
  <c r="BD319" i="5"/>
  <c r="BD363" i="5"/>
  <c r="BD362" i="5"/>
  <c r="BD396" i="5"/>
  <c r="BD361" i="5"/>
  <c r="BD360" i="5"/>
  <c r="BD333" i="5"/>
  <c r="BD330" i="5"/>
  <c r="BD331" i="5"/>
  <c r="BD328" i="5"/>
  <c r="BD399" i="5"/>
  <c r="BD336" i="5"/>
  <c r="BD332" i="5"/>
  <c r="BD329" i="5"/>
  <c r="BD334" i="5"/>
  <c r="BD335" i="5"/>
  <c r="BD327" i="5"/>
  <c r="BD349" i="5"/>
  <c r="BD354" i="5"/>
  <c r="BD240" i="5"/>
  <c r="BD242" i="5"/>
  <c r="BD245" i="5"/>
  <c r="BD246" i="5"/>
  <c r="BD247" i="5"/>
  <c r="BD251" i="5"/>
  <c r="BD252" i="5"/>
  <c r="BD253" i="5"/>
  <c r="BD254" i="5"/>
  <c r="BD255" i="5"/>
  <c r="BD256" i="5"/>
  <c r="BD259" i="5"/>
  <c r="BD260" i="5"/>
  <c r="BD263" i="5"/>
  <c r="BD264" i="5"/>
  <c r="BD265" i="5"/>
  <c r="BD243" i="5"/>
  <c r="BD248" i="5"/>
  <c r="BD257" i="5"/>
  <c r="BD250" i="5"/>
  <c r="BD249" i="5"/>
  <c r="BD189" i="5"/>
  <c r="AI19" i="2"/>
  <c r="AI25" i="2"/>
  <c r="AI26" i="2"/>
  <c r="AI12" i="2"/>
  <c r="AI30" i="2"/>
  <c r="AI29" i="2"/>
  <c r="AI31" i="2"/>
  <c r="AI32" i="2"/>
  <c r="AI28" i="2"/>
  <c r="AI8" i="2"/>
  <c r="AI10" i="2"/>
  <c r="AI7" i="2"/>
  <c r="AI9" i="2"/>
  <c r="AI24" i="2"/>
  <c r="AI13" i="2"/>
  <c r="AI14" i="2"/>
  <c r="AI35" i="2"/>
  <c r="AI33" i="2"/>
  <c r="AI5" i="2"/>
  <c r="AI37" i="2"/>
  <c r="AI36" i="2"/>
  <c r="AI38" i="2"/>
  <c r="AI23" i="2"/>
  <c r="AI40" i="2"/>
  <c r="AI15" i="2"/>
  <c r="AI4" i="2"/>
  <c r="AI6" i="2"/>
  <c r="AI27" i="2"/>
  <c r="AI34" i="2"/>
  <c r="AI20" i="2"/>
  <c r="AI39" i="2"/>
  <c r="AI43" i="2"/>
  <c r="AI44" i="2"/>
  <c r="AI48" i="2"/>
  <c r="AI47" i="2"/>
  <c r="AI49" i="2"/>
  <c r="AI21" i="2"/>
  <c r="AH21" i="2"/>
  <c r="AK21" i="2"/>
  <c r="AK19" i="2"/>
  <c r="AK25" i="2"/>
  <c r="AK12" i="2"/>
  <c r="AK30" i="2"/>
  <c r="AK29" i="2"/>
  <c r="AK31" i="2"/>
  <c r="AK32" i="2"/>
  <c r="AK28" i="2"/>
  <c r="AK8" i="2"/>
  <c r="AK10" i="2"/>
  <c r="AK7" i="2"/>
  <c r="AK9" i="2"/>
  <c r="AK24" i="2"/>
  <c r="AK13" i="2"/>
  <c r="AK14" i="2"/>
  <c r="AK35" i="2"/>
  <c r="AK33" i="2"/>
  <c r="AK5" i="2"/>
  <c r="AK37" i="2"/>
  <c r="AK36" i="2"/>
  <c r="AK38" i="2"/>
  <c r="AK23" i="2"/>
  <c r="AK40" i="2"/>
  <c r="AK15" i="2"/>
  <c r="AK4" i="2"/>
  <c r="AK6" i="2"/>
  <c r="AK27" i="2"/>
  <c r="AK34" i="2"/>
  <c r="AK20" i="2"/>
  <c r="AK39" i="2"/>
  <c r="AK43" i="2"/>
  <c r="AK44" i="2"/>
  <c r="AK48" i="2"/>
  <c r="AK47" i="2"/>
  <c r="AK49" i="2"/>
  <c r="AG21" i="2"/>
  <c r="AG19" i="2"/>
  <c r="AG20" i="2"/>
  <c r="AG25" i="2"/>
  <c r="AG26" i="2"/>
  <c r="AG30" i="2"/>
  <c r="AG29" i="2"/>
  <c r="AG31" i="2"/>
  <c r="AG32" i="2"/>
  <c r="AG28" i="2"/>
  <c r="AG38" i="2"/>
  <c r="AG23" i="2"/>
  <c r="AG40" i="2"/>
  <c r="AG15" i="2"/>
  <c r="AG39" i="2"/>
  <c r="AG8" i="2"/>
  <c r="AG10" i="2"/>
  <c r="AG7" i="2"/>
  <c r="AG9" i="2"/>
  <c r="AG24" i="2"/>
  <c r="AG13" i="2"/>
  <c r="AG14" i="2"/>
  <c r="AG35" i="2"/>
  <c r="AG33" i="2"/>
  <c r="AG5" i="2"/>
  <c r="AG37" i="2"/>
  <c r="AG36" i="2"/>
  <c r="AG4" i="2"/>
  <c r="AG6" i="2"/>
  <c r="AG34" i="2"/>
  <c r="AG27" i="2"/>
  <c r="AG43" i="2"/>
  <c r="AG44" i="2"/>
  <c r="AG48" i="2"/>
  <c r="AG47" i="2"/>
  <c r="AG49" i="2"/>
  <c r="AG12" i="2"/>
  <c r="AF12" i="2"/>
  <c r="AF21" i="2"/>
  <c r="AF19" i="2"/>
  <c r="AF20" i="2"/>
  <c r="AF25" i="2"/>
  <c r="AF26" i="2"/>
  <c r="AF30" i="2"/>
  <c r="AF29" i="2"/>
  <c r="AF31" i="2"/>
  <c r="AF32" i="2"/>
  <c r="AF28" i="2"/>
  <c r="AF38" i="2"/>
  <c r="AF23" i="2"/>
  <c r="AF40" i="2"/>
  <c r="AF15" i="2"/>
  <c r="AF39" i="2"/>
  <c r="AF8" i="2"/>
  <c r="AF10" i="2"/>
  <c r="AF7" i="2"/>
  <c r="AF9" i="2"/>
  <c r="AF24" i="2"/>
  <c r="AF13" i="2"/>
  <c r="AF14" i="2"/>
  <c r="AF35" i="2"/>
  <c r="AF33" i="2"/>
  <c r="AF5" i="2"/>
  <c r="AF37" i="2"/>
  <c r="AF36" i="2"/>
  <c r="AF4" i="2"/>
  <c r="AF6" i="2"/>
  <c r="AF34" i="2"/>
  <c r="AF27" i="2"/>
  <c r="AF43" i="2"/>
  <c r="AF44" i="2"/>
  <c r="AF48" i="2"/>
  <c r="AF47" i="2"/>
  <c r="AF49" i="2"/>
  <c r="AE12" i="2"/>
  <c r="AC181" i="4"/>
  <c r="AC261" i="4"/>
  <c r="AC127" i="4"/>
  <c r="AC135" i="4"/>
  <c r="AC140" i="4"/>
  <c r="AC147" i="4"/>
  <c r="AC182" i="4"/>
  <c r="AC184" i="4"/>
  <c r="AC185" i="4"/>
  <c r="AC267" i="4"/>
  <c r="AC272" i="4"/>
  <c r="AC131" i="4"/>
  <c r="AC146" i="4"/>
  <c r="AC48" i="4"/>
  <c r="AC49" i="4"/>
  <c r="AC50" i="4"/>
  <c r="AC51" i="4"/>
  <c r="AC52" i="4"/>
  <c r="AC263" i="4"/>
  <c r="AC264" i="4"/>
  <c r="AC80" i="4"/>
  <c r="AC82" i="4"/>
  <c r="AC83" i="4"/>
  <c r="AC257" i="4"/>
  <c r="AC84" i="4"/>
  <c r="AC258" i="4"/>
  <c r="AC90" i="4"/>
  <c r="AC10" i="4"/>
  <c r="AC11" i="4"/>
  <c r="AC91" i="4"/>
  <c r="AC92" i="4"/>
  <c r="AC93" i="4"/>
  <c r="AC259" i="4"/>
  <c r="AC116" i="4"/>
  <c r="AC125" i="4"/>
  <c r="AC295" i="4"/>
  <c r="AC249" i="4"/>
  <c r="AC79" i="4"/>
  <c r="AC81" i="4"/>
  <c r="AC256" i="4"/>
  <c r="AC88" i="4"/>
  <c r="AC89" i="4"/>
  <c r="AC94" i="4"/>
  <c r="AC96" i="4"/>
  <c r="AC103" i="4"/>
  <c r="AC2" i="4"/>
  <c r="AC115" i="4"/>
  <c r="AC15" i="4"/>
  <c r="AC130" i="4"/>
  <c r="AC137" i="4"/>
  <c r="AC254" i="4"/>
  <c r="AC16" i="4"/>
  <c r="AC17" i="4"/>
  <c r="AC18" i="4"/>
  <c r="AC165" i="4"/>
  <c r="AC166" i="4"/>
  <c r="AC167" i="4"/>
  <c r="AC169" i="4"/>
  <c r="AC170" i="4"/>
  <c r="AC178" i="4"/>
  <c r="AC281" i="4"/>
  <c r="AC282" i="4"/>
  <c r="AC199" i="4"/>
  <c r="AC200" i="4"/>
  <c r="AC201" i="4"/>
  <c r="AC202" i="4"/>
  <c r="AC203" i="4"/>
  <c r="AC204" i="4"/>
  <c r="AC25" i="4"/>
  <c r="AC221" i="4"/>
  <c r="AC29" i="4"/>
  <c r="AC30" i="4"/>
  <c r="AC31" i="4"/>
  <c r="AC231" i="4"/>
  <c r="AC32" i="4"/>
  <c r="AC232" i="4"/>
  <c r="AC233" i="4"/>
  <c r="AC234" i="4"/>
  <c r="AC235" i="4"/>
  <c r="AC236" i="4"/>
  <c r="AC237" i="4"/>
  <c r="AC33" i="4"/>
  <c r="AC36" i="4"/>
  <c r="AC37" i="4"/>
  <c r="AC38" i="4"/>
  <c r="AC39" i="4"/>
  <c r="AC40" i="4"/>
  <c r="AC44" i="4"/>
  <c r="AC46" i="4"/>
  <c r="AC262" i="4"/>
  <c r="AC53" i="4"/>
  <c r="AC54" i="4"/>
  <c r="AC55" i="4"/>
  <c r="AC56" i="4"/>
  <c r="AC57" i="4"/>
  <c r="AC58" i="4"/>
  <c r="AC60" i="4"/>
  <c r="AC61" i="4"/>
  <c r="AC62" i="4"/>
  <c r="AC63" i="4"/>
  <c r="AC64" i="4"/>
  <c r="AC65" i="4"/>
  <c r="AC66" i="4"/>
  <c r="AC67" i="4"/>
  <c r="AC68" i="4"/>
  <c r="AC69" i="4"/>
  <c r="AC70" i="4"/>
  <c r="AC9" i="4"/>
  <c r="AC71" i="4"/>
  <c r="AC72" i="4"/>
  <c r="AC73" i="4"/>
  <c r="AC74" i="4"/>
  <c r="AC75" i="4"/>
  <c r="AC76" i="4"/>
  <c r="AC77" i="4"/>
  <c r="AC78" i="4"/>
  <c r="AC85" i="4"/>
  <c r="AC86" i="4"/>
  <c r="AC87" i="4"/>
  <c r="AC251" i="4"/>
  <c r="AC98" i="4"/>
  <c r="AC99" i="4"/>
  <c r="AC100" i="4"/>
  <c r="AC101" i="4"/>
  <c r="AC102" i="4"/>
  <c r="AC104" i="4"/>
  <c r="AC105" i="4"/>
  <c r="AC106" i="4"/>
  <c r="AC108" i="4"/>
  <c r="AC109" i="4"/>
  <c r="AC110" i="4"/>
  <c r="AC111" i="4"/>
  <c r="AC112" i="4"/>
  <c r="AC113" i="4"/>
  <c r="AC114" i="4"/>
  <c r="AC265" i="4"/>
  <c r="AC14" i="4"/>
  <c r="AC117" i="4"/>
  <c r="AC119" i="4"/>
  <c r="AC121" i="4"/>
  <c r="AC123" i="4"/>
  <c r="AC124" i="4"/>
  <c r="AC126" i="4"/>
  <c r="AC128" i="4"/>
  <c r="AC129" i="4"/>
  <c r="AC3" i="4"/>
  <c r="AC132" i="4"/>
  <c r="AC4" i="4"/>
  <c r="AC133" i="4"/>
  <c r="AC134" i="4"/>
  <c r="AC136" i="4"/>
  <c r="AC138" i="4"/>
  <c r="AC139" i="4"/>
  <c r="AC141" i="4"/>
  <c r="AC143" i="4"/>
  <c r="AC144" i="4"/>
  <c r="AC273" i="4"/>
  <c r="AC145" i="4"/>
  <c r="AC275" i="4"/>
  <c r="AC149" i="4"/>
  <c r="AC277" i="4"/>
  <c r="AC151" i="4"/>
  <c r="AC153" i="4"/>
  <c r="AC155" i="4"/>
  <c r="AC156" i="4"/>
  <c r="AC157" i="4"/>
  <c r="AC158" i="4"/>
  <c r="AC159" i="4"/>
  <c r="AC160" i="4"/>
  <c r="AC253" i="4"/>
  <c r="AC161" i="4"/>
  <c r="AC172" i="4"/>
  <c r="AC176" i="4"/>
  <c r="AC177" i="4"/>
  <c r="AC179" i="4"/>
  <c r="AC180" i="4"/>
  <c r="AC183" i="4"/>
  <c r="AC187" i="4"/>
  <c r="AC188" i="4"/>
  <c r="AC189" i="4"/>
  <c r="AC190" i="4"/>
  <c r="AC278" i="4"/>
  <c r="AC279" i="4"/>
  <c r="AC280" i="4"/>
  <c r="AC191" i="4"/>
  <c r="AC283" i="4"/>
  <c r="AC284" i="4"/>
  <c r="AC5" i="4"/>
  <c r="AC285" i="4"/>
  <c r="AC286" i="4"/>
  <c r="AC287" i="4"/>
  <c r="AC288" i="4"/>
  <c r="AC289" i="4"/>
  <c r="AC197" i="4"/>
  <c r="AC290" i="4"/>
  <c r="AC198" i="4"/>
  <c r="AC19" i="4"/>
  <c r="AC20" i="4"/>
  <c r="AC21" i="4"/>
  <c r="AC22" i="4"/>
  <c r="AC23" i="4"/>
  <c r="AC24" i="4"/>
  <c r="AC6" i="4"/>
  <c r="AC7" i="4"/>
  <c r="AC206" i="4"/>
  <c r="AC207" i="4"/>
  <c r="AC291" i="4"/>
  <c r="AC208" i="4"/>
  <c r="AC209" i="4"/>
  <c r="AC210" i="4"/>
  <c r="AC255" i="4"/>
  <c r="AC211" i="4"/>
  <c r="AC212" i="4"/>
  <c r="AC213" i="4"/>
  <c r="AC214" i="4"/>
  <c r="AC215" i="4"/>
  <c r="AC216" i="4"/>
  <c r="AC26" i="4"/>
  <c r="AC217" i="4"/>
  <c r="AC218" i="4"/>
  <c r="AC220" i="4"/>
  <c r="AC224" i="4"/>
  <c r="AC227" i="4"/>
  <c r="AC228" i="4"/>
  <c r="AC229" i="4"/>
  <c r="AC294" i="4"/>
  <c r="AC230" i="4"/>
  <c r="AC239" i="4"/>
  <c r="AC240" i="4"/>
  <c r="AC241" i="4"/>
  <c r="AC242" i="4"/>
  <c r="AC243" i="4"/>
  <c r="AC244" i="4"/>
  <c r="AC245" i="4"/>
  <c r="AC246" i="4"/>
  <c r="AC34" i="4"/>
  <c r="AC35" i="4"/>
  <c r="AC248" i="4"/>
  <c r="AC41" i="4"/>
  <c r="AC42" i="4"/>
  <c r="AC43" i="4"/>
  <c r="AC45" i="4"/>
  <c r="AC47" i="4"/>
  <c r="AC260" i="4"/>
  <c r="AC95" i="4"/>
  <c r="AC12" i="4"/>
  <c r="AC13" i="4"/>
  <c r="AC122" i="4"/>
  <c r="AC276" i="4"/>
  <c r="AC152" i="4"/>
  <c r="AC171" i="4"/>
  <c r="AC192" i="4"/>
  <c r="AC193" i="4"/>
  <c r="AC205" i="4"/>
  <c r="AC8" i="4"/>
  <c r="AC269" i="4"/>
  <c r="AC270" i="4"/>
  <c r="AC142" i="4"/>
  <c r="AC148" i="4"/>
  <c r="AC194" i="4"/>
  <c r="AC195" i="4"/>
  <c r="AC196" i="4"/>
  <c r="AC292" i="4"/>
  <c r="AC293" i="4"/>
  <c r="AC118" i="4"/>
  <c r="AC271" i="4"/>
  <c r="AC274" i="4"/>
  <c r="AC120" i="4"/>
  <c r="AC252" i="4"/>
  <c r="AC150" i="4"/>
  <c r="AC222" i="4"/>
  <c r="AC223" i="4"/>
  <c r="AC225" i="4"/>
  <c r="AC238" i="4"/>
  <c r="AC97" i="4"/>
  <c r="AC174" i="4"/>
  <c r="AC226" i="4"/>
  <c r="AC59" i="4"/>
  <c r="AC173" i="4"/>
  <c r="AC175" i="4"/>
  <c r="AC186" i="4"/>
  <c r="AC219" i="4"/>
  <c r="AC107" i="4"/>
  <c r="AC162" i="4"/>
  <c r="AC163" i="4"/>
  <c r="AC164" i="4"/>
  <c r="AC168" i="4"/>
  <c r="AC27" i="4"/>
  <c r="AC28" i="4"/>
  <c r="AC247" i="4"/>
  <c r="AC266" i="4"/>
  <c r="AC154" i="4"/>
  <c r="AC268" i="4"/>
  <c r="AC299" i="4"/>
  <c r="AC298" i="4"/>
  <c r="AC296" i="4"/>
  <c r="AC297" i="4"/>
  <c r="AC300" i="4"/>
  <c r="AC305" i="4"/>
  <c r="AC308" i="4"/>
  <c r="AC309" i="4"/>
  <c r="AC310" i="4"/>
  <c r="AC301" i="4"/>
  <c r="AC302" i="4"/>
  <c r="AC303" i="4"/>
  <c r="AC304" i="4"/>
  <c r="AC307" i="4"/>
  <c r="AC306" i="4"/>
  <c r="AC315" i="4"/>
  <c r="AC316" i="4"/>
  <c r="AC317" i="4"/>
  <c r="AC318" i="4"/>
  <c r="AC319" i="4"/>
  <c r="AC320" i="4"/>
  <c r="AC321" i="4"/>
  <c r="AC322" i="4"/>
  <c r="AC335" i="4"/>
  <c r="AC336" i="4"/>
  <c r="AC337" i="4"/>
  <c r="AC338" i="4"/>
  <c r="AC339" i="4"/>
  <c r="AC341" i="4"/>
  <c r="AC342" i="4"/>
  <c r="AC343" i="4"/>
  <c r="AC312" i="4"/>
  <c r="AC313" i="4"/>
  <c r="AC314" i="4"/>
  <c r="AC328" i="4"/>
  <c r="AC329" i="4"/>
  <c r="AC330" i="4"/>
  <c r="AC331" i="4"/>
  <c r="AC340" i="4"/>
  <c r="AC333" i="4"/>
  <c r="AC344" i="4"/>
  <c r="AC332" i="4"/>
  <c r="AC325" i="4"/>
  <c r="AC323" i="4"/>
  <c r="AC324" i="4"/>
  <c r="AC326" i="4"/>
  <c r="AC327" i="4"/>
  <c r="AC334" i="4"/>
  <c r="AC345" i="4"/>
  <c r="AC349" i="4"/>
  <c r="AC350" i="4"/>
  <c r="AC351" i="4"/>
  <c r="AC352" i="4"/>
  <c r="AC353" i="4"/>
  <c r="AC354" i="4"/>
  <c r="AC355" i="4"/>
  <c r="AC356" i="4"/>
  <c r="AC357" i="4"/>
  <c r="AC358" i="4"/>
  <c r="AC359" i="4"/>
  <c r="AC360" i="4"/>
  <c r="AC361" i="4"/>
  <c r="AC362" i="4"/>
  <c r="AC363" i="4"/>
  <c r="AC364" i="4"/>
  <c r="AC365" i="4"/>
  <c r="AC366" i="4"/>
  <c r="AC348" i="4"/>
  <c r="AC346" i="4"/>
  <c r="AC347" i="4"/>
  <c r="AC372" i="4"/>
  <c r="AC368" i="4"/>
  <c r="AC376" i="4"/>
  <c r="AC367" i="4"/>
  <c r="AC369" i="4"/>
  <c r="AC371" i="4"/>
  <c r="AC374" i="4"/>
  <c r="AC377" i="4"/>
  <c r="AC370" i="4"/>
  <c r="AC373" i="4"/>
  <c r="AC375" i="4"/>
  <c r="AC382" i="4"/>
  <c r="AC381" i="4"/>
  <c r="AC380" i="4"/>
  <c r="AC379" i="4"/>
  <c r="AC378" i="4"/>
  <c r="AC386" i="4"/>
  <c r="AC401" i="4"/>
  <c r="AC404" i="4"/>
  <c r="AC387" i="4"/>
  <c r="AC388" i="4"/>
  <c r="AC389" i="4"/>
  <c r="AC390" i="4"/>
  <c r="AC396" i="4"/>
  <c r="AC397" i="4"/>
  <c r="AC398" i="4"/>
  <c r="AC399" i="4"/>
  <c r="AC403" i="4"/>
  <c r="AC383" i="4"/>
  <c r="AC384" i="4"/>
  <c r="AC385" i="4"/>
  <c r="AC392" i="4"/>
  <c r="AC393" i="4"/>
  <c r="AC394" i="4"/>
  <c r="AC395" i="4"/>
  <c r="AC400" i="4"/>
  <c r="AC402" i="4"/>
  <c r="AC405" i="4"/>
  <c r="AC406" i="4"/>
  <c r="AC407" i="4"/>
  <c r="AC391" i="4"/>
  <c r="AE8" i="2"/>
  <c r="AE10" i="2"/>
  <c r="AE7" i="2"/>
  <c r="AE9" i="2"/>
  <c r="AE24" i="2"/>
  <c r="AE13" i="2"/>
  <c r="AE14" i="2"/>
  <c r="AE25" i="2"/>
  <c r="AE4" i="2"/>
  <c r="AE35" i="2"/>
  <c r="AE34" i="2"/>
  <c r="AE33" i="2"/>
  <c r="AE5" i="2"/>
  <c r="AE30" i="2"/>
  <c r="AE29" i="2"/>
  <c r="AE31" i="2"/>
  <c r="AE6" i="2"/>
  <c r="AE32" i="2"/>
  <c r="AE28" i="2"/>
  <c r="AE40" i="2"/>
  <c r="AE37" i="2"/>
  <c r="AE36" i="2"/>
  <c r="AE27" i="2"/>
  <c r="AE15" i="2"/>
  <c r="AE39" i="2"/>
  <c r="AE21" i="2"/>
  <c r="AE19" i="2"/>
  <c r="AE20" i="2"/>
  <c r="AE38" i="2"/>
  <c r="AE43" i="2"/>
  <c r="AE44" i="2"/>
  <c r="AE48" i="2"/>
  <c r="AE47" i="2"/>
  <c r="AE49" i="2"/>
  <c r="AE23" i="2"/>
  <c r="AH23" i="2"/>
  <c r="AD274" i="4"/>
  <c r="AD127" i="4"/>
  <c r="AD135" i="4"/>
  <c r="AD147" i="4"/>
  <c r="AD172" i="4"/>
  <c r="AD101" i="4"/>
  <c r="AD102" i="4"/>
  <c r="AD144" i="4"/>
  <c r="AD151" i="4"/>
  <c r="AD222" i="4"/>
  <c r="AD46" i="4"/>
  <c r="AD51" i="4"/>
  <c r="AD63" i="4"/>
  <c r="AD100" i="4"/>
  <c r="AD268" i="4"/>
  <c r="AD118" i="4"/>
  <c r="AD120" i="4"/>
  <c r="AD132" i="4"/>
  <c r="AD145" i="4"/>
  <c r="AD154" i="4"/>
  <c r="AD171" i="4"/>
  <c r="AD179" i="4"/>
  <c r="AD180" i="4"/>
  <c r="AD181" i="4"/>
  <c r="AD232" i="4"/>
  <c r="AD235" i="4"/>
  <c r="AD39" i="4"/>
  <c r="AD44" i="4"/>
  <c r="AD45" i="4"/>
  <c r="AD53" i="4"/>
  <c r="AD54" i="4"/>
  <c r="AD55" i="4"/>
  <c r="AD56" i="4"/>
  <c r="AD57" i="4"/>
  <c r="AD58" i="4"/>
  <c r="AD66" i="4"/>
  <c r="AD67" i="4"/>
  <c r="AD68" i="4"/>
  <c r="AD251" i="4"/>
  <c r="AD270" i="4"/>
  <c r="AD134" i="4"/>
  <c r="AD149" i="4"/>
  <c r="AD277" i="4"/>
  <c r="AD159" i="4"/>
  <c r="AD16" i="4"/>
  <c r="AD226" i="4"/>
  <c r="AD27" i="4"/>
  <c r="AD28" i="4"/>
  <c r="AD239" i="4"/>
  <c r="AD240" i="4"/>
  <c r="AD241" i="4"/>
  <c r="AD242" i="4"/>
  <c r="AD243" i="4"/>
  <c r="AD244" i="4"/>
  <c r="AD245" i="4"/>
  <c r="AD260" i="4"/>
  <c r="AD95" i="4"/>
  <c r="AD40" i="4"/>
  <c r="AD48" i="4"/>
  <c r="AD60" i="4"/>
  <c r="AD61" i="4"/>
  <c r="AD62" i="4"/>
  <c r="AD69" i="4"/>
  <c r="AD88" i="4"/>
  <c r="AD89" i="4"/>
  <c r="AD107" i="4"/>
  <c r="AD114" i="4"/>
  <c r="AD119" i="4"/>
  <c r="AD122" i="4"/>
  <c r="AD271" i="4"/>
  <c r="AD130" i="4"/>
  <c r="AD3" i="4"/>
  <c r="AD4" i="4"/>
  <c r="AD252" i="4"/>
  <c r="AD138" i="4"/>
  <c r="AD148" i="4"/>
  <c r="AD152" i="4"/>
  <c r="AD160" i="4"/>
  <c r="AD253" i="4"/>
  <c r="AD162" i="4"/>
  <c r="AD163" i="4"/>
  <c r="AD164" i="4"/>
  <c r="AD17" i="4"/>
  <c r="AD18" i="4"/>
  <c r="AD168" i="4"/>
  <c r="AD290" i="4"/>
  <c r="AD198" i="4"/>
  <c r="AD19" i="4"/>
  <c r="AD20" i="4"/>
  <c r="AD21" i="4"/>
  <c r="AD22" i="4"/>
  <c r="AD205" i="4"/>
  <c r="AD23" i="4"/>
  <c r="AD24" i="4"/>
  <c r="AD291" i="4"/>
  <c r="AD221" i="4"/>
  <c r="AD246" i="4"/>
  <c r="AD247" i="4"/>
  <c r="AD248" i="4"/>
  <c r="AD36" i="4"/>
  <c r="AD37" i="4"/>
  <c r="AD38" i="4"/>
  <c r="AD49" i="4"/>
  <c r="AD64" i="4"/>
  <c r="AD65" i="4"/>
  <c r="AD113" i="4"/>
  <c r="AD276" i="4"/>
  <c r="AD254" i="4"/>
  <c r="AD176" i="4"/>
  <c r="AD177" i="4"/>
  <c r="AD178" i="4"/>
  <c r="AD225" i="4"/>
  <c r="AD29" i="4"/>
  <c r="AD30" i="4"/>
  <c r="AD31" i="4"/>
  <c r="AD32" i="4"/>
  <c r="AD42" i="4"/>
  <c r="AD50" i="4"/>
  <c r="AD87" i="4"/>
  <c r="AD108" i="4"/>
  <c r="AD109" i="4"/>
  <c r="AD110" i="4"/>
  <c r="AD2" i="4"/>
  <c r="AD266" i="4"/>
  <c r="AD14" i="4"/>
  <c r="AD272" i="4"/>
  <c r="AD131" i="4"/>
  <c r="AD182" i="4"/>
  <c r="AD183" i="4"/>
  <c r="AD184" i="4"/>
  <c r="AD185" i="4"/>
  <c r="AD281" i="4"/>
  <c r="AD282" i="4"/>
  <c r="AD5" i="4"/>
  <c r="AD201" i="4"/>
  <c r="AD202" i="4"/>
  <c r="AD203" i="4"/>
  <c r="AD204" i="4"/>
  <c r="AD211" i="4"/>
  <c r="AD231" i="4"/>
  <c r="AD233" i="4"/>
  <c r="AD234" i="4"/>
  <c r="AD236" i="4"/>
  <c r="AD41" i="4"/>
  <c r="AD43" i="4"/>
  <c r="AD47" i="4"/>
  <c r="AD59" i="4"/>
  <c r="AD78" i="4"/>
  <c r="AD259" i="4"/>
  <c r="AD99" i="4"/>
  <c r="AD103" i="4"/>
  <c r="AD111" i="4"/>
  <c r="AD12" i="4"/>
  <c r="AD13" i="4"/>
  <c r="AD269" i="4"/>
  <c r="AD141" i="4"/>
  <c r="AD273" i="4"/>
  <c r="AD275" i="4"/>
  <c r="AD173" i="4"/>
  <c r="AD174" i="4"/>
  <c r="AD175" i="4"/>
  <c r="AD186" i="4"/>
  <c r="AD187" i="4"/>
  <c r="AD188" i="4"/>
  <c r="AD189" i="4"/>
  <c r="AD190" i="4"/>
  <c r="AD278" i="4"/>
  <c r="AD279" i="4"/>
  <c r="AD280" i="4"/>
  <c r="AD285" i="4"/>
  <c r="AD286" i="4"/>
  <c r="AD287" i="4"/>
  <c r="AD288" i="4"/>
  <c r="AD199" i="4"/>
  <c r="AD200" i="4"/>
  <c r="AD224" i="4"/>
  <c r="AD8" i="4"/>
  <c r="AD33" i="4"/>
  <c r="AD34" i="4"/>
  <c r="AD35" i="4"/>
  <c r="AD26" i="4"/>
  <c r="AD217" i="4"/>
  <c r="AD218" i="4"/>
  <c r="AD75" i="4"/>
  <c r="AD76" i="4"/>
  <c r="AD77" i="4"/>
  <c r="AD86" i="4"/>
  <c r="AD115" i="4"/>
  <c r="AD117" i="4"/>
  <c r="AD126" i="4"/>
  <c r="AD155" i="4"/>
  <c r="AD156" i="4"/>
  <c r="AD191" i="4"/>
  <c r="AD197" i="4"/>
  <c r="AD219" i="4"/>
  <c r="AD220" i="4"/>
  <c r="AD292" i="4"/>
  <c r="AD293" i="4"/>
  <c r="AD216" i="4"/>
  <c r="AD74" i="4"/>
  <c r="AD94" i="4"/>
  <c r="AD140" i="4"/>
  <c r="AD192" i="4"/>
  <c r="AD193" i="4"/>
  <c r="AD283" i="4"/>
  <c r="AD284" i="4"/>
  <c r="AD229" i="4"/>
  <c r="AD104" i="4"/>
  <c r="AD112" i="4"/>
  <c r="AD136" i="4"/>
  <c r="AD137" i="4"/>
  <c r="AD150" i="4"/>
  <c r="AD161" i="4"/>
  <c r="AD6" i="4"/>
  <c r="AD7" i="4"/>
  <c r="AD206" i="4"/>
  <c r="AD71" i="4"/>
  <c r="AD105" i="4"/>
  <c r="AD106" i="4"/>
  <c r="AD128" i="4"/>
  <c r="AD139" i="4"/>
  <c r="AD142" i="4"/>
  <c r="AD194" i="4"/>
  <c r="AD195" i="4"/>
  <c r="AD196" i="4"/>
  <c r="AD207" i="4"/>
  <c r="AD209" i="4"/>
  <c r="AD210" i="4"/>
  <c r="AD228" i="4"/>
  <c r="AD52" i="4"/>
  <c r="AD70" i="4"/>
  <c r="AD9" i="4"/>
  <c r="AD72" i="4"/>
  <c r="AD73" i="4"/>
  <c r="AD85" i="4"/>
  <c r="AD90" i="4"/>
  <c r="AD121" i="4"/>
  <c r="AD15" i="4"/>
  <c r="AD123" i="4"/>
  <c r="AD129" i="4"/>
  <c r="AD143" i="4"/>
  <c r="AD146" i="4"/>
  <c r="AD153" i="4"/>
  <c r="AD165" i="4"/>
  <c r="AD167" i="4"/>
  <c r="AD255" i="4"/>
  <c r="AD25" i="4"/>
  <c r="AD213" i="4"/>
  <c r="AD214" i="4"/>
  <c r="AD215" i="4"/>
  <c r="AD249" i="4"/>
  <c r="AD79" i="4"/>
  <c r="AD80" i="4"/>
  <c r="AD81" i="4"/>
  <c r="AD82" i="4"/>
  <c r="AD83" i="4"/>
  <c r="AD256" i="4"/>
  <c r="AD84" i="4"/>
  <c r="AD262" i="4"/>
  <c r="AD263" i="4"/>
  <c r="AD10" i="4"/>
  <c r="AD11" i="4"/>
  <c r="AD91" i="4"/>
  <c r="AD92" i="4"/>
  <c r="AD93" i="4"/>
  <c r="AD96" i="4"/>
  <c r="AD97" i="4"/>
  <c r="AD98" i="4"/>
  <c r="AD267" i="4"/>
  <c r="AD133" i="4"/>
  <c r="AD157" i="4"/>
  <c r="AD158" i="4"/>
  <c r="AD166" i="4"/>
  <c r="AD294" i="4"/>
  <c r="AD230" i="4"/>
  <c r="AD237" i="4"/>
  <c r="AD238" i="4"/>
  <c r="AD295" i="4"/>
  <c r="AD264" i="4"/>
  <c r="AD257" i="4"/>
  <c r="AD258" i="4"/>
  <c r="AD261" i="4"/>
  <c r="AD124" i="4"/>
  <c r="AD169" i="4"/>
  <c r="AD170" i="4"/>
  <c r="AD208" i="4"/>
  <c r="AD223" i="4"/>
  <c r="AD227" i="4"/>
  <c r="AD125" i="4"/>
  <c r="AD265" i="4"/>
  <c r="AD212" i="4"/>
  <c r="AD289" i="4"/>
  <c r="AD308" i="4"/>
  <c r="AD300" i="4"/>
  <c r="AD305" i="4"/>
  <c r="AD309" i="4"/>
  <c r="AD310" i="4"/>
  <c r="AD296" i="4"/>
  <c r="AD297" i="4"/>
  <c r="AD298" i="4"/>
  <c r="AD299" i="4"/>
  <c r="AD307" i="4"/>
  <c r="AD301" i="4"/>
  <c r="AD302" i="4"/>
  <c r="AD303" i="4"/>
  <c r="AD304" i="4"/>
  <c r="AD306" i="4"/>
  <c r="AD318" i="4"/>
  <c r="AD330" i="4"/>
  <c r="AD317" i="4"/>
  <c r="AD319" i="4"/>
  <c r="AD320" i="4"/>
  <c r="AD321" i="4"/>
  <c r="AD329" i="4"/>
  <c r="AD331" i="4"/>
  <c r="AD332" i="4"/>
  <c r="AD335" i="4"/>
  <c r="AD336" i="4"/>
  <c r="AD337" i="4"/>
  <c r="AD338" i="4"/>
  <c r="AD340" i="4"/>
  <c r="AD341" i="4"/>
  <c r="AD342" i="4"/>
  <c r="AD343" i="4"/>
  <c r="AD333" i="4"/>
  <c r="AD344" i="4"/>
  <c r="AD315" i="4"/>
  <c r="AD316" i="4"/>
  <c r="AD323" i="4"/>
  <c r="AD324" i="4"/>
  <c r="AD325" i="4"/>
  <c r="AD326" i="4"/>
  <c r="AD327" i="4"/>
  <c r="AD339" i="4"/>
  <c r="AD328" i="4"/>
  <c r="AD312" i="4"/>
  <c r="AD313" i="4"/>
  <c r="AD314" i="4"/>
  <c r="AD334" i="4"/>
  <c r="AD322" i="4"/>
  <c r="AD355" i="4"/>
  <c r="AD359" i="4"/>
  <c r="AD345" i="4"/>
  <c r="AD354" i="4"/>
  <c r="AD364" i="4"/>
  <c r="AD365" i="4"/>
  <c r="AD366" i="4"/>
  <c r="AD348" i="4"/>
  <c r="AD363" i="4"/>
  <c r="AD346" i="4"/>
  <c r="AD347" i="4"/>
  <c r="AD356" i="4"/>
  <c r="AD357" i="4"/>
  <c r="AD349" i="4"/>
  <c r="AD350" i="4"/>
  <c r="AD352" i="4"/>
  <c r="AD351" i="4"/>
  <c r="AD353" i="4"/>
  <c r="AD358" i="4"/>
  <c r="AD360" i="4"/>
  <c r="AD361" i="4"/>
  <c r="AD362" i="4"/>
  <c r="AD371" i="4"/>
  <c r="AD372" i="4"/>
  <c r="AD375" i="4"/>
  <c r="AD369" i="4"/>
  <c r="AD370" i="4"/>
  <c r="AD373" i="4"/>
  <c r="AD374" i="4"/>
  <c r="AD368" i="4"/>
  <c r="AD376" i="4"/>
  <c r="AD367" i="4"/>
  <c r="AD377" i="4"/>
  <c r="AD378" i="4"/>
  <c r="AD382" i="4"/>
  <c r="AD379" i="4"/>
  <c r="AD381" i="4"/>
  <c r="AD380" i="4"/>
  <c r="AD397" i="4"/>
  <c r="AD384" i="4"/>
  <c r="AD385" i="4"/>
  <c r="AD386" i="4"/>
  <c r="AD392" i="4"/>
  <c r="AD393" i="4"/>
  <c r="AD394" i="4"/>
  <c r="AD400" i="4"/>
  <c r="AD401" i="4"/>
  <c r="AD383" i="4"/>
  <c r="AD387" i="4"/>
  <c r="AD388" i="4"/>
  <c r="AD389" i="4"/>
  <c r="AD390" i="4"/>
  <c r="AD391" i="4"/>
  <c r="AD395" i="4"/>
  <c r="AD396" i="4"/>
  <c r="AD398" i="4"/>
  <c r="AD399" i="4"/>
  <c r="AD402" i="4"/>
  <c r="AD403" i="4"/>
  <c r="AD404" i="4"/>
  <c r="AD405" i="4"/>
  <c r="AD406" i="4"/>
  <c r="AD407" i="4"/>
  <c r="AD116" i="4"/>
  <c r="AH8" i="2"/>
  <c r="AH10" i="2"/>
  <c r="AH7" i="2"/>
  <c r="AH9" i="2"/>
  <c r="AH24" i="2"/>
  <c r="AH13" i="2"/>
  <c r="AH14" i="2"/>
  <c r="AH25" i="2"/>
  <c r="AH4" i="2"/>
  <c r="AH35" i="2"/>
  <c r="AH34" i="2"/>
  <c r="AH33" i="2"/>
  <c r="AH5" i="2"/>
  <c r="AH12" i="2"/>
  <c r="AH26" i="2"/>
  <c r="AH30" i="2"/>
  <c r="AH29" i="2"/>
  <c r="AH31" i="2"/>
  <c r="AH6" i="2"/>
  <c r="AH32" i="2"/>
  <c r="AH28" i="2"/>
  <c r="AH40" i="2"/>
  <c r="AH37" i="2"/>
  <c r="AH36" i="2"/>
  <c r="AH27" i="2"/>
  <c r="AH15" i="2"/>
  <c r="AH39" i="2"/>
  <c r="AH19" i="2"/>
  <c r="AH20" i="2"/>
  <c r="AH38" i="2"/>
  <c r="AH43" i="2"/>
  <c r="AH44" i="2"/>
  <c r="AH48" i="2"/>
  <c r="AH47" i="2"/>
  <c r="AH49" i="2"/>
  <c r="AF381" i="4"/>
  <c r="AF380" i="4"/>
  <c r="AF378" i="4"/>
  <c r="AF379" i="4"/>
  <c r="AF382" i="4"/>
  <c r="AF383" i="4"/>
  <c r="AF384" i="4"/>
  <c r="AF385" i="4"/>
  <c r="AF386" i="4"/>
  <c r="AF387" i="4"/>
  <c r="AF388" i="4"/>
  <c r="AF389" i="4"/>
  <c r="AF390" i="4"/>
  <c r="AF391" i="4"/>
  <c r="AF392" i="4"/>
  <c r="AF393" i="4"/>
  <c r="AF394" i="4"/>
  <c r="AF395" i="4"/>
  <c r="AF396" i="4"/>
  <c r="AF397" i="4"/>
  <c r="AF398" i="4"/>
  <c r="AF399" i="4"/>
  <c r="AF400" i="4"/>
  <c r="AF401" i="4"/>
  <c r="AF402" i="4"/>
  <c r="AF403" i="4"/>
  <c r="AF404" i="4"/>
  <c r="AF405" i="4"/>
  <c r="AF406" i="4"/>
  <c r="AF407" i="4"/>
  <c r="AI296" i="4"/>
  <c r="AI297" i="4"/>
  <c r="AI298" i="4"/>
  <c r="AI299" i="4"/>
  <c r="AI300" i="4"/>
  <c r="AI301" i="4"/>
  <c r="AI302" i="4"/>
  <c r="AI303" i="4"/>
  <c r="AI304" i="4"/>
  <c r="AI305" i="4"/>
  <c r="AI306" i="4"/>
  <c r="AI307" i="4"/>
  <c r="AI308" i="4"/>
  <c r="AI309" i="4"/>
  <c r="AI310" i="4"/>
  <c r="AI312" i="4"/>
  <c r="AI313" i="4"/>
  <c r="AI314" i="4"/>
  <c r="AI315" i="4"/>
  <c r="AI316" i="4"/>
  <c r="AI317" i="4"/>
  <c r="AI318" i="4"/>
  <c r="AI319" i="4"/>
  <c r="AI320" i="4"/>
  <c r="AI321" i="4"/>
  <c r="AI322" i="4"/>
  <c r="AI323" i="4"/>
  <c r="AI324" i="4"/>
  <c r="AI325" i="4"/>
  <c r="AI326" i="4"/>
  <c r="AI327" i="4"/>
  <c r="AI328" i="4"/>
  <c r="AI329" i="4"/>
  <c r="AI330" i="4"/>
  <c r="AI331" i="4"/>
  <c r="AI334" i="4"/>
  <c r="AI335" i="4"/>
  <c r="AI336" i="4"/>
  <c r="AI337" i="4"/>
  <c r="AI338" i="4"/>
  <c r="AI339" i="4"/>
  <c r="AI341" i="4"/>
  <c r="AI342" i="4"/>
  <c r="AI343" i="4"/>
  <c r="AI333" i="4"/>
  <c r="AI344" i="4"/>
  <c r="AI332" i="4"/>
  <c r="AI340" i="4"/>
  <c r="AI345" i="4"/>
  <c r="AI346" i="4"/>
  <c r="AI347" i="4"/>
  <c r="AI348" i="4"/>
  <c r="AI349" i="4"/>
  <c r="AI350" i="4"/>
  <c r="AI351" i="4"/>
  <c r="AI352" i="4"/>
  <c r="AI353" i="4"/>
  <c r="AI354" i="4"/>
  <c r="AI355" i="4"/>
  <c r="AI356" i="4"/>
  <c r="AI357" i="4"/>
  <c r="AI358" i="4"/>
  <c r="AI359" i="4"/>
  <c r="AI360" i="4"/>
  <c r="AI361" i="4"/>
  <c r="AI362" i="4"/>
  <c r="AI363" i="4"/>
  <c r="AI364" i="4"/>
  <c r="AI365" i="4"/>
  <c r="AI366" i="4"/>
  <c r="AI367" i="4"/>
  <c r="AI368" i="4"/>
  <c r="AI369" i="4"/>
  <c r="AI370" i="4"/>
  <c r="AI371" i="4"/>
  <c r="AI372" i="4"/>
  <c r="AI373" i="4"/>
  <c r="AI374" i="4"/>
  <c r="AI375" i="4"/>
  <c r="AI376" i="4"/>
  <c r="AI377" i="4"/>
  <c r="AI381" i="4"/>
  <c r="AI380" i="4"/>
  <c r="AI378" i="4"/>
  <c r="AI379" i="4"/>
  <c r="AI382" i="4"/>
  <c r="AI383" i="4"/>
  <c r="AI384" i="4"/>
  <c r="AI385" i="4"/>
  <c r="AI386" i="4"/>
  <c r="AI387" i="4"/>
  <c r="AI388" i="4"/>
  <c r="AI389" i="4"/>
  <c r="AI390" i="4"/>
  <c r="AI391" i="4"/>
  <c r="AI392" i="4"/>
  <c r="AI393" i="4"/>
  <c r="AI394" i="4"/>
  <c r="AI395" i="4"/>
  <c r="AI396" i="4"/>
  <c r="AI397" i="4"/>
  <c r="AI398" i="4"/>
  <c r="AI399" i="4"/>
  <c r="AI400" i="4"/>
  <c r="AI401" i="4"/>
  <c r="AI402" i="4"/>
  <c r="AI403" i="4"/>
  <c r="AI404" i="4"/>
  <c r="AI405" i="4"/>
  <c r="AI406" i="4"/>
  <c r="AI407" i="4"/>
  <c r="AF44" i="4"/>
  <c r="AF61" i="4"/>
  <c r="AF62" i="4"/>
  <c r="AF66" i="4"/>
  <c r="AF67" i="4"/>
  <c r="AF68" i="4"/>
  <c r="AF69" i="4"/>
  <c r="AF94" i="4"/>
  <c r="AF96" i="4"/>
  <c r="AF114" i="4"/>
  <c r="AF273" i="4"/>
  <c r="AF160" i="4"/>
  <c r="AF27" i="4"/>
  <c r="AF28" i="4"/>
  <c r="AF239" i="4"/>
  <c r="AF53" i="4"/>
  <c r="AF54" i="4"/>
  <c r="AF57" i="4"/>
  <c r="AF159" i="4"/>
  <c r="AF119" i="4"/>
  <c r="AF4" i="4"/>
  <c r="AF118" i="4"/>
  <c r="AF270" i="4"/>
  <c r="AF88" i="4"/>
  <c r="AF89" i="4"/>
  <c r="AF272" i="4"/>
  <c r="AF135" i="4"/>
  <c r="AF16" i="4"/>
  <c r="AF17" i="4"/>
  <c r="AF18" i="4"/>
  <c r="AF55" i="4"/>
  <c r="AF56" i="4"/>
  <c r="AF58" i="4"/>
  <c r="AF253" i="4"/>
  <c r="AF254" i="4"/>
  <c r="AF260" i="4"/>
  <c r="AF64" i="4"/>
  <c r="AF65" i="4"/>
  <c r="AF251" i="4"/>
  <c r="AF95" i="4"/>
  <c r="AF134" i="4"/>
  <c r="AF148" i="4"/>
  <c r="AF274" i="4"/>
  <c r="AF275" i="4"/>
  <c r="AF154" i="4"/>
  <c r="AF19" i="4"/>
  <c r="AF20" i="4"/>
  <c r="AF22" i="4"/>
  <c r="AF205" i="4"/>
  <c r="AF23" i="4"/>
  <c r="AF24" i="4"/>
  <c r="AF290" i="4"/>
  <c r="AF198" i="4"/>
  <c r="AF21" i="4"/>
  <c r="AF36" i="4"/>
  <c r="AF37" i="4"/>
  <c r="AF38" i="4"/>
  <c r="AF39" i="4"/>
  <c r="AF40" i="4"/>
  <c r="AF45" i="4"/>
  <c r="AF46" i="4"/>
  <c r="AF47" i="4"/>
  <c r="AF60" i="4"/>
  <c r="AF63" i="4"/>
  <c r="AF116" i="4"/>
  <c r="AF120" i="4"/>
  <c r="AF225" i="4"/>
  <c r="AF240" i="4"/>
  <c r="AF241" i="4"/>
  <c r="AF242" i="4"/>
  <c r="AF243" i="4"/>
  <c r="AF244" i="4"/>
  <c r="AF245" i="4"/>
  <c r="AF127" i="4"/>
  <c r="AF147" i="4"/>
  <c r="AF29" i="4"/>
  <c r="AF30" i="4"/>
  <c r="AF31" i="4"/>
  <c r="AF231" i="4"/>
  <c r="AF32" i="4"/>
  <c r="AF59" i="4"/>
  <c r="AF173" i="4"/>
  <c r="AF174" i="4"/>
  <c r="AF186" i="4"/>
  <c r="AF48" i="4"/>
  <c r="AF49" i="4"/>
  <c r="AF50" i="4"/>
  <c r="AF51" i="4"/>
  <c r="AF107" i="4"/>
  <c r="AF163" i="4"/>
  <c r="AF168" i="4"/>
  <c r="AF175" i="4"/>
  <c r="AF223" i="4"/>
  <c r="AF247" i="4"/>
  <c r="AF41" i="4"/>
  <c r="AF42" i="4"/>
  <c r="AF43" i="4"/>
  <c r="AF122" i="4"/>
  <c r="AF252" i="4"/>
  <c r="AF152" i="4"/>
  <c r="AF164" i="4"/>
  <c r="AF109" i="4"/>
  <c r="AF110" i="4"/>
  <c r="AF115" i="4"/>
  <c r="AF267" i="4"/>
  <c r="AF161" i="4"/>
  <c r="AF176" i="4"/>
  <c r="AF281" i="4"/>
  <c r="AF204" i="4"/>
  <c r="AF234" i="4"/>
  <c r="AF236" i="4"/>
  <c r="AF246" i="4"/>
  <c r="AF33" i="4"/>
  <c r="AF248" i="4"/>
  <c r="AF97" i="4"/>
  <c r="AF98" i="4"/>
  <c r="AF103" i="4"/>
  <c r="AF108" i="4"/>
  <c r="AF12" i="4"/>
  <c r="AF137" i="4"/>
  <c r="AF169" i="4"/>
  <c r="AF171" i="4"/>
  <c r="AF182" i="4"/>
  <c r="AF184" i="4"/>
  <c r="AF185" i="4"/>
  <c r="AF188" i="4"/>
  <c r="AF201" i="4"/>
  <c r="AF206" i="4"/>
  <c r="AF75" i="4"/>
  <c r="AF2" i="4"/>
  <c r="AF202" i="4"/>
  <c r="AF203" i="4"/>
  <c r="AF232" i="4"/>
  <c r="AF233" i="4"/>
  <c r="AF34" i="4"/>
  <c r="AF35" i="4"/>
  <c r="AF177" i="4"/>
  <c r="AF282" i="4"/>
  <c r="AF199" i="4"/>
  <c r="AF200" i="4"/>
  <c r="AF220" i="4"/>
  <c r="AF221" i="4"/>
  <c r="AF235" i="4"/>
  <c r="AF101" i="4"/>
  <c r="AF102" i="4"/>
  <c r="AF124" i="4"/>
  <c r="AF131" i="4"/>
  <c r="AF140" i="4"/>
  <c r="AF144" i="4"/>
  <c r="AF146" i="4"/>
  <c r="AF165" i="4"/>
  <c r="AF166" i="4"/>
  <c r="AF167" i="4"/>
  <c r="AF179" i="4"/>
  <c r="AF211" i="4"/>
  <c r="AF216" i="4"/>
  <c r="AF26" i="4"/>
  <c r="AF217" i="4"/>
  <c r="AF218" i="4"/>
  <c r="AF74" i="4"/>
  <c r="AF78" i="4"/>
  <c r="AF99" i="4"/>
  <c r="AF111" i="4"/>
  <c r="AF266" i="4"/>
  <c r="AF269" i="4"/>
  <c r="AF271" i="4"/>
  <c r="AF3" i="4"/>
  <c r="AF132" i="4"/>
  <c r="AF141" i="4"/>
  <c r="AF145" i="4"/>
  <c r="AF149" i="4"/>
  <c r="AF277" i="4"/>
  <c r="AF151" i="4"/>
  <c r="AF155" i="4"/>
  <c r="AF189" i="4"/>
  <c r="AF190" i="4"/>
  <c r="AF278" i="4"/>
  <c r="AF279" i="4"/>
  <c r="AF280" i="4"/>
  <c r="AF191" i="4"/>
  <c r="AF283" i="4"/>
  <c r="AF284" i="4"/>
  <c r="AF5" i="4"/>
  <c r="AF285" i="4"/>
  <c r="AF286" i="4"/>
  <c r="AF287" i="4"/>
  <c r="AF288" i="4"/>
  <c r="AF289" i="4"/>
  <c r="AF6" i="4"/>
  <c r="AF7" i="4"/>
  <c r="AF291" i="4"/>
  <c r="AF292" i="4"/>
  <c r="AF293" i="4"/>
  <c r="AF8" i="4"/>
  <c r="AF229" i="4"/>
  <c r="AF112" i="4"/>
  <c r="AF14" i="4"/>
  <c r="AF117" i="4"/>
  <c r="AF142" i="4"/>
  <c r="AF187" i="4"/>
  <c r="AF192" i="4"/>
  <c r="AF193" i="4"/>
  <c r="AF194" i="4"/>
  <c r="AF195" i="4"/>
  <c r="AF196" i="4"/>
  <c r="AF219" i="4"/>
  <c r="AF222" i="4"/>
  <c r="AF125" i="4"/>
  <c r="AF121" i="4"/>
  <c r="AF139" i="4"/>
  <c r="AF150" i="4"/>
  <c r="AF153" i="4"/>
  <c r="AF213" i="4"/>
  <c r="AF214" i="4"/>
  <c r="AF215" i="4"/>
  <c r="AF224" i="4"/>
  <c r="AF228" i="4"/>
  <c r="AF238" i="4"/>
  <c r="AF261" i="4"/>
  <c r="AF52" i="4"/>
  <c r="AF263" i="4"/>
  <c r="AF79" i="4"/>
  <c r="AF264" i="4"/>
  <c r="AF80" i="4"/>
  <c r="AF81" i="4"/>
  <c r="AF82" i="4"/>
  <c r="AF83" i="4"/>
  <c r="AF256" i="4"/>
  <c r="AF257" i="4"/>
  <c r="AF84" i="4"/>
  <c r="AF258" i="4"/>
  <c r="AF250" i="4"/>
  <c r="AF90" i="4"/>
  <c r="AF10" i="4"/>
  <c r="AF11" i="4"/>
  <c r="AF259" i="4"/>
  <c r="AF113" i="4"/>
  <c r="AF13" i="4"/>
  <c r="AF249" i="4"/>
  <c r="AF262" i="4"/>
  <c r="AF70" i="4"/>
  <c r="AF9" i="4"/>
  <c r="AF71" i="4"/>
  <c r="AF72" i="4"/>
  <c r="AF73" i="4"/>
  <c r="AF76" i="4"/>
  <c r="AF87" i="4"/>
  <c r="AF123" i="4"/>
  <c r="AF126" i="4"/>
  <c r="AF128" i="4"/>
  <c r="AF133" i="4"/>
  <c r="AF138" i="4"/>
  <c r="AF162" i="4"/>
  <c r="AF178" i="4"/>
  <c r="AF181" i="4"/>
  <c r="AF183" i="4"/>
  <c r="AF197" i="4"/>
  <c r="AF294" i="4"/>
  <c r="AF230" i="4"/>
  <c r="AF77" i="4"/>
  <c r="AF91" i="4"/>
  <c r="AF92" i="4"/>
  <c r="AF93" i="4"/>
  <c r="AF104" i="4"/>
  <c r="AF105" i="4"/>
  <c r="AF106" i="4"/>
  <c r="AF170" i="4"/>
  <c r="AF268" i="4"/>
  <c r="AF276" i="4"/>
  <c r="AF295" i="4"/>
  <c r="AF85" i="4"/>
  <c r="AF86" i="4"/>
  <c r="AF265" i="4"/>
  <c r="AF15" i="4"/>
  <c r="AF129" i="4"/>
  <c r="AF130" i="4"/>
  <c r="AF136" i="4"/>
  <c r="AF143" i="4"/>
  <c r="AF156" i="4"/>
  <c r="AF157" i="4"/>
  <c r="AF158" i="4"/>
  <c r="AF172" i="4"/>
  <c r="AF180" i="4"/>
  <c r="AF207" i="4"/>
  <c r="AF208" i="4"/>
  <c r="AF209" i="4"/>
  <c r="AF210" i="4"/>
  <c r="AF255" i="4"/>
  <c r="AF25" i="4"/>
  <c r="AF212" i="4"/>
  <c r="AF226" i="4"/>
  <c r="AF227" i="4"/>
  <c r="AF237" i="4"/>
  <c r="AF296" i="4"/>
  <c r="AF297" i="4"/>
  <c r="AF298" i="4"/>
  <c r="AF299" i="4"/>
  <c r="AF300" i="4"/>
  <c r="AF301" i="4"/>
  <c r="AF302" i="4"/>
  <c r="AF303" i="4"/>
  <c r="AF304" i="4"/>
  <c r="AF305" i="4"/>
  <c r="AF306" i="4"/>
  <c r="AF307" i="4"/>
  <c r="AF308" i="4"/>
  <c r="AF309" i="4"/>
  <c r="AF310" i="4"/>
  <c r="AF312" i="4"/>
  <c r="AF313" i="4"/>
  <c r="AF314" i="4"/>
  <c r="AF315" i="4"/>
  <c r="AF316" i="4"/>
  <c r="AF317" i="4"/>
  <c r="AF318" i="4"/>
  <c r="AF319" i="4"/>
  <c r="AF320" i="4"/>
  <c r="AF321" i="4"/>
  <c r="AF322" i="4"/>
  <c r="AF323" i="4"/>
  <c r="AF324" i="4"/>
  <c r="AF325" i="4"/>
  <c r="AF326" i="4"/>
  <c r="AF327" i="4"/>
  <c r="AF328" i="4"/>
  <c r="AF329" i="4"/>
  <c r="AF330" i="4"/>
  <c r="AF331" i="4"/>
  <c r="AF334" i="4"/>
  <c r="AF335" i="4"/>
  <c r="AF336" i="4"/>
  <c r="AF337" i="4"/>
  <c r="AF338" i="4"/>
  <c r="AF339" i="4"/>
  <c r="AF341" i="4"/>
  <c r="AF342" i="4"/>
  <c r="AF343" i="4"/>
  <c r="AF333" i="4"/>
  <c r="AF344" i="4"/>
  <c r="AF332" i="4"/>
  <c r="AF340" i="4"/>
  <c r="AF345" i="4"/>
  <c r="AF346" i="4"/>
  <c r="AF347" i="4"/>
  <c r="AF348" i="4"/>
  <c r="AF349" i="4"/>
  <c r="AF350" i="4"/>
  <c r="AF351" i="4"/>
  <c r="AF352" i="4"/>
  <c r="AF353" i="4"/>
  <c r="AF354" i="4"/>
  <c r="AF355" i="4"/>
  <c r="AF356" i="4"/>
  <c r="AF357" i="4"/>
  <c r="AF358" i="4"/>
  <c r="AF359" i="4"/>
  <c r="AF360" i="4"/>
  <c r="AF361" i="4"/>
  <c r="AF362" i="4"/>
  <c r="AF363" i="4"/>
  <c r="AF364" i="4"/>
  <c r="AF365" i="4"/>
  <c r="AF366" i="4"/>
  <c r="AF367" i="4"/>
  <c r="AF368" i="4"/>
  <c r="AF369" i="4"/>
  <c r="AF370" i="4"/>
  <c r="AF371" i="4"/>
  <c r="AF372" i="4"/>
  <c r="AF373" i="4"/>
  <c r="AF374" i="4"/>
  <c r="AF375" i="4"/>
  <c r="AF376" i="4"/>
  <c r="AF377" i="4"/>
  <c r="AF100" i="4"/>
  <c r="B404" i="5"/>
  <c r="AM404" i="5"/>
  <c r="AQ404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14" i="5"/>
  <c r="AM14" i="5"/>
  <c r="AQ14" i="5"/>
  <c r="B69" i="5"/>
  <c r="AM69" i="5"/>
  <c r="AQ69" i="5"/>
  <c r="AM44" i="2"/>
  <c r="AM43" i="2"/>
  <c r="AM48" i="2"/>
  <c r="AM47" i="2"/>
  <c r="AM49" i="2"/>
  <c r="AP55" i="2"/>
  <c r="AP54" i="2"/>
  <c r="AP56" i="2"/>
  <c r="AP61" i="2"/>
  <c r="AP58" i="2"/>
  <c r="AP57" i="2"/>
  <c r="AP59" i="2"/>
  <c r="AP60" i="2"/>
  <c r="AP62" i="2"/>
  <c r="AP64" i="2"/>
  <c r="AP63" i="2"/>
  <c r="AP65" i="2"/>
  <c r="AP66" i="2"/>
  <c r="AQ55" i="2"/>
  <c r="AQ54" i="2"/>
  <c r="AQ56" i="2"/>
  <c r="AQ61" i="2"/>
  <c r="AQ58" i="2"/>
  <c r="AQ57" i="2"/>
  <c r="AQ59" i="2"/>
  <c r="AQ60" i="2"/>
  <c r="AQ62" i="2"/>
  <c r="AQ64" i="2"/>
  <c r="AQ63" i="2"/>
  <c r="AQ65" i="2"/>
  <c r="AQ66" i="2"/>
  <c r="AR55" i="2"/>
  <c r="AR54" i="2"/>
  <c r="AR56" i="2"/>
  <c r="AR61" i="2"/>
  <c r="AR58" i="2"/>
  <c r="AR57" i="2"/>
  <c r="AR59" i="2"/>
  <c r="AR60" i="2"/>
  <c r="AR62" i="2"/>
  <c r="AR64" i="2"/>
  <c r="AR63" i="2"/>
  <c r="AR65" i="2"/>
  <c r="AR66" i="2"/>
  <c r="AS55" i="2"/>
  <c r="AS54" i="2"/>
  <c r="AS56" i="2"/>
  <c r="AS61" i="2"/>
  <c r="AS58" i="2"/>
  <c r="AS57" i="2"/>
  <c r="AS59" i="2"/>
  <c r="AS60" i="2"/>
  <c r="AS62" i="2"/>
  <c r="AS64" i="2"/>
  <c r="AS63" i="2"/>
  <c r="AS65" i="2"/>
  <c r="AS66" i="2"/>
  <c r="AT55" i="2"/>
  <c r="AT54" i="2"/>
  <c r="AT56" i="2"/>
  <c r="AT61" i="2"/>
  <c r="AT58" i="2"/>
  <c r="AT57" i="2"/>
  <c r="AT59" i="2"/>
  <c r="AT60" i="2"/>
  <c r="AT62" i="2"/>
  <c r="AT64" i="2"/>
  <c r="AT63" i="2"/>
  <c r="AT65" i="2"/>
  <c r="AT66" i="2"/>
  <c r="AU55" i="2"/>
  <c r="AU54" i="2"/>
  <c r="AU56" i="2"/>
  <c r="AU61" i="2"/>
  <c r="AU58" i="2"/>
  <c r="AU57" i="2"/>
  <c r="AU59" i="2"/>
  <c r="AU60" i="2"/>
  <c r="AU62" i="2"/>
  <c r="AU64" i="2"/>
  <c r="AU63" i="2"/>
  <c r="AU65" i="2"/>
  <c r="AU66" i="2"/>
  <c r="AV55" i="2"/>
  <c r="AV54" i="2"/>
  <c r="AV56" i="2"/>
  <c r="AV61" i="2"/>
  <c r="AV58" i="2"/>
  <c r="AV57" i="2"/>
  <c r="AV59" i="2"/>
  <c r="AV60" i="2"/>
  <c r="AV62" i="2"/>
  <c r="AV64" i="2"/>
  <c r="AV63" i="2"/>
  <c r="AV65" i="2"/>
  <c r="AV66" i="2"/>
  <c r="AW55" i="2"/>
  <c r="AW54" i="2"/>
  <c r="AW56" i="2"/>
  <c r="AW61" i="2"/>
  <c r="AW58" i="2"/>
  <c r="AW57" i="2"/>
  <c r="AW59" i="2"/>
  <c r="AW60" i="2"/>
  <c r="AW62" i="2"/>
  <c r="AW64" i="2"/>
  <c r="AW63" i="2"/>
  <c r="AW65" i="2"/>
  <c r="AW66" i="2"/>
  <c r="AX55" i="2"/>
  <c r="AX54" i="2"/>
  <c r="AX56" i="2"/>
  <c r="AX61" i="2"/>
  <c r="AX58" i="2"/>
  <c r="AX57" i="2"/>
  <c r="AX59" i="2"/>
  <c r="AX60" i="2"/>
  <c r="AX62" i="2"/>
  <c r="AX64" i="2"/>
  <c r="AX63" i="2"/>
  <c r="AX65" i="2"/>
  <c r="AX66" i="2"/>
  <c r="AY55" i="2"/>
  <c r="AY54" i="2"/>
  <c r="AY56" i="2"/>
  <c r="AY61" i="2"/>
  <c r="AY58" i="2"/>
  <c r="AY57" i="2"/>
  <c r="AY59" i="2"/>
  <c r="AY60" i="2"/>
  <c r="AY62" i="2"/>
  <c r="AY64" i="2"/>
  <c r="AY63" i="2"/>
  <c r="AY65" i="2"/>
  <c r="AY66" i="2"/>
  <c r="AZ55" i="2"/>
  <c r="AZ54" i="2"/>
  <c r="AZ56" i="2"/>
  <c r="AZ61" i="2"/>
  <c r="AZ58" i="2"/>
  <c r="AZ57" i="2"/>
  <c r="AZ59" i="2"/>
  <c r="AZ60" i="2"/>
  <c r="AZ62" i="2"/>
  <c r="AZ64" i="2"/>
  <c r="AZ63" i="2"/>
  <c r="AZ65" i="2"/>
  <c r="AZ66" i="2"/>
  <c r="BA55" i="2"/>
  <c r="BA54" i="2"/>
  <c r="BA56" i="2"/>
  <c r="BA61" i="2"/>
  <c r="BA58" i="2"/>
  <c r="BA57" i="2"/>
  <c r="BA59" i="2"/>
  <c r="BA60" i="2"/>
  <c r="BA62" i="2"/>
  <c r="BA64" i="2"/>
  <c r="BA63" i="2"/>
  <c r="BA65" i="2"/>
  <c r="BA66" i="2"/>
  <c r="BB55" i="2"/>
  <c r="BB54" i="2"/>
  <c r="BB56" i="2"/>
  <c r="BB61" i="2"/>
  <c r="BB58" i="2"/>
  <c r="BB57" i="2"/>
  <c r="BB59" i="2"/>
  <c r="BB60" i="2"/>
  <c r="BB62" i="2"/>
  <c r="BB64" i="2"/>
  <c r="BB63" i="2"/>
  <c r="BB65" i="2"/>
  <c r="BB66" i="2"/>
  <c r="BC55" i="2"/>
  <c r="BC54" i="2"/>
  <c r="BC56" i="2"/>
  <c r="BC61" i="2"/>
  <c r="BC58" i="2"/>
  <c r="BC57" i="2"/>
  <c r="BC59" i="2"/>
  <c r="BC60" i="2"/>
  <c r="BC62" i="2"/>
  <c r="BC64" i="2"/>
  <c r="BC63" i="2"/>
  <c r="BC65" i="2"/>
  <c r="BC66" i="2"/>
  <c r="BD55" i="2"/>
  <c r="BD54" i="2"/>
  <c r="BD56" i="2"/>
  <c r="BD61" i="2"/>
  <c r="BD58" i="2"/>
  <c r="BD57" i="2"/>
  <c r="BD59" i="2"/>
  <c r="BD60" i="2"/>
  <c r="BD62" i="2"/>
  <c r="BD64" i="2"/>
  <c r="BD63" i="2"/>
  <c r="BD65" i="2"/>
  <c r="BD66" i="2"/>
  <c r="BE61" i="2"/>
  <c r="BE58" i="2"/>
  <c r="BE57" i="2"/>
  <c r="BE59" i="2"/>
  <c r="BE60" i="2"/>
  <c r="BE62" i="2"/>
  <c r="BE64" i="2"/>
  <c r="BE63" i="2"/>
  <c r="BE65" i="2"/>
  <c r="BF61" i="2"/>
  <c r="BF58" i="2"/>
  <c r="BF57" i="2"/>
  <c r="BF59" i="2"/>
  <c r="BF60" i="2"/>
  <c r="BF62" i="2"/>
  <c r="BF64" i="2"/>
  <c r="BF63" i="2"/>
  <c r="BF65" i="2"/>
  <c r="U27" i="2"/>
  <c r="U38" i="2"/>
  <c r="BG61" i="2"/>
  <c r="U34" i="2"/>
  <c r="U4" i="2"/>
  <c r="U19" i="2"/>
  <c r="U22" i="2"/>
  <c r="U35" i="2"/>
  <c r="U40" i="2"/>
  <c r="BG58" i="2"/>
  <c r="BG57" i="2"/>
  <c r="BG59" i="2"/>
  <c r="BG60" i="2"/>
  <c r="BG62" i="2"/>
  <c r="BG64" i="2"/>
  <c r="BG63" i="2"/>
  <c r="BG65" i="2"/>
  <c r="V38" i="2"/>
  <c r="BH61" i="2"/>
  <c r="V34" i="2"/>
  <c r="V4" i="2"/>
  <c r="V19" i="2"/>
  <c r="V22" i="2"/>
  <c r="V35" i="2"/>
  <c r="V40" i="2"/>
  <c r="BH58" i="2"/>
  <c r="BH57" i="2"/>
  <c r="BH59" i="2"/>
  <c r="BH60" i="2"/>
  <c r="BH62" i="2"/>
  <c r="BH64" i="2"/>
  <c r="BH63" i="2"/>
  <c r="BH65" i="2"/>
  <c r="W38" i="2"/>
  <c r="BI61" i="2"/>
  <c r="W34" i="2"/>
  <c r="W4" i="2"/>
  <c r="W19" i="2"/>
  <c r="W22" i="2"/>
  <c r="W35" i="2"/>
  <c r="W40" i="2"/>
  <c r="BI58" i="2"/>
  <c r="BI57" i="2"/>
  <c r="BI59" i="2"/>
  <c r="BI60" i="2"/>
  <c r="BI62" i="2"/>
  <c r="BI64" i="2"/>
  <c r="BI63" i="2"/>
  <c r="BI65" i="2"/>
  <c r="BJ61" i="2"/>
  <c r="BJ58" i="2"/>
  <c r="BJ57" i="2"/>
  <c r="BJ59" i="2"/>
  <c r="BJ60" i="2"/>
  <c r="BJ62" i="2"/>
  <c r="BJ64" i="2"/>
  <c r="BJ63" i="2"/>
  <c r="BJ65" i="2"/>
  <c r="BK61" i="2"/>
  <c r="BK58" i="2"/>
  <c r="BK57" i="2"/>
  <c r="BK59" i="2"/>
  <c r="BK60" i="2"/>
  <c r="BK62" i="2"/>
  <c r="BK64" i="2"/>
  <c r="BK63" i="2"/>
  <c r="BK65" i="2"/>
  <c r="BL61" i="2"/>
  <c r="BL58" i="2"/>
  <c r="BL57" i="2"/>
  <c r="BL59" i="2"/>
  <c r="BL60" i="2"/>
  <c r="BL62" i="2"/>
  <c r="BL64" i="2"/>
  <c r="BL63" i="2"/>
  <c r="BL65" i="2"/>
  <c r="AO55" i="2"/>
  <c r="AO54" i="2"/>
  <c r="AO56" i="2"/>
  <c r="AO61" i="2"/>
  <c r="AO58" i="2"/>
  <c r="AO57" i="2"/>
  <c r="AO59" i="2"/>
  <c r="AO60" i="2"/>
  <c r="AO62" i="2"/>
  <c r="AO64" i="2"/>
  <c r="AO63" i="2"/>
  <c r="AO65" i="2"/>
  <c r="AO66" i="2"/>
  <c r="B58" i="5"/>
  <c r="AM58" i="5"/>
  <c r="AQ58" i="5"/>
  <c r="B350" i="5"/>
  <c r="B390" i="5"/>
  <c r="B378" i="5"/>
  <c r="B30" i="5"/>
  <c r="B32" i="5"/>
  <c r="B20" i="5"/>
  <c r="B21" i="5"/>
  <c r="B23" i="5"/>
  <c r="B24" i="5"/>
  <c r="B22" i="5"/>
  <c r="B230" i="5"/>
  <c r="B5" i="5"/>
  <c r="B136" i="5"/>
  <c r="B66" i="5"/>
  <c r="B8" i="5"/>
  <c r="B18" i="5"/>
  <c r="B97" i="5"/>
  <c r="B3" i="5"/>
  <c r="B156" i="5"/>
  <c r="B150" i="5"/>
  <c r="B4" i="5"/>
  <c r="B67" i="5"/>
  <c r="B6" i="5"/>
  <c r="B229" i="5"/>
  <c r="B379" i="5"/>
  <c r="B27" i="5"/>
  <c r="B13" i="5"/>
  <c r="B15" i="5"/>
  <c r="B7" i="5"/>
  <c r="B385" i="5"/>
  <c r="B232" i="5"/>
  <c r="B387" i="5"/>
  <c r="B388" i="5"/>
  <c r="B383" i="5"/>
  <c r="B2" i="5"/>
  <c r="B357" i="5"/>
  <c r="B231" i="5"/>
  <c r="B34" i="5"/>
  <c r="B33" i="5"/>
  <c r="B25" i="5"/>
  <c r="B386" i="5"/>
  <c r="B26" i="5"/>
  <c r="B17" i="5"/>
  <c r="B16" i="5"/>
  <c r="B35" i="5"/>
  <c r="B393" i="5"/>
  <c r="B36" i="5"/>
  <c r="B392" i="5"/>
  <c r="B31" i="5"/>
  <c r="B368" i="5"/>
  <c r="B19" i="5"/>
  <c r="B380" i="5"/>
  <c r="B348" i="5"/>
  <c r="B384" i="5"/>
  <c r="B11" i="5"/>
  <c r="B10" i="5"/>
  <c r="B9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58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74" i="5"/>
  <c r="B164" i="5"/>
  <c r="B165" i="5"/>
  <c r="B166" i="5"/>
  <c r="B351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66" i="5"/>
  <c r="B87" i="5"/>
  <c r="B213" i="5"/>
  <c r="B181" i="5"/>
  <c r="B215" i="5"/>
  <c r="B55" i="5"/>
  <c r="B106" i="5"/>
  <c r="B107" i="5"/>
  <c r="B108" i="5"/>
  <c r="B111" i="5"/>
  <c r="B273" i="5"/>
  <c r="B48" i="5"/>
  <c r="B62" i="5"/>
  <c r="B121" i="5"/>
  <c r="B161" i="5"/>
  <c r="B190" i="5"/>
  <c r="B159" i="5"/>
  <c r="B160" i="5"/>
  <c r="B72" i="5"/>
  <c r="B85" i="5"/>
  <c r="B192" i="5"/>
  <c r="B73" i="5"/>
  <c r="B276" i="5"/>
  <c r="B92" i="5"/>
  <c r="B214" i="5"/>
  <c r="B60" i="5"/>
  <c r="B268" i="5"/>
  <c r="B271" i="5"/>
  <c r="B115" i="5"/>
  <c r="B119" i="5"/>
  <c r="B126" i="5"/>
  <c r="B270" i="5"/>
  <c r="B272" i="5"/>
  <c r="B59" i="5"/>
  <c r="B221" i="5"/>
  <c r="B65" i="5"/>
  <c r="B70" i="5"/>
  <c r="B130" i="5"/>
  <c r="B81" i="5"/>
  <c r="B83" i="5"/>
  <c r="B86" i="5"/>
  <c r="B179" i="5"/>
  <c r="B209" i="5"/>
  <c r="B211" i="5"/>
  <c r="B269" i="5"/>
  <c r="B278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75" i="5"/>
  <c r="B82" i="5"/>
  <c r="B157" i="5"/>
  <c r="B191" i="5"/>
  <c r="B47" i="5"/>
  <c r="B177" i="5"/>
  <c r="B235" i="5"/>
  <c r="B163" i="5"/>
  <c r="B267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81" i="5"/>
  <c r="B279" i="5"/>
  <c r="B42" i="5"/>
  <c r="B282" i="5"/>
  <c r="B134" i="5"/>
  <c r="B277" i="5"/>
  <c r="B286" i="5"/>
  <c r="B280" i="5"/>
  <c r="B40" i="5"/>
  <c r="B80" i="5"/>
  <c r="B147" i="5"/>
  <c r="B193" i="5"/>
  <c r="B76" i="5"/>
  <c r="B45" i="5"/>
  <c r="B113" i="5"/>
  <c r="B101" i="5"/>
  <c r="B143" i="5"/>
  <c r="B285" i="5"/>
  <c r="B283" i="5"/>
  <c r="B28" i="5"/>
  <c r="B284" i="5"/>
  <c r="B287" i="5"/>
  <c r="B29" i="5"/>
  <c r="B364" i="5"/>
  <c r="B397" i="5"/>
  <c r="B288" i="5"/>
  <c r="B320" i="5"/>
  <c r="B289" i="5"/>
  <c r="B366" i="5"/>
  <c r="B365" i="5"/>
  <c r="B356" i="5"/>
  <c r="B359" i="5"/>
  <c r="B382" i="5"/>
  <c r="B381" i="5"/>
  <c r="B389" i="5"/>
  <c r="B352" i="5"/>
  <c r="B347" i="5"/>
  <c r="B367" i="5"/>
  <c r="B317" i="5"/>
  <c r="B318" i="5"/>
  <c r="B325" i="5"/>
  <c r="B326" i="5"/>
  <c r="B340" i="5"/>
  <c r="B341" i="5"/>
  <c r="B342" i="5"/>
  <c r="B343" i="5"/>
  <c r="B344" i="5"/>
  <c r="B391" i="5"/>
  <c r="B394" i="5"/>
  <c r="B395" i="5"/>
  <c r="B398" i="5"/>
  <c r="B405" i="5"/>
  <c r="B406" i="5"/>
  <c r="B306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7" i="5"/>
  <c r="B308" i="5"/>
  <c r="B309" i="5"/>
  <c r="B310" i="5"/>
  <c r="B311" i="5"/>
  <c r="B312" i="5"/>
  <c r="B313" i="5"/>
  <c r="B314" i="5"/>
  <c r="B315" i="5"/>
  <c r="B316" i="5"/>
  <c r="B321" i="5"/>
  <c r="B322" i="5"/>
  <c r="B323" i="5"/>
  <c r="B324" i="5"/>
  <c r="B346" i="5"/>
  <c r="B369" i="5"/>
  <c r="B319" i="5"/>
  <c r="B338" i="5"/>
  <c r="B339" i="5"/>
  <c r="B353" i="5"/>
  <c r="B355" i="5"/>
  <c r="B358" i="5"/>
  <c r="B360" i="5"/>
  <c r="B361" i="5"/>
  <c r="B362" i="5"/>
  <c r="B363" i="5"/>
  <c r="B370" i="5"/>
  <c r="B371" i="5"/>
  <c r="B372" i="5"/>
  <c r="B373" i="5"/>
  <c r="B374" i="5"/>
  <c r="B375" i="5"/>
  <c r="B376" i="5"/>
  <c r="B377" i="5"/>
  <c r="B396" i="5"/>
  <c r="B401" i="5"/>
  <c r="B402" i="5"/>
  <c r="B403" i="5"/>
  <c r="B331" i="5"/>
  <c r="B327" i="5"/>
  <c r="B328" i="5"/>
  <c r="B329" i="5"/>
  <c r="B330" i="5"/>
  <c r="B332" i="5"/>
  <c r="B333" i="5"/>
  <c r="B334" i="5"/>
  <c r="B335" i="5"/>
  <c r="B336" i="5"/>
  <c r="B399" i="5"/>
  <c r="B337" i="5"/>
  <c r="B345" i="5"/>
  <c r="B400" i="5"/>
  <c r="B349" i="5"/>
  <c r="B354" i="5"/>
  <c r="B243" i="5"/>
  <c r="B259" i="5"/>
  <c r="B262" i="5"/>
  <c r="B240" i="5"/>
  <c r="B244" i="5"/>
  <c r="B245" i="5"/>
  <c r="B246" i="5"/>
  <c r="B247" i="5"/>
  <c r="B253" i="5"/>
  <c r="B254" i="5"/>
  <c r="B255" i="5"/>
  <c r="B256" i="5"/>
  <c r="B261" i="5"/>
  <c r="B241" i="5"/>
  <c r="B242" i="5"/>
  <c r="B251" i="5"/>
  <c r="B252" i="5"/>
  <c r="B260" i="5"/>
  <c r="B263" i="5"/>
  <c r="B264" i="5"/>
  <c r="B265" i="5"/>
  <c r="B248" i="5"/>
  <c r="B257" i="5"/>
  <c r="B250" i="5"/>
  <c r="B249" i="5"/>
  <c r="B37" i="5"/>
  <c r="AA37" i="4"/>
  <c r="AA38" i="4"/>
  <c r="AA44" i="4"/>
  <c r="AA39" i="4"/>
  <c r="AA40" i="4"/>
  <c r="AA41" i="4"/>
  <c r="AA45" i="4"/>
  <c r="AA42" i="4"/>
  <c r="AA43" i="4"/>
  <c r="AA46" i="4"/>
  <c r="AA47" i="4"/>
  <c r="AA48" i="4"/>
  <c r="AA49" i="4"/>
  <c r="AA50" i="4"/>
  <c r="AA51" i="4"/>
  <c r="AA261" i="4"/>
  <c r="AA52" i="4"/>
  <c r="AA262" i="4"/>
  <c r="AA263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9" i="4"/>
  <c r="AA71" i="4"/>
  <c r="AA72" i="4"/>
  <c r="AA73" i="4"/>
  <c r="AA74" i="4"/>
  <c r="AA75" i="4"/>
  <c r="AA76" i="4"/>
  <c r="AA77" i="4"/>
  <c r="AA78" i="4"/>
  <c r="AA79" i="4"/>
  <c r="AA264" i="4"/>
  <c r="AA80" i="4"/>
  <c r="AA81" i="4"/>
  <c r="AA82" i="4"/>
  <c r="AA83" i="4"/>
  <c r="AA256" i="4"/>
  <c r="AA257" i="4"/>
  <c r="AA84" i="4"/>
  <c r="AA258" i="4"/>
  <c r="AA250" i="4"/>
  <c r="AA85" i="4"/>
  <c r="AA86" i="4"/>
  <c r="AA87" i="4"/>
  <c r="AA88" i="4"/>
  <c r="AA89" i="4"/>
  <c r="AA90" i="4"/>
  <c r="AA10" i="4"/>
  <c r="AA11" i="4"/>
  <c r="AA91" i="4"/>
  <c r="AA92" i="4"/>
  <c r="AA93" i="4"/>
  <c r="AA259" i="4"/>
  <c r="AA94" i="4"/>
  <c r="AA251" i="4"/>
  <c r="AA260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2" i="4"/>
  <c r="AA113" i="4"/>
  <c r="AA114" i="4"/>
  <c r="AA265" i="4"/>
  <c r="AA266" i="4"/>
  <c r="AA12" i="4"/>
  <c r="AA115" i="4"/>
  <c r="AA13" i="4"/>
  <c r="AA267" i="4"/>
  <c r="AA116" i="4"/>
  <c r="AA268" i="4"/>
  <c r="AA269" i="4"/>
  <c r="AA14" i="4"/>
  <c r="AA117" i="4"/>
  <c r="AA118" i="4"/>
  <c r="AA119" i="4"/>
  <c r="AA120" i="4"/>
  <c r="AA270" i="4"/>
  <c r="AA121" i="4"/>
  <c r="AA122" i="4"/>
  <c r="AA15" i="4"/>
  <c r="AA271" i="4"/>
  <c r="AA123" i="4"/>
  <c r="AA124" i="4"/>
  <c r="AA272" i="4"/>
  <c r="AA125" i="4"/>
  <c r="AA126" i="4"/>
  <c r="AA127" i="4"/>
  <c r="AA128" i="4"/>
  <c r="AA129" i="4"/>
  <c r="AA130" i="4"/>
  <c r="AA3" i="4"/>
  <c r="AA131" i="4"/>
  <c r="AA132" i="4"/>
  <c r="AA4" i="4"/>
  <c r="AA133" i="4"/>
  <c r="AA134" i="4"/>
  <c r="AA252" i="4"/>
  <c r="AA135" i="4"/>
  <c r="AA136" i="4"/>
  <c r="AA137" i="4"/>
  <c r="AA138" i="4"/>
  <c r="AA139" i="4"/>
  <c r="AA140" i="4"/>
  <c r="AA141" i="4"/>
  <c r="AA142" i="4"/>
  <c r="AA143" i="4"/>
  <c r="AA144" i="4"/>
  <c r="AA273" i="4"/>
  <c r="AA145" i="4"/>
  <c r="AA146" i="4"/>
  <c r="AA147" i="4"/>
  <c r="AA148" i="4"/>
  <c r="AA274" i="4"/>
  <c r="AA275" i="4"/>
  <c r="AA276" i="4"/>
  <c r="AA149" i="4"/>
  <c r="AA150" i="4"/>
  <c r="AA277" i="4"/>
  <c r="AA151" i="4"/>
  <c r="AA152" i="4"/>
  <c r="AA153" i="4"/>
  <c r="AA154" i="4"/>
  <c r="AA155" i="4"/>
  <c r="AA156" i="4"/>
  <c r="AA157" i="4"/>
  <c r="AA158" i="4"/>
  <c r="AA159" i="4"/>
  <c r="AA160" i="4"/>
  <c r="AA253" i="4"/>
  <c r="AA254" i="4"/>
  <c r="AA161" i="4"/>
  <c r="AA162" i="4"/>
  <c r="AA163" i="4"/>
  <c r="AA164" i="4"/>
  <c r="AA16" i="4"/>
  <c r="AA17" i="4"/>
  <c r="AA18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278" i="4"/>
  <c r="AA279" i="4"/>
  <c r="AA280" i="4"/>
  <c r="AA191" i="4"/>
  <c r="AA192" i="4"/>
  <c r="AA193" i="4"/>
  <c r="AA281" i="4"/>
  <c r="AA282" i="4"/>
  <c r="AA283" i="4"/>
  <c r="AA284" i="4"/>
  <c r="AA5" i="4"/>
  <c r="AA285" i="4"/>
  <c r="AA286" i="4"/>
  <c r="AA287" i="4"/>
  <c r="AA288" i="4"/>
  <c r="AA289" i="4"/>
  <c r="AA194" i="4"/>
  <c r="AA195" i="4"/>
  <c r="AA196" i="4"/>
  <c r="AA197" i="4"/>
  <c r="AA290" i="4"/>
  <c r="AA198" i="4"/>
  <c r="AA19" i="4"/>
  <c r="AA199" i="4"/>
  <c r="AA200" i="4"/>
  <c r="AA201" i="4"/>
  <c r="AA202" i="4"/>
  <c r="AA203" i="4"/>
  <c r="AA204" i="4"/>
  <c r="AA20" i="4"/>
  <c r="AA21" i="4"/>
  <c r="AA22" i="4"/>
  <c r="AA205" i="4"/>
  <c r="AA23" i="4"/>
  <c r="AA24" i="4"/>
  <c r="AA6" i="4"/>
  <c r="AA7" i="4"/>
  <c r="AA206" i="4"/>
  <c r="AA207" i="4"/>
  <c r="AA291" i="4"/>
  <c r="AA208" i="4"/>
  <c r="AA209" i="4"/>
  <c r="AA210" i="4"/>
  <c r="AA255" i="4"/>
  <c r="AA211" i="4"/>
  <c r="AA215" i="4"/>
  <c r="AA216" i="4"/>
  <c r="AA26" i="4"/>
  <c r="AA217" i="4"/>
  <c r="AA218" i="4"/>
  <c r="AA219" i="4"/>
  <c r="AA220" i="4"/>
  <c r="AA221" i="4"/>
  <c r="AA222" i="4"/>
  <c r="AA25" i="4"/>
  <c r="AA223" i="4"/>
  <c r="AA224" i="4"/>
  <c r="AA225" i="4"/>
  <c r="AA226" i="4"/>
  <c r="AA292" i="4"/>
  <c r="AA293" i="4"/>
  <c r="AA8" i="4"/>
  <c r="AA27" i="4"/>
  <c r="AA228" i="4"/>
  <c r="AA229" i="4"/>
  <c r="AA294" i="4"/>
  <c r="AA230" i="4"/>
  <c r="AA212" i="4"/>
  <c r="AA28" i="4"/>
  <c r="AA29" i="4"/>
  <c r="AA30" i="4"/>
  <c r="AA31" i="4"/>
  <c r="AA231" i="4"/>
  <c r="AA32" i="4"/>
  <c r="AA232" i="4"/>
  <c r="AA233" i="4"/>
  <c r="AA234" i="4"/>
  <c r="AA235" i="4"/>
  <c r="AA213" i="4"/>
  <c r="AA214" i="4"/>
  <c r="AA236" i="4"/>
  <c r="AA237" i="4"/>
  <c r="AA238" i="4"/>
  <c r="AA239" i="4"/>
  <c r="AA227" i="4"/>
  <c r="AA240" i="4"/>
  <c r="AA241" i="4"/>
  <c r="AA242" i="4"/>
  <c r="AA243" i="4"/>
  <c r="AA244" i="4"/>
  <c r="AA245" i="4"/>
  <c r="AA246" i="4"/>
  <c r="AA247" i="4"/>
  <c r="AA33" i="4"/>
  <c r="AA295" i="4"/>
  <c r="AA34" i="4"/>
  <c r="AA35" i="4"/>
  <c r="AA248" i="4"/>
  <c r="AA249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4" i="4"/>
  <c r="AA335" i="4"/>
  <c r="AA336" i="4"/>
  <c r="AA337" i="4"/>
  <c r="AA338" i="4"/>
  <c r="AA339" i="4"/>
  <c r="AA340" i="4"/>
  <c r="AA341" i="4"/>
  <c r="AA342" i="4"/>
  <c r="AA343" i="4"/>
  <c r="AA333" i="4"/>
  <c r="AA344" i="4"/>
  <c r="AA345" i="4"/>
  <c r="AA346" i="4"/>
  <c r="AA363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4" i="4"/>
  <c r="AA365" i="4"/>
  <c r="AA362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36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9" i="3"/>
  <c r="B10" i="3"/>
  <c r="B11" i="3"/>
  <c r="B12" i="3"/>
  <c r="B14" i="3"/>
  <c r="B15" i="3"/>
  <c r="B19" i="3"/>
  <c r="B20" i="3"/>
  <c r="B21" i="3"/>
  <c r="B22" i="3"/>
  <c r="B23" i="3"/>
  <c r="B24" i="3"/>
  <c r="B25" i="3"/>
  <c r="B27" i="3"/>
  <c r="B29" i="3"/>
  <c r="B30" i="3"/>
  <c r="B41" i="3"/>
  <c r="B31" i="3"/>
  <c r="B32" i="3"/>
  <c r="B42" i="3"/>
  <c r="B43" i="3"/>
  <c r="B44" i="3"/>
  <c r="B33" i="3"/>
  <c r="B34" i="3"/>
  <c r="B35" i="3"/>
  <c r="B36" i="3"/>
  <c r="B37" i="3"/>
  <c r="B38" i="3"/>
  <c r="B39" i="3"/>
  <c r="B40" i="3"/>
  <c r="C6" i="3"/>
  <c r="C9" i="3"/>
  <c r="C10" i="3"/>
  <c r="C11" i="3"/>
  <c r="C12" i="3"/>
  <c r="C14" i="3"/>
  <c r="C15" i="3"/>
  <c r="C19" i="3"/>
  <c r="C20" i="3"/>
  <c r="C21" i="3"/>
  <c r="C22" i="3"/>
  <c r="C23" i="3"/>
  <c r="C24" i="3"/>
  <c r="C25" i="3"/>
  <c r="C27" i="3"/>
  <c r="C29" i="3"/>
  <c r="C30" i="3"/>
  <c r="C41" i="3"/>
  <c r="C31" i="3"/>
  <c r="C32" i="3"/>
  <c r="C42" i="3"/>
  <c r="C43" i="3"/>
  <c r="C44" i="3"/>
  <c r="C33" i="3"/>
  <c r="C34" i="3"/>
  <c r="C35" i="3"/>
  <c r="C36" i="3"/>
  <c r="C37" i="3"/>
  <c r="C38" i="3"/>
  <c r="C39" i="3"/>
  <c r="C40" i="3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99" i="7"/>
  <c r="C100" i="7"/>
  <c r="C44" i="7"/>
  <c r="C45" i="7"/>
  <c r="C33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3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4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5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5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99" i="7"/>
  <c r="D100" i="7"/>
  <c r="D44" i="7"/>
  <c r="D45" i="7"/>
  <c r="D33" i="7"/>
  <c r="D118" i="7"/>
  <c r="D115" i="7"/>
  <c r="D119" i="7"/>
  <c r="D116" i="7"/>
  <c r="D117" i="7"/>
  <c r="D121" i="7"/>
  <c r="D120" i="7"/>
  <c r="D122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3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4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5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3" i="7"/>
  <c r="AA33" i="2"/>
  <c r="AM54" i="5"/>
  <c r="AM61" i="5"/>
  <c r="AM65" i="5"/>
  <c r="AM66" i="5"/>
  <c r="AM67" i="5"/>
  <c r="AM295" i="5"/>
  <c r="AM296" i="5"/>
  <c r="AM306" i="5"/>
  <c r="AM308" i="5"/>
  <c r="AM310" i="5"/>
  <c r="AM315" i="5"/>
  <c r="AM79" i="5"/>
  <c r="AM322" i="5"/>
  <c r="AM323" i="5"/>
  <c r="AM324" i="5"/>
  <c r="AM88" i="5"/>
  <c r="AM89" i="5"/>
  <c r="AM3" i="5"/>
  <c r="AM4" i="5"/>
  <c r="AM96" i="5"/>
  <c r="AM97" i="5"/>
  <c r="AM98" i="5"/>
  <c r="AM103" i="5"/>
  <c r="AM109" i="5"/>
  <c r="AM331" i="5"/>
  <c r="AM337" i="5"/>
  <c r="AM112" i="5"/>
  <c r="AM30" i="5"/>
  <c r="AM345" i="5"/>
  <c r="AM5" i="5"/>
  <c r="AM117" i="5"/>
  <c r="AM6" i="5"/>
  <c r="AM350" i="5"/>
  <c r="AM7" i="5"/>
  <c r="AM353" i="5"/>
  <c r="AM355" i="5"/>
  <c r="AM356" i="5"/>
  <c r="AM8" i="5"/>
  <c r="AM359" i="5"/>
  <c r="AM360" i="5"/>
  <c r="AM127" i="5"/>
  <c r="AM129" i="5"/>
  <c r="AM130" i="5"/>
  <c r="AM132" i="5"/>
  <c r="AM133" i="5"/>
  <c r="AM32" i="5"/>
  <c r="AM136" i="5"/>
  <c r="AM279" i="5"/>
  <c r="AM137" i="5"/>
  <c r="AM139" i="5"/>
  <c r="AM140" i="5"/>
  <c r="AM364" i="5"/>
  <c r="AM149" i="5"/>
  <c r="AM150" i="5"/>
  <c r="AM365" i="5"/>
  <c r="AM366" i="5"/>
  <c r="AM367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390" i="5"/>
  <c r="AM18" i="5"/>
  <c r="AM223" i="5"/>
  <c r="AM227" i="5"/>
  <c r="AM228" i="5"/>
  <c r="AM242" i="5"/>
  <c r="AM243" i="5"/>
  <c r="AM244" i="5"/>
  <c r="AM245" i="5"/>
  <c r="AM246" i="5"/>
  <c r="AM247" i="5"/>
  <c r="AM248" i="5"/>
  <c r="AM250" i="5"/>
  <c r="AM251" i="5"/>
  <c r="AM252" i="5"/>
  <c r="AM253" i="5"/>
  <c r="AM254" i="5"/>
  <c r="AM255" i="5"/>
  <c r="AM256" i="5"/>
  <c r="AM257" i="5"/>
  <c r="AM258" i="5"/>
  <c r="AM260" i="5"/>
  <c r="AM261" i="5"/>
  <c r="AM263" i="5"/>
  <c r="AM264" i="5"/>
  <c r="AM265" i="5"/>
  <c r="AM274" i="5"/>
  <c r="AM26" i="5"/>
  <c r="AM27" i="5"/>
  <c r="AM275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88" i="5"/>
  <c r="AM289" i="5"/>
  <c r="AM55" i="5"/>
  <c r="AM56" i="5"/>
  <c r="AM57" i="5"/>
  <c r="AM59" i="5"/>
  <c r="AM60" i="5"/>
  <c r="AM62" i="5"/>
  <c r="AM63" i="5"/>
  <c r="AM64" i="5"/>
  <c r="AM68" i="5"/>
  <c r="AM70" i="5"/>
  <c r="AM71" i="5"/>
  <c r="AM290" i="5"/>
  <c r="AM291" i="5"/>
  <c r="AM292" i="5"/>
  <c r="AM293" i="5"/>
  <c r="AM294" i="5"/>
  <c r="AM297" i="5"/>
  <c r="AM298" i="5"/>
  <c r="AM299" i="5"/>
  <c r="AM300" i="5"/>
  <c r="AM301" i="5"/>
  <c r="AM302" i="5"/>
  <c r="AM303" i="5"/>
  <c r="AM304" i="5"/>
  <c r="AM305" i="5"/>
  <c r="AM307" i="5"/>
  <c r="AM309" i="5"/>
  <c r="AM311" i="5"/>
  <c r="AM312" i="5"/>
  <c r="AM313" i="5"/>
  <c r="AM314" i="5"/>
  <c r="AM72" i="5"/>
  <c r="AM2" i="5"/>
  <c r="AM73" i="5"/>
  <c r="AM316" i="5"/>
  <c r="AM74" i="5"/>
  <c r="AM75" i="5"/>
  <c r="AM76" i="5"/>
  <c r="AM77" i="5"/>
  <c r="AM78" i="5"/>
  <c r="AM317" i="5"/>
  <c r="AM318" i="5"/>
  <c r="AM319" i="5"/>
  <c r="AM80" i="5"/>
  <c r="AM81" i="5"/>
  <c r="AM320" i="5"/>
  <c r="AM82" i="5"/>
  <c r="AM83" i="5"/>
  <c r="AM84" i="5"/>
  <c r="AM85" i="5"/>
  <c r="AM283" i="5"/>
  <c r="AM284" i="5"/>
  <c r="AM86" i="5"/>
  <c r="AM28" i="5"/>
  <c r="AM277" i="5"/>
  <c r="AM321" i="5"/>
  <c r="AM87" i="5"/>
  <c r="AM90" i="5"/>
  <c r="AM91" i="5"/>
  <c r="AM325" i="5"/>
  <c r="AM326" i="5"/>
  <c r="AM92" i="5"/>
  <c r="AM93" i="5"/>
  <c r="AM94" i="5"/>
  <c r="AM95" i="5"/>
  <c r="AM285" i="5"/>
  <c r="AM278" i="5"/>
  <c r="AM286" i="5"/>
  <c r="AM99" i="5"/>
  <c r="AM100" i="5"/>
  <c r="AM101" i="5"/>
  <c r="AM102" i="5"/>
  <c r="AM104" i="5"/>
  <c r="AM105" i="5"/>
  <c r="AM106" i="5"/>
  <c r="AM107" i="5"/>
  <c r="AM108" i="5"/>
  <c r="AM327" i="5"/>
  <c r="AM328" i="5"/>
  <c r="AM329" i="5"/>
  <c r="AM330" i="5"/>
  <c r="AM332" i="5"/>
  <c r="AM333" i="5"/>
  <c r="AM334" i="5"/>
  <c r="AM335" i="5"/>
  <c r="AM336" i="5"/>
  <c r="AM338" i="5"/>
  <c r="AM339" i="5"/>
  <c r="AM110" i="5"/>
  <c r="AM111" i="5"/>
  <c r="AM113" i="5"/>
  <c r="AM340" i="5"/>
  <c r="AM114" i="5"/>
  <c r="AM341" i="5"/>
  <c r="AM342" i="5"/>
  <c r="AM343" i="5"/>
  <c r="AM344" i="5"/>
  <c r="AM115" i="5"/>
  <c r="AM116" i="5"/>
  <c r="AM346" i="5"/>
  <c r="AM347" i="5"/>
  <c r="AM348" i="5"/>
  <c r="AM349" i="5"/>
  <c r="AM351" i="5"/>
  <c r="AM352" i="5"/>
  <c r="AM119" i="5"/>
  <c r="AM120" i="5"/>
  <c r="AM354" i="5"/>
  <c r="AM121" i="5"/>
  <c r="AM122" i="5"/>
  <c r="AM123" i="5"/>
  <c r="AM124" i="5"/>
  <c r="AM357" i="5"/>
  <c r="AM358" i="5"/>
  <c r="AM125" i="5"/>
  <c r="AM126" i="5"/>
  <c r="AM361" i="5"/>
  <c r="AM362" i="5"/>
  <c r="AM363" i="5"/>
  <c r="AM128" i="5"/>
  <c r="AM131" i="5"/>
  <c r="AM31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368" i="5"/>
  <c r="AM154" i="5"/>
  <c r="AM155" i="5"/>
  <c r="AM156" i="5"/>
  <c r="AM369" i="5"/>
  <c r="AM370" i="5"/>
  <c r="AM371" i="5"/>
  <c r="AM372" i="5"/>
  <c r="AM373" i="5"/>
  <c r="AM374" i="5"/>
  <c r="AM375" i="5"/>
  <c r="AM376" i="5"/>
  <c r="AM377" i="5"/>
  <c r="AM157" i="5"/>
  <c r="AM159" i="5"/>
  <c r="AM160" i="5"/>
  <c r="AM161" i="5"/>
  <c r="AM162" i="5"/>
  <c r="AM280" i="5"/>
  <c r="AM281" i="5"/>
  <c r="AM163" i="5"/>
  <c r="AM9" i="5"/>
  <c r="AM10" i="5"/>
  <c r="AM11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378" i="5"/>
  <c r="AM379" i="5"/>
  <c r="AM380" i="5"/>
  <c r="AM193" i="5"/>
  <c r="AM381" i="5"/>
  <c r="AM382" i="5"/>
  <c r="AM383" i="5"/>
  <c r="AM384" i="5"/>
  <c r="AM33" i="5"/>
  <c r="AM385" i="5"/>
  <c r="AM386" i="5"/>
  <c r="AM387" i="5"/>
  <c r="AM388" i="5"/>
  <c r="AM199" i="5"/>
  <c r="AM389" i="5"/>
  <c r="AM200" i="5"/>
  <c r="AM12" i="5"/>
  <c r="AM201" i="5"/>
  <c r="AM203" i="5"/>
  <c r="AM204" i="5"/>
  <c r="AM206" i="5"/>
  <c r="AM13" i="5"/>
  <c r="AM15" i="5"/>
  <c r="AM16" i="5"/>
  <c r="AM17" i="5"/>
  <c r="AM34" i="5"/>
  <c r="AM35" i="5"/>
  <c r="AM208" i="5"/>
  <c r="AM209" i="5"/>
  <c r="AM210" i="5"/>
  <c r="AM211" i="5"/>
  <c r="AM212" i="5"/>
  <c r="AM282" i="5"/>
  <c r="AM213" i="5"/>
  <c r="AM214" i="5"/>
  <c r="AM215" i="5"/>
  <c r="AM216" i="5"/>
  <c r="AM217" i="5"/>
  <c r="AM391" i="5"/>
  <c r="AM218" i="5"/>
  <c r="AM19" i="5"/>
  <c r="AM219" i="5"/>
  <c r="AM220" i="5"/>
  <c r="AM221" i="5"/>
  <c r="AM222" i="5"/>
  <c r="AM224" i="5"/>
  <c r="AM225" i="5"/>
  <c r="AM226" i="5"/>
  <c r="AM392" i="5"/>
  <c r="AM393" i="5"/>
  <c r="AM36" i="5"/>
  <c r="AM229" i="5"/>
  <c r="AM230" i="5"/>
  <c r="AM394" i="5"/>
  <c r="AM395" i="5"/>
  <c r="AM231" i="5"/>
  <c r="AM396" i="5"/>
  <c r="AM397" i="5"/>
  <c r="AM232" i="5"/>
  <c r="AM20" i="5"/>
  <c r="AM21" i="5"/>
  <c r="AM22" i="5"/>
  <c r="AM23" i="5"/>
  <c r="AM24" i="5"/>
  <c r="AM233" i="5"/>
  <c r="AM37" i="5"/>
  <c r="AM398" i="5"/>
  <c r="AM399" i="5"/>
  <c r="AM234" i="5"/>
  <c r="AM235" i="5"/>
  <c r="AM236" i="5"/>
  <c r="AM237" i="5"/>
  <c r="AM238" i="5"/>
  <c r="AM239" i="5"/>
  <c r="AM240" i="5"/>
  <c r="AM241" i="5"/>
  <c r="AM249" i="5"/>
  <c r="AM259" i="5"/>
  <c r="AM262" i="5"/>
  <c r="AM266" i="5"/>
  <c r="AM267" i="5"/>
  <c r="AM268" i="5"/>
  <c r="AM269" i="5"/>
  <c r="AM270" i="5"/>
  <c r="AM271" i="5"/>
  <c r="AM272" i="5"/>
  <c r="AM400" i="5"/>
  <c r="AM273" i="5"/>
  <c r="AM401" i="5"/>
  <c r="AM402" i="5"/>
  <c r="AM403" i="5"/>
  <c r="AM25" i="5"/>
  <c r="AM405" i="5"/>
  <c r="AM406" i="5"/>
  <c r="AM276" i="5"/>
  <c r="AA8" i="2"/>
  <c r="AA10" i="2"/>
  <c r="AA9" i="2"/>
  <c r="AA7" i="2"/>
  <c r="AA23" i="2"/>
  <c r="AA28" i="2"/>
  <c r="AA29" i="2"/>
  <c r="AA19" i="2"/>
  <c r="AA4" i="2"/>
  <c r="AA44" i="2"/>
  <c r="AA48" i="2"/>
  <c r="AA47" i="2"/>
  <c r="AA24" i="2"/>
  <c r="AA25" i="2"/>
  <c r="AA27" i="2"/>
  <c r="AA32" i="2"/>
  <c r="AA31" i="2"/>
  <c r="AA30" i="2"/>
  <c r="AA5" i="2"/>
  <c r="AA35" i="2"/>
  <c r="AA34" i="2"/>
  <c r="AA37" i="2"/>
  <c r="AA36" i="2"/>
  <c r="AA38" i="2"/>
  <c r="AA40" i="2"/>
  <c r="AA14" i="2"/>
  <c r="AA13" i="2"/>
  <c r="AA26" i="2"/>
  <c r="AA49" i="2"/>
  <c r="AA20" i="2"/>
  <c r="AA6" i="2"/>
  <c r="AA12" i="2"/>
  <c r="AA15" i="2"/>
  <c r="AA21" i="2"/>
  <c r="AA43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256" i="5"/>
  <c r="AP256" i="5"/>
  <c r="AQ255" i="5"/>
  <c r="AP255" i="5"/>
  <c r="AQ240" i="5"/>
  <c r="AP240" i="5"/>
  <c r="AQ241" i="5"/>
  <c r="AP241" i="5"/>
  <c r="AQ399" i="5"/>
  <c r="AQ336" i="5"/>
  <c r="AQ335" i="5"/>
  <c r="AQ334" i="5"/>
  <c r="AQ333" i="5"/>
  <c r="AQ332" i="5"/>
  <c r="AQ330" i="5"/>
  <c r="AQ329" i="5"/>
  <c r="AQ328" i="5"/>
  <c r="AQ327" i="5"/>
  <c r="AQ377" i="5"/>
  <c r="AQ376" i="5"/>
  <c r="AQ375" i="5"/>
  <c r="AQ374" i="5"/>
  <c r="AQ373" i="5"/>
  <c r="AQ372" i="5"/>
  <c r="AQ371" i="5"/>
  <c r="AQ339" i="5"/>
  <c r="AQ319" i="5"/>
  <c r="AQ403" i="5"/>
  <c r="AQ402" i="5"/>
  <c r="AQ401" i="5"/>
  <c r="AQ396" i="5"/>
  <c r="AQ370" i="5"/>
  <c r="AQ363" i="5"/>
  <c r="AQ362" i="5"/>
  <c r="AQ361" i="5"/>
  <c r="AQ360" i="5"/>
  <c r="AQ358" i="5"/>
  <c r="AQ355" i="5"/>
  <c r="AQ353" i="5"/>
  <c r="AQ338" i="5"/>
  <c r="AQ369" i="5"/>
  <c r="AQ346" i="5"/>
  <c r="AQ324" i="5"/>
  <c r="AQ323" i="5"/>
  <c r="AQ322" i="5"/>
  <c r="AQ321" i="5"/>
  <c r="AQ316" i="5"/>
  <c r="AQ315" i="5"/>
  <c r="AQ314" i="5"/>
  <c r="AQ313" i="5"/>
  <c r="AQ312" i="5"/>
  <c r="AQ311" i="5"/>
  <c r="AQ310" i="5"/>
  <c r="AQ309" i="5"/>
  <c r="AQ308" i="5"/>
  <c r="AQ307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406" i="5"/>
  <c r="AQ405" i="5"/>
  <c r="AQ398" i="5"/>
  <c r="AQ395" i="5"/>
  <c r="AQ394" i="5"/>
  <c r="AQ391" i="5"/>
  <c r="AQ344" i="5"/>
  <c r="AQ343" i="5"/>
  <c r="AQ342" i="5"/>
  <c r="AQ341" i="5"/>
  <c r="AQ340" i="5"/>
  <c r="AQ326" i="5"/>
  <c r="AQ325" i="5"/>
  <c r="AQ318" i="5"/>
  <c r="AQ317" i="5"/>
  <c r="AS37" i="5"/>
  <c r="AQ37" i="5"/>
  <c r="AS233" i="5"/>
  <c r="AQ233" i="5"/>
  <c r="AS24" i="5"/>
  <c r="AQ24" i="5"/>
  <c r="AS23" i="5"/>
  <c r="AQ23" i="5"/>
  <c r="AS22" i="5"/>
  <c r="AQ22" i="5"/>
  <c r="AQ175" i="5"/>
  <c r="AQ90" i="5"/>
  <c r="AS220" i="5"/>
  <c r="AS219" i="5"/>
  <c r="AS19" i="5"/>
  <c r="AQ19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82" i="5"/>
  <c r="AQ282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347" i="5"/>
  <c r="AS87" i="5"/>
  <c r="AS273" i="5"/>
  <c r="AQ273" i="5"/>
  <c r="AS231" i="5"/>
  <c r="AQ231" i="5"/>
  <c r="AS36" i="5"/>
  <c r="AQ36" i="5"/>
  <c r="AS393" i="5"/>
  <c r="AQ393" i="5"/>
  <c r="AS392" i="5"/>
  <c r="AQ392" i="5"/>
  <c r="AS35" i="5"/>
  <c r="AQ35" i="5"/>
  <c r="AS388" i="5"/>
  <c r="AQ388" i="5"/>
  <c r="AS387" i="5"/>
  <c r="AQ387" i="5"/>
  <c r="AS386" i="5"/>
  <c r="AQ386" i="5"/>
  <c r="AS385" i="5"/>
  <c r="AQ385" i="5"/>
  <c r="AS33" i="5"/>
  <c r="AS384" i="5"/>
  <c r="AQ384" i="5"/>
  <c r="AS383" i="5"/>
  <c r="AQ383" i="5"/>
  <c r="AS193" i="5"/>
  <c r="AQ193" i="5"/>
  <c r="AS380" i="5"/>
  <c r="AQ380" i="5"/>
  <c r="AS379" i="5"/>
  <c r="AQ379" i="5"/>
  <c r="AS378" i="5"/>
  <c r="AQ378" i="5"/>
  <c r="AS192" i="5"/>
  <c r="AQ192" i="5"/>
  <c r="AS157" i="5"/>
  <c r="AQ157" i="5"/>
  <c r="AS368" i="5"/>
  <c r="AQ368" i="5"/>
  <c r="AQ147" i="5"/>
  <c r="AS143" i="5"/>
  <c r="AQ143" i="5"/>
  <c r="AQ134" i="5"/>
  <c r="AS31" i="5"/>
  <c r="AQ31" i="5"/>
  <c r="AS357" i="5"/>
  <c r="AQ357" i="5"/>
  <c r="AQ348" i="5"/>
  <c r="AS30" i="5"/>
  <c r="AQ30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34" i="5"/>
  <c r="AQ34" i="5"/>
  <c r="AS200" i="5"/>
  <c r="AQ200" i="5"/>
  <c r="AS15" i="5"/>
  <c r="AQ15" i="5"/>
  <c r="AS17" i="5"/>
  <c r="AQ17" i="5"/>
  <c r="AS16" i="5"/>
  <c r="AQ16" i="5"/>
  <c r="AS13" i="5"/>
  <c r="AQ13" i="5"/>
  <c r="AS389" i="5"/>
  <c r="AQ389" i="5"/>
  <c r="AS27" i="5"/>
  <c r="AQ27" i="5"/>
  <c r="AS25" i="5"/>
  <c r="AQ25" i="5"/>
  <c r="AS237" i="5"/>
  <c r="AQ237" i="5"/>
  <c r="AS206" i="5"/>
  <c r="AQ206" i="5"/>
  <c r="AS178" i="5"/>
  <c r="AQ178" i="5"/>
  <c r="AS163" i="5"/>
  <c r="AQ163" i="5"/>
  <c r="AS26" i="5"/>
  <c r="AQ26" i="5"/>
  <c r="AS238" i="5"/>
  <c r="AQ238" i="5"/>
  <c r="AS236" i="5"/>
  <c r="AQ236" i="5"/>
  <c r="AS235" i="5"/>
  <c r="AQ235" i="5"/>
  <c r="AS234" i="5"/>
  <c r="AQ234" i="5"/>
  <c r="AS204" i="5"/>
  <c r="AQ204" i="5"/>
  <c r="AS382" i="5"/>
  <c r="AQ382" i="5"/>
  <c r="AS381" i="5"/>
  <c r="AQ381" i="5"/>
  <c r="AS203" i="5"/>
  <c r="AQ203" i="5"/>
  <c r="AS179" i="5"/>
  <c r="AS201" i="5"/>
  <c r="AQ201" i="5"/>
  <c r="AS198" i="5"/>
  <c r="AS196" i="5"/>
  <c r="AQ196" i="5"/>
  <c r="AS11" i="5"/>
  <c r="AQ11" i="5"/>
  <c r="AS10" i="5"/>
  <c r="AQ10" i="5"/>
  <c r="AS9" i="5"/>
  <c r="AQ9" i="5"/>
  <c r="AS281" i="5"/>
  <c r="AQ281" i="5"/>
  <c r="AS161" i="5"/>
  <c r="AQ161" i="5"/>
  <c r="AS146" i="5"/>
  <c r="AS102" i="5"/>
  <c r="AS286" i="5"/>
  <c r="AQ286" i="5"/>
  <c r="AS278" i="5"/>
  <c r="AQ278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8" i="5"/>
  <c r="AQ28" i="5"/>
  <c r="AS284" i="5"/>
  <c r="AQ284" i="5"/>
  <c r="AS320" i="5"/>
  <c r="AQ320" i="5"/>
  <c r="AQ289" i="5"/>
  <c r="AS276" i="5"/>
  <c r="AQ276" i="5"/>
  <c r="AS285" i="5"/>
  <c r="AQ285" i="5"/>
  <c r="AQ92" i="5"/>
  <c r="AQ277" i="5"/>
  <c r="AS86" i="5"/>
  <c r="AQ86" i="5"/>
  <c r="AS283" i="5"/>
  <c r="AQ283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397" i="5"/>
  <c r="AQ397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2" i="5"/>
  <c r="AS72" i="5"/>
  <c r="AQ72" i="5"/>
  <c r="AQ288" i="5"/>
  <c r="AS268" i="5"/>
  <c r="AQ268" i="5"/>
  <c r="AQ20" i="5"/>
  <c r="AS115" i="5"/>
  <c r="AQ115" i="5"/>
  <c r="AS70" i="5"/>
  <c r="AQ70" i="5"/>
  <c r="AS266" i="5"/>
  <c r="AQ266" i="5"/>
  <c r="AQ224" i="5"/>
  <c r="AS351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80" i="5"/>
  <c r="AQ280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72" i="5"/>
  <c r="AQ272" i="5"/>
  <c r="AS271" i="5"/>
  <c r="AQ271" i="5"/>
  <c r="AS270" i="5"/>
  <c r="AQ270" i="5"/>
  <c r="AS267" i="5"/>
  <c r="AQ267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244" i="5"/>
  <c r="AP244" i="5"/>
  <c r="AQ265" i="5"/>
  <c r="AP265" i="5"/>
  <c r="AQ260" i="5"/>
  <c r="AP260" i="5"/>
  <c r="AQ259" i="5"/>
  <c r="AP259" i="5"/>
  <c r="AQ257" i="5"/>
  <c r="AP257" i="5"/>
  <c r="AQ254" i="5"/>
  <c r="AP254" i="5"/>
  <c r="AQ253" i="5"/>
  <c r="AP253" i="5"/>
  <c r="AQ251" i="5"/>
  <c r="AP251" i="5"/>
  <c r="AQ250" i="5"/>
  <c r="AP250" i="5"/>
  <c r="AQ249" i="5"/>
  <c r="AP249" i="5"/>
  <c r="AQ247" i="5"/>
  <c r="AP247" i="5"/>
  <c r="AQ246" i="5"/>
  <c r="AP246" i="5"/>
  <c r="AQ243" i="5"/>
  <c r="AP243" i="5"/>
  <c r="AQ248" i="5"/>
  <c r="AP248" i="5"/>
  <c r="AQ242" i="5"/>
  <c r="AP242" i="5"/>
  <c r="AQ264" i="5"/>
  <c r="AP264" i="5"/>
  <c r="AQ263" i="5"/>
  <c r="AP263" i="5"/>
  <c r="AQ262" i="5"/>
  <c r="AP262" i="5"/>
  <c r="AQ261" i="5"/>
  <c r="AP261" i="5"/>
  <c r="AQ252" i="5"/>
  <c r="AP252" i="5"/>
  <c r="AQ245" i="5"/>
  <c r="AP245" i="5"/>
  <c r="AQ331" i="5"/>
  <c r="AQ306" i="5"/>
  <c r="AS149" i="5"/>
  <c r="AQ149" i="5"/>
  <c r="AS129" i="5"/>
  <c r="AS18" i="5"/>
  <c r="AS8" i="5"/>
  <c r="AS275" i="5"/>
  <c r="AQ275" i="5"/>
  <c r="AS29" i="5"/>
  <c r="AQ29" i="5"/>
  <c r="AS390" i="5"/>
  <c r="AQ390" i="5"/>
  <c r="AS12" i="5"/>
  <c r="AQ12" i="5"/>
  <c r="AS7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32" i="5"/>
  <c r="AQ153" i="5"/>
  <c r="AQ151" i="5"/>
  <c r="AQ367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4" i="5"/>
  <c r="AQ4" i="5"/>
  <c r="AS3" i="5"/>
  <c r="AQ3" i="5"/>
  <c r="AS79" i="5"/>
  <c r="AQ54" i="5"/>
  <c r="AS130" i="5"/>
  <c r="AS127" i="5"/>
  <c r="AQ127" i="5"/>
  <c r="AS350" i="5"/>
  <c r="AS364" i="5"/>
  <c r="AQ364" i="5"/>
  <c r="AQ359" i="5"/>
  <c r="AS269" i="5"/>
  <c r="AQ269" i="5"/>
  <c r="AS21" i="5"/>
  <c r="AQ21" i="5"/>
  <c r="AS191" i="5"/>
  <c r="AQ191" i="5"/>
  <c r="AS190" i="5"/>
  <c r="AQ190" i="5"/>
  <c r="AS162" i="5"/>
  <c r="AQ162" i="5"/>
  <c r="AS366" i="5"/>
  <c r="AQ366" i="5"/>
  <c r="AS98" i="5"/>
  <c r="AQ98" i="5"/>
  <c r="AS96" i="5"/>
  <c r="AQ96" i="5"/>
  <c r="AS274" i="5"/>
  <c r="AQ274" i="5"/>
  <c r="AS258" i="5"/>
  <c r="AS223" i="5"/>
  <c r="AQ223" i="5"/>
  <c r="AS170" i="5"/>
  <c r="AQ170" i="5"/>
  <c r="AS109" i="5"/>
  <c r="AQ109" i="5"/>
  <c r="AQ61" i="5"/>
  <c r="AQ279" i="5"/>
  <c r="AS118" i="5"/>
  <c r="AQ118" i="5"/>
  <c r="AS158" i="5"/>
  <c r="AS132" i="5"/>
  <c r="AS88" i="5"/>
  <c r="AS140" i="5"/>
  <c r="AS112" i="5"/>
  <c r="AQ112" i="5"/>
  <c r="AT23" i="5"/>
  <c r="AV23" i="5"/>
  <c r="AT61" i="5"/>
  <c r="AV61" i="5"/>
  <c r="AT24" i="5"/>
  <c r="AV24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22" i="5"/>
  <c r="AV22" i="5"/>
  <c r="AT37" i="5"/>
  <c r="AV37" i="5"/>
  <c r="AL26" i="2"/>
  <c r="BE54" i="2"/>
  <c r="BE55" i="2"/>
  <c r="BE56" i="2"/>
  <c r="BE66" i="2"/>
  <c r="BF54" i="2"/>
  <c r="BF55" i="2"/>
  <c r="BF56" i="2"/>
  <c r="BF66" i="2"/>
  <c r="AW37" i="5"/>
  <c r="AW22" i="5"/>
  <c r="AW175" i="5"/>
  <c r="AW188" i="5"/>
  <c r="AW149" i="5"/>
  <c r="AW129" i="5"/>
  <c r="AW176" i="5"/>
  <c r="AW233" i="5"/>
  <c r="AW24" i="5"/>
  <c r="AW61" i="5"/>
  <c r="AW23" i="5"/>
  <c r="AX23" i="5"/>
  <c r="AX61" i="5"/>
  <c r="AX24" i="5"/>
  <c r="AX233" i="5"/>
  <c r="AX176" i="5"/>
  <c r="AX129" i="5"/>
  <c r="AX149" i="5"/>
  <c r="AX188" i="5"/>
  <c r="AX175" i="5"/>
  <c r="AX22" i="5"/>
  <c r="AX37" i="5"/>
  <c r="AZ37" i="5"/>
  <c r="AZ22" i="5"/>
  <c r="AZ175" i="5"/>
  <c r="AZ188" i="5"/>
  <c r="AZ149" i="5"/>
  <c r="AZ129" i="5"/>
  <c r="AZ176" i="5"/>
  <c r="AZ233" i="5"/>
  <c r="AZ24" i="5"/>
  <c r="AZ61" i="5"/>
  <c r="AZ23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54" i="2"/>
  <c r="BL55" i="2"/>
  <c r="BL56" i="2"/>
  <c r="BL66" i="2"/>
  <c r="BK54" i="2"/>
  <c r="BK55" i="2"/>
  <c r="BK56" i="2"/>
  <c r="BK66" i="2"/>
  <c r="BJ54" i="2"/>
  <c r="BJ55" i="2"/>
  <c r="BJ56" i="2"/>
  <c r="BJ66" i="2"/>
  <c r="W39" i="2"/>
  <c r="W9" i="2"/>
  <c r="W5" i="2"/>
  <c r="W36" i="2"/>
  <c r="W37" i="2"/>
  <c r="W6" i="2"/>
  <c r="W25" i="2"/>
  <c r="W21" i="2"/>
  <c r="W30" i="2"/>
  <c r="W31" i="2"/>
  <c r="W29" i="2"/>
  <c r="W14" i="2"/>
  <c r="W13" i="2"/>
  <c r="W7" i="2"/>
  <c r="W10" i="2"/>
  <c r="W8" i="2"/>
  <c r="W33" i="2"/>
  <c r="W32" i="2"/>
  <c r="W28" i="2"/>
  <c r="W15" i="2"/>
  <c r="W23" i="2"/>
  <c r="W12" i="2"/>
  <c r="BI54" i="2"/>
  <c r="BI55" i="2"/>
  <c r="BI56" i="2"/>
  <c r="BI66" i="2"/>
  <c r="V39" i="2"/>
  <c r="V9" i="2"/>
  <c r="V5" i="2"/>
  <c r="V36" i="2"/>
  <c r="V37" i="2"/>
  <c r="V25" i="2"/>
  <c r="V30" i="2"/>
  <c r="V31" i="2"/>
  <c r="V14" i="2"/>
  <c r="V13" i="2"/>
  <c r="V7" i="2"/>
  <c r="V10" i="2"/>
  <c r="V8" i="2"/>
  <c r="V33" i="2"/>
  <c r="V32" i="2"/>
  <c r="V28" i="2"/>
  <c r="V23" i="2"/>
  <c r="V12" i="2"/>
  <c r="BH54" i="2"/>
  <c r="BH55" i="2"/>
  <c r="BH56" i="2"/>
  <c r="BH66" i="2"/>
  <c r="U39" i="2"/>
  <c r="U9" i="2"/>
  <c r="U5" i="2"/>
  <c r="U36" i="2"/>
  <c r="U37" i="2"/>
  <c r="U6" i="2"/>
  <c r="U25" i="2"/>
  <c r="U30" i="2"/>
  <c r="U31" i="2"/>
  <c r="U29" i="2"/>
  <c r="U14" i="2"/>
  <c r="U13" i="2"/>
  <c r="U7" i="2"/>
  <c r="U10" i="2"/>
  <c r="U8" i="2"/>
  <c r="U33" i="2"/>
  <c r="U32" i="2"/>
  <c r="U28" i="2"/>
  <c r="U23" i="2"/>
  <c r="U12" i="2"/>
  <c r="BG54" i="2"/>
  <c r="BG55" i="2"/>
  <c r="BG56" i="2"/>
  <c r="BG66" i="2"/>
  <c r="AM26" i="2"/>
  <c r="AM25" i="2"/>
  <c r="AM14" i="2"/>
  <c r="AM9" i="2"/>
  <c r="AM7" i="2"/>
  <c r="AM10" i="2"/>
  <c r="AM8" i="2"/>
  <c r="AM6" i="2"/>
  <c r="AM24" i="2"/>
  <c r="AM5" i="2"/>
  <c r="AM13" i="2"/>
  <c r="AM4" i="2"/>
  <c r="AM33" i="2"/>
  <c r="AM35" i="2"/>
  <c r="AM15" i="2"/>
  <c r="AM12" i="2"/>
  <c r="AM20" i="2"/>
  <c r="AM34" i="2"/>
  <c r="AM27" i="2"/>
  <c r="AM40" i="2"/>
  <c r="AM38" i="2"/>
  <c r="AM19" i="2"/>
  <c r="AM36" i="2"/>
  <c r="AM37" i="2"/>
  <c r="AM31" i="2"/>
  <c r="AM28" i="2"/>
  <c r="AM21" i="2"/>
  <c r="AM29" i="2"/>
  <c r="AM30" i="2"/>
  <c r="AM32" i="2"/>
  <c r="AM39" i="2"/>
  <c r="AI100" i="4"/>
  <c r="AI237" i="4"/>
  <c r="AI227" i="4"/>
  <c r="AI226" i="4"/>
  <c r="AI212" i="4"/>
  <c r="AI25" i="4"/>
  <c r="AI255" i="4"/>
  <c r="AI210" i="4"/>
  <c r="AI209" i="4"/>
  <c r="AI208" i="4"/>
  <c r="AI207" i="4"/>
  <c r="AI180" i="4"/>
  <c r="AI172" i="4"/>
  <c r="AI158" i="4"/>
  <c r="AI157" i="4"/>
  <c r="AI156" i="4"/>
  <c r="AI143" i="4"/>
  <c r="AI136" i="4"/>
  <c r="AI130" i="4"/>
  <c r="AI129" i="4"/>
  <c r="AI15" i="4"/>
  <c r="AI265" i="4"/>
  <c r="AI86" i="4"/>
  <c r="AI85" i="4"/>
  <c r="AI295" i="4"/>
  <c r="AI276" i="4"/>
  <c r="AI268" i="4"/>
  <c r="AI170" i="4"/>
  <c r="AI106" i="4"/>
  <c r="AI105" i="4"/>
  <c r="AI104" i="4"/>
  <c r="AI93" i="4"/>
  <c r="AI92" i="4"/>
  <c r="AI91" i="4"/>
  <c r="AI77" i="4"/>
  <c r="AI230" i="4"/>
  <c r="AI294" i="4"/>
  <c r="AI197" i="4"/>
  <c r="AI183" i="4"/>
  <c r="AI181" i="4"/>
  <c r="AI178" i="4"/>
  <c r="AI162" i="4"/>
  <c r="AI138" i="4"/>
  <c r="AI133" i="4"/>
  <c r="AI128" i="4"/>
  <c r="AI126" i="4"/>
  <c r="AI123" i="4"/>
  <c r="AI87" i="4"/>
  <c r="AI76" i="4"/>
  <c r="AI73" i="4"/>
  <c r="AI72" i="4"/>
  <c r="AI71" i="4"/>
  <c r="AI9" i="4"/>
  <c r="AI70" i="4"/>
  <c r="AI262" i="4"/>
  <c r="AI249" i="4"/>
  <c r="AI13" i="4"/>
  <c r="AI113" i="4"/>
  <c r="AI259" i="4"/>
  <c r="AI11" i="4"/>
  <c r="AI10" i="4"/>
  <c r="AI90" i="4"/>
  <c r="AI250" i="4"/>
  <c r="AI258" i="4"/>
  <c r="AI84" i="4"/>
  <c r="AI257" i="4"/>
  <c r="AI256" i="4"/>
  <c r="AI83" i="4"/>
  <c r="AI82" i="4"/>
  <c r="AI81" i="4"/>
  <c r="AI80" i="4"/>
  <c r="AI264" i="4"/>
  <c r="AI79" i="4"/>
  <c r="AI263" i="4"/>
  <c r="AI52" i="4"/>
  <c r="AI261" i="4"/>
  <c r="AI238" i="4"/>
  <c r="AI228" i="4"/>
  <c r="AI224" i="4"/>
  <c r="AI215" i="4"/>
  <c r="AI214" i="4"/>
  <c r="AI213" i="4"/>
  <c r="AI153" i="4"/>
  <c r="AI150" i="4"/>
  <c r="AI139" i="4"/>
  <c r="AI121" i="4"/>
  <c r="AI125" i="4"/>
  <c r="AI222" i="4"/>
  <c r="AI219" i="4"/>
  <c r="AI196" i="4"/>
  <c r="AI195" i="4"/>
  <c r="AI194" i="4"/>
  <c r="AI193" i="4"/>
  <c r="AI192" i="4"/>
  <c r="AI187" i="4"/>
  <c r="AI142" i="4"/>
  <c r="AI117" i="4"/>
  <c r="AI14" i="4"/>
  <c r="AI112" i="4"/>
  <c r="AI229" i="4"/>
  <c r="AI8" i="4"/>
  <c r="AI293" i="4"/>
  <c r="AI292" i="4"/>
  <c r="AI291" i="4"/>
  <c r="AI7" i="4"/>
  <c r="AI6" i="4"/>
  <c r="AI289" i="4"/>
  <c r="AI288" i="4"/>
  <c r="AI287" i="4"/>
  <c r="AI286" i="4"/>
  <c r="AI285" i="4"/>
  <c r="AI5" i="4"/>
  <c r="AI284" i="4"/>
  <c r="AI283" i="4"/>
  <c r="AI191" i="4"/>
  <c r="AI280" i="4"/>
  <c r="AI279" i="4"/>
  <c r="AI278" i="4"/>
  <c r="AI190" i="4"/>
  <c r="AI189" i="4"/>
  <c r="AI155" i="4"/>
  <c r="AI151" i="4"/>
  <c r="AI277" i="4"/>
  <c r="AI149" i="4"/>
  <c r="AI145" i="4"/>
  <c r="AI141" i="4"/>
  <c r="AI132" i="4"/>
  <c r="AI3" i="4"/>
  <c r="AI271" i="4"/>
  <c r="AI269" i="4"/>
  <c r="AI266" i="4"/>
  <c r="AI111" i="4"/>
  <c r="AI99" i="4"/>
  <c r="AI78" i="4"/>
  <c r="AI74" i="4"/>
  <c r="AI218" i="4"/>
  <c r="AI217" i="4"/>
  <c r="AI26" i="4"/>
  <c r="AI216" i="4"/>
  <c r="AI211" i="4"/>
  <c r="AI179" i="4"/>
  <c r="AI167" i="4"/>
  <c r="AI166" i="4"/>
  <c r="AI165" i="4"/>
  <c r="AI146" i="4"/>
  <c r="AI144" i="4"/>
  <c r="AI140" i="4"/>
  <c r="AI131" i="4"/>
  <c r="AI124" i="4"/>
  <c r="AI102" i="4"/>
  <c r="AI101" i="4"/>
  <c r="AI235" i="4"/>
  <c r="AI221" i="4"/>
  <c r="AI220" i="4"/>
  <c r="AI200" i="4"/>
  <c r="AI199" i="4"/>
  <c r="AI282" i="4"/>
  <c r="AI177" i="4"/>
  <c r="AI35" i="4"/>
  <c r="AI34" i="4"/>
  <c r="AI233" i="4"/>
  <c r="AI232" i="4"/>
  <c r="AI203" i="4"/>
  <c r="AI202" i="4"/>
  <c r="AI2" i="4"/>
  <c r="AI75" i="4"/>
  <c r="AI206" i="4"/>
  <c r="AI201" i="4"/>
  <c r="AI188" i="4"/>
  <c r="AI185" i="4"/>
  <c r="AI184" i="4"/>
  <c r="AI182" i="4"/>
  <c r="AI171" i="4"/>
  <c r="AI169" i="4"/>
  <c r="AI137" i="4"/>
  <c r="AI12" i="4"/>
  <c r="AI108" i="4"/>
  <c r="AI103" i="4"/>
  <c r="AI98" i="4"/>
  <c r="AI97" i="4"/>
  <c r="AI248" i="4"/>
  <c r="AI33" i="4"/>
  <c r="AI246" i="4"/>
  <c r="AI236" i="4"/>
  <c r="AI234" i="4"/>
  <c r="AI204" i="4"/>
  <c r="AI281" i="4"/>
  <c r="AI176" i="4"/>
  <c r="AI161" i="4"/>
  <c r="AI267" i="4"/>
  <c r="AI115" i="4"/>
  <c r="AI110" i="4"/>
  <c r="AI109" i="4"/>
  <c r="AI164" i="4"/>
  <c r="AI152" i="4"/>
  <c r="AI252" i="4"/>
  <c r="AI122" i="4"/>
  <c r="AI43" i="4"/>
  <c r="AI42" i="4"/>
  <c r="AI41" i="4"/>
  <c r="AI247" i="4"/>
  <c r="AI223" i="4"/>
  <c r="AI175" i="4"/>
  <c r="AI168" i="4"/>
  <c r="AI163" i="4"/>
  <c r="AI107" i="4"/>
  <c r="AI51" i="4"/>
  <c r="AI50" i="4"/>
  <c r="AI49" i="4"/>
  <c r="AI48" i="4"/>
  <c r="AI186" i="4"/>
  <c r="AI174" i="4"/>
  <c r="AI173" i="4"/>
  <c r="AI59" i="4"/>
  <c r="AI32" i="4"/>
  <c r="AI231" i="4"/>
  <c r="AI31" i="4"/>
  <c r="AI30" i="4"/>
  <c r="AI29" i="4"/>
  <c r="AI147" i="4"/>
  <c r="AI127" i="4"/>
  <c r="AI245" i="4"/>
  <c r="AI244" i="4"/>
  <c r="AI243" i="4"/>
  <c r="AI242" i="4"/>
  <c r="AI241" i="4"/>
  <c r="AI240" i="4"/>
  <c r="AI225" i="4"/>
  <c r="AI120" i="4"/>
  <c r="AI116" i="4"/>
  <c r="AI63" i="4"/>
  <c r="AI60" i="4"/>
  <c r="AI47" i="4"/>
  <c r="AI46" i="4"/>
  <c r="AI45" i="4"/>
  <c r="AI40" i="4"/>
  <c r="AI39" i="4"/>
  <c r="AI38" i="4"/>
  <c r="AI37" i="4"/>
  <c r="AI21" i="4"/>
  <c r="AI198" i="4"/>
  <c r="AI290" i="4"/>
  <c r="AI24" i="4"/>
  <c r="AI23" i="4"/>
  <c r="AI205" i="4"/>
  <c r="AI22" i="4"/>
  <c r="AI20" i="4"/>
  <c r="AI19" i="4"/>
  <c r="AI154" i="4"/>
  <c r="AI275" i="4"/>
  <c r="AI274" i="4"/>
  <c r="AI148" i="4"/>
  <c r="AI134" i="4"/>
  <c r="AI95" i="4"/>
  <c r="AI251" i="4"/>
  <c r="AI65" i="4"/>
  <c r="AI64" i="4"/>
  <c r="AI260" i="4"/>
  <c r="AI254" i="4"/>
  <c r="AI253" i="4"/>
  <c r="AI58" i="4"/>
  <c r="AI56" i="4"/>
  <c r="AI55" i="4"/>
  <c r="AI18" i="4"/>
  <c r="AI17" i="4"/>
  <c r="AI16" i="4"/>
  <c r="AI135" i="4"/>
  <c r="AI272" i="4"/>
  <c r="AI89" i="4"/>
  <c r="AI88" i="4"/>
  <c r="AI270" i="4"/>
  <c r="AI118" i="4"/>
  <c r="AI4" i="4"/>
  <c r="AI119" i="4"/>
  <c r="AI159" i="4"/>
  <c r="AI57" i="4"/>
  <c r="AI54" i="4"/>
  <c r="AI53" i="4"/>
  <c r="AI239" i="4"/>
  <c r="AI28" i="4"/>
  <c r="AI27" i="4"/>
  <c r="AI160" i="4"/>
  <c r="AI273" i="4"/>
  <c r="AI114" i="4"/>
  <c r="AI96" i="4"/>
  <c r="AI94" i="4"/>
  <c r="AI69" i="4"/>
  <c r="AI68" i="4"/>
  <c r="AI67" i="4"/>
  <c r="AI66" i="4"/>
  <c r="AI62" i="4"/>
  <c r="AI61" i="4"/>
  <c r="AI44" i="4"/>
  <c r="AM23" i="2"/>
  <c r="AZ254" i="5"/>
  <c r="AZ265" i="5"/>
  <c r="AZ264" i="5"/>
  <c r="AZ263" i="5"/>
  <c r="AZ262" i="5"/>
  <c r="AZ261" i="5"/>
  <c r="AZ260" i="5"/>
  <c r="AZ259" i="5"/>
  <c r="AZ257" i="5"/>
  <c r="AZ256" i="5"/>
  <c r="AZ255" i="5"/>
  <c r="AZ253" i="5"/>
  <c r="AZ252" i="5"/>
  <c r="AZ251" i="5"/>
  <c r="AZ250" i="5"/>
  <c r="AZ249" i="5"/>
  <c r="AZ248" i="5"/>
  <c r="AZ247" i="5"/>
  <c r="AZ246" i="5"/>
  <c r="AZ245" i="5"/>
  <c r="AZ244" i="5"/>
  <c r="AZ241" i="5"/>
  <c r="AZ240" i="5"/>
  <c r="AZ242" i="5"/>
  <c r="AZ243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78" i="5"/>
  <c r="AY278" i="5"/>
  <c r="AX278" i="5"/>
  <c r="AZ65" i="5"/>
  <c r="AY65" i="5"/>
  <c r="AX65" i="5"/>
  <c r="AZ55" i="5"/>
  <c r="AY55" i="5"/>
  <c r="AX55" i="5"/>
  <c r="AZ67" i="5"/>
  <c r="AY67" i="5"/>
  <c r="AX67" i="5"/>
  <c r="AZ388" i="5"/>
  <c r="AY388" i="5"/>
  <c r="AX388" i="5"/>
  <c r="AZ280" i="5"/>
  <c r="AY280" i="5"/>
  <c r="AX280" i="5"/>
  <c r="AZ38" i="5"/>
  <c r="AY38" i="5"/>
  <c r="AX38" i="5"/>
  <c r="AZ286" i="5"/>
  <c r="AY286" i="5"/>
  <c r="AX286" i="5"/>
  <c r="AZ367" i="5"/>
  <c r="AY367" i="5"/>
  <c r="AX367" i="5"/>
  <c r="AZ281" i="5"/>
  <c r="AY281" i="5"/>
  <c r="AX281" i="5"/>
  <c r="AZ351" i="5"/>
  <c r="AY351" i="5"/>
  <c r="AX351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79" i="5"/>
  <c r="AY279" i="5"/>
  <c r="AX279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32" i="5"/>
  <c r="AY32" i="5"/>
  <c r="AX32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27" i="5"/>
  <c r="AY27" i="5"/>
  <c r="AX27" i="5"/>
  <c r="AZ34" i="5"/>
  <c r="AY34" i="5"/>
  <c r="AX34" i="5"/>
  <c r="AZ43" i="5"/>
  <c r="AY43" i="5"/>
  <c r="AX43" i="5"/>
  <c r="AZ35" i="5"/>
  <c r="AY35" i="5"/>
  <c r="AX35" i="5"/>
  <c r="AZ47" i="5"/>
  <c r="AY47" i="5"/>
  <c r="AX47" i="5"/>
  <c r="AZ69" i="5"/>
  <c r="AY69" i="5"/>
  <c r="AX69" i="5"/>
  <c r="AZ121" i="5"/>
  <c r="AY121" i="5"/>
  <c r="AX121" i="5"/>
  <c r="AZ26" i="5"/>
  <c r="AY26" i="5"/>
  <c r="AX26" i="5"/>
  <c r="AZ273" i="5"/>
  <c r="AY273" i="5"/>
  <c r="AX273" i="5"/>
  <c r="AZ48" i="5"/>
  <c r="AY48" i="5"/>
  <c r="AX48" i="5"/>
  <c r="AZ390" i="5"/>
  <c r="AY390" i="5"/>
  <c r="AX390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364" i="5"/>
  <c r="AY364" i="5"/>
  <c r="AX364" i="5"/>
  <c r="AZ90" i="5"/>
  <c r="AY90" i="5"/>
  <c r="AX90" i="5"/>
  <c r="AZ120" i="5"/>
  <c r="AY120" i="5"/>
  <c r="AX120" i="5"/>
  <c r="AZ98" i="5"/>
  <c r="AY98" i="5"/>
  <c r="AX98" i="5"/>
  <c r="AZ275" i="5"/>
  <c r="AY275" i="5"/>
  <c r="AX275" i="5"/>
  <c r="AZ224" i="5"/>
  <c r="AY224" i="5"/>
  <c r="AX224" i="5"/>
  <c r="AZ196" i="5"/>
  <c r="AY196" i="5"/>
  <c r="AX196" i="5"/>
  <c r="AZ194" i="5"/>
  <c r="AY194" i="5"/>
  <c r="AX194" i="5"/>
  <c r="AZ366" i="5"/>
  <c r="AY366" i="5"/>
  <c r="AX366" i="5"/>
  <c r="AZ397" i="5"/>
  <c r="AY397" i="5"/>
  <c r="AX397" i="5"/>
  <c r="AZ221" i="5"/>
  <c r="AY221" i="5"/>
  <c r="AX221" i="5"/>
  <c r="AZ33" i="5"/>
  <c r="AY33" i="5"/>
  <c r="AX33" i="5"/>
  <c r="AZ144" i="5"/>
  <c r="AY144" i="5"/>
  <c r="AX144" i="5"/>
  <c r="AZ46" i="5"/>
  <c r="AY46" i="5"/>
  <c r="AX46" i="5"/>
  <c r="AZ365" i="5"/>
  <c r="AY365" i="5"/>
  <c r="AX365" i="5"/>
  <c r="AZ147" i="5"/>
  <c r="AY147" i="5"/>
  <c r="AX147" i="5"/>
  <c r="AZ136" i="5"/>
  <c r="AY136" i="5"/>
  <c r="AX136" i="5"/>
  <c r="AZ352" i="5"/>
  <c r="AY352" i="5"/>
  <c r="AX352" i="5"/>
  <c r="AZ134" i="5"/>
  <c r="AY134" i="5"/>
  <c r="AX134" i="5"/>
  <c r="AY37" i="5"/>
  <c r="AZ357" i="5"/>
  <c r="AY357" i="5"/>
  <c r="AX357" i="5"/>
  <c r="AZ118" i="5"/>
  <c r="AY118" i="5"/>
  <c r="AX118" i="5"/>
  <c r="AZ228" i="5"/>
  <c r="AY228" i="5"/>
  <c r="AX228" i="5"/>
  <c r="AZ163" i="5"/>
  <c r="AY163" i="5"/>
  <c r="AX163" i="5"/>
  <c r="AZ359" i="5"/>
  <c r="AY359" i="5"/>
  <c r="AX359" i="5"/>
  <c r="AZ231" i="5"/>
  <c r="AY231" i="5"/>
  <c r="AX231" i="5"/>
  <c r="AZ207" i="5"/>
  <c r="AY207" i="5"/>
  <c r="AX207" i="5"/>
  <c r="AZ200" i="5"/>
  <c r="AY200" i="5"/>
  <c r="AX200" i="5"/>
  <c r="AZ266" i="5"/>
  <c r="AY266" i="5"/>
  <c r="AX266" i="5"/>
  <c r="AZ154" i="5"/>
  <c r="AY154" i="5"/>
  <c r="AX154" i="5"/>
  <c r="AZ116" i="5"/>
  <c r="AY116" i="5"/>
  <c r="AX116" i="5"/>
  <c r="AZ272" i="5"/>
  <c r="AY272" i="5"/>
  <c r="AX272" i="5"/>
  <c r="AZ271" i="5"/>
  <c r="AY271" i="5"/>
  <c r="AX271" i="5"/>
  <c r="AZ270" i="5"/>
  <c r="AY270" i="5"/>
  <c r="AX270" i="5"/>
  <c r="AY22" i="5"/>
  <c r="AY175" i="5"/>
  <c r="AZ124" i="5"/>
  <c r="AY124" i="5"/>
  <c r="AX124" i="5"/>
  <c r="AZ30" i="5"/>
  <c r="AY30" i="5"/>
  <c r="AX30" i="5"/>
  <c r="AY188" i="5"/>
  <c r="AY149" i="5"/>
  <c r="AY129" i="5"/>
  <c r="AZ91" i="5"/>
  <c r="AY91" i="5"/>
  <c r="AX91" i="5"/>
  <c r="AZ268" i="5"/>
  <c r="AY268" i="5"/>
  <c r="AX268" i="5"/>
  <c r="AZ384" i="5"/>
  <c r="AY384" i="5"/>
  <c r="AX384" i="5"/>
  <c r="AZ179" i="5"/>
  <c r="AY179" i="5"/>
  <c r="AX179" i="5"/>
  <c r="AY176" i="5"/>
  <c r="AZ383" i="5"/>
  <c r="AY383" i="5"/>
  <c r="AX383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348" i="5"/>
  <c r="AY348" i="5"/>
  <c r="AX348" i="5"/>
  <c r="AZ76" i="5"/>
  <c r="AY76" i="5"/>
  <c r="AX76" i="5"/>
  <c r="AZ74" i="5"/>
  <c r="AY74" i="5"/>
  <c r="AX74" i="5"/>
  <c r="AZ36" i="5"/>
  <c r="AY36" i="5"/>
  <c r="AX36" i="5"/>
  <c r="AZ282" i="5"/>
  <c r="AY282" i="5"/>
  <c r="AX282" i="5"/>
  <c r="AZ211" i="5"/>
  <c r="AY211" i="5"/>
  <c r="AX211" i="5"/>
  <c r="AZ379" i="5"/>
  <c r="AY379" i="5"/>
  <c r="AX379" i="5"/>
  <c r="AZ11" i="5"/>
  <c r="AY11" i="5"/>
  <c r="AX11" i="5"/>
  <c r="AZ10" i="5"/>
  <c r="AY10" i="5"/>
  <c r="AX10" i="5"/>
  <c r="AZ9" i="5"/>
  <c r="AY9" i="5"/>
  <c r="AX9" i="5"/>
  <c r="AZ368" i="5"/>
  <c r="AY368" i="5"/>
  <c r="AX368" i="5"/>
  <c r="AZ31" i="5"/>
  <c r="AY31" i="5"/>
  <c r="AX31" i="5"/>
  <c r="AZ6" i="5"/>
  <c r="AY6" i="5"/>
  <c r="AX6" i="5"/>
  <c r="AZ73" i="5"/>
  <c r="AY73" i="5"/>
  <c r="AX73" i="5"/>
  <c r="AZ236" i="5"/>
  <c r="AY236" i="5"/>
  <c r="AX236" i="5"/>
  <c r="AZ393" i="5"/>
  <c r="AY393" i="5"/>
  <c r="AX393" i="5"/>
  <c r="AZ392" i="5"/>
  <c r="AY392" i="5"/>
  <c r="AX392" i="5"/>
  <c r="AZ29" i="5"/>
  <c r="AY29" i="5"/>
  <c r="AX29" i="5"/>
  <c r="AZ385" i="5"/>
  <c r="AY385" i="5"/>
  <c r="AX385" i="5"/>
  <c r="AZ195" i="5"/>
  <c r="AY195" i="5"/>
  <c r="AX195" i="5"/>
  <c r="AZ380" i="5"/>
  <c r="AY380" i="5"/>
  <c r="AX380" i="5"/>
  <c r="AZ378" i="5"/>
  <c r="AY378" i="5"/>
  <c r="AX378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19" i="5"/>
  <c r="AY19" i="5"/>
  <c r="AX19" i="5"/>
  <c r="AZ18" i="5"/>
  <c r="AY18" i="5"/>
  <c r="AX18" i="5"/>
  <c r="AZ212" i="5"/>
  <c r="AY212" i="5"/>
  <c r="AX212" i="5"/>
  <c r="AZ12" i="5"/>
  <c r="AY12" i="5"/>
  <c r="AX12" i="5"/>
  <c r="AZ389" i="5"/>
  <c r="AY389" i="5"/>
  <c r="AX389" i="5"/>
  <c r="AZ387" i="5"/>
  <c r="AY387" i="5"/>
  <c r="AX387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8" i="5"/>
  <c r="AY8" i="5"/>
  <c r="AX8" i="5"/>
  <c r="AZ114" i="5"/>
  <c r="AY114" i="5"/>
  <c r="AX114" i="5"/>
  <c r="AZ100" i="5"/>
  <c r="AY100" i="5"/>
  <c r="AX100" i="5"/>
  <c r="AZ2" i="5"/>
  <c r="AY2" i="5"/>
  <c r="AX2" i="5"/>
  <c r="AZ72" i="5"/>
  <c r="AY72" i="5"/>
  <c r="AX72" i="5"/>
  <c r="AY233" i="5"/>
  <c r="AY24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76" i="5"/>
  <c r="AY276" i="5"/>
  <c r="AX276" i="5"/>
  <c r="AZ269" i="5"/>
  <c r="AY269" i="5"/>
  <c r="AX269" i="5"/>
  <c r="AZ267" i="5"/>
  <c r="AY267" i="5"/>
  <c r="AX267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386" i="5"/>
  <c r="AY386" i="5"/>
  <c r="AX386" i="5"/>
  <c r="AZ382" i="5"/>
  <c r="AY382" i="5"/>
  <c r="AX382" i="5"/>
  <c r="AZ381" i="5"/>
  <c r="AY381" i="5"/>
  <c r="AX381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347" i="5"/>
  <c r="AY347" i="5"/>
  <c r="AX34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85" i="5"/>
  <c r="AY285" i="5"/>
  <c r="AX285" i="5"/>
  <c r="AZ94" i="5"/>
  <c r="AY94" i="5"/>
  <c r="AX94" i="5"/>
  <c r="AZ93" i="5"/>
  <c r="AY93" i="5"/>
  <c r="AX93" i="5"/>
  <c r="AZ4" i="5"/>
  <c r="AY4" i="5"/>
  <c r="AX4" i="5"/>
  <c r="AZ3" i="5"/>
  <c r="AY3" i="5"/>
  <c r="AX3" i="5"/>
  <c r="AZ92" i="5"/>
  <c r="AY92" i="5"/>
  <c r="AX92" i="5"/>
  <c r="AZ28" i="5"/>
  <c r="AY28" i="5"/>
  <c r="AX28" i="5"/>
  <c r="AZ86" i="5"/>
  <c r="AY86" i="5"/>
  <c r="AX86" i="5"/>
  <c r="AZ284" i="5"/>
  <c r="AY284" i="5"/>
  <c r="AX284" i="5"/>
  <c r="AZ283" i="5"/>
  <c r="AY283" i="5"/>
  <c r="AX283" i="5"/>
  <c r="AZ84" i="5"/>
  <c r="AY84" i="5"/>
  <c r="AX84" i="5"/>
  <c r="AZ83" i="5"/>
  <c r="AY83" i="5"/>
  <c r="AX83" i="5"/>
  <c r="AZ320" i="5"/>
  <c r="AY320" i="5"/>
  <c r="AX320" i="5"/>
  <c r="AZ81" i="5"/>
  <c r="AY81" i="5"/>
  <c r="AX81" i="5"/>
  <c r="AZ289" i="5"/>
  <c r="AY289" i="5"/>
  <c r="AX289" i="5"/>
  <c r="AZ54" i="5"/>
  <c r="AY54" i="5"/>
  <c r="AX54" i="5"/>
  <c r="AZ51" i="5"/>
  <c r="AY51" i="5"/>
  <c r="AX51" i="5"/>
  <c r="AZ25" i="5"/>
  <c r="AY25" i="5"/>
  <c r="AX2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7" i="5"/>
  <c r="AY7" i="5"/>
  <c r="AX7" i="5"/>
  <c r="AZ110" i="5"/>
  <c r="AY110" i="5"/>
  <c r="AX110" i="5"/>
  <c r="AY61" i="5"/>
  <c r="AZ404" i="5"/>
  <c r="AY404" i="5"/>
  <c r="AX404" i="5"/>
  <c r="AZ17" i="5"/>
  <c r="AY17" i="5"/>
  <c r="AX17" i="5"/>
  <c r="AZ16" i="5"/>
  <c r="AY16" i="5"/>
  <c r="AX16" i="5"/>
  <c r="AZ15" i="5"/>
  <c r="AY15" i="5"/>
  <c r="AX15" i="5"/>
  <c r="AZ14" i="5"/>
  <c r="AY14" i="5"/>
  <c r="AX14" i="5"/>
  <c r="AZ13" i="5"/>
  <c r="AY13" i="5"/>
  <c r="AX13" i="5"/>
  <c r="AZ180" i="5"/>
  <c r="AY180" i="5"/>
  <c r="AX180" i="5"/>
  <c r="AZ146" i="5"/>
  <c r="AY146" i="5"/>
  <c r="AX146" i="5"/>
  <c r="AZ123" i="5"/>
  <c r="AY123" i="5"/>
  <c r="AX123" i="5"/>
  <c r="AZ350" i="5"/>
  <c r="AY350" i="5"/>
  <c r="AX350" i="5"/>
  <c r="AZ104" i="5"/>
  <c r="AY104" i="5"/>
  <c r="AX104" i="5"/>
  <c r="AZ277" i="5"/>
  <c r="AY277" i="5"/>
  <c r="AX277" i="5"/>
  <c r="AZ50" i="5"/>
  <c r="AY50" i="5"/>
  <c r="AX50" i="5"/>
  <c r="AY23" i="5"/>
  <c r="AZ21" i="5"/>
  <c r="AY21" i="5"/>
  <c r="AX21" i="5"/>
  <c r="AY20" i="5"/>
  <c r="AX20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356" i="5"/>
  <c r="AY356" i="5"/>
  <c r="AX356" i="5"/>
  <c r="AZ5" i="5"/>
  <c r="AY5" i="5"/>
  <c r="AX5" i="5"/>
  <c r="AZ89" i="5"/>
  <c r="AY89" i="5"/>
  <c r="AX89" i="5"/>
  <c r="AZ78" i="5"/>
  <c r="AY78" i="5"/>
  <c r="AX78" i="5"/>
  <c r="AZ288" i="5"/>
  <c r="AY288" i="5"/>
  <c r="AX288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87" i="5"/>
  <c r="AY287" i="5"/>
  <c r="AX287" i="5"/>
  <c r="AZ258" i="5"/>
  <c r="AY258" i="5"/>
  <c r="AX258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74" i="5"/>
  <c r="AY274" i="5"/>
  <c r="AX274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I36" i="4"/>
  <c r="J30" i="3"/>
  <c r="J22" i="3"/>
  <c r="J37" i="3"/>
  <c r="J44" i="3"/>
  <c r="BA30" i="5"/>
  <c r="BA29" i="5"/>
  <c r="BA351" i="5"/>
  <c r="BA192" i="5"/>
  <c r="BA120" i="5"/>
  <c r="BA122" i="5"/>
  <c r="BA121" i="5"/>
  <c r="BA357" i="5"/>
  <c r="BA119" i="5"/>
  <c r="BA63" i="5"/>
  <c r="BA64" i="5"/>
  <c r="BA367" i="5"/>
  <c r="BA226" i="5"/>
  <c r="BA164" i="5"/>
  <c r="BA166" i="5"/>
  <c r="BA69" i="5"/>
  <c r="BA62" i="5"/>
  <c r="BA207" i="5"/>
  <c r="BA200" i="5"/>
  <c r="BA48" i="5"/>
  <c r="BA98" i="5"/>
  <c r="BA96" i="5"/>
  <c r="BA7" i="5"/>
  <c r="BA51" i="5"/>
  <c r="BA380" i="5"/>
  <c r="BA150" i="5"/>
  <c r="BA144" i="5"/>
  <c r="BA348" i="5"/>
  <c r="BA236" i="5"/>
  <c r="BA378" i="5"/>
  <c r="BA44" i="5"/>
  <c r="BA383" i="5"/>
  <c r="BA68" i="5"/>
  <c r="BA231" i="5"/>
  <c r="BA49" i="5"/>
  <c r="BA111" i="5"/>
  <c r="BA228" i="5"/>
  <c r="BA389" i="5"/>
  <c r="BA160" i="5"/>
  <c r="BA43" i="5"/>
  <c r="BA37" i="5"/>
  <c r="BA379" i="5"/>
  <c r="BA45" i="5"/>
  <c r="BA222" i="5"/>
  <c r="BA195" i="5"/>
  <c r="BA384" i="5"/>
  <c r="BA31" i="5"/>
  <c r="BA27" i="5"/>
  <c r="BA352" i="5"/>
  <c r="BA125" i="5"/>
  <c r="BA35" i="5"/>
  <c r="BA24" i="5"/>
  <c r="BA368" i="5"/>
  <c r="BA397" i="5"/>
  <c r="BA273" i="5"/>
  <c r="BA365" i="5"/>
  <c r="BA165" i="5"/>
  <c r="BA233" i="5"/>
  <c r="BA199" i="5"/>
  <c r="BA112" i="5"/>
  <c r="BA274" i="5"/>
  <c r="BA237" i="5"/>
  <c r="BA46" i="5"/>
  <c r="BA145" i="5"/>
  <c r="BA90" i="5"/>
  <c r="BA163" i="5"/>
  <c r="BA25" i="5"/>
  <c r="BA168" i="5"/>
  <c r="BA54" i="5"/>
  <c r="BA347" i="5"/>
  <c r="BA194" i="5"/>
  <c r="BA22" i="5"/>
  <c r="BA211" i="5"/>
  <c r="BA162" i="5"/>
  <c r="BA26" i="5"/>
  <c r="BA172" i="5"/>
  <c r="BA76" i="5"/>
  <c r="BA151" i="5"/>
  <c r="BA82" i="5"/>
  <c r="BA73" i="5"/>
  <c r="BA159" i="5"/>
  <c r="BA208" i="5"/>
  <c r="BA234" i="5"/>
  <c r="BA34" i="5"/>
  <c r="BA5" i="5"/>
  <c r="BA158" i="5"/>
  <c r="BA146" i="5"/>
  <c r="BA104" i="5"/>
  <c r="BA193" i="5"/>
  <c r="BA171" i="5"/>
  <c r="BA170" i="5"/>
  <c r="BA101" i="5"/>
  <c r="BA32" i="5"/>
  <c r="BA143" i="5"/>
  <c r="BA385" i="5"/>
  <c r="BA23" i="5"/>
  <c r="BA174" i="5"/>
  <c r="BA213" i="5"/>
  <c r="BA21" i="5"/>
  <c r="BA232" i="5"/>
  <c r="BA157" i="5"/>
  <c r="BA71" i="5"/>
  <c r="BA204" i="5"/>
  <c r="BA205" i="5"/>
  <c r="BA92" i="5"/>
  <c r="BA390" i="5"/>
  <c r="BA91" i="5"/>
  <c r="BA238" i="5"/>
  <c r="BA404" i="5"/>
  <c r="BA11" i="5"/>
  <c r="BA109" i="5"/>
  <c r="BA133" i="5"/>
  <c r="BA80" i="5"/>
  <c r="BA212" i="5"/>
  <c r="BA99" i="5"/>
  <c r="BA113" i="5"/>
  <c r="BA283" i="5"/>
  <c r="BA189" i="5"/>
  <c r="BA75" i="5"/>
  <c r="BA386" i="5"/>
  <c r="BA235" i="5"/>
  <c r="BA167" i="5"/>
  <c r="BA100" i="5"/>
  <c r="BA197" i="5"/>
  <c r="BA141" i="5"/>
  <c r="BA84" i="5"/>
  <c r="BA130" i="5"/>
  <c r="BA10" i="5"/>
  <c r="BA227" i="5"/>
  <c r="BA116" i="5"/>
  <c r="BA196" i="5"/>
  <c r="BA191" i="5"/>
  <c r="BA89" i="5"/>
  <c r="BA86" i="5"/>
  <c r="BA85" i="5"/>
  <c r="BA72" i="5"/>
  <c r="BA190" i="5"/>
  <c r="BA103" i="5"/>
  <c r="BA387" i="5"/>
  <c r="BA83" i="5"/>
  <c r="BA81" i="5"/>
  <c r="BA115" i="5"/>
  <c r="BA285" i="5"/>
  <c r="BA202" i="5"/>
  <c r="BA201" i="5"/>
  <c r="BA9" i="5"/>
  <c r="BA198" i="5"/>
  <c r="BA214" i="5"/>
  <c r="BA218" i="5"/>
  <c r="BA284" i="5"/>
  <c r="BA28" i="5"/>
  <c r="BA182" i="5"/>
  <c r="BA320" i="5"/>
  <c r="BA135" i="5"/>
  <c r="BA19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359" i="5"/>
  <c r="BA210" i="5"/>
  <c r="BA128" i="5"/>
  <c r="BA185" i="5"/>
  <c r="BA107" i="5"/>
  <c r="BA106" i="5"/>
  <c r="BA6" i="5"/>
  <c r="BA366" i="5"/>
  <c r="BA78" i="5"/>
  <c r="BA12" i="5"/>
  <c r="BA364" i="5"/>
  <c r="BA156" i="5"/>
  <c r="BA57" i="5"/>
  <c r="BA58" i="5"/>
  <c r="BA289" i="5"/>
  <c r="BA77" i="5"/>
  <c r="BA229" i="5"/>
  <c r="BA4" i="5"/>
  <c r="BA155" i="5"/>
  <c r="BA275" i="5"/>
  <c r="BA110" i="5"/>
  <c r="BA79" i="5"/>
  <c r="BA276" i="5"/>
  <c r="BA134" i="5"/>
  <c r="BA215" i="5"/>
  <c r="BA356" i="5"/>
  <c r="BA288" i="5"/>
  <c r="BA147" i="5"/>
  <c r="BA3" i="5"/>
  <c r="BA13" i="5"/>
  <c r="BA173" i="5"/>
  <c r="BA132" i="5"/>
  <c r="BA217" i="5"/>
  <c r="BA114" i="5"/>
  <c r="BA277" i="5"/>
  <c r="BA224" i="5"/>
  <c r="BA220" i="5"/>
  <c r="BA2" i="5"/>
  <c r="BA180" i="5"/>
  <c r="BA136" i="5"/>
  <c r="BA178" i="5"/>
  <c r="BA131" i="5"/>
  <c r="BA17" i="5"/>
  <c r="BA16" i="5"/>
  <c r="BA33" i="5"/>
  <c r="BA15" i="5"/>
  <c r="BA14" i="5"/>
  <c r="BA55" i="5"/>
  <c r="BA87" i="5"/>
  <c r="BA88" i="5"/>
  <c r="BA181" i="5"/>
  <c r="BA8" i="5"/>
  <c r="BA139" i="5"/>
  <c r="BA105" i="5"/>
  <c r="BA216" i="5"/>
  <c r="BA74" i="5"/>
  <c r="BA239" i="5"/>
  <c r="BA246" i="5"/>
  <c r="BA272" i="5"/>
  <c r="BA60" i="5"/>
  <c r="BA279" i="5"/>
  <c r="BA267" i="5"/>
  <c r="BA350" i="5"/>
  <c r="BA258" i="5"/>
  <c r="BA221" i="5"/>
  <c r="BA138" i="5"/>
  <c r="BA183" i="5"/>
  <c r="BA36" i="5"/>
  <c r="BA123" i="5"/>
  <c r="BA242" i="5"/>
  <c r="BA118" i="5"/>
  <c r="BA209" i="5"/>
  <c r="BA270" i="5"/>
  <c r="BA268" i="5"/>
  <c r="BA266" i="5"/>
  <c r="BA248" i="5"/>
  <c r="BA225" i="5"/>
  <c r="BA18" i="5"/>
  <c r="BA280" i="5"/>
  <c r="BA124" i="5"/>
  <c r="BA149" i="5"/>
  <c r="BA129" i="5"/>
  <c r="BA137" i="5"/>
  <c r="BA269" i="5"/>
  <c r="BA179" i="5"/>
  <c r="BA271" i="5"/>
  <c r="BA281" i="5"/>
  <c r="BA287" i="5"/>
  <c r="BA140" i="5"/>
  <c r="BA154" i="5"/>
  <c r="BA263" i="5"/>
  <c r="BA52" i="5"/>
  <c r="BA142" i="5"/>
  <c r="BA260" i="5"/>
  <c r="BA176" i="5"/>
  <c r="BA148" i="5"/>
  <c r="BA152" i="5"/>
  <c r="BA265" i="5"/>
  <c r="BA255" i="5"/>
  <c r="BA253" i="5"/>
  <c r="BA252" i="5"/>
  <c r="BA247" i="5"/>
  <c r="BA245" i="5"/>
  <c r="BA240" i="5"/>
  <c r="BA50" i="5"/>
  <c r="BA282" i="5"/>
  <c r="BA153" i="5"/>
  <c r="BA249" i="5"/>
  <c r="BA59" i="5"/>
  <c r="BA56" i="5"/>
  <c r="BA250" i="5"/>
  <c r="BA53" i="5"/>
  <c r="BA262" i="5"/>
  <c r="BA67" i="5"/>
  <c r="BA65" i="5"/>
  <c r="BA175" i="5"/>
  <c r="BA66" i="5"/>
  <c r="BA38" i="5"/>
  <c r="BA264" i="5"/>
  <c r="BA251" i="5"/>
  <c r="BA39" i="5"/>
  <c r="BA40" i="5"/>
  <c r="BA41" i="5"/>
  <c r="BA102" i="5"/>
  <c r="BA388" i="5"/>
  <c r="BA381" i="5"/>
  <c r="BA61" i="5"/>
  <c r="BA257" i="5"/>
  <c r="BA259" i="5"/>
  <c r="BA241" i="5"/>
  <c r="BA47" i="5"/>
  <c r="BA177" i="5"/>
  <c r="BA42" i="5"/>
  <c r="BA188" i="5"/>
  <c r="BA97" i="5"/>
  <c r="BA161" i="5"/>
  <c r="BA256" i="5"/>
  <c r="BA254" i="5"/>
  <c r="BA244" i="5"/>
  <c r="BA261" i="5"/>
  <c r="BA278" i="5"/>
  <c r="BA286" i="5"/>
  <c r="BA382" i="5"/>
  <c r="Y217" i="4"/>
  <c r="Y115" i="4"/>
  <c r="Y292" i="4"/>
  <c r="Y293" i="4"/>
  <c r="X2" i="12"/>
  <c r="S2" i="12"/>
  <c r="T2" i="12"/>
  <c r="X27" i="4"/>
  <c r="X28" i="4"/>
  <c r="X160" i="4"/>
  <c r="X114" i="4"/>
  <c r="X239" i="4"/>
  <c r="X116" i="4"/>
  <c r="X44" i="4"/>
  <c r="X96" i="4"/>
  <c r="X273" i="4"/>
  <c r="X118" i="4"/>
  <c r="X68" i="4"/>
  <c r="X94" i="4"/>
  <c r="X69" i="4"/>
  <c r="X61" i="4"/>
  <c r="X120" i="4"/>
  <c r="X62" i="4"/>
  <c r="X66" i="4"/>
  <c r="W2" i="12"/>
  <c r="Z217" i="4"/>
  <c r="Z115" i="4"/>
  <c r="Z292" i="4"/>
  <c r="Z293" i="4"/>
  <c r="Y2" i="12"/>
  <c r="AM22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<sst xmlns="http://schemas.openxmlformats.org/spreadsheetml/2006/main" count="11505" uniqueCount="1437">
  <si>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</si>
  <si>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</si>
  <si>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</si>
  <si>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</si>
  <si>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</si>
  <si>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</si>
  <si>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</si>
  <si>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</si>
  <si>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</si>
  <si>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</si>
  <si>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</si>
  <si>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</si>
  <si>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</si>
  <si>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</si>
  <si>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</si>
  <si>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</si>
  <si>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</si>
  <si>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</si>
  <si>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</si>
  <si>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</si>
  <si>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</si>
  <si>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</si>
  <si>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</si>
  <si>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</si>
  <si>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</si>
  <si>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</si>
  <si>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</si>
  <si>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</si>
  <si>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</si>
  <si>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</si>
  <si>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</si>
  <si>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</si>
  <si>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</si>
  <si>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</si>
  <si>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</si>
  <si>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</si>
  <si>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</si>
  <si>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</si>
  <si>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</si>
  <si>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</si>
  <si>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</si>
  <si>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</si>
  <si>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</si>
  <si>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</si>
  <si>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</si>
  <si>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</si>
  <si>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</si>
  <si>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</si>
  <si>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</si>
  <si>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</si>
  <si>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</si>
  <si>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</si>
  <si>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</si>
  <si>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</si>
  <si>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</si>
  <si>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</si>
  <si>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</si>
  <si>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</si>
  <si>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</si>
  <si>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</si>
  <si>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</si>
  <si>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</si>
  <si>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</si>
  <si>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</si>
  <si>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</si>
  <si>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</si>
  <si>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</si>
  <si>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</si>
  <si>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</si>
  <si>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</si>
  <si>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</si>
  <si>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</si>
  <si>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</si>
  <si>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</si>
  <si>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</si>
  <si>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</si>
  <si>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</si>
  <si>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</si>
  <si>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</si>
  <si>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</si>
  <si>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</si>
  <si>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</si>
  <si>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</si>
  <si>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</si>
  <si>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</si>
  <si>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</si>
  <si>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</si>
  <si>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</si>
  <si>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</si>
  <si>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</si>
  <si>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</si>
  <si>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</si>
  <si>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</si>
  <si>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</si>
  <si>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</si>
  <si>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</si>
  <si>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</si>
  <si>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</si>
  <si>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</si>
  <si>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</si>
  <si>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</si>
  <si>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</si>
  <si>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</si>
  <si>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</si>
  <si>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</si>
  <si>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</si>
  <si>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</si>
  <si>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</si>
  <si>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</si>
  <si>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</si>
  <si>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</si>
  <si>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</si>
  <si>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</si>
  <si>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</si>
  <si>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</si>
  <si>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</si>
  <si>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</si>
  <si>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</si>
  <si>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</si>
  <si>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</si>
  <si>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</si>
  <si>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</si>
  <si>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</si>
  <si>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</si>
  <si>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</si>
  <si>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</si>
  <si>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</si>
  <si>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</si>
  <si>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</si>
  <si>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</si>
  <si>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</si>
  <si>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</si>
  <si>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</si>
  <si>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</si>
  <si>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</si>
  <si>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</si>
  <si>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</si>
  <si>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</si>
  <si>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</si>
  <si>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</si>
  <si>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</si>
  <si>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</si>
  <si>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</si>
  <si>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</si>
  <si>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</si>
  <si>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</si>
  <si>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</si>
  <si>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</si>
  <si>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</si>
  <si>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</si>
  <si>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</si>
  <si>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</si>
  <si>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</si>
  <si>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</si>
  <si>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</si>
  <si>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</si>
  <si>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</si>
  <si>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</si>
  <si>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</si>
  <si>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</si>
  <si>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</si>
  <si>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</si>
  <si>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</si>
  <si>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</si>
  <si>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</si>
  <si>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</si>
  <si>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</si>
  <si>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</si>
  <si>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</si>
  <si>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</si>
  <si>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</si>
  <si>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</si>
  <si>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</si>
  <si>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</si>
  <si>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</si>
  <si>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</si>
  <si>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</si>
  <si>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</si>
  <si>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</si>
  <si>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</si>
  <si>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</si>
  <si>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</si>
  <si>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</si>
  <si>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</si>
  <si>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</si>
  <si>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</si>
  <si>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</si>
  <si>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</si>
  <si>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</si>
  <si>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</si>
  <si>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</si>
  <si>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</si>
  <si>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</si>
  <si>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</si>
  <si>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</si>
  <si>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</si>
  <si>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</si>
  <si>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</si>
  <si>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</si>
  <si>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</si>
  <si>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</si>
  <si>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</si>
  <si>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</si>
  <si>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</si>
  <si>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</si>
  <si>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</si>
  <si>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</si>
  <si>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</si>
  <si>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</si>
  <si>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</si>
  <si>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</si>
  <si>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</si>
  <si>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</si>
  <si>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</si>
  <si>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</si>
  <si>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</si>
  <si>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</si>
  <si>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</si>
  <si>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</si>
  <si>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</si>
  <si>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</si>
  <si>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</si>
  <si>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</si>
  <si>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</si>
  <si>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</si>
  <si>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</si>
  <si>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</si>
  <si>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</si>
  <si>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</si>
  <si>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</si>
  <si>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</si>
  <si>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</si>
  <si>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</si>
  <si>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</si>
  <si>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</si>
  <si>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</si>
  <si>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</si>
  <si>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</si>
  <si>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</si>
  <si>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</si>
  <si>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</si>
  <si>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</si>
  <si>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</si>
  <si>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</si>
  <si>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</si>
  <si>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</si>
  <si>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</si>
  <si>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</si>
  <si>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</si>
  <si>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</si>
  <si>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</si>
  <si>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</si>
  <si>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</si>
  <si>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</si>
  <si>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</si>
  <si>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</si>
  <si>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</si>
  <si>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</si>
  <si>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</si>
  <si>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</si>
  <si>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</si>
  <si>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</si>
  <si>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</si>
  <si>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</si>
  <si>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</si>
  <si>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</si>
  <si>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</si>
  <si>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</si>
  <si>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</si>
  <si>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</si>
  <si>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</si>
  <si>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</si>
  <si>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</si>
  <si>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</si>
  <si>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</si>
  <si>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</si>
  <si>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</si>
  <si>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</si>
  <si>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</si>
  <si>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</si>
  <si>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</si>
  <si>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</si>
  <si>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</si>
  <si>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</si>
  <si>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</si>
  <si>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</si>
  <si>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</si>
  <si>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</si>
  <si>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</si>
  <si>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</si>
  <si>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</si>
  <si>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</si>
  <si>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</si>
  <si>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</si>
  <si>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</si>
  <si>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</si>
  <si>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</si>
  <si>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</si>
  <si>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</si>
  <si>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</si>
  <si>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</si>
  <si>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</si>
  <si>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</si>
  <si>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</si>
  <si>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</si>
  <si>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</si>
  <si>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</si>
  <si>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</si>
  <si>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</si>
  <si>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</si>
  <si>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</si>
  <si>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</si>
  <si>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</si>
  <si>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</si>
  <si>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</si>
  <si>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</si>
  <si>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</si>
  <si>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</si>
  <si>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</si>
  <si>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</si>
  <si>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</si>
  <si>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</si>
  <si>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</si>
  <si>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</si>
  <si>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</si>
  <si>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</si>
  <si>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</si>
  <si>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</si>
  <si>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</si>
  <si>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</si>
  <si>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</si>
  <si>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</si>
  <si>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</si>
  <si>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</si>
  <si>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</si>
  <si>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</si>
  <si>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</si>
  <si>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</si>
  <si>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</si>
  <si>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</si>
  <si>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</si>
  <si>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</si>
  <si>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</si>
  <si>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</si>
  <si>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</si>
  <si>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</si>
  <si>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</si>
  <si>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</si>
  <si>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</si>
  <si>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</si>
  <si>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</si>
  <si>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</si>
  <si>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</si>
  <si>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</si>
  <si>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</si>
  <si>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</si>
  <si>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</si>
  <si>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</si>
  <si>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</si>
  <si>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</si>
  <si>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</si>
  <si>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</si>
  <si>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</si>
  <si>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</si>
  <si>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</si>
  <si>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</si>
  <si>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</si>
  <si>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</si>
  <si>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</si>
  <si>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</si>
  <si>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</si>
  <si>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</si>
  <si>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</si>
  <si>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</si>
  <si>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</si>
  <si>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</si>
  <si>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</si>
  <si>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</si>
  <si>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</si>
  <si>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</si>
  <si>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</si>
  <si>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</si>
  <si>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</si>
  <si>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</si>
  <si>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</si>
  <si>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</si>
  <si>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</si>
  <si>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</si>
  <si>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</si>
  <si>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</si>
  <si>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</si>
  <si>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</si>
  <si>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</si>
  <si>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</si>
  <si>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</si>
  <si>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</si>
  <si>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</si>
  <si>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</si>
  <si>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</si>
  <si>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</si>
  <si>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</si>
  <si>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</si>
  <si>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</si>
  <si>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</si>
  <si>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</si>
  <si>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</si>
  <si>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</si>
  <si>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</si>
  <si>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</si>
  <si>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</si>
  <si>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</si>
  <si>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</si>
  <si>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</si>
  <si>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</si>
  <si>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</si>
  <si>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</si>
  <si>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</si>
  <si>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</si>
  <si>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</si>
  <si>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</si>
  <si>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</si>
  <si>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</si>
  <si>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</si>
  <si>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</si>
  <si>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</si>
  <si>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</si>
  <si>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</si>
  <si>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</si>
  <si>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</si>
  <si>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</si>
  <si>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</si>
  <si>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</si>
  <si>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</si>
  <si>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</si>
  <si>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</si>
  <si>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</si>
  <si>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</si>
  <si>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</si>
  <si>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</si>
  <si>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</si>
  <si>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</si>
  <si>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</si>
  <si>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</si>
  <si>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</si>
  <si>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</si>
  <si>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</si>
  <si>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</si>
  <si>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</si>
  <si>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</si>
  <si>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</si>
  <si>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</si>
  <si>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</si>
  <si>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</si>
  <si>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</si>
  <si>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</si>
  <si>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</si>
  <si>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</si>
  <si>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</si>
  <si>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</si>
  <si>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</si>
  <si>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</si>
  <si>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</si>
  <si>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</si>
  <si>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</si>
  <si>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</si>
  <si>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</si>
  <si>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</si>
  <si>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</si>
  <si>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</si>
  <si>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</si>
  <si>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</si>
  <si>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</si>
  <si>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</si>
  <si>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</si>
  <si>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</si>
  <si>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</si>
  <si>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</si>
  <si>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</si>
  <si>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</si>
  <si>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</si>
  <si>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</si>
  <si>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</si>
  <si>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</si>
  <si>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</si>
  <si>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</si>
  <si>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</si>
  <si>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</si>
  <si>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</si>
  <si>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</si>
  <si>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</si>
  <si>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</si>
  <si>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</si>
  <si>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</si>
  <si>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</si>
  <si>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</si>
  <si>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</si>
  <si>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</si>
  <si>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</si>
  <si>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</si>
  <si>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</si>
  <si>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</si>
  <si>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</si>
  <si>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</si>
  <si>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</si>
  <si>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</si>
  <si>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</si>
  <si>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</si>
  <si>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</si>
  <si>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</si>
  <si>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</si>
  <si>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</si>
  <si>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</si>
  <si>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</si>
  <si>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</si>
  <si>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</si>
  <si>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</si>
  <si>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</si>
  <si>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</si>
  <si>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</si>
  <si>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</si>
  <si>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</si>
  <si>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</si>
  <si>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</si>
  <si>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</si>
  <si>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</si>
  <si>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</si>
  <si>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</si>
  <si>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</si>
  <si>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</si>
  <si>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</si>
  <si>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</si>
  <si>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</si>
  <si>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</si>
  <si>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</si>
  <si>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</si>
  <si>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</si>
  <si>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</si>
  <si>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</si>
  <si>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</si>
  <si>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</si>
  <si>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</si>
  <si>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</si>
  <si>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</si>
  <si>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</si>
  <si>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</si>
  <si>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</si>
  <si>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</si>
  <si>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</si>
  <si>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</si>
  <si>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</si>
  <si>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</si>
  <si>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</si>
  <si>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</si>
  <si>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</si>
  <si>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</si>
  <si>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</si>
  <si>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</si>
  <si>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</si>
  <si>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</si>
  <si>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</si>
  <si>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</si>
  <si>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</si>
  <si>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</si>
  <si>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</si>
  <si>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</si>
  <si>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</si>
  <si>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</si>
  <si>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</si>
  <si>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</si>
  <si>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</si>
  <si>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</si>
  <si>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</si>
  <si>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</si>
  <si>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</si>
  <si>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</si>
  <si>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</si>
  <si>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</si>
  <si>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</si>
  <si>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</si>
  <si>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</si>
  <si>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</si>
  <si>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</si>
  <si>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</si>
  <si>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</si>
  <si>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</si>
  <si>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</si>
  <si>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</si>
  <si>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</si>
  <si>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</si>
  <si>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</si>
  <si>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</si>
  <si>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</si>
  <si>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</si>
  <si>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</si>
  <si>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</si>
  <si>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</si>
  <si>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</si>
  <si>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</si>
  <si>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</si>
  <si>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</si>
  <si>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</si>
  <si>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</si>
  <si>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</si>
  <si>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</si>
  <si>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</si>
  <si>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</si>
  <si>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</si>
  <si>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</si>
  <si>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</si>
  <si>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</si>
  <si>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</si>
  <si>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</si>
  <si>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</si>
  <si>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</si>
  <si>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</si>
  <si>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</si>
  <si>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</si>
  <si>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</si>
  <si>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</si>
  <si>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</si>
  <si>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</si>
  <si>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</si>
  <si>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</si>
  <si>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</si>
  <si>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</si>
  <si>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</si>
  <si>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</si>
  <si>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</si>
  <si>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</si>
  <si>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</si>
  <si>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</si>
  <si>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</si>
  <si>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</si>
  <si>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</si>
  <si>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</si>
  <si>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</si>
  <si>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</si>
  <si>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</si>
  <si>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</si>
  <si>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</si>
  <si>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</si>
  <si>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</si>
  <si>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</si>
  <si>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</si>
  <si>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</si>
  <si>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</si>
  <si>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</si>
  <si>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</si>
  <si>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</si>
  <si>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</si>
  <si>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</si>
  <si>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</si>
  <si>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</si>
  <si>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</si>
  <si>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</si>
  <si>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</si>
  <si>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</si>
  <si>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</si>
  <si>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</si>
  <si>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</si>
  <si>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</si>
  <si>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</si>
  <si>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</si>
  <si>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</si>
  <si>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</si>
  <si>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</si>
  <si>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</si>
  <si>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</si>
  <si>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</si>
  <si>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</si>
  <si>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</si>
  <si>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</si>
  <si>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</si>
  <si>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</si>
  <si>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</si>
  <si>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</si>
  <si>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</si>
  <si>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</si>
  <si>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</si>
  <si>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</si>
  <si>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</si>
  <si>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</si>
  <si>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</si>
  <si>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</si>
  <si>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</si>
  <si>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</si>
  <si>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</si>
  <si>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</si>
  <si>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</si>
  <si>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</si>
  <si>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</si>
  <si>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</si>
  <si>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</si>
  <si>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</si>
  <si>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</si>
  <si>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</si>
  <si>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</si>
  <si>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</si>
  <si>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</si>
  <si>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</si>
  <si>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</si>
  <si>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</si>
  <si>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</si>
  <si>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</si>
  <si>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</si>
  <si>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</si>
  <si>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</si>
  <si>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</si>
  <si>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</si>
  <si>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</si>
  <si>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</si>
  <si>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</si>
  <si>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</si>
  <si>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</si>
  <si>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</si>
  <si>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</si>
  <si>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</si>
  <si>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</si>
  <si>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</si>
  <si>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</si>
  <si>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</si>
  <si>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</si>
  <si>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</si>
  <si>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</si>
  <si>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</si>
  <si>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</si>
  <si>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</si>
  <si>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</si>
  <si>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</si>
  <si>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</si>
  <si>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</si>
  <si>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</si>
  <si>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</si>
  <si>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</si>
  <si>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</si>
  <si>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</si>
  <si>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</si>
  <si>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</si>
  <si>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</si>
  <si>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</si>
  <si>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</si>
  <si>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</si>
  <si>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</si>
  <si>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</si>
  <si>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</si>
  <si>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</si>
  <si>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</si>
  <si>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</si>
  <si>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</si>
  <si>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</si>
  <si>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</si>
  <si>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</si>
  <si>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</si>
  <si>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</si>
  <si>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</si>
  <si>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</si>
  <si>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</si>
  <si>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</si>
  <si>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</si>
  <si>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</si>
  <si>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</si>
  <si>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</si>
  <si>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</si>
  <si>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</si>
  <si>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</si>
  <si>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</si>
  <si>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</si>
  <si>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</si>
  <si>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</si>
  <si>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</si>
  <si>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</si>
  <si>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</si>
  <si>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</si>
  <si>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</si>
  <si>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</si>
  <si>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</si>
  <si>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</si>
  <si>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</si>
  <si>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</si>
  <si>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</si>
  <si>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</si>
  <si>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</si>
  <si>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</si>
  <si>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</si>
  <si>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</si>
  <si>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</si>
  <si>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</si>
  <si>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</si>
  <si>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</si>
  <si>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</si>
  <si>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</si>
  <si>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</si>
  <si>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</si>
  <si>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</si>
  <si>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</si>
  <si>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</si>
  <si>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</si>
  <si>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</si>
  <si>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</si>
  <si>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</si>
  <si>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</si>
  <si>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</si>
  <si>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</si>
  <si>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</si>
  <si>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</si>
  <si>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</si>
  <si>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</si>
  <si>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</si>
  <si>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</si>
  <si>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</si>
  <si>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</si>
  <si>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</si>
  <si>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</si>
  <si>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</si>
  <si>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</si>
  <si>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</si>
  <si>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</si>
  <si>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</si>
  <si>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</si>
  <si>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</si>
  <si>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</si>
  <si>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</si>
  <si>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</si>
  <si>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</si>
  <si>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</si>
  <si>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</si>
  <si>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</si>
  <si>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</si>
  <si>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</si>
  <si>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</si>
  <si>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</si>
  <si>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</si>
  <si>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</si>
  <si>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</si>
  <si>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</si>
  <si>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</si>
  <si>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</si>
  <si>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</si>
  <si>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</si>
  <si>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</si>
  <si>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</si>
  <si>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</si>
  <si>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</si>
  <si>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</si>
  <si>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</si>
  <si>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</si>
  <si>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</si>
  <si>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</si>
  <si>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</si>
  <si>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</si>
  <si>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</si>
  <si>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</si>
  <si>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</si>
  <si>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</si>
  <si>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</si>
  <si>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</si>
  <si>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</si>
  <si>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</si>
  <si>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</si>
  <si>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</si>
  <si>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</si>
  <si>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</si>
  <si>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</si>
  <si>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</si>
  <si>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</si>
  <si>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</si>
  <si>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</si>
  <si>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</si>
  <si>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</si>
  <si>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</si>
  <si>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</si>
  <si>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</si>
  <si>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</si>
  <si>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</si>
  <si>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</si>
  <si>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</si>
  <si>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</si>
  <si>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</si>
  <si>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</si>
  <si>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</si>
  <si>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</si>
  <si>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</si>
  <si>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</si>
  <si>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</si>
  <si>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</si>
  <si>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</si>
  <si>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</si>
  <si>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</si>
  <si>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</si>
  <si>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</si>
  <si>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</si>
  <si>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</si>
  <si>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</si>
  <si>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</si>
  <si>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</si>
  <si>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</si>
  <si>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</si>
  <si>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</si>
  <si>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</si>
  <si>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</si>
  <si>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</si>
  <si>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</si>
  <si>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</si>
  <si>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</si>
  <si>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</si>
  <si>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</si>
  <si>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</si>
  <si>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</si>
  <si>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</si>
  <si>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</si>
  <si>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</si>
  <si>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</si>
  <si>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</si>
  <si>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</si>
  <si>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</si>
  <si>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</si>
  <si>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</si>
  <si>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</si>
  <si>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</si>
  <si>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</si>
  <si>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</si>
  <si>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</si>
  <si>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</si>
  <si>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</si>
  <si>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</si>
  <si>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</si>
  <si>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</si>
  <si>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</si>
  <si>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</si>
  <si>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</si>
  <si>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</si>
  <si>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</si>
  <si>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</si>
  <si>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</si>
  <si>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</si>
  <si>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</si>
  <si>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</si>
  <si>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</si>
  <si>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</si>
  <si>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</si>
  <si>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</si>
  <si>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</si>
  <si>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</si>
  <si>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</si>
  <si>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</si>
  <si>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</si>
  <si>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</si>
  <si>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</si>
  <si>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</si>
  <si>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</si>
  <si>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</si>
  <si>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</si>
  <si>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</si>
  <si>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</si>
  <si>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</si>
  <si>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</si>
  <si>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</si>
  <si>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</si>
  <si>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</si>
  <si>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</si>
  <si>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</si>
  <si>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</si>
  <si>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</si>
  <si>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</si>
  <si>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</si>
  <si>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</si>
  <si>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</si>
  <si>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</si>
  <si>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</si>
  <si>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</si>
  <si>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</si>
  <si>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</si>
  <si>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</si>
  <si>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</si>
  <si>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</si>
  <si>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</si>
  <si>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</si>
  <si>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</si>
  <si>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</si>
  <si>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</si>
  <si>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</si>
  <si>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</si>
  <si>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</si>
  <si>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</si>
  <si>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</si>
  <si>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</si>
  <si>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</si>
  <si>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</si>
  <si>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</si>
  <si>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</si>
  <si>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</si>
  <si>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</si>
  <si>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</si>
  <si>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</si>
  <si>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</si>
  <si>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</si>
  <si>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</si>
  <si>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</si>
  <si>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</si>
  <si>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</si>
  <si>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</si>
  <si>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</si>
  <si>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</si>
  <si>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</si>
  <si>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</si>
  <si>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</si>
  <si>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</si>
  <si>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</si>
  <si>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</si>
  <si>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</si>
  <si>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</si>
  <si>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</si>
  <si>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</si>
  <si>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</si>
  <si>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</si>
  <si>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</si>
  <si>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</si>
  <si>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</si>
  <si>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</si>
  <si>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</si>
  <si>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</si>
  <si>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</si>
  <si>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</si>
  <si>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</si>
  <si>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</si>
  <si>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</si>
  <si>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</si>
  <si>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</si>
  <si>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</si>
  <si>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</si>
  <si>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</si>
  <si>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</si>
  <si>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</si>
  <si>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</si>
  <si>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</si>
  <si>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</si>
  <si>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</si>
  <si>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</si>
  <si>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</si>
  <si>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</si>
  <si>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</si>
  <si>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</si>
  <si>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</si>
  <si>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</si>
  <si>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</si>
  <si>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</si>
  <si>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</si>
  <si>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</si>
  <si>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</si>
  <si>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</si>
  <si>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</si>
  <si>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</si>
  <si>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</si>
  <si>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</si>
  <si>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</si>
  <si>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</si>
  <si>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</si>
  <si>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</si>
  <si>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</si>
  <si>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</si>
  <si>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</si>
  <si>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</si>
  <si>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</si>
  <si>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</si>
  <si>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</si>
  <si>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</si>
  <si>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</si>
  <si>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</si>
  <si>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</si>
  <si>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</si>
  <si>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</si>
  <si>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</si>
  <si>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</si>
  <si>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</si>
  <si>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</si>
  <si>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</si>
  <si>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</si>
  <si>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</si>
  <si>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</si>
  <si>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</si>
  <si>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</si>
  <si>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</si>
  <si>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</si>
  <si>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</si>
  <si>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</si>
  <si>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</si>
  <si>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</si>
  <si>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</si>
  <si>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</si>
  <si>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</si>
  <si>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</si>
  <si>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</si>
  <si>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</si>
  <si>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</si>
  <si>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</si>
  <si>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</si>
  <si>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</si>
  <si>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</si>
  <si>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</si>
  <si>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</si>
  <si>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</si>
  <si>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</si>
  <si>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</si>
  <si>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</si>
  <si>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</si>
  <si>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</si>
  <si>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</si>
  <si>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</si>
  <si>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</si>
  <si>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</si>
  <si>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</si>
  <si>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</si>
  <si>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</si>
  <si>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</si>
  <si>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</si>
  <si>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</si>
  <si>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</si>
  <si>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</si>
  <si>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</si>
  <si>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</si>
  <si>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</si>
  <si>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</si>
  <si>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</si>
  <si>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</si>
  <si>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</si>
  <si>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</si>
  <si>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</si>
  <si>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</si>
  <si>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</si>
  <si>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</si>
  <si>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</si>
  <si>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</si>
  <si>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</si>
  <si>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</si>
  <si>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</si>
  <si>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</si>
  <si>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</si>
  <si>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</si>
  <si>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</si>
  <si>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</si>
  <si>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</si>
  <si>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</si>
  <si>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</si>
  <si>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</si>
  <si>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</si>
  <si>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</si>
  <si>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</si>
  <si>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</si>
  <si>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</si>
  <si>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</si>
  <si>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</si>
  <si>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</si>
  <si>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</si>
  <si>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</si>
  <si>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</si>
  <si>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</si>
  <si>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</si>
  <si>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</si>
  <si>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</si>
  <si>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</si>
  <si>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</si>
  <si>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</si>
  <si>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</si>
  <si>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</si>
  <si>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</si>
  <si>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</si>
  <si>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</si>
  <si>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</si>
  <si>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</si>
  <si>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</si>
  <si>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</si>
  <si>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</si>
  <si>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</si>
  <si>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</si>
  <si>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</si>
  <si>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</si>
  <si>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</si>
  <si>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</si>
  <si>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</si>
  <si>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</si>
  <si>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</si>
  <si>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</si>
  <si>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</si>
  <si>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</si>
  <si>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</si>
  <si>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</si>
  <si>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</si>
  <si>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</si>
  <si>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</si>
  <si>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</si>
  <si>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</si>
  <si>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</si>
  <si>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</si>
  <si>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</si>
  <si>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</si>
  <si>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</si>
  <si>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</si>
  <si>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</si>
  <si>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</si>
  <si>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</si>
  <si>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</si>
  <si>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</si>
  <si>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</si>
  <si>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</si>
  <si>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</si>
  <si>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</si>
  <si>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</si>
  <si>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</si>
  <si>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</si>
  <si>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</si>
  <si>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</si>
  <si>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</si>
  <si>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</si>
  <si>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</si>
  <si>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</si>
  <si>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</si>
  <si>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</si>
  <si>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</si>
  <si>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</si>
  <si>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</si>
  <si>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</si>
  <si>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</si>
  <si>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</si>
  <si>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</si>
  <si>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</si>
  <si>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</si>
  <si>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</si>
  <si>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</si>
  <si>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</si>
  <si>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</si>
  <si>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</si>
  <si>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</si>
  <si>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</si>
  <si>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</si>
  <si>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</si>
  <si>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</si>
  <si>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</si>
  <si>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</si>
  <si>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</si>
  <si>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</si>
  <si>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</si>
  <si>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</si>
  <si>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</si>
  <si>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</si>
  <si>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</si>
  <si>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</si>
  <si>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</si>
  <si>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</si>
  <si>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</si>
  <si>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</si>
  <si>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</si>
  <si>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</si>
  <si>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</si>
  <si>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</si>
  <si>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</si>
  <si>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</si>
  <si>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</si>
  <si>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</si>
  <si>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</si>
  <si>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</si>
  <si>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</si>
  <si>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</si>
  <si>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</si>
  <si>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</si>
  <si>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</si>
  <si>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</si>
  <si>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</si>
  <si>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</si>
  <si>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</si>
  <si>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</si>
  <si>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</si>
  <si>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</si>
  <si>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</si>
  <si>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</si>
  <si>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</si>
  <si>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</si>
  <si>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</si>
  <si>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</si>
  <si>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</si>
  <si>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</si>
  <si>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</si>
  <si>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</si>
  <si>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</si>
  <si>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</si>
  <si>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</si>
  <si>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</si>
  <si>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</si>
  <si>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</si>
  <si>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</si>
  <si>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</si>
  <si>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</si>
  <si>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</si>
  <si>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</si>
  <si>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</si>
  <si>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</si>
  <si>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</si>
  <si>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</si>
  <si>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</si>
  <si>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</si>
  <si>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</si>
  <si>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</si>
  <si>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</si>
  <si>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</si>
  <si>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</si>
  <si>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</si>
  <si>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</si>
  <si>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</si>
  <si>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</si>
  <si>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</si>
  <si>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</si>
  <si>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</si>
  <si>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</si>
  <si>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</si>
  <si>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</si>
  <si>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</si>
  <si>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</si>
  <si>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</si>
  <si>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</si>
  <si>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</si>
  <si>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</si>
  <si>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</si>
  <si>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</si>
  <si>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</si>
  <si>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</si>
  <si>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</si>
  <si>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</si>
  <si>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</si>
  <si>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</si>
  <si>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</si>
  <si>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</si>
  <si>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</si>
  <si>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</si>
  <si>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</si>
  <si>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</si>
  <si>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</si>
  <si>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</si>
  <si>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</si>
  <si>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</si>
  <si>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</si>
  <si>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</si>
  <si>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</si>
  <si>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</si>
  <si>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</si>
  <si>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</si>
  <si>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</si>
  <si>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</si>
  <si>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</si>
  <si>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</si>
  <si>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</si>
  <si>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</si>
  <si>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</si>
  <si>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</si>
  <si>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</si>
  <si>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</si>
  <si>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</si>
  <si>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</si>
  <si>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</si>
  <si>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</si>
  <si>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</si>
  <si>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</si>
  <si>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</si>
  <si>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</si>
  <si>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</si>
  <si>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</si>
  <si>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</si>
  <si>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</si>
  <si>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</si>
  <si>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A is longer than B at H8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</si>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</sst>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79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3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0" fontId="7" fillId="0" borderId="0" xfId="0" applyFont="1" applyFill="1"/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0" fillId="2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4" fillId="0" borderId="0" xfId="0" applyFont="1" applyFill="1" applyBorder="1"/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4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0" fontId="0" fillId="2" borderId="1" xfId="0" applyFont="1" applyFill="1" applyBorder="1"/>
  </cellXfs>
  <cellStyles count="797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Normal" xfId="0" builtinId="0"/>
  </cellStyles>
  <dxfs count="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connections" Target="connections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'ICL3'!$G$7:$G$40</c:f>
              <c:numCache>
                <c:formatCode>General</c:formatCode>
                <c:ptCount val="34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67.0</c:v>
                </c:pt>
                <c:pt idx="4">
                  <c:v>67.0</c:v>
                </c:pt>
                <c:pt idx="5">
                  <c:v>68.0</c:v>
                </c:pt>
                <c:pt idx="6">
                  <c:v>68.0</c:v>
                </c:pt>
                <c:pt idx="7">
                  <c:v>68.0</c:v>
                </c:pt>
                <c:pt idx="8">
                  <c:v>72.0</c:v>
                </c:pt>
                <c:pt idx="9">
                  <c:v>71.0</c:v>
                </c:pt>
                <c:pt idx="10">
                  <c:v>71.0</c:v>
                </c:pt>
                <c:pt idx="11">
                  <c:v>71.0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68.0</c:v>
                </c:pt>
                <c:pt idx="17">
                  <c:v>72.0</c:v>
                </c:pt>
                <c:pt idx="18">
                  <c:v>72.0</c:v>
                </c:pt>
                <c:pt idx="19">
                  <c:v>72.0</c:v>
                </c:pt>
                <c:pt idx="20">
                  <c:v>73.0</c:v>
                </c:pt>
                <c:pt idx="21">
                  <c:v>72.0</c:v>
                </c:pt>
                <c:pt idx="22">
                  <c:v>73.0</c:v>
                </c:pt>
                <c:pt idx="23">
                  <c:v>74.0</c:v>
                </c:pt>
                <c:pt idx="24">
                  <c:v>76.0</c:v>
                </c:pt>
                <c:pt idx="25">
                  <c:v>76.0</c:v>
                </c:pt>
                <c:pt idx="26">
                  <c:v>74.0</c:v>
                </c:pt>
                <c:pt idx="27">
                  <c:v>76.0</c:v>
                </c:pt>
                <c:pt idx="28">
                  <c:v>76.0</c:v>
                </c:pt>
                <c:pt idx="29">
                  <c:v>75.0</c:v>
                </c:pt>
                <c:pt idx="30">
                  <c:v>75.0</c:v>
                </c:pt>
                <c:pt idx="31">
                  <c:v>75.0</c:v>
                </c:pt>
                <c:pt idx="32">
                  <c:v>76.0</c:v>
                </c:pt>
                <c:pt idx="33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'ICL3'!$F$7:$F$40</c:f>
              <c:numCache>
                <c:formatCode>General</c:formatCode>
                <c:ptCount val="34"/>
                <c:pt idx="0">
                  <c:v>43.0</c:v>
                </c:pt>
                <c:pt idx="1">
                  <c:v>43.0</c:v>
                </c:pt>
                <c:pt idx="2">
                  <c:v>44.0</c:v>
                </c:pt>
                <c:pt idx="3">
                  <c:v>45.0</c:v>
                </c:pt>
                <c:pt idx="4">
                  <c:v>46.0</c:v>
                </c:pt>
                <c:pt idx="5">
                  <c:v>46.0</c:v>
                </c:pt>
                <c:pt idx="6">
                  <c:v>48.0</c:v>
                </c:pt>
                <c:pt idx="7">
                  <c:v>48.0</c:v>
                </c:pt>
                <c:pt idx="8">
                  <c:v>50.0</c:v>
                </c:pt>
                <c:pt idx="9">
                  <c:v>50.0</c:v>
                </c:pt>
                <c:pt idx="10">
                  <c:v>50.0</c:v>
                </c:pt>
                <c:pt idx="11">
                  <c:v>50.0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51.0</c:v>
                </c:pt>
                <c:pt idx="17">
                  <c:v>52.0</c:v>
                </c:pt>
                <c:pt idx="18">
                  <c:v>52.0</c:v>
                </c:pt>
                <c:pt idx="19">
                  <c:v>53.0</c:v>
                </c:pt>
                <c:pt idx="20">
                  <c:v>56.0</c:v>
                </c:pt>
                <c:pt idx="21">
                  <c:v>57.0</c:v>
                </c:pt>
                <c:pt idx="22">
                  <c:v>58.0</c:v>
                </c:pt>
                <c:pt idx="23">
                  <c:v>59.0</c:v>
                </c:pt>
                <c:pt idx="24">
                  <c:v>74.0</c:v>
                </c:pt>
                <c:pt idx="25">
                  <c:v>77.0</c:v>
                </c:pt>
                <c:pt idx="26">
                  <c:v>109.0</c:v>
                </c:pt>
                <c:pt idx="27">
                  <c:v>110.0</c:v>
                </c:pt>
                <c:pt idx="28">
                  <c:v>144.0</c:v>
                </c:pt>
                <c:pt idx="29">
                  <c:v>180.0</c:v>
                </c:pt>
                <c:pt idx="30">
                  <c:v>204.0</c:v>
                </c:pt>
                <c:pt idx="31">
                  <c:v>208.0</c:v>
                </c:pt>
                <c:pt idx="32">
                  <c:v>228.0</c:v>
                </c:pt>
                <c:pt idx="33">
                  <c:v>263.0</c:v>
                </c:pt>
              </c:numCache>
            </c:numRef>
          </c:cat>
          <c:val>
            <c:numRef>
              <c:f>'ICL3'!$H$7:$H$40</c:f>
              <c:numCache>
                <c:formatCode>General</c:formatCode>
                <c:ptCount val="34"/>
                <c:pt idx="0">
                  <c:v>28.0</c:v>
                </c:pt>
                <c:pt idx="1">
                  <c:v>29.0</c:v>
                </c:pt>
                <c:pt idx="2">
                  <c:v>28.0</c:v>
                </c:pt>
                <c:pt idx="3">
                  <c:v>28.0</c:v>
                </c:pt>
                <c:pt idx="4">
                  <c:v>26.0</c:v>
                </c:pt>
                <c:pt idx="5">
                  <c:v>28.0</c:v>
                </c:pt>
                <c:pt idx="6">
                  <c:v>24.0</c:v>
                </c:pt>
                <c:pt idx="7">
                  <c:v>28.0</c:v>
                </c:pt>
                <c:pt idx="8">
                  <c:v>29.0</c:v>
                </c:pt>
                <c:pt idx="9">
                  <c:v>28.0</c:v>
                </c:pt>
                <c:pt idx="10">
                  <c:v>29.0</c:v>
                </c:pt>
                <c:pt idx="11">
                  <c:v>30.0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23.0</c:v>
                </c:pt>
                <c:pt idx="17">
                  <c:v>24.0</c:v>
                </c:pt>
                <c:pt idx="18">
                  <c:v>24.0</c:v>
                </c:pt>
                <c:pt idx="19">
                  <c:v>24.0</c:v>
                </c:pt>
                <c:pt idx="20">
                  <c:v>22.0</c:v>
                </c:pt>
                <c:pt idx="21">
                  <c:v>24.0</c:v>
                </c:pt>
                <c:pt idx="22">
                  <c:v>24.0</c:v>
                </c:pt>
                <c:pt idx="23">
                  <c:v>21.0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  <c:pt idx="32">
                  <c:v>24.0</c:v>
                </c:pt>
                <c:pt idx="33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7291952"/>
        <c:axId val="1857285696"/>
      </c:lineChart>
      <c:catAx>
        <c:axId val="185729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285696"/>
        <c:crosses val="autoZero"/>
        <c:auto val="1"/>
        <c:lblAlgn val="ctr"/>
        <c:lblOffset val="100"/>
        <c:noMultiLvlLbl val="0"/>
      </c:catAx>
      <c:valAx>
        <c:axId val="185728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729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18</xdr:row>
      <xdr:rowOff>69227</xdr:rowOff>
    </xdr:from>
    <xdr:to>
      <xdr:col>24</xdr:col>
      <xdr:colOff>274744</xdr:colOff>
      <xdr:row>38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O289"/>
  <sheetViews>
    <sheetView tabSelected="1" zoomScale="110" zoomScaleNormal="110" zoomScalePageLayoutView="110" workbookViewId="0">
      <pane xSplit="3" ySplit="1" topLeftCell="D80" activePane="bottomRight" state="frozenSplit"/>
      <selection pane="topRight" activeCell="D1" sqref="D1"/>
      <selection pane="bottomLeft" activeCell="A2" sqref="A2"/>
      <selection pane="bottomRight" activeCell="BE99" sqref="BE99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4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4.1640625" style="3" bestFit="1" customWidth="1"/>
    <col min="10" max="10" width="2.5" style="3" bestFit="1" customWidth="1"/>
    <col min="11" max="11" width="4.1640625" style="3" bestFit="1" customWidth="1"/>
    <col min="12" max="12" width="2.5" style="3" bestFit="1" customWidth="1"/>
    <col min="13" max="13" width="4.33203125" style="3" bestFit="1" customWidth="1"/>
    <col min="14" max="14" width="2.83203125" style="3" bestFit="1" customWidth="1"/>
    <col min="15" max="15" width="4.33203125" style="3" bestFit="1" customWidth="1"/>
    <col min="16" max="16" width="2.83203125" style="3" bestFit="1" customWidth="1"/>
    <col min="17" max="17" width="4.33203125" style="3" customWidth="1"/>
    <col min="18" max="18" width="2.83203125" style="3" bestFit="1" customWidth="1"/>
    <col min="19" max="19" width="4.33203125" style="3" bestFit="1" customWidth="1"/>
    <col min="20" max="20" width="2.5" style="3" bestFit="1" customWidth="1"/>
    <col min="21" max="21" width="4.33203125" style="3" bestFit="1" customWidth="1"/>
    <col min="22" max="22" width="2.83203125" style="3" bestFit="1" customWidth="1"/>
    <col min="23" max="23" width="4.33203125" style="3" bestFit="1" customWidth="1"/>
    <col min="24" max="24" width="2.83203125" style="3" bestFit="1" customWidth="1"/>
    <col min="25" max="25" width="4.33203125" style="3" bestFit="1" customWidth="1"/>
    <col min="26" max="26" width="2.83203125" style="3" bestFit="1" customWidth="1"/>
    <col min="27" max="27" width="4.33203125" style="3" bestFit="1" customWidth="1"/>
    <col min="28" max="28" width="2.83203125" style="3" bestFit="1" customWidth="1"/>
    <col min="29" max="29" width="4.33203125" style="9" bestFit="1" customWidth="1"/>
    <col min="30" max="30" width="2.83203125" style="3" bestFit="1" customWidth="1"/>
    <col min="31" max="31" width="4.33203125" style="3" bestFit="1" customWidth="1"/>
    <col min="32" max="32" width="2.1640625" style="3" bestFit="1" customWidth="1"/>
    <col min="33" max="33" width="4.33203125" style="3" bestFit="1" customWidth="1"/>
    <col min="34" max="34" width="2.33203125" style="3" bestFit="1" customWidth="1"/>
    <col min="35" max="35" width="4.33203125" style="3" bestFit="1" customWidth="1"/>
    <col min="36" max="36" width="2.83203125" style="3" bestFit="1" customWidth="1"/>
    <col min="37" max="37" width="4.33203125" style="3" bestFit="1" customWidth="1"/>
    <col min="38" max="38" width="2.83203125" style="3" bestFit="1" customWidth="1"/>
    <col min="39" max="39" width="4.33203125" style="3" bestFit="1" customWidth="1"/>
    <col min="40" max="40" width="2.83203125" style="3" bestFit="1" customWidth="1"/>
    <col min="41" max="41" width="4.33203125" style="3" bestFit="1" customWidth="1"/>
    <col min="42" max="42" width="2.5" style="3" bestFit="1" customWidth="1"/>
    <col min="43" max="43" width="4.33203125" style="3" bestFit="1" customWidth="1"/>
    <col min="44" max="44" width="2.83203125" style="3" bestFit="1" customWidth="1"/>
    <col min="45" max="45" width="4.33203125" style="3" customWidth="1"/>
    <col min="46" max="46" width="2.83203125" style="3" bestFit="1" customWidth="1"/>
    <col min="47" max="47" width="4.33203125" style="3" bestFit="1" customWidth="1"/>
    <col min="48" max="48" width="2.33203125" style="3" bestFit="1" customWidth="1"/>
    <col min="49" max="49" width="4.33203125" style="3" bestFit="1" customWidth="1"/>
    <col min="50" max="50" width="2.83203125" style="3" bestFit="1" customWidth="1"/>
    <col min="51" max="51" width="4.33203125" style="3" bestFit="1" customWidth="1"/>
    <col min="52" max="52" width="3.1640625" style="80" bestFit="1" customWidth="1"/>
    <col min="53" max="53" width="3.1640625" style="96" customWidth="1"/>
    <col min="54" max="54" width="6.6640625" style="76" customWidth="1"/>
    <col min="55" max="55" width="5" style="3" bestFit="1" customWidth="1"/>
    <col min="56" max="56" width="8.1640625" style="76" bestFit="1" customWidth="1"/>
    <col min="57" max="57" width="5.6640625" style="3" customWidth="1"/>
    <col min="58" max="59" width="5.6640625" style="50" customWidth="1"/>
    <col min="60" max="60" width="8.5" style="3" customWidth="1"/>
    <col min="61" max="61" width="3.1640625" style="77" bestFit="1" customWidth="1"/>
    <col min="62" max="62" width="3.6640625" style="58" bestFit="1" customWidth="1"/>
    <col min="63" max="63" width="3.1640625" style="58" bestFit="1" customWidth="1"/>
    <col min="64" max="64" width="4.1640625" style="58" bestFit="1" customWidth="1"/>
    <col min="65" max="65" width="3.1640625" style="58" bestFit="1" customWidth="1"/>
    <col min="66" max="66" width="3.6640625" style="58" bestFit="1" customWidth="1"/>
    <col min="67" max="67" width="3.1640625" style="58" bestFit="1" customWidth="1"/>
    <col min="68" max="68" width="4.1640625" style="58" bestFit="1" customWidth="1"/>
    <col min="69" max="71" width="3.1640625" style="58" bestFit="1" customWidth="1"/>
    <col min="72" max="72" width="3.1640625" style="74" bestFit="1" customWidth="1"/>
    <col min="73" max="73" width="4.1640625" style="77" bestFit="1" customWidth="1"/>
    <col min="74" max="84" width="4.1640625" style="74" bestFit="1" customWidth="1"/>
    <col min="85" max="85" width="4.1640625" style="77" bestFit="1" customWidth="1"/>
    <col min="86" max="96" width="4.1640625" style="74" bestFit="1" customWidth="1"/>
    <col min="97" max="97" width="8.1640625" style="3" bestFit="1" customWidth="1"/>
    <col min="98" max="1028" width="8.83203125" style="3"/>
    <col min="1029" max="16384" width="8.83203125" style="1"/>
  </cols>
  <sheetData>
    <row r="1" spans="1:1028" s="63" customFormat="1" ht="16" customHeight="1" x14ac:dyDescent="0.2">
      <c r="A1" s="63" t="s">
        <v>1077</v>
      </c>
      <c r="B1" s="63" t="s">
        <v>31</v>
      </c>
      <c r="C1" s="63" t="s">
        <v>30</v>
      </c>
      <c r="E1" s="63" t="s">
        <v>1061</v>
      </c>
      <c r="G1" s="63" t="s">
        <v>1062</v>
      </c>
      <c r="I1" s="64" t="s">
        <v>1078</v>
      </c>
      <c r="K1" s="64" t="s">
        <v>1079</v>
      </c>
      <c r="M1" s="63" t="s">
        <v>1063</v>
      </c>
      <c r="O1" s="63" t="s">
        <v>1064</v>
      </c>
      <c r="Q1" s="63" t="s">
        <v>1080</v>
      </c>
      <c r="S1" s="63" t="s">
        <v>1081</v>
      </c>
      <c r="U1" s="63" t="s">
        <v>1065</v>
      </c>
      <c r="W1" s="63" t="s">
        <v>1066</v>
      </c>
      <c r="Y1" s="63" t="s">
        <v>1093</v>
      </c>
      <c r="AA1" s="63" t="s">
        <v>1094</v>
      </c>
      <c r="AC1" s="107" t="s">
        <v>1067</v>
      </c>
      <c r="AE1" s="63" t="s">
        <v>1068</v>
      </c>
      <c r="AG1" s="63" t="s">
        <v>1096</v>
      </c>
      <c r="AI1" s="63" t="s">
        <v>1097</v>
      </c>
      <c r="AK1" s="63" t="s">
        <v>1069</v>
      </c>
      <c r="AM1" s="63" t="s">
        <v>1070</v>
      </c>
      <c r="AO1" s="63" t="s">
        <v>1071</v>
      </c>
      <c r="AQ1" s="63" t="s">
        <v>1072</v>
      </c>
      <c r="AS1" s="63" t="s">
        <v>1073</v>
      </c>
      <c r="AU1" s="63" t="s">
        <v>1074</v>
      </c>
      <c r="AW1" s="63" t="s">
        <v>1075</v>
      </c>
      <c r="AY1" s="63" t="s">
        <v>1076</v>
      </c>
      <c r="AZ1" s="65" t="s">
        <v>99</v>
      </c>
      <c r="BA1" s="66" t="s">
        <v>1387</v>
      </c>
      <c r="BB1" s="66" t="s">
        <v>1203</v>
      </c>
      <c r="BC1" s="63" t="s">
        <v>1168</v>
      </c>
      <c r="BD1" s="66" t="s">
        <v>1100</v>
      </c>
      <c r="BE1" s="63" t="s">
        <v>1380</v>
      </c>
      <c r="BF1" s="78" t="s">
        <v>1388</v>
      </c>
      <c r="BG1" s="78" t="s">
        <v>1389</v>
      </c>
      <c r="BH1" s="63" t="s">
        <v>1108</v>
      </c>
      <c r="BI1" s="67" t="s">
        <v>1061</v>
      </c>
      <c r="BJ1" s="68" t="s">
        <v>1078</v>
      </c>
      <c r="BK1" s="69" t="s">
        <v>1063</v>
      </c>
      <c r="BL1" s="69" t="s">
        <v>1080</v>
      </c>
      <c r="BM1" s="69" t="s">
        <v>1065</v>
      </c>
      <c r="BN1" s="69" t="s">
        <v>1093</v>
      </c>
      <c r="BO1" s="69" t="s">
        <v>1067</v>
      </c>
      <c r="BP1" s="69" t="s">
        <v>1096</v>
      </c>
      <c r="BQ1" s="69" t="s">
        <v>1069</v>
      </c>
      <c r="BR1" s="69" t="s">
        <v>1071</v>
      </c>
      <c r="BS1" s="69" t="s">
        <v>1073</v>
      </c>
      <c r="BT1" s="70" t="s">
        <v>1075</v>
      </c>
      <c r="BU1" s="67" t="s">
        <v>1061</v>
      </c>
      <c r="BV1" s="71" t="s">
        <v>1078</v>
      </c>
      <c r="BW1" s="70" t="s">
        <v>1063</v>
      </c>
      <c r="BX1" s="70" t="s">
        <v>1080</v>
      </c>
      <c r="BY1" s="70" t="s">
        <v>1065</v>
      </c>
      <c r="BZ1" s="70" t="s">
        <v>1093</v>
      </c>
      <c r="CA1" s="70" t="s">
        <v>1067</v>
      </c>
      <c r="CB1" s="70" t="s">
        <v>1096</v>
      </c>
      <c r="CC1" s="70" t="s">
        <v>1069</v>
      </c>
      <c r="CD1" s="70" t="s">
        <v>1071</v>
      </c>
      <c r="CE1" s="70" t="s">
        <v>1073</v>
      </c>
      <c r="CF1" s="70" t="s">
        <v>1075</v>
      </c>
      <c r="CG1" s="67" t="s">
        <v>1062</v>
      </c>
      <c r="CH1" s="71" t="s">
        <v>1079</v>
      </c>
      <c r="CI1" s="70" t="s">
        <v>1064</v>
      </c>
      <c r="CJ1" s="70" t="s">
        <v>1081</v>
      </c>
      <c r="CK1" s="70" t="s">
        <v>1066</v>
      </c>
      <c r="CL1" s="70" t="s">
        <v>1094</v>
      </c>
      <c r="CM1" s="70" t="s">
        <v>1068</v>
      </c>
      <c r="CN1" s="70" t="s">
        <v>1097</v>
      </c>
      <c r="CO1" s="70" t="s">
        <v>1070</v>
      </c>
      <c r="CP1" s="70" t="s">
        <v>1072</v>
      </c>
      <c r="CQ1" s="70" t="s">
        <v>1074</v>
      </c>
      <c r="CR1" s="70" t="s">
        <v>1076</v>
      </c>
      <c r="CS1" s="63" t="s">
        <v>1294</v>
      </c>
    </row>
    <row r="2" spans="1:1028" x14ac:dyDescent="0.2">
      <c r="A2" s="3" t="str">
        <f t="shared" ref="A2:A38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L</v>
      </c>
      <c r="E2" s="3">
        <v>46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T</v>
      </c>
      <c r="O2" s="3">
        <v>112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9" t="str">
        <f>VLOOKUP(B2,Classification!A:D,2,0)</f>
        <v>A</v>
      </c>
      <c r="BA2" s="97" t="str">
        <f>VLOOKUP(B2,Classification!A:D,4,0)</f>
        <v>5-Hydroxytryptamine</v>
      </c>
      <c r="BB2" s="27" t="b">
        <f t="shared" ref="BB2:BB38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22" si="2">_xlfn.AGGREGATE(9,6,CG2:CR2)-_xlfn.AGGREGATE(9,6,BU2:CF2)+12</f>
        <v>259</v>
      </c>
      <c r="BD2" s="35" t="s">
        <v>1379</v>
      </c>
      <c r="BE2" s="3" t="s">
        <v>1381</v>
      </c>
      <c r="BF2" s="50" t="s">
        <v>1379</v>
      </c>
      <c r="BG2" s="50" t="s">
        <v>1384</v>
      </c>
      <c r="BH2" s="1"/>
      <c r="BI2" s="72" t="s">
        <v>1293</v>
      </c>
      <c r="BJ2" s="58" t="s">
        <v>1293</v>
      </c>
      <c r="BK2" s="58" t="s">
        <v>1293</v>
      </c>
      <c r="BL2" s="58" t="s">
        <v>1293</v>
      </c>
      <c r="BM2" s="58" t="s">
        <v>1293</v>
      </c>
      <c r="BN2" s="58" t="s">
        <v>1293</v>
      </c>
      <c r="BO2" s="58" t="s">
        <v>1293</v>
      </c>
      <c r="BP2" s="58" t="s">
        <v>1293</v>
      </c>
      <c r="BQ2" s="58" t="s">
        <v>1293</v>
      </c>
      <c r="BR2" s="58" t="s">
        <v>1293</v>
      </c>
      <c r="BS2" s="58" t="s">
        <v>1293</v>
      </c>
      <c r="BT2" s="58" t="s">
        <v>1293</v>
      </c>
      <c r="BU2" s="72">
        <f t="shared" ref="BU2:BU22" si="3">E2</f>
        <v>46</v>
      </c>
      <c r="BV2" s="73">
        <f t="shared" ref="BV2:BV22" si="4">I2</f>
        <v>78</v>
      </c>
      <c r="BW2" s="74">
        <f t="shared" ref="BW2:BW22" si="5">M2</f>
        <v>82</v>
      </c>
      <c r="BX2" s="73">
        <f t="shared" ref="BX2:BX22" si="6">Q2</f>
        <v>114</v>
      </c>
      <c r="BY2" s="74">
        <f t="shared" ref="BY2:BY22" si="7">U2</f>
        <v>118</v>
      </c>
      <c r="BZ2" s="73">
        <f t="shared" ref="BZ2:BZ22" si="8">Y2</f>
        <v>154</v>
      </c>
      <c r="CA2" s="74">
        <f t="shared" ref="CA2:CA22" si="9">AC2</f>
        <v>162</v>
      </c>
      <c r="CB2" s="73">
        <f t="shared" ref="CB2:CB22" si="10">AG2</f>
        <v>199</v>
      </c>
      <c r="CC2" s="74">
        <f t="shared" ref="CC2:CC22" si="11">AK2</f>
        <v>205</v>
      </c>
      <c r="CD2" s="73">
        <f t="shared" ref="CD2:CD22" si="12">AO2</f>
        <v>303</v>
      </c>
      <c r="CE2" s="74">
        <f t="shared" ref="CE2:CE22" si="13">AS2</f>
        <v>347</v>
      </c>
      <c r="CF2" s="73">
        <f t="shared" ref="CF2:CF22" si="14">AW2</f>
        <v>373</v>
      </c>
      <c r="CG2" s="72">
        <f t="shared" ref="CG2:CG22" si="15">G2</f>
        <v>77</v>
      </c>
      <c r="CH2" s="73">
        <f t="shared" ref="CH2:CH22" si="16">K2</f>
        <v>81</v>
      </c>
      <c r="CI2" s="74">
        <f t="shared" ref="CI2:CI22" si="17">O2</f>
        <v>112</v>
      </c>
      <c r="CJ2" s="74">
        <f t="shared" ref="CJ2:CJ22" si="18">S2</f>
        <v>117</v>
      </c>
      <c r="CK2" s="74">
        <f t="shared" ref="CK2:CK22" si="19">W2</f>
        <v>153</v>
      </c>
      <c r="CL2" s="74">
        <f t="shared" ref="CL2:CL22" si="20">AA2</f>
        <v>161</v>
      </c>
      <c r="CM2" s="74">
        <f t="shared" ref="CM2:CM22" si="21">AE2</f>
        <v>187</v>
      </c>
      <c r="CN2" s="74">
        <f t="shared" ref="CN2:CN22" si="22">AI2</f>
        <v>201</v>
      </c>
      <c r="CO2" s="74">
        <f t="shared" ref="CO2:CO22" si="23">AM2</f>
        <v>244</v>
      </c>
      <c r="CP2" s="74">
        <f t="shared" ref="CP2:CP22" si="24">AQ2</f>
        <v>339</v>
      </c>
      <c r="CQ2" s="74">
        <f t="shared" ref="CQ2:CQ22" si="25">AU2</f>
        <v>372</v>
      </c>
      <c r="CR2" s="74">
        <f t="shared" ref="CR2:CR22" si="26">AY2</f>
        <v>384</v>
      </c>
      <c r="CS2" s="23">
        <f t="shared" ref="CS2:CS22" si="27">M2-K2</f>
        <v>1</v>
      </c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</row>
    <row r="3" spans="1:1028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L</v>
      </c>
      <c r="E3" s="3">
        <v>46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T</v>
      </c>
      <c r="O3" s="3">
        <v>112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L</v>
      </c>
      <c r="AS3" s="3">
        <v>348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9" t="str">
        <f>VLOOKUP(B3,Classification!A:D,2,0)</f>
        <v>A</v>
      </c>
      <c r="BA3" s="97" t="str">
        <f>VLOOKUP(B3,Classification!A:D,4,0)</f>
        <v>5-Hydroxytryptamine</v>
      </c>
      <c r="BB3" s="27" t="b">
        <f t="shared" si="1"/>
        <v>1</v>
      </c>
      <c r="BC3" s="23">
        <f t="shared" si="2"/>
        <v>248</v>
      </c>
      <c r="BD3" s="16" t="s">
        <v>1383</v>
      </c>
      <c r="BE3" s="3" t="s">
        <v>1381</v>
      </c>
      <c r="BF3" s="50" t="s">
        <v>1384</v>
      </c>
      <c r="BG3" s="50" t="s">
        <v>1384</v>
      </c>
      <c r="BH3" s="1"/>
      <c r="BI3" s="72" t="s">
        <v>1293</v>
      </c>
      <c r="BJ3" s="58" t="s">
        <v>1293</v>
      </c>
      <c r="BK3" s="58" t="s">
        <v>1293</v>
      </c>
      <c r="BL3" s="58" t="s">
        <v>1293</v>
      </c>
      <c r="BM3" s="58" t="s">
        <v>1293</v>
      </c>
      <c r="BN3" s="58" t="s">
        <v>1293</v>
      </c>
      <c r="BO3" s="58" t="s">
        <v>1293</v>
      </c>
      <c r="BP3" s="58" t="s">
        <v>1293</v>
      </c>
      <c r="BQ3" s="58" t="s">
        <v>1293</v>
      </c>
      <c r="BR3" s="58" t="s">
        <v>1293</v>
      </c>
      <c r="BS3" s="58" t="s">
        <v>1293</v>
      </c>
      <c r="BT3" s="58" t="s">
        <v>1293</v>
      </c>
      <c r="BU3" s="72">
        <f t="shared" si="3"/>
        <v>46</v>
      </c>
      <c r="BV3" s="73">
        <f t="shared" si="4"/>
        <v>78</v>
      </c>
      <c r="BW3" s="74">
        <f t="shared" si="5"/>
        <v>82</v>
      </c>
      <c r="BX3" s="73">
        <f t="shared" si="6"/>
        <v>114</v>
      </c>
      <c r="BY3" s="74">
        <f t="shared" si="7"/>
        <v>118</v>
      </c>
      <c r="BZ3" s="73">
        <f t="shared" si="8"/>
        <v>154</v>
      </c>
      <c r="CA3" s="74">
        <f t="shared" si="9"/>
        <v>162</v>
      </c>
      <c r="CB3" s="73">
        <f t="shared" si="10"/>
        <v>199</v>
      </c>
      <c r="CC3" s="74">
        <f t="shared" si="11"/>
        <v>205</v>
      </c>
      <c r="CD3" s="73">
        <f t="shared" si="12"/>
        <v>304</v>
      </c>
      <c r="CE3" s="74">
        <f t="shared" si="13"/>
        <v>348</v>
      </c>
      <c r="CF3" s="73">
        <f t="shared" si="14"/>
        <v>373</v>
      </c>
      <c r="CG3" s="72">
        <f t="shared" si="15"/>
        <v>77</v>
      </c>
      <c r="CH3" s="73">
        <f t="shared" si="16"/>
        <v>81</v>
      </c>
      <c r="CI3" s="74">
        <f t="shared" si="17"/>
        <v>112</v>
      </c>
      <c r="CJ3" s="74">
        <f t="shared" si="18"/>
        <v>117</v>
      </c>
      <c r="CK3" s="74">
        <f t="shared" si="19"/>
        <v>153</v>
      </c>
      <c r="CL3" s="74">
        <f t="shared" si="20"/>
        <v>161</v>
      </c>
      <c r="CM3" s="74">
        <f t="shared" si="21"/>
        <v>184</v>
      </c>
      <c r="CN3" s="74">
        <f t="shared" si="22"/>
        <v>201</v>
      </c>
      <c r="CO3" s="74">
        <f t="shared" si="23"/>
        <v>238</v>
      </c>
      <c r="CP3" s="74">
        <f t="shared" si="24"/>
        <v>339</v>
      </c>
      <c r="CQ3" s="74">
        <f t="shared" si="25"/>
        <v>372</v>
      </c>
      <c r="CR3" s="74">
        <f t="shared" si="26"/>
        <v>384</v>
      </c>
      <c r="CS3" s="23">
        <f t="shared" si="27"/>
        <v>1</v>
      </c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</row>
    <row r="4" spans="1:1028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L</v>
      </c>
      <c r="E4" s="3">
        <v>46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T</v>
      </c>
      <c r="O4" s="3">
        <v>112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9" t="str">
        <f>VLOOKUP(B4,Classification!A:D,2,0)</f>
        <v>A</v>
      </c>
      <c r="BA4" s="97" t="str">
        <f>VLOOKUP(B4,Classification!A:D,4,0)</f>
        <v>5-Hydroxytryptamine</v>
      </c>
      <c r="BB4" s="27" t="b">
        <f t="shared" si="1"/>
        <v>1</v>
      </c>
      <c r="BC4" s="23">
        <f t="shared" si="2"/>
        <v>243</v>
      </c>
      <c r="BD4" s="4" t="s">
        <v>23</v>
      </c>
      <c r="BE4" s="3" t="s">
        <v>1381</v>
      </c>
      <c r="BF4" s="50" t="s">
        <v>1384</v>
      </c>
      <c r="BG4" s="50" t="s">
        <v>1384</v>
      </c>
      <c r="BH4" s="1"/>
      <c r="BI4" s="72" t="s">
        <v>1293</v>
      </c>
      <c r="BJ4" s="58" t="s">
        <v>1293</v>
      </c>
      <c r="BK4" s="58" t="s">
        <v>1293</v>
      </c>
      <c r="BL4" s="58" t="s">
        <v>1293</v>
      </c>
      <c r="BM4" s="58" t="s">
        <v>1293</v>
      </c>
      <c r="BN4" s="58" t="s">
        <v>1293</v>
      </c>
      <c r="BO4" s="58" t="s">
        <v>1293</v>
      </c>
      <c r="BP4" s="58" t="s">
        <v>1293</v>
      </c>
      <c r="BQ4" s="58" t="s">
        <v>1293</v>
      </c>
      <c r="BR4" s="58" t="s">
        <v>1293</v>
      </c>
      <c r="BS4" s="58" t="s">
        <v>1293</v>
      </c>
      <c r="BT4" s="58" t="s">
        <v>1293</v>
      </c>
      <c r="BU4" s="72">
        <f t="shared" si="3"/>
        <v>46</v>
      </c>
      <c r="BV4" s="73">
        <f t="shared" si="4"/>
        <v>78</v>
      </c>
      <c r="BW4" s="74">
        <f t="shared" si="5"/>
        <v>82</v>
      </c>
      <c r="BX4" s="73">
        <f t="shared" si="6"/>
        <v>114</v>
      </c>
      <c r="BY4" s="74">
        <f t="shared" si="7"/>
        <v>118</v>
      </c>
      <c r="BZ4" s="73">
        <f t="shared" si="8"/>
        <v>154</v>
      </c>
      <c r="CA4" s="74">
        <f t="shared" si="9"/>
        <v>162</v>
      </c>
      <c r="CB4" s="73">
        <f t="shared" si="10"/>
        <v>199</v>
      </c>
      <c r="CC4" s="74">
        <f t="shared" si="11"/>
        <v>205</v>
      </c>
      <c r="CD4" s="73">
        <f t="shared" si="12"/>
        <v>310</v>
      </c>
      <c r="CE4" s="74">
        <f t="shared" si="13"/>
        <v>347</v>
      </c>
      <c r="CF4" s="73">
        <f t="shared" si="14"/>
        <v>373</v>
      </c>
      <c r="CG4" s="72">
        <f t="shared" si="15"/>
        <v>77</v>
      </c>
      <c r="CH4" s="73">
        <f t="shared" si="16"/>
        <v>81</v>
      </c>
      <c r="CI4" s="74">
        <f t="shared" si="17"/>
        <v>112</v>
      </c>
      <c r="CJ4" s="74">
        <f t="shared" si="18"/>
        <v>117</v>
      </c>
      <c r="CK4" s="74">
        <f t="shared" si="19"/>
        <v>153</v>
      </c>
      <c r="CL4" s="74">
        <f t="shared" si="20"/>
        <v>161</v>
      </c>
      <c r="CM4" s="74">
        <f t="shared" si="21"/>
        <v>184</v>
      </c>
      <c r="CN4" s="74">
        <f t="shared" si="22"/>
        <v>201</v>
      </c>
      <c r="CO4" s="74">
        <f t="shared" si="23"/>
        <v>239</v>
      </c>
      <c r="CP4" s="74">
        <f t="shared" si="24"/>
        <v>339</v>
      </c>
      <c r="CQ4" s="74">
        <f t="shared" si="25"/>
        <v>371</v>
      </c>
      <c r="CR4" s="74">
        <f t="shared" si="26"/>
        <v>384</v>
      </c>
      <c r="CS4" s="23">
        <f t="shared" si="27"/>
        <v>1</v>
      </c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</row>
    <row r="5" spans="1:1028" x14ac:dyDescent="0.2">
      <c r="A5" s="3" t="str">
        <f t="shared" si="0"/>
        <v>5ht2b_human__wt</v>
      </c>
      <c r="B5" s="3" t="s">
        <v>35</v>
      </c>
      <c r="C5" s="3" t="s">
        <v>100</v>
      </c>
      <c r="D5" s="3" t="str">
        <f>IFERROR(MID(VLOOKUP($B5,Seqs!$A:$B,2,0),E5,1),"")</f>
        <v>L</v>
      </c>
      <c r="E5" s="3">
        <v>54</v>
      </c>
      <c r="F5" s="3" t="str">
        <f>IFERROR(MID(VLOOKUP($B5,Seqs!$A:$B,2,0),G5,1),"")</f>
        <v>E</v>
      </c>
      <c r="G5" s="3">
        <v>82</v>
      </c>
      <c r="H5" s="3" t="str">
        <f>IFERROR(MID(VLOOKUP($B5,Seqs!$A:$B,2,0),I5,1),"")</f>
        <v>K</v>
      </c>
      <c r="I5" s="23">
        <v>83</v>
      </c>
      <c r="J5" s="3" t="str">
        <f>IFERROR(MID(VLOOKUP($B5,Seqs!$A:$B,2,0),K5,1),"")</f>
        <v>Q</v>
      </c>
      <c r="K5" s="23">
        <v>86</v>
      </c>
      <c r="L5" s="3" t="str">
        <f>IFERROR(MID(VLOOKUP($B5,Seqs!$A:$B,2,0),M5,1),"")</f>
        <v>Y</v>
      </c>
      <c r="M5" s="3">
        <v>87</v>
      </c>
      <c r="N5" s="3" t="str">
        <f>IFERROR(MID(VLOOKUP($B5,Seqs!$A:$B,2,0),O5,1),"")</f>
        <v>F</v>
      </c>
      <c r="O5" s="3">
        <v>117</v>
      </c>
      <c r="P5" s="3" t="str">
        <f>IFERROR(MID(VLOOKUP($B5,Seqs!$A:$B,2,0),Q5,1),"")</f>
        <v>M</v>
      </c>
      <c r="Q5" s="3">
        <v>120</v>
      </c>
      <c r="R5" s="3" t="str">
        <f>IFERROR(MID(VLOOKUP($B5,Seqs!$A:$B,2,0),S5,1),"")</f>
        <v>L</v>
      </c>
      <c r="S5" s="3">
        <v>123</v>
      </c>
      <c r="T5" s="3" t="str">
        <f>IFERROR(MID(VLOOKUP($B5,Seqs!$A:$B,2,0),U5,1),"")</f>
        <v>P</v>
      </c>
      <c r="U5" s="3">
        <v>124</v>
      </c>
      <c r="V5" s="3" t="str">
        <f>IFERROR(MID(VLOOKUP($B5,Seqs!$A:$B,2,0),W5,1),"")</f>
        <v>K</v>
      </c>
      <c r="W5" s="3">
        <v>159</v>
      </c>
      <c r="X5" s="3" t="str">
        <f>IFERROR(MID(VLOOKUP($B5,Seqs!$A:$B,2,0),Y5,1),"")</f>
        <v>P</v>
      </c>
      <c r="Y5" s="3">
        <v>160</v>
      </c>
      <c r="Z5" s="3" t="str">
        <f>IFERROR(MID(VLOOKUP($B5,Seqs!$A:$B,2,0),AA5,1),"")</f>
        <v>N</v>
      </c>
      <c r="AA5" s="3">
        <v>167</v>
      </c>
      <c r="AB5" s="3" t="str">
        <f>IFERROR(MID(VLOOKUP($B5,Seqs!$A:$B,2,0),AC5,1),"")</f>
        <v>S</v>
      </c>
      <c r="AC5" s="9">
        <v>168</v>
      </c>
      <c r="AD5" s="3" t="str">
        <f>IFERROR(MID(VLOOKUP($B5,Seqs!$A:$B,2,0),AE5,1),"")</f>
        <v>G</v>
      </c>
      <c r="AE5" s="3">
        <v>194</v>
      </c>
      <c r="AF5" s="3" t="str">
        <f>IFERROR(MID(VLOOKUP($B5,Seqs!$A:$B,2,0),AG5,1),"")</f>
        <v>C</v>
      </c>
      <c r="AG5" s="3">
        <v>207</v>
      </c>
      <c r="AH5" s="3" t="str">
        <f>IFERROR(MID(VLOOKUP($B5,Seqs!$A:$B,2,0),AI5,1),"")</f>
        <v>L</v>
      </c>
      <c r="AI5" s="3">
        <v>209</v>
      </c>
      <c r="AJ5" s="3" t="str">
        <f>IFERROR(MID(VLOOKUP($B5,Seqs!$A:$B,2,0),AK5,1),"")</f>
        <v>F</v>
      </c>
      <c r="AK5" s="3">
        <v>214</v>
      </c>
      <c r="AL5" s="3" t="str">
        <f>IFERROR(MID(VLOOKUP($B5,Seqs!$A:$B,2,0),AM5,1),"")</f>
        <v>P</v>
      </c>
      <c r="AM5" s="3">
        <v>255</v>
      </c>
      <c r="AN5" s="3" t="str">
        <f>IFERROR(MID(VLOOKUP($B5,Seqs!$A:$B,2,0),AO5,1),"")</f>
        <v>V</v>
      </c>
      <c r="AO5" s="3">
        <v>313</v>
      </c>
      <c r="AP5" s="3" t="str">
        <f>IFERROR(MID(VLOOKUP($B5,Seqs!$A:$B,2,0),AQ5,1),"")</f>
        <v>C</v>
      </c>
      <c r="AQ5" s="3">
        <v>350</v>
      </c>
      <c r="AR5" s="3" t="str">
        <f>IFERROR(MID(VLOOKUP($B5,Seqs!$A:$B,2,0),AS5,1),"")</f>
        <v>Q</v>
      </c>
      <c r="AS5" s="3">
        <v>355</v>
      </c>
      <c r="AT5" s="3" t="str">
        <f>IFERROR(MID(VLOOKUP($B5,Seqs!$A:$B,2,0),AU5,1),"")</f>
        <v>F</v>
      </c>
      <c r="AU5" s="3">
        <v>383</v>
      </c>
      <c r="AV5" s="3" t="str">
        <f>IFERROR(MID(VLOOKUP($B5,Seqs!$A:$B,2,0),AW5,1),"")</f>
        <v>N</v>
      </c>
      <c r="AW5" s="3">
        <v>384</v>
      </c>
      <c r="AX5" s="3" t="str">
        <f>IFERROR(MID(VLOOKUP($B5,Seqs!$A:$B,2,0),AY5,1),"")</f>
        <v>I</v>
      </c>
      <c r="AY5" s="3">
        <v>395</v>
      </c>
      <c r="AZ5" s="79" t="str">
        <f>VLOOKUP(B5,Classification!A:D,2,0)</f>
        <v>A</v>
      </c>
      <c r="BA5" s="97" t="str">
        <f>VLOOKUP(B5,Classification!A:D,4,0)</f>
        <v>5-Hydroxytryptamine</v>
      </c>
      <c r="BB5" s="27" t="b">
        <f t="shared" si="1"/>
        <v>1</v>
      </c>
      <c r="BC5" s="23">
        <f t="shared" si="2"/>
        <v>263</v>
      </c>
      <c r="BD5" s="93" t="s">
        <v>1379</v>
      </c>
      <c r="BE5" s="3" t="s">
        <v>1381</v>
      </c>
      <c r="BF5" s="50" t="s">
        <v>1379</v>
      </c>
      <c r="BG5" s="50" t="s">
        <v>1384</v>
      </c>
      <c r="BH5" s="1"/>
      <c r="BI5" s="72" t="s">
        <v>1293</v>
      </c>
      <c r="BJ5" s="58" t="s">
        <v>1293</v>
      </c>
      <c r="BK5" s="58" t="s">
        <v>1293</v>
      </c>
      <c r="BL5" s="58" t="s">
        <v>1293</v>
      </c>
      <c r="BM5" s="58" t="s">
        <v>1293</v>
      </c>
      <c r="BN5" s="58" t="s">
        <v>1293</v>
      </c>
      <c r="BO5" s="58" t="s">
        <v>1293</v>
      </c>
      <c r="BP5" s="58" t="s">
        <v>1293</v>
      </c>
      <c r="BQ5" s="58" t="s">
        <v>1293</v>
      </c>
      <c r="BR5" s="58" t="s">
        <v>1293</v>
      </c>
      <c r="BS5" s="58" t="s">
        <v>1293</v>
      </c>
      <c r="BT5" s="58" t="s">
        <v>1293</v>
      </c>
      <c r="BU5" s="72">
        <f t="shared" si="3"/>
        <v>54</v>
      </c>
      <c r="BV5" s="73">
        <f t="shared" si="4"/>
        <v>83</v>
      </c>
      <c r="BW5" s="74">
        <f t="shared" si="5"/>
        <v>87</v>
      </c>
      <c r="BX5" s="73">
        <f t="shared" si="6"/>
        <v>120</v>
      </c>
      <c r="BY5" s="74">
        <f t="shared" si="7"/>
        <v>124</v>
      </c>
      <c r="BZ5" s="73">
        <f t="shared" si="8"/>
        <v>160</v>
      </c>
      <c r="CA5" s="74">
        <f t="shared" si="9"/>
        <v>168</v>
      </c>
      <c r="CB5" s="73">
        <f t="shared" si="10"/>
        <v>207</v>
      </c>
      <c r="CC5" s="74">
        <f t="shared" si="11"/>
        <v>214</v>
      </c>
      <c r="CD5" s="73">
        <f t="shared" si="12"/>
        <v>313</v>
      </c>
      <c r="CE5" s="74">
        <f t="shared" si="13"/>
        <v>355</v>
      </c>
      <c r="CF5" s="73">
        <f t="shared" si="14"/>
        <v>384</v>
      </c>
      <c r="CG5" s="72">
        <f t="shared" si="15"/>
        <v>82</v>
      </c>
      <c r="CH5" s="73">
        <f t="shared" si="16"/>
        <v>86</v>
      </c>
      <c r="CI5" s="74">
        <f t="shared" si="17"/>
        <v>117</v>
      </c>
      <c r="CJ5" s="74">
        <f t="shared" si="18"/>
        <v>123</v>
      </c>
      <c r="CK5" s="74">
        <f t="shared" si="19"/>
        <v>159</v>
      </c>
      <c r="CL5" s="74">
        <f t="shared" si="20"/>
        <v>167</v>
      </c>
      <c r="CM5" s="74">
        <f t="shared" si="21"/>
        <v>194</v>
      </c>
      <c r="CN5" s="74">
        <f t="shared" si="22"/>
        <v>209</v>
      </c>
      <c r="CO5" s="74">
        <f t="shared" si="23"/>
        <v>255</v>
      </c>
      <c r="CP5" s="74">
        <f t="shared" si="24"/>
        <v>350</v>
      </c>
      <c r="CQ5" s="74">
        <f t="shared" si="25"/>
        <v>383</v>
      </c>
      <c r="CR5" s="74">
        <f t="shared" si="26"/>
        <v>395</v>
      </c>
      <c r="CS5" s="23">
        <f t="shared" si="27"/>
        <v>1</v>
      </c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</row>
    <row r="6" spans="1:1028" x14ac:dyDescent="0.2">
      <c r="A6" s="3" t="str">
        <f t="shared" si="0"/>
        <v>5ht2b_human_4IB4</v>
      </c>
      <c r="B6" s="3" t="s">
        <v>35</v>
      </c>
      <c r="C6" s="3" t="s">
        <v>70</v>
      </c>
      <c r="D6" s="3" t="str">
        <f>IFERROR(MID(VLOOKUP($B6,Seqs!$A:$B,2,0),E6,1),"")</f>
        <v>L</v>
      </c>
      <c r="E6" s="3">
        <v>54</v>
      </c>
      <c r="F6" s="3" t="str">
        <f>IFERROR(MID(VLOOKUP($B6,Seqs!$A:$B,2,0),G6,1),"")</f>
        <v>E</v>
      </c>
      <c r="G6" s="3">
        <v>82</v>
      </c>
      <c r="H6" s="3" t="str">
        <f>IFERROR(MID(VLOOKUP($B6,Seqs!$A:$B,2,0),I6,1),"")</f>
        <v>K</v>
      </c>
      <c r="I6" s="23">
        <v>83</v>
      </c>
      <c r="J6" s="3" t="str">
        <f>IFERROR(MID(VLOOKUP($B6,Seqs!$A:$B,2,0),K6,1),"")</f>
        <v>Q</v>
      </c>
      <c r="K6" s="23">
        <v>86</v>
      </c>
      <c r="L6" s="3" t="str">
        <f>IFERROR(MID(VLOOKUP($B6,Seqs!$A:$B,2,0),M6,1),"")</f>
        <v>Y</v>
      </c>
      <c r="M6" s="3">
        <v>87</v>
      </c>
      <c r="N6" s="3" t="str">
        <f>IFERROR(MID(VLOOKUP($B6,Seqs!$A:$B,2,0),O6,1),"")</f>
        <v>F</v>
      </c>
      <c r="O6" s="3">
        <v>117</v>
      </c>
      <c r="P6" s="3" t="str">
        <f>IFERROR(MID(VLOOKUP($B6,Seqs!$A:$B,2,0),Q6,1),"")</f>
        <v>M</v>
      </c>
      <c r="Q6" s="3">
        <v>120</v>
      </c>
      <c r="R6" s="3" t="str">
        <f>IFERROR(MID(VLOOKUP($B6,Seqs!$A:$B,2,0),S6,1),"")</f>
        <v>L</v>
      </c>
      <c r="S6" s="3">
        <v>123</v>
      </c>
      <c r="T6" s="3" t="str">
        <f>IFERROR(MID(VLOOKUP($B6,Seqs!$A:$B,2,0),U6,1),"")</f>
        <v>P</v>
      </c>
      <c r="U6" s="3">
        <v>124</v>
      </c>
      <c r="V6" s="3" t="str">
        <f>IFERROR(MID(VLOOKUP($B6,Seqs!$A:$B,2,0),W6,1),"")</f>
        <v>K</v>
      </c>
      <c r="W6" s="3">
        <v>159</v>
      </c>
      <c r="X6" s="3" t="str">
        <f>IFERROR(MID(VLOOKUP($B6,Seqs!$A:$B,2,0),Y6,1),"")</f>
        <v/>
      </c>
      <c r="Y6" s="3" t="s">
        <v>23</v>
      </c>
      <c r="Z6" s="3" t="str">
        <f>IFERROR(MID(VLOOKUP($B6,Seqs!$A:$B,2,0),AA6,1),"")</f>
        <v/>
      </c>
      <c r="AA6" s="3" t="s">
        <v>23</v>
      </c>
      <c r="AB6" s="3" t="str">
        <f>IFERROR(MID(VLOOKUP($B6,Seqs!$A:$B,2,0),AC6,1),"")</f>
        <v>N</v>
      </c>
      <c r="AC6" s="108">
        <v>164</v>
      </c>
      <c r="AD6" s="3" t="str">
        <f>IFERROR(MID(VLOOKUP($B6,Seqs!$A:$B,2,0),AE6,1),"")</f>
        <v>G</v>
      </c>
      <c r="AE6" s="3">
        <v>194</v>
      </c>
      <c r="AF6" s="3" t="str">
        <f>IFERROR(MID(VLOOKUP($B6,Seqs!$A:$B,2,0),AG6,1),"")</f>
        <v>C</v>
      </c>
      <c r="AG6" s="3">
        <v>207</v>
      </c>
      <c r="AH6" s="3" t="str">
        <f>IFERROR(MID(VLOOKUP($B6,Seqs!$A:$B,2,0),AI6,1),"")</f>
        <v>L</v>
      </c>
      <c r="AI6" s="3">
        <v>209</v>
      </c>
      <c r="AJ6" s="3" t="str">
        <f>IFERROR(MID(VLOOKUP($B6,Seqs!$A:$B,2,0),AK6,1),"")</f>
        <v>F</v>
      </c>
      <c r="AK6" s="3">
        <v>214</v>
      </c>
      <c r="AL6" s="3" t="str">
        <f>IFERROR(MID(VLOOKUP($B6,Seqs!$A:$B,2,0),AM6,1),"")</f>
        <v>A</v>
      </c>
      <c r="AM6" s="108">
        <v>248</v>
      </c>
      <c r="AN6" s="3" t="str">
        <f>IFERROR(MID(VLOOKUP($B6,Seqs!$A:$B,2,0),AO6,1),"")</f>
        <v>Q</v>
      </c>
      <c r="AO6" s="108">
        <v>314</v>
      </c>
      <c r="AP6" s="3" t="str">
        <f>IFERROR(MID(VLOOKUP($B6,Seqs!$A:$B,2,0),AQ6,1),"")</f>
        <v>C</v>
      </c>
      <c r="AQ6" s="3">
        <v>350</v>
      </c>
      <c r="AR6" s="3" t="str">
        <f>IFERROR(MID(VLOOKUP($B6,Seqs!$A:$B,2,0),AS6,1),"")</f>
        <v>Q</v>
      </c>
      <c r="AS6" s="3">
        <v>355</v>
      </c>
      <c r="AT6" s="3" t="str">
        <f>IFERROR(MID(VLOOKUP($B6,Seqs!$A:$B,2,0),AU6,1),"")</f>
        <v>F</v>
      </c>
      <c r="AU6" s="3">
        <v>383</v>
      </c>
      <c r="AV6" s="3" t="str">
        <f>IFERROR(MID(VLOOKUP($B6,Seqs!$A:$B,2,0),AW6,1),"")</f>
        <v>N</v>
      </c>
      <c r="AW6" s="3">
        <v>384</v>
      </c>
      <c r="AX6" s="3" t="str">
        <f>IFERROR(MID(VLOOKUP($B6,Seqs!$A:$B,2,0),AY6,1),"")</f>
        <v>I</v>
      </c>
      <c r="AY6" s="3">
        <v>395</v>
      </c>
      <c r="AZ6" s="79" t="str">
        <f>VLOOKUP(B6,Classification!A:D,2,0)</f>
        <v>A</v>
      </c>
      <c r="BA6" s="97" t="str">
        <f>VLOOKUP(B6,Classification!A:D,4,0)</f>
        <v>5-Hydroxytryptamine</v>
      </c>
      <c r="BB6" s="27" t="b">
        <f t="shared" si="1"/>
        <v>1</v>
      </c>
      <c r="BC6" s="23">
        <f t="shared" si="2"/>
        <v>252</v>
      </c>
      <c r="BD6" s="16" t="s">
        <v>1383</v>
      </c>
      <c r="BE6" s="3" t="s">
        <v>1381</v>
      </c>
      <c r="BF6" s="50" t="s">
        <v>1384</v>
      </c>
      <c r="BG6" s="50" t="s">
        <v>1384</v>
      </c>
      <c r="BH6" s="1"/>
      <c r="BI6" s="72" t="s">
        <v>1293</v>
      </c>
      <c r="BJ6" s="58" t="s">
        <v>1293</v>
      </c>
      <c r="BK6" s="58" t="s">
        <v>1293</v>
      </c>
      <c r="BL6" s="58" t="s">
        <v>1293</v>
      </c>
      <c r="BM6" s="58" t="s">
        <v>1293</v>
      </c>
      <c r="BN6" s="58" t="s">
        <v>1293</v>
      </c>
      <c r="BO6" s="58" t="s">
        <v>1293</v>
      </c>
      <c r="BP6" s="58" t="s">
        <v>1293</v>
      </c>
      <c r="BQ6" s="58" t="s">
        <v>1293</v>
      </c>
      <c r="BR6" s="58" t="s">
        <v>1293</v>
      </c>
      <c r="BS6" s="58" t="s">
        <v>1293</v>
      </c>
      <c r="BT6" s="58" t="s">
        <v>1293</v>
      </c>
      <c r="BU6" s="72">
        <f t="shared" si="3"/>
        <v>54</v>
      </c>
      <c r="BV6" s="73">
        <f t="shared" si="4"/>
        <v>83</v>
      </c>
      <c r="BW6" s="74">
        <f t="shared" si="5"/>
        <v>87</v>
      </c>
      <c r="BX6" s="73">
        <f t="shared" si="6"/>
        <v>120</v>
      </c>
      <c r="BY6" s="74">
        <f t="shared" si="7"/>
        <v>124</v>
      </c>
      <c r="BZ6" s="73" t="str">
        <f t="shared" si="8"/>
        <v>-</v>
      </c>
      <c r="CA6" s="74">
        <f t="shared" si="9"/>
        <v>164</v>
      </c>
      <c r="CB6" s="73">
        <f t="shared" si="10"/>
        <v>207</v>
      </c>
      <c r="CC6" s="74">
        <f t="shared" si="11"/>
        <v>214</v>
      </c>
      <c r="CD6" s="73">
        <f t="shared" si="12"/>
        <v>314</v>
      </c>
      <c r="CE6" s="74">
        <f t="shared" si="13"/>
        <v>355</v>
      </c>
      <c r="CF6" s="73">
        <f t="shared" si="14"/>
        <v>384</v>
      </c>
      <c r="CG6" s="72">
        <f t="shared" si="15"/>
        <v>82</v>
      </c>
      <c r="CH6" s="73">
        <f t="shared" si="16"/>
        <v>86</v>
      </c>
      <c r="CI6" s="74">
        <f t="shared" si="17"/>
        <v>117</v>
      </c>
      <c r="CJ6" s="74">
        <f t="shared" si="18"/>
        <v>123</v>
      </c>
      <c r="CK6" s="74">
        <f t="shared" si="19"/>
        <v>159</v>
      </c>
      <c r="CL6" s="74" t="str">
        <f t="shared" si="20"/>
        <v>-</v>
      </c>
      <c r="CM6" s="74">
        <f t="shared" si="21"/>
        <v>194</v>
      </c>
      <c r="CN6" s="74">
        <f t="shared" si="22"/>
        <v>209</v>
      </c>
      <c r="CO6" s="74">
        <f t="shared" si="23"/>
        <v>248</v>
      </c>
      <c r="CP6" s="74">
        <f t="shared" si="24"/>
        <v>350</v>
      </c>
      <c r="CQ6" s="74">
        <f t="shared" si="25"/>
        <v>383</v>
      </c>
      <c r="CR6" s="74">
        <f t="shared" si="26"/>
        <v>395</v>
      </c>
      <c r="CS6" s="23">
        <f t="shared" si="27"/>
        <v>1</v>
      </c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</row>
    <row r="7" spans="1:1028" x14ac:dyDescent="0.2">
      <c r="A7" s="3" t="str">
        <f t="shared" si="0"/>
        <v>5ht2b_human_4IB4_dist</v>
      </c>
      <c r="B7" s="3" t="s">
        <v>35</v>
      </c>
      <c r="C7" s="3" t="s">
        <v>1165</v>
      </c>
      <c r="D7" s="3" t="str">
        <f>IFERROR(MID(VLOOKUP($B7,Seqs!$A:$B,2,0),E7,1),"")</f>
        <v>L</v>
      </c>
      <c r="E7" s="3">
        <v>54</v>
      </c>
      <c r="F7" s="3" t="str">
        <f>IFERROR(MID(VLOOKUP($B7,Seqs!$A:$B,2,0),G7,1),"")</f>
        <v>E</v>
      </c>
      <c r="G7" s="3">
        <v>82</v>
      </c>
      <c r="H7" s="3" t="str">
        <f>IFERROR(MID(VLOOKUP($B7,Seqs!$A:$B,2,0),I7,1),"")</f>
        <v>K</v>
      </c>
      <c r="I7" s="23">
        <v>83</v>
      </c>
      <c r="J7" s="3" t="str">
        <f>IFERROR(MID(VLOOKUP($B7,Seqs!$A:$B,2,0),K7,1),"")</f>
        <v>Q</v>
      </c>
      <c r="K7" s="23">
        <v>86</v>
      </c>
      <c r="L7" s="3" t="str">
        <f>IFERROR(MID(VLOOKUP($B7,Seqs!$A:$B,2,0),M7,1),"")</f>
        <v>Y</v>
      </c>
      <c r="M7" s="3">
        <v>87</v>
      </c>
      <c r="N7" s="3" t="str">
        <f>IFERROR(MID(VLOOKUP($B7,Seqs!$A:$B,2,0),O7,1),"")</f>
        <v>F</v>
      </c>
      <c r="O7" s="3">
        <v>117</v>
      </c>
      <c r="P7" s="3" t="str">
        <f>IFERROR(MID(VLOOKUP($B7,Seqs!$A:$B,2,0),Q7,1),"")</f>
        <v>M</v>
      </c>
      <c r="Q7" s="3">
        <v>120</v>
      </c>
      <c r="R7" s="3" t="str">
        <f>IFERROR(MID(VLOOKUP($B7,Seqs!$A:$B,2,0),S7,1),"")</f>
        <v>L</v>
      </c>
      <c r="S7" s="3">
        <v>123</v>
      </c>
      <c r="T7" s="3" t="str">
        <f>IFERROR(MID(VLOOKUP($B7,Seqs!$A:$B,2,0),U7,1),"")</f>
        <v>P</v>
      </c>
      <c r="U7" s="3">
        <v>124</v>
      </c>
      <c r="V7" s="3" t="str">
        <f>IFERROR(MID(VLOOKUP($B7,Seqs!$A:$B,2,0),W7,1),"")</f>
        <v>K</v>
      </c>
      <c r="W7" s="3">
        <v>159</v>
      </c>
      <c r="X7" s="3" t="str">
        <f>IFERROR(MID(VLOOKUP($B7,Seqs!$A:$B,2,0),Y7,1),"")</f>
        <v/>
      </c>
      <c r="Y7" s="3" t="s">
        <v>23</v>
      </c>
      <c r="Z7" s="3" t="str">
        <f>IFERROR(MID(VLOOKUP($B7,Seqs!$A:$B,2,0),AA7,1),"")</f>
        <v/>
      </c>
      <c r="AA7" s="3" t="s">
        <v>23</v>
      </c>
      <c r="AB7" s="3" t="str">
        <f>IFERROR(MID(VLOOKUP($B7,Seqs!$A:$B,2,0),AC7,1),"")</f>
        <v>Q</v>
      </c>
      <c r="AC7" s="9">
        <v>165</v>
      </c>
      <c r="AD7" s="3" t="str">
        <f>IFERROR(MID(VLOOKUP($B7,Seqs!$A:$B,2,0),AE7,1),"")</f>
        <v>G</v>
      </c>
      <c r="AE7" s="3">
        <v>194</v>
      </c>
      <c r="AF7" s="3" t="str">
        <f>IFERROR(MID(VLOOKUP($B7,Seqs!$A:$B,2,0),AG7,1),"")</f>
        <v>C</v>
      </c>
      <c r="AG7" s="3">
        <v>207</v>
      </c>
      <c r="AH7" s="3" t="str">
        <f>IFERROR(MID(VLOOKUP($B7,Seqs!$A:$B,2,0),AI7,1),"")</f>
        <v>L</v>
      </c>
      <c r="AI7" s="3">
        <v>209</v>
      </c>
      <c r="AJ7" s="3" t="str">
        <f>IFERROR(MID(VLOOKUP($B7,Seqs!$A:$B,2,0),AK7,1),"")</f>
        <v>F</v>
      </c>
      <c r="AK7" s="3">
        <v>214</v>
      </c>
      <c r="AL7" s="3" t="str">
        <f>IFERROR(MID(VLOOKUP($B7,Seqs!$A:$B,2,0),AM7,1),"")</f>
        <v>A</v>
      </c>
      <c r="AM7" s="108">
        <v>248</v>
      </c>
      <c r="AN7" s="3" t="str">
        <f>IFERROR(MID(VLOOKUP($B7,Seqs!$A:$B,2,0),AO7,1),"")</f>
        <v>Q</v>
      </c>
      <c r="AO7" s="108">
        <v>314</v>
      </c>
      <c r="AP7" s="3" t="str">
        <f>IFERROR(MID(VLOOKUP($B7,Seqs!$A:$B,2,0),AQ7,1),"")</f>
        <v>C</v>
      </c>
      <c r="AQ7" s="3">
        <v>350</v>
      </c>
      <c r="AR7" s="3" t="str">
        <f>IFERROR(MID(VLOOKUP($B7,Seqs!$A:$B,2,0),AS7,1),"")</f>
        <v>Q</v>
      </c>
      <c r="AS7" s="3">
        <v>355</v>
      </c>
      <c r="AT7" s="3" t="str">
        <f>IFERROR(MID(VLOOKUP($B7,Seqs!$A:$B,2,0),AU7,1),"")</f>
        <v>F</v>
      </c>
      <c r="AU7" s="3">
        <v>383</v>
      </c>
      <c r="AV7" s="3" t="str">
        <f>IFERROR(MID(VLOOKUP($B7,Seqs!$A:$B,2,0),AW7,1),"")</f>
        <v>N</v>
      </c>
      <c r="AW7" s="3">
        <v>384</v>
      </c>
      <c r="AX7" s="3" t="str">
        <f>IFERROR(MID(VLOOKUP($B7,Seqs!$A:$B,2,0),AY7,1),"")</f>
        <v>I</v>
      </c>
      <c r="AY7" s="3">
        <v>395</v>
      </c>
      <c r="AZ7" s="79" t="str">
        <f>VLOOKUP(B7,Classification!A:D,2,0)</f>
        <v>A</v>
      </c>
      <c r="BA7" s="97" t="str">
        <f>VLOOKUP(B7,Classification!A:D,4,0)</f>
        <v>5-Hydroxytryptamine</v>
      </c>
      <c r="BB7" s="27" t="b">
        <f t="shared" si="1"/>
        <v>1</v>
      </c>
      <c r="BC7" s="23">
        <f t="shared" si="2"/>
        <v>251</v>
      </c>
      <c r="BD7" s="57" t="s">
        <v>1379</v>
      </c>
      <c r="BE7" s="3" t="s">
        <v>1381</v>
      </c>
      <c r="BF7" s="50" t="s">
        <v>1384</v>
      </c>
      <c r="BG7" s="50" t="s">
        <v>1384</v>
      </c>
      <c r="BH7" s="1"/>
      <c r="BI7" s="72" t="s">
        <v>1293</v>
      </c>
      <c r="BJ7" s="58" t="s">
        <v>1293</v>
      </c>
      <c r="BK7" s="58" t="s">
        <v>1293</v>
      </c>
      <c r="BL7" s="58" t="s">
        <v>1293</v>
      </c>
      <c r="BM7" s="58" t="s">
        <v>1293</v>
      </c>
      <c r="BN7" s="58" t="s">
        <v>1293</v>
      </c>
      <c r="BO7" s="58" t="s">
        <v>1293</v>
      </c>
      <c r="BP7" s="58" t="s">
        <v>1293</v>
      </c>
      <c r="BQ7" s="58" t="s">
        <v>1293</v>
      </c>
      <c r="BR7" s="58" t="s">
        <v>1293</v>
      </c>
      <c r="BS7" s="58" t="s">
        <v>1293</v>
      </c>
      <c r="BT7" s="58" t="s">
        <v>1293</v>
      </c>
      <c r="BU7" s="72">
        <f t="shared" si="3"/>
        <v>54</v>
      </c>
      <c r="BV7" s="73">
        <f t="shared" si="4"/>
        <v>83</v>
      </c>
      <c r="BW7" s="74">
        <f t="shared" si="5"/>
        <v>87</v>
      </c>
      <c r="BX7" s="73">
        <f t="shared" si="6"/>
        <v>120</v>
      </c>
      <c r="BY7" s="74">
        <f t="shared" si="7"/>
        <v>124</v>
      </c>
      <c r="BZ7" s="73" t="str">
        <f t="shared" si="8"/>
        <v>-</v>
      </c>
      <c r="CA7" s="74">
        <f t="shared" si="9"/>
        <v>165</v>
      </c>
      <c r="CB7" s="73">
        <f t="shared" si="10"/>
        <v>207</v>
      </c>
      <c r="CC7" s="74">
        <f t="shared" si="11"/>
        <v>214</v>
      </c>
      <c r="CD7" s="73">
        <f t="shared" si="12"/>
        <v>314</v>
      </c>
      <c r="CE7" s="74">
        <f t="shared" si="13"/>
        <v>355</v>
      </c>
      <c r="CF7" s="73">
        <f t="shared" si="14"/>
        <v>384</v>
      </c>
      <c r="CG7" s="72">
        <f t="shared" si="15"/>
        <v>82</v>
      </c>
      <c r="CH7" s="73">
        <f t="shared" si="16"/>
        <v>86</v>
      </c>
      <c r="CI7" s="74">
        <f t="shared" si="17"/>
        <v>117</v>
      </c>
      <c r="CJ7" s="74">
        <f t="shared" si="18"/>
        <v>123</v>
      </c>
      <c r="CK7" s="74">
        <f t="shared" si="19"/>
        <v>159</v>
      </c>
      <c r="CL7" s="74" t="str">
        <f t="shared" si="20"/>
        <v>-</v>
      </c>
      <c r="CM7" s="74">
        <f t="shared" si="21"/>
        <v>194</v>
      </c>
      <c r="CN7" s="74">
        <f t="shared" si="22"/>
        <v>209</v>
      </c>
      <c r="CO7" s="74">
        <f t="shared" si="23"/>
        <v>248</v>
      </c>
      <c r="CP7" s="74">
        <f t="shared" si="24"/>
        <v>350</v>
      </c>
      <c r="CQ7" s="74">
        <f t="shared" si="25"/>
        <v>383</v>
      </c>
      <c r="CR7" s="74">
        <f t="shared" si="26"/>
        <v>395</v>
      </c>
      <c r="CS7" s="23">
        <f t="shared" si="27"/>
        <v>1</v>
      </c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</row>
    <row r="8" spans="1:1028" x14ac:dyDescent="0.2">
      <c r="A8" s="3" t="str">
        <f t="shared" si="0"/>
        <v>5ht2b_human_4NC3</v>
      </c>
      <c r="B8" s="3" t="s">
        <v>35</v>
      </c>
      <c r="C8" s="3" t="s">
        <v>1314</v>
      </c>
      <c r="D8" s="3" t="str">
        <f>IFERROR(MID(VLOOKUP($B8,Seqs!$A:$B,2,0),E8,1),"")</f>
        <v>L</v>
      </c>
      <c r="E8" s="3">
        <v>54</v>
      </c>
      <c r="F8" s="3" t="str">
        <f>IFERROR(MID(VLOOKUP($B8,Seqs!$A:$B,2,0),G8,1),"")</f>
        <v>E</v>
      </c>
      <c r="G8" s="3">
        <v>82</v>
      </c>
      <c r="H8" s="3" t="str">
        <f>IFERROR(MID(VLOOKUP($B8,Seqs!$A:$B,2,0),I8,1),"")</f>
        <v>K</v>
      </c>
      <c r="I8" s="23">
        <v>83</v>
      </c>
      <c r="J8" s="3" t="str">
        <f>IFERROR(MID(VLOOKUP($B8,Seqs!$A:$B,2,0),K8,1),"")</f>
        <v>Q</v>
      </c>
      <c r="K8" s="23">
        <v>86</v>
      </c>
      <c r="L8" s="3" t="str">
        <f>IFERROR(MID(VLOOKUP($B8,Seqs!$A:$B,2,0),M8,1),"")</f>
        <v>Y</v>
      </c>
      <c r="M8" s="3">
        <v>87</v>
      </c>
      <c r="N8" s="3" t="str">
        <f>IFERROR(MID(VLOOKUP($B8,Seqs!$A:$B,2,0),O8,1),"")</f>
        <v>F</v>
      </c>
      <c r="O8" s="3">
        <v>117</v>
      </c>
      <c r="P8" s="3" t="str">
        <f>IFERROR(MID(VLOOKUP($B8,Seqs!$A:$B,2,0),Q8,1),"")</f>
        <v>M</v>
      </c>
      <c r="Q8" s="3">
        <v>120</v>
      </c>
      <c r="R8" s="3" t="str">
        <f>IFERROR(MID(VLOOKUP($B8,Seqs!$A:$B,2,0),S8,1),"")</f>
        <v>L</v>
      </c>
      <c r="S8" s="3">
        <v>123</v>
      </c>
      <c r="T8" s="3" t="str">
        <f>IFERROR(MID(VLOOKUP($B8,Seqs!$A:$B,2,0),U8,1),"")</f>
        <v>P</v>
      </c>
      <c r="U8" s="3">
        <v>124</v>
      </c>
      <c r="V8" s="3" t="str">
        <f>IFERROR(MID(VLOOKUP($B8,Seqs!$A:$B,2,0),W8,1),"")</f>
        <v>K</v>
      </c>
      <c r="W8" s="3">
        <v>159</v>
      </c>
      <c r="X8" s="3" t="str">
        <f>IFERROR(MID(VLOOKUP($B8,Seqs!$A:$B,2,0),Y8,1),"")</f>
        <v/>
      </c>
      <c r="Y8" s="3" t="s">
        <v>23</v>
      </c>
      <c r="Z8" s="3" t="str">
        <f>IFERROR(MID(VLOOKUP($B8,Seqs!$A:$B,2,0),AA8,1),"")</f>
        <v/>
      </c>
      <c r="AA8" s="3" t="s">
        <v>23</v>
      </c>
      <c r="AB8" s="3" t="str">
        <f>IFERROR(MID(VLOOKUP($B8,Seqs!$A:$B,2,0),AC8,1),"")</f>
        <v>N</v>
      </c>
      <c r="AC8" s="108">
        <v>164</v>
      </c>
      <c r="AD8" s="3" t="str">
        <f>IFERROR(MID(VLOOKUP($B8,Seqs!$A:$B,2,0),AE8,1),"")</f>
        <v>G</v>
      </c>
      <c r="AE8" s="3">
        <v>194</v>
      </c>
      <c r="AF8" s="3" t="str">
        <f>IFERROR(MID(VLOOKUP($B8,Seqs!$A:$B,2,0),AG8,1),"")</f>
        <v>C</v>
      </c>
      <c r="AG8" s="3">
        <v>207</v>
      </c>
      <c r="AH8" s="3" t="str">
        <f>IFERROR(MID(VLOOKUP($B8,Seqs!$A:$B,2,0),AI8,1),"")</f>
        <v>L</v>
      </c>
      <c r="AI8" s="3">
        <v>209</v>
      </c>
      <c r="AJ8" s="3" t="str">
        <f>IFERROR(MID(VLOOKUP($B8,Seqs!$A:$B,2,0),AK8,1),"")</f>
        <v>F</v>
      </c>
      <c r="AK8" s="3">
        <v>214</v>
      </c>
      <c r="AL8" s="3" t="str">
        <f>IFERROR(MID(VLOOKUP($B8,Seqs!$A:$B,2,0),AM8,1),"")</f>
        <v>A</v>
      </c>
      <c r="AM8" s="108">
        <v>248</v>
      </c>
      <c r="AN8" s="3" t="str">
        <f>IFERROR(MID(VLOOKUP($B8,Seqs!$A:$B,2,0),AO8,1),"")</f>
        <v>Q</v>
      </c>
      <c r="AO8" s="108">
        <v>314</v>
      </c>
      <c r="AP8" s="3" t="str">
        <f>IFERROR(MID(VLOOKUP($B8,Seqs!$A:$B,2,0),AQ8,1),"")</f>
        <v>C</v>
      </c>
      <c r="AQ8" s="3">
        <v>350</v>
      </c>
      <c r="AR8" s="3" t="str">
        <f>IFERROR(MID(VLOOKUP($B8,Seqs!$A:$B,2,0),AS8,1),"")</f>
        <v>Q</v>
      </c>
      <c r="AS8" s="3">
        <v>355</v>
      </c>
      <c r="AT8" s="3" t="str">
        <f>IFERROR(MID(VLOOKUP($B8,Seqs!$A:$B,2,0),AU8,1),"")</f>
        <v>F</v>
      </c>
      <c r="AU8" s="3">
        <v>383</v>
      </c>
      <c r="AV8" s="3" t="str">
        <f>IFERROR(MID(VLOOKUP($B8,Seqs!$A:$B,2,0),AW8,1),"")</f>
        <v>N</v>
      </c>
      <c r="AW8" s="3">
        <v>384</v>
      </c>
      <c r="AX8" s="3" t="str">
        <f>IFERROR(MID(VLOOKUP($B8,Seqs!$A:$B,2,0),AY8,1),"")</f>
        <v>I</v>
      </c>
      <c r="AY8" s="3">
        <v>395</v>
      </c>
      <c r="AZ8" s="79" t="str">
        <f>VLOOKUP(B8,Classification!A:D,2,0)</f>
        <v>A</v>
      </c>
      <c r="BA8" s="97" t="str">
        <f>VLOOKUP(B8,Classification!A:D,4,0)</f>
        <v>5-Hydroxytryptamine</v>
      </c>
      <c r="BB8" s="27" t="b">
        <f t="shared" si="1"/>
        <v>1</v>
      </c>
      <c r="BC8" s="23">
        <f t="shared" si="2"/>
        <v>252</v>
      </c>
      <c r="BD8" s="4" t="s">
        <v>23</v>
      </c>
      <c r="BE8" s="3" t="s">
        <v>1381</v>
      </c>
      <c r="BF8" s="50" t="s">
        <v>1384</v>
      </c>
      <c r="BG8" s="50" t="s">
        <v>1384</v>
      </c>
      <c r="BH8" s="1"/>
      <c r="BI8" s="72" t="s">
        <v>1293</v>
      </c>
      <c r="BJ8" s="58" t="s">
        <v>1293</v>
      </c>
      <c r="BK8" s="58" t="s">
        <v>1293</v>
      </c>
      <c r="BL8" s="58" t="s">
        <v>1293</v>
      </c>
      <c r="BM8" s="58" t="s">
        <v>1293</v>
      </c>
      <c r="BN8" s="58" t="s">
        <v>1293</v>
      </c>
      <c r="BO8" s="58" t="s">
        <v>1293</v>
      </c>
      <c r="BP8" s="58" t="s">
        <v>1293</v>
      </c>
      <c r="BQ8" s="58" t="s">
        <v>1293</v>
      </c>
      <c r="BR8" s="58" t="s">
        <v>1293</v>
      </c>
      <c r="BS8" s="58" t="s">
        <v>1293</v>
      </c>
      <c r="BT8" s="58" t="s">
        <v>1293</v>
      </c>
      <c r="BU8" s="72">
        <f t="shared" si="3"/>
        <v>54</v>
      </c>
      <c r="BV8" s="73">
        <f t="shared" si="4"/>
        <v>83</v>
      </c>
      <c r="BW8" s="74">
        <f t="shared" si="5"/>
        <v>87</v>
      </c>
      <c r="BX8" s="73">
        <f t="shared" si="6"/>
        <v>120</v>
      </c>
      <c r="BY8" s="74">
        <f t="shared" si="7"/>
        <v>124</v>
      </c>
      <c r="BZ8" s="73" t="str">
        <f t="shared" si="8"/>
        <v>-</v>
      </c>
      <c r="CA8" s="74">
        <f t="shared" si="9"/>
        <v>164</v>
      </c>
      <c r="CB8" s="73">
        <f t="shared" si="10"/>
        <v>207</v>
      </c>
      <c r="CC8" s="74">
        <f t="shared" si="11"/>
        <v>214</v>
      </c>
      <c r="CD8" s="73">
        <f t="shared" si="12"/>
        <v>314</v>
      </c>
      <c r="CE8" s="74">
        <f t="shared" si="13"/>
        <v>355</v>
      </c>
      <c r="CF8" s="73">
        <f t="shared" si="14"/>
        <v>384</v>
      </c>
      <c r="CG8" s="72">
        <f t="shared" si="15"/>
        <v>82</v>
      </c>
      <c r="CH8" s="73">
        <f t="shared" si="16"/>
        <v>86</v>
      </c>
      <c r="CI8" s="74">
        <f t="shared" si="17"/>
        <v>117</v>
      </c>
      <c r="CJ8" s="74">
        <f t="shared" si="18"/>
        <v>123</v>
      </c>
      <c r="CK8" s="74">
        <f t="shared" si="19"/>
        <v>159</v>
      </c>
      <c r="CL8" s="74" t="str">
        <f t="shared" si="20"/>
        <v>-</v>
      </c>
      <c r="CM8" s="74">
        <f t="shared" si="21"/>
        <v>194</v>
      </c>
      <c r="CN8" s="74">
        <f t="shared" si="22"/>
        <v>209</v>
      </c>
      <c r="CO8" s="74">
        <f t="shared" si="23"/>
        <v>248</v>
      </c>
      <c r="CP8" s="74">
        <f t="shared" si="24"/>
        <v>350</v>
      </c>
      <c r="CQ8" s="74">
        <f t="shared" si="25"/>
        <v>383</v>
      </c>
      <c r="CR8" s="74">
        <f t="shared" si="26"/>
        <v>395</v>
      </c>
      <c r="CS8" s="23">
        <f t="shared" si="27"/>
        <v>1</v>
      </c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</row>
    <row r="9" spans="1:1028" x14ac:dyDescent="0.2">
      <c r="A9" s="3" t="str">
        <f t="shared" ref="A9" si="28">CONCATENATE(B9,"_",C9)</f>
        <v>5ht2b_human_5TVN</v>
      </c>
      <c r="B9" s="3" t="s">
        <v>35</v>
      </c>
      <c r="C9" s="3" t="s">
        <v>1393</v>
      </c>
      <c r="D9" s="3" t="str">
        <f>IFERROR(MID(VLOOKUP($B9,Seqs!$A:$B,2,0),E9,1),"")</f>
        <v>L</v>
      </c>
      <c r="E9" s="3">
        <v>54</v>
      </c>
      <c r="F9" s="3" t="str">
        <f>IFERROR(MID(VLOOKUP($B9,Seqs!$A:$B,2,0),G9,1),"")</f>
        <v>E</v>
      </c>
      <c r="G9" s="3">
        <v>82</v>
      </c>
      <c r="H9" s="3" t="str">
        <f>IFERROR(MID(VLOOKUP($B9,Seqs!$A:$B,2,0),I9,1),"")</f>
        <v>K</v>
      </c>
      <c r="I9" s="23">
        <v>83</v>
      </c>
      <c r="J9" s="3" t="str">
        <f>IFERROR(MID(VLOOKUP($B9,Seqs!$A:$B,2,0),K9,1),"")</f>
        <v>Q</v>
      </c>
      <c r="K9" s="23">
        <v>86</v>
      </c>
      <c r="L9" s="3" t="str">
        <f>IFERROR(MID(VLOOKUP($B9,Seqs!$A:$B,2,0),M9,1),"")</f>
        <v>Y</v>
      </c>
      <c r="M9" s="3">
        <v>87</v>
      </c>
      <c r="N9" s="3" t="str">
        <f>IFERROR(MID(VLOOKUP($B9,Seqs!$A:$B,2,0),O9,1),"")</f>
        <v>F</v>
      </c>
      <c r="O9" s="3">
        <v>117</v>
      </c>
      <c r="P9" s="3" t="str">
        <f>IFERROR(MID(VLOOKUP($B9,Seqs!$A:$B,2,0),Q9,1),"")</f>
        <v>M</v>
      </c>
      <c r="Q9" s="3">
        <v>120</v>
      </c>
      <c r="R9" s="3" t="str">
        <f>IFERROR(MID(VLOOKUP($B9,Seqs!$A:$B,2,0),S9,1),"")</f>
        <v>L</v>
      </c>
      <c r="S9" s="3">
        <v>123</v>
      </c>
      <c r="T9" s="3" t="str">
        <f>IFERROR(MID(VLOOKUP($B9,Seqs!$A:$B,2,0),U9,1),"")</f>
        <v>P</v>
      </c>
      <c r="U9" s="3">
        <v>124</v>
      </c>
      <c r="V9" s="3" t="str">
        <f>IFERROR(MID(VLOOKUP($B9,Seqs!$A:$B,2,0),W9,1),"")</f>
        <v>K</v>
      </c>
      <c r="W9" s="3">
        <v>159</v>
      </c>
      <c r="X9" s="3" t="str">
        <f>IFERROR(MID(VLOOKUP($B9,Seqs!$A:$B,2,0),Y9,1),"")</f>
        <v/>
      </c>
      <c r="Y9" s="3" t="s">
        <v>23</v>
      </c>
      <c r="Z9" s="3" t="str">
        <f>IFERROR(MID(VLOOKUP($B9,Seqs!$A:$B,2,0),AA9,1),"")</f>
        <v/>
      </c>
      <c r="AA9" s="3" t="s">
        <v>23</v>
      </c>
      <c r="AB9" s="3" t="str">
        <f>IFERROR(MID(VLOOKUP($B9,Seqs!$A:$B,2,0),AC9,1),"")</f>
        <v>S</v>
      </c>
      <c r="AC9" s="3">
        <v>168</v>
      </c>
      <c r="AD9" s="3" t="str">
        <f>IFERROR(MID(VLOOKUP($B9,Seqs!$A:$B,2,0),AE9,1),"")</f>
        <v>G</v>
      </c>
      <c r="AE9" s="3">
        <v>194</v>
      </c>
      <c r="AF9" s="3" t="str">
        <f>IFERROR(MID(VLOOKUP($B9,Seqs!$A:$B,2,0),AG9,1),"")</f>
        <v>C</v>
      </c>
      <c r="AG9" s="3">
        <v>207</v>
      </c>
      <c r="AH9" s="3" t="str">
        <f>IFERROR(MID(VLOOKUP($B9,Seqs!$A:$B,2,0),AI9,1),"")</f>
        <v>L</v>
      </c>
      <c r="AI9" s="3">
        <v>209</v>
      </c>
      <c r="AJ9" s="3" t="str">
        <f>IFERROR(MID(VLOOKUP($B9,Seqs!$A:$B,2,0),AK9,1),"")</f>
        <v>F</v>
      </c>
      <c r="AK9" s="3">
        <v>214</v>
      </c>
      <c r="AL9" s="3" t="str">
        <f>IFERROR(MID(VLOOKUP($B9,Seqs!$A:$B,2,0),AM9,1),"")</f>
        <v>A</v>
      </c>
      <c r="AM9" s="3">
        <v>248</v>
      </c>
      <c r="AN9" s="3" t="str">
        <f>IFERROR(MID(VLOOKUP($B9,Seqs!$A:$B,2,0),AO9,1),"")</f>
        <v>V</v>
      </c>
      <c r="AO9" s="3">
        <v>313</v>
      </c>
      <c r="AP9" s="3" t="str">
        <f>IFERROR(MID(VLOOKUP($B9,Seqs!$A:$B,2,0),AQ9,1),"")</f>
        <v>C</v>
      </c>
      <c r="AQ9" s="3">
        <v>350</v>
      </c>
      <c r="AR9" s="3" t="str">
        <f>IFERROR(MID(VLOOKUP($B9,Seqs!$A:$B,2,0),AS9,1),"")</f>
        <v>Q</v>
      </c>
      <c r="AS9" s="3">
        <v>355</v>
      </c>
      <c r="AT9" s="3" t="str">
        <f>IFERROR(MID(VLOOKUP($B9,Seqs!$A:$B,2,0),AU9,1),"")</f>
        <v>F</v>
      </c>
      <c r="AU9" s="3">
        <v>383</v>
      </c>
      <c r="AV9" s="3" t="str">
        <f>IFERROR(MID(VLOOKUP($B9,Seqs!$A:$B,2,0),AW9,1),"")</f>
        <v>N</v>
      </c>
      <c r="AW9" s="3">
        <v>384</v>
      </c>
      <c r="AX9" s="3" t="str">
        <f>IFERROR(MID(VLOOKUP($B9,Seqs!$A:$B,2,0),AY9,1),"")</f>
        <v>I</v>
      </c>
      <c r="AY9" s="3">
        <v>395</v>
      </c>
      <c r="AZ9" s="79" t="str">
        <f>VLOOKUP(B9,Classification!A:D,2,0)</f>
        <v>A</v>
      </c>
      <c r="BA9" s="97" t="str">
        <f>VLOOKUP(B9,Classification!A:D,4,0)</f>
        <v>5-Hydroxytryptamine</v>
      </c>
      <c r="BB9" s="27" t="b">
        <f t="shared" ref="BB9" si="29">AND(E9&lt;G9,OR(G9&lt;I9,I9="-"),OR(I9&lt;K9,I9="-"),OR(K9&lt;M9,K9="-"),M9&lt;O9,OR(O9&lt;Q9,Q9="-"),OR(Q9&lt;S9,Q9="-"),OR(S9&lt;U9,S9="-"),U9&lt;W9,OR(W9&lt;Y9,Y9="-"),OR(Y9&lt;AA9,Y9="-"),OR(AA9&lt;AC9,AA9="-"),AC9&lt;AE9,OR(AE9&lt;AG9,AG9="-"),OR(AG9&lt;AI9,AG9="-"),OR(AI9&lt;AK9,AI9="-"),AK9&lt;AM9,AM9&lt;AO9,AO9&lt;AQ9,AQ9&lt;AS9,AS9&lt;AU9,OR(AU9&lt;AW9,AW9="-"),OR(AW9&lt;AY9,AW9="-"))</f>
        <v>1</v>
      </c>
      <c r="BC9" s="23">
        <f t="shared" ref="BC9" si="30">_xlfn.AGGREGATE(9,6,CG9:CR9)-_xlfn.AGGREGATE(9,6,BU9:CF9)+12</f>
        <v>249</v>
      </c>
      <c r="BD9" s="4" t="s">
        <v>23</v>
      </c>
      <c r="BE9" s="3" t="s">
        <v>1381</v>
      </c>
      <c r="BF9" s="50" t="s">
        <v>1384</v>
      </c>
      <c r="BG9" s="50" t="s">
        <v>1384</v>
      </c>
      <c r="BH9" s="1"/>
      <c r="BI9" s="72" t="s">
        <v>1293</v>
      </c>
      <c r="BJ9" s="58" t="s">
        <v>1293</v>
      </c>
      <c r="BK9" s="58" t="s">
        <v>1293</v>
      </c>
      <c r="BL9" s="58" t="s">
        <v>1293</v>
      </c>
      <c r="BM9" s="58" t="s">
        <v>1293</v>
      </c>
      <c r="BN9" s="58" t="s">
        <v>1293</v>
      </c>
      <c r="BO9" s="58" t="s">
        <v>1293</v>
      </c>
      <c r="BP9" s="58" t="s">
        <v>1293</v>
      </c>
      <c r="BQ9" s="58" t="s">
        <v>1293</v>
      </c>
      <c r="BR9" s="58" t="s">
        <v>1293</v>
      </c>
      <c r="BS9" s="58" t="s">
        <v>1293</v>
      </c>
      <c r="BT9" s="58" t="s">
        <v>1293</v>
      </c>
      <c r="BU9" s="72">
        <f t="shared" ref="BU9" si="31">E9</f>
        <v>54</v>
      </c>
      <c r="BV9" s="73">
        <f t="shared" ref="BV9" si="32">I9</f>
        <v>83</v>
      </c>
      <c r="BW9" s="74">
        <f t="shared" ref="BW9" si="33">M9</f>
        <v>87</v>
      </c>
      <c r="BX9" s="73">
        <f t="shared" ref="BX9" si="34">Q9</f>
        <v>120</v>
      </c>
      <c r="BY9" s="74">
        <f t="shared" ref="BY9" si="35">U9</f>
        <v>124</v>
      </c>
      <c r="BZ9" s="73" t="str">
        <f t="shared" ref="BZ9" si="36">Y9</f>
        <v>-</v>
      </c>
      <c r="CA9" s="74">
        <f t="shared" ref="CA9" si="37">AC9</f>
        <v>168</v>
      </c>
      <c r="CB9" s="73">
        <f t="shared" ref="CB9" si="38">AG9</f>
        <v>207</v>
      </c>
      <c r="CC9" s="74">
        <f t="shared" ref="CC9" si="39">AK9</f>
        <v>214</v>
      </c>
      <c r="CD9" s="73">
        <f t="shared" ref="CD9" si="40">AO9</f>
        <v>313</v>
      </c>
      <c r="CE9" s="74">
        <f t="shared" ref="CE9" si="41">AS9</f>
        <v>355</v>
      </c>
      <c r="CF9" s="73">
        <f t="shared" ref="CF9" si="42">AW9</f>
        <v>384</v>
      </c>
      <c r="CG9" s="72">
        <f t="shared" ref="CG9" si="43">G9</f>
        <v>82</v>
      </c>
      <c r="CH9" s="73">
        <f t="shared" ref="CH9" si="44">K9</f>
        <v>86</v>
      </c>
      <c r="CI9" s="74">
        <f t="shared" ref="CI9" si="45">O9</f>
        <v>117</v>
      </c>
      <c r="CJ9" s="74">
        <f t="shared" ref="CJ9" si="46">S9</f>
        <v>123</v>
      </c>
      <c r="CK9" s="74">
        <f t="shared" ref="CK9" si="47">W9</f>
        <v>159</v>
      </c>
      <c r="CL9" s="74" t="str">
        <f t="shared" ref="CL9" si="48">AA9</f>
        <v>-</v>
      </c>
      <c r="CM9" s="74">
        <f t="shared" ref="CM9" si="49">AE9</f>
        <v>194</v>
      </c>
      <c r="CN9" s="74">
        <f t="shared" ref="CN9" si="50">AI9</f>
        <v>209</v>
      </c>
      <c r="CO9" s="74">
        <f t="shared" ref="CO9" si="51">AM9</f>
        <v>248</v>
      </c>
      <c r="CP9" s="74">
        <f t="shared" ref="CP9" si="52">AQ9</f>
        <v>350</v>
      </c>
      <c r="CQ9" s="74">
        <f t="shared" ref="CQ9" si="53">AU9</f>
        <v>383</v>
      </c>
      <c r="CR9" s="74">
        <f t="shared" ref="CR9" si="54">AY9</f>
        <v>395</v>
      </c>
      <c r="CS9" s="23">
        <f t="shared" ref="CS9" si="55">M9-K9</f>
        <v>1</v>
      </c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</row>
    <row r="10" spans="1:1028" x14ac:dyDescent="0.2">
      <c r="A10" s="3" t="str">
        <f t="shared" ref="A10:A11" si="56">CONCATENATE(B10,"_",C10)</f>
        <v>aa1r_human__wt</v>
      </c>
      <c r="B10" s="3" t="s">
        <v>138</v>
      </c>
      <c r="C10" s="3" t="s">
        <v>100</v>
      </c>
      <c r="D10" s="3" t="str">
        <f>IFERROR(MID(VLOOKUP($B10,Seqs!$A:$B,2,0),E10,1),"")</f>
        <v>S</v>
      </c>
      <c r="E10" s="3">
        <v>6</v>
      </c>
      <c r="F10" s="3" t="str">
        <f>IFERROR(MID(VLOOKUP($B10,Seqs!$A:$B,2,0),G10,1),"")</f>
        <v>N</v>
      </c>
      <c r="G10" s="3">
        <v>37</v>
      </c>
      <c r="H10" s="3" t="str">
        <f>IFERROR(MID(VLOOKUP($B10,Seqs!$A:$B,2,0),I10,1),"")</f>
        <v>Q</v>
      </c>
      <c r="I10" s="23">
        <v>38</v>
      </c>
      <c r="J10" s="3" t="str">
        <f>IFERROR(MID(VLOOKUP($B10,Seqs!$A:$B,2,0),K10,1),"")</f>
        <v>R</v>
      </c>
      <c r="K10" s="23">
        <v>41</v>
      </c>
      <c r="L10" s="3" t="str">
        <f>IFERROR(MID(VLOOKUP($B10,Seqs!$A:$B,2,0),M10,1),"")</f>
        <v>D</v>
      </c>
      <c r="M10" s="3">
        <v>42</v>
      </c>
      <c r="N10" s="3" t="str">
        <f>IFERROR(MID(VLOOKUP($B10,Seqs!$A:$B,2,0),O10,1),"")</f>
        <v>G</v>
      </c>
      <c r="O10" s="3">
        <v>72</v>
      </c>
      <c r="P10" s="3" t="str">
        <f>IFERROR(MID(VLOOKUP($B10,Seqs!$A:$B,2,0),Q10,1),"")</f>
        <v>P</v>
      </c>
      <c r="Q10" s="3">
        <v>73</v>
      </c>
      <c r="R10" s="3" t="str">
        <f>IFERROR(MID(VLOOKUP($B10,Seqs!$A:$B,2,0),S10,1),"")</f>
        <v>T</v>
      </c>
      <c r="S10" s="3">
        <v>75</v>
      </c>
      <c r="T10" s="3" t="str">
        <f>IFERROR(MID(VLOOKUP($B10,Seqs!$A:$B,2,0),U10,1),"")</f>
        <v>Y</v>
      </c>
      <c r="U10" s="3">
        <v>76</v>
      </c>
      <c r="V10" s="3" t="str">
        <f>IFERROR(MID(VLOOKUP($B10,Seqs!$A:$B,2,0),W10,1),"")</f>
        <v>I</v>
      </c>
      <c r="W10" s="3">
        <v>111</v>
      </c>
      <c r="X10" s="3" t="str">
        <f>IFERROR(MID(VLOOKUP($B10,Seqs!$A:$B,2,0),Y10,1),"")</f>
        <v>P</v>
      </c>
      <c r="Y10" s="3">
        <v>112</v>
      </c>
      <c r="Z10" s="3" t="str">
        <f>IFERROR(MID(VLOOKUP($B10,Seqs!$A:$B,2,0),AA10,1),"")</f>
        <v>V</v>
      </c>
      <c r="AA10" s="3">
        <v>119</v>
      </c>
      <c r="AB10" s="3" t="str">
        <f>IFERROR(MID(VLOOKUP($B10,Seqs!$A:$B,2,0),AC10,1),"")</f>
        <v>T</v>
      </c>
      <c r="AC10" s="3">
        <v>120</v>
      </c>
      <c r="AD10" s="3" t="str">
        <f>IFERROR(MID(VLOOKUP($B10,Seqs!$A:$B,2,0),AE10,1),"")</f>
        <v>G</v>
      </c>
      <c r="AE10" s="3">
        <v>145</v>
      </c>
      <c r="AF10" s="3" t="str">
        <f>IFERROR(MID(VLOOKUP($B10,Seqs!$A:$B,2,0),AG10,1),"")</f>
        <v>C</v>
      </c>
      <c r="AG10" s="3">
        <v>169</v>
      </c>
      <c r="AH10" s="3" t="str">
        <f>IFERROR(MID(VLOOKUP($B10,Seqs!$A:$B,2,0),AI10,1),"")</f>
        <v>F</v>
      </c>
      <c r="AI10" s="3">
        <v>171</v>
      </c>
      <c r="AJ10" s="3" t="str">
        <f>IFERROR(MID(VLOOKUP($B10,Seqs!$A:$B,2,0),AK10,1),"")</f>
        <v>S</v>
      </c>
      <c r="AK10" s="3">
        <v>176</v>
      </c>
      <c r="AL10" s="3" t="str">
        <f>IFERROR(MID(VLOOKUP($B10,Seqs!$A:$B,2,0),AM10,1),"")</f>
        <v>V</v>
      </c>
      <c r="AM10" s="3">
        <v>215</v>
      </c>
      <c r="AN10" s="3" t="str">
        <f>IFERROR(MID(VLOOKUP($B10,Seqs!$A:$B,2,0),AO10,1),"")</f>
        <v>D</v>
      </c>
      <c r="AO10" s="3">
        <v>221</v>
      </c>
      <c r="AP10" s="3" t="str">
        <f>IFERROR(MID(VLOOKUP($B10,Seqs!$A:$B,2,0),AQ10,1),"")</f>
        <v>C</v>
      </c>
      <c r="AQ10" s="3">
        <v>260</v>
      </c>
      <c r="AR10" s="3" t="str">
        <f>IFERROR(MID(VLOOKUP($B10,Seqs!$A:$B,2,0),AS10,1),"")</f>
        <v>P</v>
      </c>
      <c r="AS10" s="3">
        <v>266</v>
      </c>
      <c r="AT10" s="3" t="str">
        <f>IFERROR(MID(VLOOKUP($B10,Seqs!$A:$B,2,0),AU10,1),"")</f>
        <v>R</v>
      </c>
      <c r="AU10" s="3">
        <v>291</v>
      </c>
      <c r="AV10" s="3" t="str">
        <f>IFERROR(MID(VLOOKUP($B10,Seqs!$A:$B,2,0),AW10,1),"")</f>
        <v>I</v>
      </c>
      <c r="AW10" s="3">
        <v>292</v>
      </c>
      <c r="AX10" s="3" t="str">
        <f>IFERROR(MID(VLOOKUP($B10,Seqs!$A:$B,2,0),AY10,1),"")</f>
        <v>P</v>
      </c>
      <c r="AY10" s="3">
        <v>314</v>
      </c>
      <c r="AZ10" s="79" t="str">
        <f>VLOOKUP(B10,Classification!A:D,2,0)</f>
        <v>A</v>
      </c>
      <c r="BA10" s="97" t="str">
        <f>VLOOKUP(B10,Classification!A:D,4,0)</f>
        <v>Adenosine</v>
      </c>
      <c r="BB10" s="27" t="b">
        <f t="shared" ref="BB10:BB11" si="57">AND(E10&lt;G10,OR(G10&lt;I10,I10="-"),OR(I10&lt;K10,I10="-"),OR(K10&lt;M10,K10="-"),M10&lt;O10,OR(O10&lt;Q10,Q10="-"),OR(Q10&lt;S10,Q10="-"),OR(S10&lt;U10,S10="-"),U10&lt;W10,OR(W10&lt;Y10,Y10="-"),OR(Y10&lt;AA10,Y10="-"),OR(AA10&lt;AC10,AA10="-"),AC10&lt;AE10,OR(AE10&lt;AG10,AG10="-"),OR(AG10&lt;AI10,AG10="-"),OR(AI10&lt;AK10,AI10="-"),AK10&lt;AM10,AM10&lt;AO10,AO10&lt;AQ10,AQ10&lt;AS10,AS10&lt;AU10,OR(AU10&lt;AW10,AW10="-"),OR(AW10&lt;AY10,AW10="-"))</f>
        <v>1</v>
      </c>
      <c r="BC10" s="23">
        <f t="shared" ref="BC10:BC11" si="58">_xlfn.AGGREGATE(9,6,CG10:CR10)-_xlfn.AGGREGATE(9,6,BU10:CF10)+12</f>
        <v>272</v>
      </c>
      <c r="BD10" s="4" t="s">
        <v>23</v>
      </c>
      <c r="BE10" s="3" t="s">
        <v>1381</v>
      </c>
      <c r="BF10" s="50" t="s">
        <v>1384</v>
      </c>
      <c r="BG10" s="50" t="s">
        <v>1384</v>
      </c>
      <c r="BH10" s="1"/>
      <c r="BI10" s="72" t="s">
        <v>1293</v>
      </c>
      <c r="BJ10" s="58" t="s">
        <v>1293</v>
      </c>
      <c r="BK10" s="58" t="s">
        <v>1293</v>
      </c>
      <c r="BL10" s="58" t="s">
        <v>1293</v>
      </c>
      <c r="BM10" s="58" t="s">
        <v>1293</v>
      </c>
      <c r="BN10" s="58" t="s">
        <v>1293</v>
      </c>
      <c r="BO10" s="58" t="s">
        <v>1293</v>
      </c>
      <c r="BP10" s="58" t="s">
        <v>1293</v>
      </c>
      <c r="BQ10" s="58" t="s">
        <v>1293</v>
      </c>
      <c r="BR10" s="58" t="s">
        <v>1293</v>
      </c>
      <c r="BS10" s="58" t="s">
        <v>1293</v>
      </c>
      <c r="BT10" s="58" t="s">
        <v>1293</v>
      </c>
      <c r="BU10" s="72">
        <f t="shared" ref="BU10:BU11" si="59">E10</f>
        <v>6</v>
      </c>
      <c r="BV10" s="73">
        <f t="shared" ref="BV10:BV11" si="60">I10</f>
        <v>38</v>
      </c>
      <c r="BW10" s="74">
        <f t="shared" ref="BW10:BW11" si="61">M10</f>
        <v>42</v>
      </c>
      <c r="BX10" s="73">
        <f t="shared" ref="BX10:BX11" si="62">Q10</f>
        <v>73</v>
      </c>
      <c r="BY10" s="74">
        <f t="shared" ref="BY10:BY11" si="63">U10</f>
        <v>76</v>
      </c>
      <c r="BZ10" s="73">
        <f t="shared" ref="BZ10:BZ11" si="64">Y10</f>
        <v>112</v>
      </c>
      <c r="CA10" s="74">
        <f t="shared" ref="CA10:CA11" si="65">AC10</f>
        <v>120</v>
      </c>
      <c r="CB10" s="73">
        <f t="shared" ref="CB10:CB11" si="66">AG10</f>
        <v>169</v>
      </c>
      <c r="CC10" s="74">
        <f t="shared" ref="CC10:CC11" si="67">AK10</f>
        <v>176</v>
      </c>
      <c r="CD10" s="73">
        <f t="shared" ref="CD10:CD11" si="68">AO10</f>
        <v>221</v>
      </c>
      <c r="CE10" s="74">
        <f t="shared" ref="CE10:CE11" si="69">AS10</f>
        <v>266</v>
      </c>
      <c r="CF10" s="73">
        <f t="shared" ref="CF10:CF11" si="70">AW10</f>
        <v>292</v>
      </c>
      <c r="CG10" s="72">
        <f t="shared" ref="CG10:CG11" si="71">G10</f>
        <v>37</v>
      </c>
      <c r="CH10" s="73">
        <f t="shared" ref="CH10:CH11" si="72">K10</f>
        <v>41</v>
      </c>
      <c r="CI10" s="74">
        <f t="shared" ref="CI10:CI11" si="73">O10</f>
        <v>72</v>
      </c>
      <c r="CJ10" s="74">
        <f t="shared" ref="CJ10:CJ11" si="74">S10</f>
        <v>75</v>
      </c>
      <c r="CK10" s="74">
        <f t="shared" ref="CK10:CK11" si="75">W10</f>
        <v>111</v>
      </c>
      <c r="CL10" s="74">
        <f t="shared" ref="CL10:CL11" si="76">AA10</f>
        <v>119</v>
      </c>
      <c r="CM10" s="74">
        <f t="shared" ref="CM10:CM11" si="77">AE10</f>
        <v>145</v>
      </c>
      <c r="CN10" s="74">
        <f t="shared" ref="CN10:CN11" si="78">AI10</f>
        <v>171</v>
      </c>
      <c r="CO10" s="74">
        <f t="shared" ref="CO10:CO11" si="79">AM10</f>
        <v>215</v>
      </c>
      <c r="CP10" s="74">
        <f t="shared" ref="CP10:CP11" si="80">AQ10</f>
        <v>260</v>
      </c>
      <c r="CQ10" s="74">
        <f t="shared" ref="CQ10:CQ11" si="81">AU10</f>
        <v>291</v>
      </c>
      <c r="CR10" s="74">
        <f t="shared" ref="CR10:CR11" si="82">AY10</f>
        <v>314</v>
      </c>
      <c r="CS10" s="23">
        <f t="shared" ref="CS10:CS11" si="83">M10-K10</f>
        <v>1</v>
      </c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</row>
    <row r="11" spans="1:1028" x14ac:dyDescent="0.2">
      <c r="A11" s="3" t="str">
        <f t="shared" si="56"/>
        <v>aa1r_human_5UEN</v>
      </c>
      <c r="B11" s="3" t="s">
        <v>138</v>
      </c>
      <c r="C11" s="3" t="s">
        <v>1396</v>
      </c>
      <c r="D11" s="3" t="str">
        <f>IFERROR(MID(VLOOKUP($B11,Seqs!$A:$B,2,0),E11,1),"")</f>
        <v>S</v>
      </c>
      <c r="E11" s="3">
        <v>6</v>
      </c>
      <c r="F11" s="3" t="str">
        <f>IFERROR(MID(VLOOKUP($B11,Seqs!$A:$B,2,0),G11,1),"")</f>
        <v>N</v>
      </c>
      <c r="G11" s="3">
        <v>37</v>
      </c>
      <c r="H11" s="3" t="str">
        <f>IFERROR(MID(VLOOKUP($B11,Seqs!$A:$B,2,0),I11,1),"")</f>
        <v>Q</v>
      </c>
      <c r="I11" s="23">
        <v>38</v>
      </c>
      <c r="J11" s="3" t="str">
        <f>IFERROR(MID(VLOOKUP($B11,Seqs!$A:$B,2,0),K11,1),"")</f>
        <v>R</v>
      </c>
      <c r="K11" s="23">
        <v>41</v>
      </c>
      <c r="L11" s="3" t="str">
        <f>IFERROR(MID(VLOOKUP($B11,Seqs!$A:$B,2,0),M11,1),"")</f>
        <v>D</v>
      </c>
      <c r="M11" s="3">
        <v>42</v>
      </c>
      <c r="N11" s="3" t="str">
        <f>IFERROR(MID(VLOOKUP($B11,Seqs!$A:$B,2,0),O11,1),"")</f>
        <v>G</v>
      </c>
      <c r="O11" s="3">
        <v>72</v>
      </c>
      <c r="P11" s="3" t="str">
        <f>IFERROR(MID(VLOOKUP($B11,Seqs!$A:$B,2,0),Q11,1),"")</f>
        <v>P</v>
      </c>
      <c r="Q11" s="3">
        <v>73</v>
      </c>
      <c r="R11" s="3" t="str">
        <f>IFERROR(MID(VLOOKUP($B11,Seqs!$A:$B,2,0),S11,1),"")</f>
        <v>T</v>
      </c>
      <c r="S11" s="3">
        <v>75</v>
      </c>
      <c r="T11" s="3" t="str">
        <f>IFERROR(MID(VLOOKUP($B11,Seqs!$A:$B,2,0),U11,1),"")</f>
        <v>Y</v>
      </c>
      <c r="U11" s="3">
        <v>76</v>
      </c>
      <c r="V11" s="3" t="str">
        <f>IFERROR(MID(VLOOKUP($B11,Seqs!$A:$B,2,0),W11,1),"")</f>
        <v>I</v>
      </c>
      <c r="W11" s="3">
        <v>111</v>
      </c>
      <c r="X11" s="3" t="str">
        <f>IFERROR(MID(VLOOKUP($B11,Seqs!$A:$B,2,0),Y11,1),"")</f>
        <v>P</v>
      </c>
      <c r="Y11" s="3">
        <v>112</v>
      </c>
      <c r="Z11" s="3" t="str">
        <f>IFERROR(MID(VLOOKUP($B11,Seqs!$A:$B,2,0),AA11,1),"")</f>
        <v>V</v>
      </c>
      <c r="AA11" s="3">
        <v>119</v>
      </c>
      <c r="AB11" s="3" t="str">
        <f>IFERROR(MID(VLOOKUP($B11,Seqs!$A:$B,2,0),AC11,1),"")</f>
        <v>T</v>
      </c>
      <c r="AC11" s="3">
        <v>120</v>
      </c>
      <c r="AD11" s="3" t="str">
        <f>IFERROR(MID(VLOOKUP($B11,Seqs!$A:$B,2,0),AE11,1),"")</f>
        <v>G</v>
      </c>
      <c r="AE11" s="3">
        <v>145</v>
      </c>
      <c r="AF11" s="3" t="str">
        <f>IFERROR(MID(VLOOKUP($B11,Seqs!$A:$B,2,0),AG11,1),"")</f>
        <v>C</v>
      </c>
      <c r="AG11" s="3">
        <v>169</v>
      </c>
      <c r="AH11" s="3" t="str">
        <f>IFERROR(MID(VLOOKUP($B11,Seqs!$A:$B,2,0),AI11,1),"")</f>
        <v>F</v>
      </c>
      <c r="AI11" s="3">
        <v>171</v>
      </c>
      <c r="AJ11" s="3" t="str">
        <f>IFERROR(MID(VLOOKUP($B11,Seqs!$A:$B,2,0),AK11,1),"")</f>
        <v>S</v>
      </c>
      <c r="AK11" s="3">
        <v>176</v>
      </c>
      <c r="AL11" s="3" t="str">
        <f>IFERROR(MID(VLOOKUP($B11,Seqs!$A:$B,2,0),AM11,1),"")</f>
        <v>L</v>
      </c>
      <c r="AM11" s="3">
        <v>211</v>
      </c>
      <c r="AN11" s="3" t="str">
        <f>IFERROR(MID(VLOOKUP($B11,Seqs!$A:$B,2,0),AO11,1),"")</f>
        <v>G</v>
      </c>
      <c r="AO11" s="3">
        <v>220</v>
      </c>
      <c r="AP11" s="3" t="str">
        <f>IFERROR(MID(VLOOKUP($B11,Seqs!$A:$B,2,0),AQ11,1),"")</f>
        <v>C</v>
      </c>
      <c r="AQ11" s="3">
        <v>260</v>
      </c>
      <c r="AR11" s="3" t="str">
        <f>IFERROR(MID(VLOOKUP($B11,Seqs!$A:$B,2,0),AS11,1),"")</f>
        <v>P</v>
      </c>
      <c r="AS11" s="3">
        <v>266</v>
      </c>
      <c r="AT11" s="3" t="str">
        <f>IFERROR(MID(VLOOKUP($B11,Seqs!$A:$B,2,0),AU11,1),"")</f>
        <v>R</v>
      </c>
      <c r="AU11" s="3">
        <v>291</v>
      </c>
      <c r="AV11" s="3" t="str">
        <f>IFERROR(MID(VLOOKUP($B11,Seqs!$A:$B,2,0),AW11,1),"")</f>
        <v>I</v>
      </c>
      <c r="AW11" s="3">
        <v>292</v>
      </c>
      <c r="AX11" s="3" t="str">
        <f>IFERROR(MID(VLOOKUP($B11,Seqs!$A:$B,2,0),AY11,1),"")</f>
        <v>F</v>
      </c>
      <c r="AY11" s="3">
        <v>307</v>
      </c>
      <c r="AZ11" s="79" t="str">
        <f>VLOOKUP(B11,Classification!A:D,2,0)</f>
        <v>A</v>
      </c>
      <c r="BA11" s="97" t="str">
        <f>VLOOKUP(B11,Classification!A:D,4,0)</f>
        <v>Adenosine</v>
      </c>
      <c r="BB11" s="27" t="b">
        <f t="shared" si="57"/>
        <v>1</v>
      </c>
      <c r="BC11" s="23">
        <f t="shared" si="58"/>
        <v>262</v>
      </c>
      <c r="BD11" s="4" t="s">
        <v>23</v>
      </c>
      <c r="BE11" s="3" t="s">
        <v>1381</v>
      </c>
      <c r="BF11" s="50" t="s">
        <v>1384</v>
      </c>
      <c r="BG11" s="50" t="s">
        <v>1384</v>
      </c>
      <c r="BH11" s="1"/>
      <c r="BI11" s="72" t="s">
        <v>1293</v>
      </c>
      <c r="BJ11" s="58" t="s">
        <v>1293</v>
      </c>
      <c r="BK11" s="58" t="s">
        <v>1293</v>
      </c>
      <c r="BL11" s="58" t="s">
        <v>1293</v>
      </c>
      <c r="BM11" s="58" t="s">
        <v>1293</v>
      </c>
      <c r="BN11" s="58" t="s">
        <v>1293</v>
      </c>
      <c r="BO11" s="58" t="s">
        <v>1293</v>
      </c>
      <c r="BP11" s="58" t="s">
        <v>1293</v>
      </c>
      <c r="BQ11" s="58" t="s">
        <v>1293</v>
      </c>
      <c r="BR11" s="58" t="s">
        <v>1293</v>
      </c>
      <c r="BS11" s="58" t="s">
        <v>1293</v>
      </c>
      <c r="BT11" s="58" t="s">
        <v>1293</v>
      </c>
      <c r="BU11" s="72">
        <f t="shared" si="59"/>
        <v>6</v>
      </c>
      <c r="BV11" s="73">
        <f t="shared" si="60"/>
        <v>38</v>
      </c>
      <c r="BW11" s="74">
        <f t="shared" si="61"/>
        <v>42</v>
      </c>
      <c r="BX11" s="73">
        <f t="shared" si="62"/>
        <v>73</v>
      </c>
      <c r="BY11" s="74">
        <f t="shared" si="63"/>
        <v>76</v>
      </c>
      <c r="BZ11" s="73">
        <f t="shared" si="64"/>
        <v>112</v>
      </c>
      <c r="CA11" s="74">
        <f t="shared" si="65"/>
        <v>120</v>
      </c>
      <c r="CB11" s="73">
        <f t="shared" si="66"/>
        <v>169</v>
      </c>
      <c r="CC11" s="74">
        <f t="shared" si="67"/>
        <v>176</v>
      </c>
      <c r="CD11" s="73">
        <f t="shared" si="68"/>
        <v>220</v>
      </c>
      <c r="CE11" s="74">
        <f t="shared" si="69"/>
        <v>266</v>
      </c>
      <c r="CF11" s="73">
        <f t="shared" si="70"/>
        <v>292</v>
      </c>
      <c r="CG11" s="72">
        <f t="shared" si="71"/>
        <v>37</v>
      </c>
      <c r="CH11" s="73">
        <f t="shared" si="72"/>
        <v>41</v>
      </c>
      <c r="CI11" s="74">
        <f t="shared" si="73"/>
        <v>72</v>
      </c>
      <c r="CJ11" s="74">
        <f t="shared" si="74"/>
        <v>75</v>
      </c>
      <c r="CK11" s="74">
        <f t="shared" si="75"/>
        <v>111</v>
      </c>
      <c r="CL11" s="74">
        <f t="shared" si="76"/>
        <v>119</v>
      </c>
      <c r="CM11" s="74">
        <f t="shared" si="77"/>
        <v>145</v>
      </c>
      <c r="CN11" s="74">
        <f t="shared" si="78"/>
        <v>171</v>
      </c>
      <c r="CO11" s="74">
        <f t="shared" si="79"/>
        <v>211</v>
      </c>
      <c r="CP11" s="74">
        <f t="shared" si="80"/>
        <v>260</v>
      </c>
      <c r="CQ11" s="74">
        <f t="shared" si="81"/>
        <v>291</v>
      </c>
      <c r="CR11" s="74">
        <f t="shared" si="82"/>
        <v>307</v>
      </c>
      <c r="CS11" s="23">
        <f t="shared" si="83"/>
        <v>1</v>
      </c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</row>
    <row r="12" spans="1:1028" x14ac:dyDescent="0.2">
      <c r="A12" s="3" t="str">
        <f t="shared" si="0"/>
        <v>aa2ar_human__wt</v>
      </c>
      <c r="B12" s="3" t="s">
        <v>139</v>
      </c>
      <c r="C12" s="3" t="s">
        <v>100</v>
      </c>
      <c r="D12" s="3" t="str">
        <f>IFERROR(MID(VLOOKUP($B12,Seqs!$A:$B,2,0),E12,1),"")</f>
        <v>M</v>
      </c>
      <c r="E12" s="3">
        <v>1</v>
      </c>
      <c r="F12" s="3" t="str">
        <f>IFERROR(MID(VLOOKUP($B12,Seqs!$A:$B,2,0),G12,1),"")</f>
        <v>N</v>
      </c>
      <c r="G12" s="3">
        <v>34</v>
      </c>
      <c r="H12" s="3" t="str">
        <f>IFERROR(MID(VLOOKUP($B12,Seqs!$A:$B,2,0),I12,1),"")</f>
        <v>S</v>
      </c>
      <c r="I12" s="23">
        <v>35</v>
      </c>
      <c r="J12" s="3" t="str">
        <f>IFERROR(MID(VLOOKUP($B12,Seqs!$A:$B,2,0),K12,1),"")</f>
        <v>Q</v>
      </c>
      <c r="K12" s="23">
        <v>38</v>
      </c>
      <c r="L12" s="3" t="str">
        <f>IFERROR(MID(VLOOKUP($B12,Seqs!$A:$B,2,0),M12,1),"")</f>
        <v>N</v>
      </c>
      <c r="M12" s="3">
        <v>39</v>
      </c>
      <c r="N12" s="3" t="str">
        <f>IFERROR(MID(VLOOKUP($B12,Seqs!$A:$B,2,0),O12,1),"")</f>
        <v>G</v>
      </c>
      <c r="O12" s="3">
        <v>69</v>
      </c>
      <c r="P12" s="3" t="str">
        <f>IFERROR(MID(VLOOKUP($B12,Seqs!$A:$B,2,0),Q12,1),"")</f>
        <v>F</v>
      </c>
      <c r="Q12" s="3">
        <v>70</v>
      </c>
      <c r="R12" s="3" t="str">
        <f>IFERROR(MID(VLOOKUP($B12,Seqs!$A:$B,2,0),S12,1),"")</f>
        <v>A</v>
      </c>
      <c r="S12" s="3">
        <v>72</v>
      </c>
      <c r="T12" s="3" t="str">
        <f>IFERROR(MID(VLOOKUP($B12,Seqs!$A:$B,2,0),U12,1),"")</f>
        <v>A</v>
      </c>
      <c r="U12" s="3">
        <v>73</v>
      </c>
      <c r="V12" s="3" t="str">
        <f>IFERROR(MID(VLOOKUP($B12,Seqs!$A:$B,2,0),W12,1),"")</f>
        <v>I</v>
      </c>
      <c r="W12" s="3">
        <v>108</v>
      </c>
      <c r="X12" s="3" t="str">
        <f>IFERROR(MID(VLOOKUP($B12,Seqs!$A:$B,2,0),Y12,1),"")</f>
        <v>P</v>
      </c>
      <c r="Y12" s="3">
        <v>109</v>
      </c>
      <c r="Z12" s="3" t="str">
        <f>IFERROR(MID(VLOOKUP($B12,Seqs!$A:$B,2,0),AA12,1),"")</f>
        <v>V</v>
      </c>
      <c r="AA12" s="3">
        <v>116</v>
      </c>
      <c r="AB12" s="3" t="str">
        <f>IFERROR(MID(VLOOKUP($B12,Seqs!$A:$B,2,0),AC12,1),"")</f>
        <v>T</v>
      </c>
      <c r="AC12" s="9">
        <v>117</v>
      </c>
      <c r="AD12" s="3" t="str">
        <f>IFERROR(MID(VLOOKUP($B12,Seqs!$A:$B,2,0),AE12,1),"")</f>
        <v>G</v>
      </c>
      <c r="AE12" s="3">
        <v>142</v>
      </c>
      <c r="AF12" s="3" t="str">
        <f>IFERROR(MID(VLOOKUP($B12,Seqs!$A:$B,2,0),AG12,1),"")</f>
        <v>C</v>
      </c>
      <c r="AG12" s="3">
        <v>166</v>
      </c>
      <c r="AH12" s="3" t="str">
        <f>IFERROR(MID(VLOOKUP($B12,Seqs!$A:$B,2,0),AI12,1),"")</f>
        <v>F</v>
      </c>
      <c r="AI12" s="3">
        <v>168</v>
      </c>
      <c r="AJ12" s="3" t="str">
        <f>IFERROR(MID(VLOOKUP($B12,Seqs!$A:$B,2,0),AK12,1),"")</f>
        <v>P</v>
      </c>
      <c r="AK12" s="3">
        <v>173</v>
      </c>
      <c r="AL12" s="3" t="str">
        <f>IFERROR(MID(VLOOKUP($B12,Seqs!$A:$B,2,0),AM12,1),"")</f>
        <v>S</v>
      </c>
      <c r="AM12" s="3">
        <v>213</v>
      </c>
      <c r="AN12" s="3" t="str">
        <f>IFERROR(MID(VLOOKUP($B12,Seqs!$A:$B,2,0),AO12,1),"")</f>
        <v>E</v>
      </c>
      <c r="AO12" s="3">
        <v>219</v>
      </c>
      <c r="AP12" s="3" t="str">
        <f>IFERROR(MID(VLOOKUP($B12,Seqs!$A:$B,2,0),AQ12,1),"")</f>
        <v>C</v>
      </c>
      <c r="AQ12" s="3">
        <v>259</v>
      </c>
      <c r="AR12" s="3" t="str">
        <f>IFERROR(MID(VLOOKUP($B12,Seqs!$A:$B,2,0),AS12,1),"")</f>
        <v>P</v>
      </c>
      <c r="AS12" s="3">
        <v>266</v>
      </c>
      <c r="AT12" s="3" t="str">
        <f>IFERROR(MID(VLOOKUP($B12,Seqs!$A:$B,2,0),AU12,1),"")</f>
        <v>R</v>
      </c>
      <c r="AU12" s="3">
        <v>291</v>
      </c>
      <c r="AV12" s="3" t="str">
        <f>IFERROR(MID(VLOOKUP($B12,Seqs!$A:$B,2,0),AW12,1),"")</f>
        <v>I</v>
      </c>
      <c r="AW12" s="3">
        <v>292</v>
      </c>
      <c r="AX12" s="3" t="str">
        <f>IFERROR(MID(VLOOKUP($B12,Seqs!$A:$B,2,0),AY12,1),"")</f>
        <v>F</v>
      </c>
      <c r="AY12" s="3">
        <v>314</v>
      </c>
      <c r="AZ12" s="79" t="str">
        <f>VLOOKUP(B12,Classification!A:D,2,0)</f>
        <v>A</v>
      </c>
      <c r="BA12" s="97" t="str">
        <f>VLOOKUP(B12,Classification!A:D,4,0)</f>
        <v>Adenosine</v>
      </c>
      <c r="BB12" s="27" t="b">
        <f t="shared" si="1"/>
        <v>1</v>
      </c>
      <c r="BC12" s="23">
        <f t="shared" si="2"/>
        <v>276</v>
      </c>
      <c r="BD12" s="35" t="s">
        <v>1379</v>
      </c>
      <c r="BE12" s="3" t="s">
        <v>1381</v>
      </c>
      <c r="BF12" s="50" t="s">
        <v>1379</v>
      </c>
      <c r="BG12" s="50" t="s">
        <v>1384</v>
      </c>
      <c r="BH12" s="1"/>
      <c r="BI12" s="72" t="s">
        <v>1293</v>
      </c>
      <c r="BJ12" s="58" t="s">
        <v>1293</v>
      </c>
      <c r="BK12" s="58" t="s">
        <v>1293</v>
      </c>
      <c r="BL12" s="58" t="s">
        <v>1293</v>
      </c>
      <c r="BM12" s="58" t="s">
        <v>1293</v>
      </c>
      <c r="BN12" s="58" t="s">
        <v>1293</v>
      </c>
      <c r="BO12" s="58" t="s">
        <v>1293</v>
      </c>
      <c r="BP12" s="58" t="s">
        <v>1293</v>
      </c>
      <c r="BQ12" s="58" t="s">
        <v>1293</v>
      </c>
      <c r="BR12" s="58" t="s">
        <v>1293</v>
      </c>
      <c r="BS12" s="58" t="s">
        <v>1293</v>
      </c>
      <c r="BT12" s="58" t="s">
        <v>1293</v>
      </c>
      <c r="BU12" s="72">
        <f t="shared" si="3"/>
        <v>1</v>
      </c>
      <c r="BV12" s="73">
        <f t="shared" si="4"/>
        <v>35</v>
      </c>
      <c r="BW12" s="74">
        <f t="shared" si="5"/>
        <v>39</v>
      </c>
      <c r="BX12" s="73">
        <f t="shared" si="6"/>
        <v>70</v>
      </c>
      <c r="BY12" s="74">
        <f t="shared" si="7"/>
        <v>73</v>
      </c>
      <c r="BZ12" s="73">
        <f t="shared" si="8"/>
        <v>109</v>
      </c>
      <c r="CA12" s="74">
        <f t="shared" si="9"/>
        <v>117</v>
      </c>
      <c r="CB12" s="73">
        <f t="shared" si="10"/>
        <v>166</v>
      </c>
      <c r="CC12" s="74">
        <f t="shared" si="11"/>
        <v>173</v>
      </c>
      <c r="CD12" s="73">
        <f t="shared" si="12"/>
        <v>219</v>
      </c>
      <c r="CE12" s="74">
        <f t="shared" si="13"/>
        <v>266</v>
      </c>
      <c r="CF12" s="73">
        <f t="shared" si="14"/>
        <v>292</v>
      </c>
      <c r="CG12" s="72">
        <f t="shared" si="15"/>
        <v>34</v>
      </c>
      <c r="CH12" s="73">
        <f t="shared" si="16"/>
        <v>38</v>
      </c>
      <c r="CI12" s="74">
        <f t="shared" si="17"/>
        <v>69</v>
      </c>
      <c r="CJ12" s="74">
        <f t="shared" si="18"/>
        <v>72</v>
      </c>
      <c r="CK12" s="74">
        <f t="shared" si="19"/>
        <v>108</v>
      </c>
      <c r="CL12" s="74">
        <f t="shared" si="20"/>
        <v>116</v>
      </c>
      <c r="CM12" s="74">
        <f t="shared" si="21"/>
        <v>142</v>
      </c>
      <c r="CN12" s="74">
        <f t="shared" si="22"/>
        <v>168</v>
      </c>
      <c r="CO12" s="74">
        <f t="shared" si="23"/>
        <v>213</v>
      </c>
      <c r="CP12" s="74">
        <f t="shared" si="24"/>
        <v>259</v>
      </c>
      <c r="CQ12" s="74">
        <f t="shared" si="25"/>
        <v>291</v>
      </c>
      <c r="CR12" s="74">
        <f t="shared" si="26"/>
        <v>314</v>
      </c>
      <c r="CS12" s="23">
        <f t="shared" si="27"/>
        <v>1</v>
      </c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</row>
    <row r="13" spans="1:1028" x14ac:dyDescent="0.2">
      <c r="A13" s="3" t="str">
        <f t="shared" si="0"/>
        <v>aa2ar_human_2YDO</v>
      </c>
      <c r="B13" s="3" t="s">
        <v>139</v>
      </c>
      <c r="C13" s="3" t="s">
        <v>1029</v>
      </c>
      <c r="D13" s="3" t="str">
        <f>IFERROR(MID(VLOOKUP($B13,Seqs!$A:$B,2,0),E13,1),"")</f>
        <v>S</v>
      </c>
      <c r="E13" s="3">
        <v>7</v>
      </c>
      <c r="F13" s="3" t="str">
        <f>IFERROR(MID(VLOOKUP($B13,Seqs!$A:$B,2,0),G13,1),"")</f>
        <v>N</v>
      </c>
      <c r="G13" s="3">
        <v>34</v>
      </c>
      <c r="H13" s="3" t="str">
        <f>IFERROR(MID(VLOOKUP($B13,Seqs!$A:$B,2,0),I13,1),"")</f>
        <v>S</v>
      </c>
      <c r="I13" s="23">
        <v>35</v>
      </c>
      <c r="J13" s="3" t="str">
        <f>IFERROR(MID(VLOOKUP($B13,Seqs!$A:$B,2,0),K13,1),"")</f>
        <v>Q</v>
      </c>
      <c r="K13" s="23">
        <v>38</v>
      </c>
      <c r="L13" s="3" t="str">
        <f>IFERROR(MID(VLOOKUP($B13,Seqs!$A:$B,2,0),M13,1),"")</f>
        <v>N</v>
      </c>
      <c r="M13" s="3">
        <v>39</v>
      </c>
      <c r="N13" s="3" t="str">
        <f>IFERROR(MID(VLOOKUP($B13,Seqs!$A:$B,2,0),O13,1),"")</f>
        <v>G</v>
      </c>
      <c r="O13" s="3">
        <v>69</v>
      </c>
      <c r="P13" s="3" t="str">
        <f>IFERROR(MID(VLOOKUP($B13,Seqs!$A:$B,2,0),Q13,1),"")</f>
        <v>F</v>
      </c>
      <c r="Q13" s="3">
        <v>70</v>
      </c>
      <c r="R13" s="3" t="str">
        <f>IFERROR(MID(VLOOKUP($B13,Seqs!$A:$B,2,0),S13,1),"")</f>
        <v>A</v>
      </c>
      <c r="S13" s="3">
        <v>72</v>
      </c>
      <c r="T13" s="3" t="str">
        <f>IFERROR(MID(VLOOKUP($B13,Seqs!$A:$B,2,0),U13,1),"")</f>
        <v>A</v>
      </c>
      <c r="U13" s="3">
        <v>73</v>
      </c>
      <c r="V13" s="3" t="str">
        <f>IFERROR(MID(VLOOKUP($B13,Seqs!$A:$B,2,0),W13,1),"")</f>
        <v>I</v>
      </c>
      <c r="W13" s="3">
        <v>108</v>
      </c>
      <c r="X13" s="3" t="str">
        <f>IFERROR(MID(VLOOKUP($B13,Seqs!$A:$B,2,0),Y13,1),"")</f>
        <v>P</v>
      </c>
      <c r="Y13" s="3">
        <v>109</v>
      </c>
      <c r="Z13" s="3" t="str">
        <f>IFERROR(MID(VLOOKUP($B13,Seqs!$A:$B,2,0),AA13,1),"")</f>
        <v>V</v>
      </c>
      <c r="AA13" s="3">
        <v>116</v>
      </c>
      <c r="AB13" s="3" t="str">
        <f>IFERROR(MID(VLOOKUP($B13,Seqs!$A:$B,2,0),AC13,1),"")</f>
        <v>T</v>
      </c>
      <c r="AC13" s="9">
        <v>117</v>
      </c>
      <c r="AD13" s="3" t="str">
        <f>IFERROR(MID(VLOOKUP($B13,Seqs!$A:$B,2,0),AE13,1),"")</f>
        <v>G</v>
      </c>
      <c r="AE13" s="3">
        <v>142</v>
      </c>
      <c r="AF13" s="3" t="str">
        <f>IFERROR(MID(VLOOKUP($B13,Seqs!$A:$B,2,0),AG13,1),"")</f>
        <v>C</v>
      </c>
      <c r="AG13" s="3">
        <v>166</v>
      </c>
      <c r="AH13" s="3" t="str">
        <f>IFERROR(MID(VLOOKUP($B13,Seqs!$A:$B,2,0),AI13,1),"")</f>
        <v>F</v>
      </c>
      <c r="AI13" s="3">
        <v>168</v>
      </c>
      <c r="AJ13" s="3" t="str">
        <f>IFERROR(MID(VLOOKUP($B13,Seqs!$A:$B,2,0),AK13,1),"")</f>
        <v>P</v>
      </c>
      <c r="AK13" s="3">
        <v>173</v>
      </c>
      <c r="AL13" s="3" t="str">
        <f>IFERROR(MID(VLOOKUP($B13,Seqs!$A:$B,2,0),AM13,1),"")</f>
        <v>Q</v>
      </c>
      <c r="AM13" s="3">
        <v>210</v>
      </c>
      <c r="AN13" s="3" t="str">
        <f>IFERROR(MID(VLOOKUP($B13,Seqs!$A:$B,2,0),AO13,1),"")</f>
        <v>L</v>
      </c>
      <c r="AO13" s="3">
        <v>225</v>
      </c>
      <c r="AP13" s="3" t="str">
        <f>IFERROR(MID(VLOOKUP($B13,Seqs!$A:$B,2,0),AQ13,1),"")</f>
        <v>C</v>
      </c>
      <c r="AQ13" s="3">
        <v>259</v>
      </c>
      <c r="AR13" s="3" t="str">
        <f>IFERROR(MID(VLOOKUP($B13,Seqs!$A:$B,2,0),AS13,1),"")</f>
        <v>P</v>
      </c>
      <c r="AS13" s="3">
        <v>266</v>
      </c>
      <c r="AT13" s="3" t="str">
        <f>IFERROR(MID(VLOOKUP($B13,Seqs!$A:$B,2,0),AU13,1),"")</f>
        <v>R</v>
      </c>
      <c r="AU13" s="3">
        <v>291</v>
      </c>
      <c r="AV13" s="3" t="str">
        <f>IFERROR(MID(VLOOKUP($B13,Seqs!$A:$B,2,0),AW13,1),"")</f>
        <v>I</v>
      </c>
      <c r="AW13" s="3">
        <v>292</v>
      </c>
      <c r="AX13" s="3" t="str">
        <f>IFERROR(MID(VLOOKUP($B13,Seqs!$A:$B,2,0),AY13,1),"")</f>
        <v>A</v>
      </c>
      <c r="AY13" s="3">
        <v>317</v>
      </c>
      <c r="AZ13" s="79" t="str">
        <f>VLOOKUP(B13,Classification!A:D,2,0)</f>
        <v>A</v>
      </c>
      <c r="BA13" s="97" t="str">
        <f>VLOOKUP(B13,Classification!A:D,4,0)</f>
        <v>Adenosine</v>
      </c>
      <c r="BB13" s="27" t="b">
        <f t="shared" si="1"/>
        <v>1</v>
      </c>
      <c r="BC13" s="23">
        <f t="shared" si="2"/>
        <v>264</v>
      </c>
      <c r="BD13" s="4" t="s">
        <v>23</v>
      </c>
      <c r="BE13" s="3" t="s">
        <v>1297</v>
      </c>
      <c r="BF13" s="50" t="s">
        <v>1384</v>
      </c>
      <c r="BG13" s="50" t="s">
        <v>1384</v>
      </c>
      <c r="BH13" s="1"/>
      <c r="BI13" s="72" t="s">
        <v>1293</v>
      </c>
      <c r="BJ13" s="58" t="s">
        <v>1293</v>
      </c>
      <c r="BK13" s="58" t="s">
        <v>1293</v>
      </c>
      <c r="BL13" s="58" t="s">
        <v>1293</v>
      </c>
      <c r="BM13" s="58" t="s">
        <v>1293</v>
      </c>
      <c r="BN13" s="58" t="s">
        <v>1293</v>
      </c>
      <c r="BO13" s="58" t="s">
        <v>1293</v>
      </c>
      <c r="BP13" s="58" t="s">
        <v>1293</v>
      </c>
      <c r="BQ13" s="58" t="s">
        <v>1293</v>
      </c>
      <c r="BR13" s="58" t="s">
        <v>1293</v>
      </c>
      <c r="BS13" s="58" t="s">
        <v>1293</v>
      </c>
      <c r="BT13" s="58" t="s">
        <v>1293</v>
      </c>
      <c r="BU13" s="72">
        <f t="shared" si="3"/>
        <v>7</v>
      </c>
      <c r="BV13" s="73">
        <f t="shared" si="4"/>
        <v>35</v>
      </c>
      <c r="BW13" s="74">
        <f t="shared" si="5"/>
        <v>39</v>
      </c>
      <c r="BX13" s="73">
        <f t="shared" si="6"/>
        <v>70</v>
      </c>
      <c r="BY13" s="74">
        <f t="shared" si="7"/>
        <v>73</v>
      </c>
      <c r="BZ13" s="73">
        <f t="shared" si="8"/>
        <v>109</v>
      </c>
      <c r="CA13" s="74">
        <f t="shared" si="9"/>
        <v>117</v>
      </c>
      <c r="CB13" s="73">
        <f t="shared" si="10"/>
        <v>166</v>
      </c>
      <c r="CC13" s="74">
        <f t="shared" si="11"/>
        <v>173</v>
      </c>
      <c r="CD13" s="73">
        <f t="shared" si="12"/>
        <v>225</v>
      </c>
      <c r="CE13" s="74">
        <f t="shared" si="13"/>
        <v>266</v>
      </c>
      <c r="CF13" s="73">
        <f t="shared" si="14"/>
        <v>292</v>
      </c>
      <c r="CG13" s="72">
        <f t="shared" si="15"/>
        <v>34</v>
      </c>
      <c r="CH13" s="73">
        <f t="shared" si="16"/>
        <v>38</v>
      </c>
      <c r="CI13" s="74">
        <f t="shared" si="17"/>
        <v>69</v>
      </c>
      <c r="CJ13" s="74">
        <f t="shared" si="18"/>
        <v>72</v>
      </c>
      <c r="CK13" s="74">
        <f t="shared" si="19"/>
        <v>108</v>
      </c>
      <c r="CL13" s="74">
        <f t="shared" si="20"/>
        <v>116</v>
      </c>
      <c r="CM13" s="74">
        <f t="shared" si="21"/>
        <v>142</v>
      </c>
      <c r="CN13" s="74">
        <f t="shared" si="22"/>
        <v>168</v>
      </c>
      <c r="CO13" s="74">
        <f t="shared" si="23"/>
        <v>210</v>
      </c>
      <c r="CP13" s="74">
        <f t="shared" si="24"/>
        <v>259</v>
      </c>
      <c r="CQ13" s="74">
        <f t="shared" si="25"/>
        <v>291</v>
      </c>
      <c r="CR13" s="74">
        <f t="shared" si="26"/>
        <v>317</v>
      </c>
      <c r="CS13" s="23">
        <f t="shared" si="27"/>
        <v>1</v>
      </c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</row>
    <row r="14" spans="1:1028" x14ac:dyDescent="0.2">
      <c r="A14" s="3" t="str">
        <f t="shared" si="0"/>
        <v>aa2ar_human_2YDV</v>
      </c>
      <c r="B14" s="3" t="s">
        <v>139</v>
      </c>
      <c r="C14" s="3" t="s">
        <v>80</v>
      </c>
      <c r="D14" s="3" t="str">
        <f>IFERROR(MID(VLOOKUP($B14,Seqs!$A:$B,2,0),E14,1),"")</f>
        <v>S</v>
      </c>
      <c r="E14" s="3">
        <v>7</v>
      </c>
      <c r="F14" s="3" t="str">
        <f>IFERROR(MID(VLOOKUP($B14,Seqs!$A:$B,2,0),G14,1),"")</f>
        <v>N</v>
      </c>
      <c r="G14" s="3">
        <v>34</v>
      </c>
      <c r="H14" s="3" t="str">
        <f>IFERROR(MID(VLOOKUP($B14,Seqs!$A:$B,2,0),I14,1),"")</f>
        <v>S</v>
      </c>
      <c r="I14" s="23">
        <v>35</v>
      </c>
      <c r="J14" s="3" t="str">
        <f>IFERROR(MID(VLOOKUP($B14,Seqs!$A:$B,2,0),K14,1),"")</f>
        <v>Q</v>
      </c>
      <c r="K14" s="23">
        <v>38</v>
      </c>
      <c r="L14" s="3" t="str">
        <f>IFERROR(MID(VLOOKUP($B14,Seqs!$A:$B,2,0),M14,1),"")</f>
        <v>N</v>
      </c>
      <c r="M14" s="3">
        <v>39</v>
      </c>
      <c r="N14" s="3" t="str">
        <f>IFERROR(MID(VLOOKUP($B14,Seqs!$A:$B,2,0),O14,1),"")</f>
        <v>G</v>
      </c>
      <c r="O14" s="3">
        <v>69</v>
      </c>
      <c r="P14" s="3" t="str">
        <f>IFERROR(MID(VLOOKUP($B14,Seqs!$A:$B,2,0),Q14,1),"")</f>
        <v>F</v>
      </c>
      <c r="Q14" s="3">
        <v>70</v>
      </c>
      <c r="R14" s="3" t="str">
        <f>IFERROR(MID(VLOOKUP($B14,Seqs!$A:$B,2,0),S14,1),"")</f>
        <v>A</v>
      </c>
      <c r="S14" s="3">
        <v>72</v>
      </c>
      <c r="T14" s="3" t="str">
        <f>IFERROR(MID(VLOOKUP($B14,Seqs!$A:$B,2,0),U14,1),"")</f>
        <v>A</v>
      </c>
      <c r="U14" s="3">
        <v>73</v>
      </c>
      <c r="V14" s="3" t="str">
        <f>IFERROR(MID(VLOOKUP($B14,Seqs!$A:$B,2,0),W14,1),"")</f>
        <v>I</v>
      </c>
      <c r="W14" s="3">
        <v>108</v>
      </c>
      <c r="X14" s="3" t="str">
        <f>IFERROR(MID(VLOOKUP($B14,Seqs!$A:$B,2,0),Y14,1),"")</f>
        <v>P</v>
      </c>
      <c r="Y14" s="3">
        <v>109</v>
      </c>
      <c r="Z14" s="3" t="str">
        <f>IFERROR(MID(VLOOKUP($B14,Seqs!$A:$B,2,0),AA14,1),"")</f>
        <v>V</v>
      </c>
      <c r="AA14" s="3">
        <v>116</v>
      </c>
      <c r="AB14" s="3" t="str">
        <f>IFERROR(MID(VLOOKUP($B14,Seqs!$A:$B,2,0),AC14,1),"")</f>
        <v>T</v>
      </c>
      <c r="AC14" s="9">
        <v>117</v>
      </c>
      <c r="AD14" s="3" t="str">
        <f>IFERROR(MID(VLOOKUP($B14,Seqs!$A:$B,2,0),AE14,1),"")</f>
        <v>G</v>
      </c>
      <c r="AE14" s="3">
        <v>142</v>
      </c>
      <c r="AF14" s="3" t="str">
        <f>IFERROR(MID(VLOOKUP($B14,Seqs!$A:$B,2,0),AG14,1),"")</f>
        <v>C</v>
      </c>
      <c r="AG14" s="3">
        <v>166</v>
      </c>
      <c r="AH14" s="3" t="str">
        <f>IFERROR(MID(VLOOKUP($B14,Seqs!$A:$B,2,0),AI14,1),"")</f>
        <v>F</v>
      </c>
      <c r="AI14" s="3">
        <v>168</v>
      </c>
      <c r="AJ14" s="3" t="str">
        <f>IFERROR(MID(VLOOKUP($B14,Seqs!$A:$B,2,0),AK14,1),"")</f>
        <v>P</v>
      </c>
      <c r="AK14" s="3">
        <v>173</v>
      </c>
      <c r="AL14" s="3" t="str">
        <f>IFERROR(MID(VLOOKUP($B14,Seqs!$A:$B,2,0),AM14,1),"")</f>
        <v>Q</v>
      </c>
      <c r="AM14" s="3">
        <v>210</v>
      </c>
      <c r="AN14" s="3" t="str">
        <f>IFERROR(MID(VLOOKUP($B14,Seqs!$A:$B,2,0),AO14,1),"")</f>
        <v>T</v>
      </c>
      <c r="AO14" s="3">
        <v>224</v>
      </c>
      <c r="AP14" s="3" t="str">
        <f>IFERROR(MID(VLOOKUP($B14,Seqs!$A:$B,2,0),AQ14,1),"")</f>
        <v>C</v>
      </c>
      <c r="AQ14" s="3">
        <v>259</v>
      </c>
      <c r="AR14" s="3" t="str">
        <f>IFERROR(MID(VLOOKUP($B14,Seqs!$A:$B,2,0),AS14,1),"")</f>
        <v>P</v>
      </c>
      <c r="AS14" s="3">
        <v>266</v>
      </c>
      <c r="AT14" s="3" t="str">
        <f>IFERROR(MID(VLOOKUP($B14,Seqs!$A:$B,2,0),AU14,1),"")</f>
        <v>R</v>
      </c>
      <c r="AU14" s="3">
        <v>291</v>
      </c>
      <c r="AV14" s="3" t="str">
        <f>IFERROR(MID(VLOOKUP($B14,Seqs!$A:$B,2,0),AW14,1),"")</f>
        <v>I</v>
      </c>
      <c r="AW14" s="3">
        <v>292</v>
      </c>
      <c r="AX14" s="3" t="str">
        <f>IFERROR(MID(VLOOKUP($B14,Seqs!$A:$B,2,0),AY14,1),"")</f>
        <v>A</v>
      </c>
      <c r="AY14" s="3">
        <v>317</v>
      </c>
      <c r="AZ14" s="79" t="str">
        <f>VLOOKUP(B14,Classification!A:D,2,0)</f>
        <v>A</v>
      </c>
      <c r="BA14" s="97" t="str">
        <f>VLOOKUP(B14,Classification!A:D,4,0)</f>
        <v>Adenosine</v>
      </c>
      <c r="BB14" s="27" t="b">
        <f t="shared" si="1"/>
        <v>1</v>
      </c>
      <c r="BC14" s="23">
        <f t="shared" si="2"/>
        <v>265</v>
      </c>
      <c r="BD14" s="4" t="s">
        <v>1382</v>
      </c>
      <c r="BE14" s="3" t="s">
        <v>1297</v>
      </c>
      <c r="BF14" s="50" t="s">
        <v>1384</v>
      </c>
      <c r="BG14" s="50" t="s">
        <v>1384</v>
      </c>
      <c r="BH14" s="1"/>
      <c r="BI14" s="72" t="s">
        <v>1293</v>
      </c>
      <c r="BJ14" s="58" t="s">
        <v>1293</v>
      </c>
      <c r="BK14" s="58" t="s">
        <v>1293</v>
      </c>
      <c r="BL14" s="58" t="s">
        <v>1293</v>
      </c>
      <c r="BM14" s="58" t="s">
        <v>1293</v>
      </c>
      <c r="BN14" s="58" t="s">
        <v>1293</v>
      </c>
      <c r="BO14" s="58" t="s">
        <v>1293</v>
      </c>
      <c r="BP14" s="58" t="s">
        <v>1293</v>
      </c>
      <c r="BQ14" s="58" t="s">
        <v>1293</v>
      </c>
      <c r="BR14" s="58" t="s">
        <v>1293</v>
      </c>
      <c r="BS14" s="58" t="s">
        <v>1293</v>
      </c>
      <c r="BT14" s="58" t="s">
        <v>1293</v>
      </c>
      <c r="BU14" s="72">
        <f t="shared" si="3"/>
        <v>7</v>
      </c>
      <c r="BV14" s="73">
        <f t="shared" si="4"/>
        <v>35</v>
      </c>
      <c r="BW14" s="74">
        <f t="shared" si="5"/>
        <v>39</v>
      </c>
      <c r="BX14" s="73">
        <f t="shared" si="6"/>
        <v>70</v>
      </c>
      <c r="BY14" s="74">
        <f t="shared" si="7"/>
        <v>73</v>
      </c>
      <c r="BZ14" s="73">
        <f t="shared" si="8"/>
        <v>109</v>
      </c>
      <c r="CA14" s="74">
        <f t="shared" si="9"/>
        <v>117</v>
      </c>
      <c r="CB14" s="73">
        <f t="shared" si="10"/>
        <v>166</v>
      </c>
      <c r="CC14" s="74">
        <f t="shared" si="11"/>
        <v>173</v>
      </c>
      <c r="CD14" s="73">
        <f t="shared" si="12"/>
        <v>224</v>
      </c>
      <c r="CE14" s="74">
        <f t="shared" si="13"/>
        <v>266</v>
      </c>
      <c r="CF14" s="73">
        <f t="shared" si="14"/>
        <v>292</v>
      </c>
      <c r="CG14" s="72">
        <f t="shared" si="15"/>
        <v>34</v>
      </c>
      <c r="CH14" s="73">
        <f t="shared" si="16"/>
        <v>38</v>
      </c>
      <c r="CI14" s="74">
        <f t="shared" si="17"/>
        <v>69</v>
      </c>
      <c r="CJ14" s="74">
        <f t="shared" si="18"/>
        <v>72</v>
      </c>
      <c r="CK14" s="74">
        <f t="shared" si="19"/>
        <v>108</v>
      </c>
      <c r="CL14" s="74">
        <f t="shared" si="20"/>
        <v>116</v>
      </c>
      <c r="CM14" s="74">
        <f t="shared" si="21"/>
        <v>142</v>
      </c>
      <c r="CN14" s="74">
        <f t="shared" si="22"/>
        <v>168</v>
      </c>
      <c r="CO14" s="74">
        <f t="shared" si="23"/>
        <v>210</v>
      </c>
      <c r="CP14" s="74">
        <f t="shared" si="24"/>
        <v>259</v>
      </c>
      <c r="CQ14" s="74">
        <f t="shared" si="25"/>
        <v>291</v>
      </c>
      <c r="CR14" s="74">
        <f t="shared" si="26"/>
        <v>317</v>
      </c>
      <c r="CS14" s="23">
        <f t="shared" si="27"/>
        <v>1</v>
      </c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</row>
    <row r="15" spans="1:1028" x14ac:dyDescent="0.2">
      <c r="A15" s="3" t="str">
        <f t="shared" si="0"/>
        <v>aa2ar_human_3QAK</v>
      </c>
      <c r="B15" s="3" t="s">
        <v>139</v>
      </c>
      <c r="C15" s="3" t="s">
        <v>1034</v>
      </c>
      <c r="D15" s="3" t="str">
        <f>IFERROR(MID(VLOOKUP($B15,Seqs!$A:$B,2,0),E15,1),"")</f>
        <v>G</v>
      </c>
      <c r="E15" s="3">
        <v>5</v>
      </c>
      <c r="F15" s="3" t="str">
        <f>IFERROR(MID(VLOOKUP($B15,Seqs!$A:$B,2,0),G15,1),"")</f>
        <v>N</v>
      </c>
      <c r="G15" s="3">
        <v>34</v>
      </c>
      <c r="H15" s="3" t="str">
        <f>IFERROR(MID(VLOOKUP($B15,Seqs!$A:$B,2,0),I15,1),"")</f>
        <v>S</v>
      </c>
      <c r="I15" s="23">
        <v>35</v>
      </c>
      <c r="J15" s="3" t="str">
        <f>IFERROR(MID(VLOOKUP($B15,Seqs!$A:$B,2,0),K15,1),"")</f>
        <v>Q</v>
      </c>
      <c r="K15" s="23">
        <v>38</v>
      </c>
      <c r="L15" s="3" t="str">
        <f>IFERROR(MID(VLOOKUP($B15,Seqs!$A:$B,2,0),M15,1),"")</f>
        <v>N</v>
      </c>
      <c r="M15" s="3">
        <v>39</v>
      </c>
      <c r="N15" s="3" t="str">
        <f>IFERROR(MID(VLOOKUP($B15,Seqs!$A:$B,2,0),O15,1),"")</f>
        <v>G</v>
      </c>
      <c r="O15" s="3">
        <v>69</v>
      </c>
      <c r="P15" s="3" t="str">
        <f>IFERROR(MID(VLOOKUP($B15,Seqs!$A:$B,2,0),Q15,1),"")</f>
        <v>F</v>
      </c>
      <c r="Q15" s="3">
        <v>70</v>
      </c>
      <c r="R15" s="3" t="str">
        <f>IFERROR(MID(VLOOKUP($B15,Seqs!$A:$B,2,0),S15,1),"")</f>
        <v>A</v>
      </c>
      <c r="S15" s="3">
        <v>72</v>
      </c>
      <c r="T15" s="3" t="str">
        <f>IFERROR(MID(VLOOKUP($B15,Seqs!$A:$B,2,0),U15,1),"")</f>
        <v>A</v>
      </c>
      <c r="U15" s="3">
        <v>73</v>
      </c>
      <c r="V15" s="3" t="str">
        <f>IFERROR(MID(VLOOKUP($B15,Seqs!$A:$B,2,0),W15,1),"")</f>
        <v>I</v>
      </c>
      <c r="W15" s="3">
        <v>108</v>
      </c>
      <c r="X15" s="3" t="str">
        <f>IFERROR(MID(VLOOKUP($B15,Seqs!$A:$B,2,0),Y15,1),"")</f>
        <v>P</v>
      </c>
      <c r="Y15" s="3">
        <v>109</v>
      </c>
      <c r="Z15" s="3" t="str">
        <f>IFERROR(MID(VLOOKUP($B15,Seqs!$A:$B,2,0),AA15,1),"")</f>
        <v>V</v>
      </c>
      <c r="AA15" s="3">
        <v>116</v>
      </c>
      <c r="AB15" s="3" t="str">
        <f>IFERROR(MID(VLOOKUP($B15,Seqs!$A:$B,2,0),AC15,1),"")</f>
        <v>T</v>
      </c>
      <c r="AC15" s="9">
        <v>117</v>
      </c>
      <c r="AD15" s="3" t="str">
        <f>IFERROR(MID(VLOOKUP($B15,Seqs!$A:$B,2,0),AE15,1),"")</f>
        <v>G</v>
      </c>
      <c r="AE15" s="3">
        <v>142</v>
      </c>
      <c r="AF15" s="3" t="str">
        <f>IFERROR(MID(VLOOKUP($B15,Seqs!$A:$B,2,0),AG15,1),"")</f>
        <v>C</v>
      </c>
      <c r="AG15" s="3">
        <v>166</v>
      </c>
      <c r="AH15" s="3" t="str">
        <f>IFERROR(MID(VLOOKUP($B15,Seqs!$A:$B,2,0),AI15,1),"")</f>
        <v>F</v>
      </c>
      <c r="AI15" s="3">
        <v>168</v>
      </c>
      <c r="AJ15" s="3" t="str">
        <f>IFERROR(MID(VLOOKUP($B15,Seqs!$A:$B,2,0),AK15,1),"")</f>
        <v>P</v>
      </c>
      <c r="AK15" s="3">
        <v>173</v>
      </c>
      <c r="AL15" s="3" t="str">
        <f>IFERROR(MID(VLOOKUP($B15,Seqs!$A:$B,2,0),AM15,1),"")</f>
        <v>A</v>
      </c>
      <c r="AM15" s="3">
        <v>204</v>
      </c>
      <c r="AN15" s="3" t="str">
        <f>IFERROR(MID(VLOOKUP($B15,Seqs!$A:$B,2,0),AO15,1),"")</f>
        <v>Q</v>
      </c>
      <c r="AO15" s="3">
        <v>226</v>
      </c>
      <c r="AP15" s="3" t="str">
        <f>IFERROR(MID(VLOOKUP($B15,Seqs!$A:$B,2,0),AQ15,1),"")</f>
        <v>C</v>
      </c>
      <c r="AQ15" s="3">
        <v>259</v>
      </c>
      <c r="AR15" s="3" t="str">
        <f>IFERROR(MID(VLOOKUP($B15,Seqs!$A:$B,2,0),AS15,1),"")</f>
        <v>P</v>
      </c>
      <c r="AS15" s="3">
        <v>266</v>
      </c>
      <c r="AT15" s="3" t="str">
        <f>IFERROR(MID(VLOOKUP($B15,Seqs!$A:$B,2,0),AU15,1),"")</f>
        <v>R</v>
      </c>
      <c r="AU15" s="3">
        <v>291</v>
      </c>
      <c r="AV15" s="3" t="str">
        <f>IFERROR(MID(VLOOKUP($B15,Seqs!$A:$B,2,0),AW15,1),"")</f>
        <v>I</v>
      </c>
      <c r="AW15" s="3">
        <v>292</v>
      </c>
      <c r="AX15" s="3" t="str">
        <f>IFERROR(MID(VLOOKUP($B15,Seqs!$A:$B,2,0),AY15,1),"")</f>
        <v>L</v>
      </c>
      <c r="AY15" s="3">
        <v>308</v>
      </c>
      <c r="AZ15" s="79" t="str">
        <f>VLOOKUP(B15,Classification!A:D,2,0)</f>
        <v>A</v>
      </c>
      <c r="BA15" s="97" t="str">
        <f>VLOOKUP(B15,Classification!A:D,4,0)</f>
        <v>Adenosine</v>
      </c>
      <c r="BB15" s="27" t="b">
        <f t="shared" si="1"/>
        <v>1</v>
      </c>
      <c r="BC15" s="23">
        <f t="shared" si="2"/>
        <v>250</v>
      </c>
      <c r="BD15" s="4" t="s">
        <v>23</v>
      </c>
      <c r="BE15" s="3" t="s">
        <v>1381</v>
      </c>
      <c r="BF15" s="50" t="s">
        <v>1384</v>
      </c>
      <c r="BG15" s="50" t="s">
        <v>1384</v>
      </c>
      <c r="BH15" s="1"/>
      <c r="BI15" s="72" t="s">
        <v>1293</v>
      </c>
      <c r="BJ15" s="58" t="s">
        <v>1293</v>
      </c>
      <c r="BK15" s="58" t="s">
        <v>1293</v>
      </c>
      <c r="BL15" s="58" t="s">
        <v>1293</v>
      </c>
      <c r="BM15" s="58" t="s">
        <v>1293</v>
      </c>
      <c r="BN15" s="58" t="s">
        <v>1293</v>
      </c>
      <c r="BO15" s="58" t="s">
        <v>1293</v>
      </c>
      <c r="BP15" s="58" t="s">
        <v>1293</v>
      </c>
      <c r="BQ15" s="58" t="s">
        <v>1293</v>
      </c>
      <c r="BR15" s="58" t="s">
        <v>1293</v>
      </c>
      <c r="BS15" s="58" t="s">
        <v>1293</v>
      </c>
      <c r="BT15" s="58" t="s">
        <v>1293</v>
      </c>
      <c r="BU15" s="72">
        <f t="shared" si="3"/>
        <v>5</v>
      </c>
      <c r="BV15" s="73">
        <f t="shared" si="4"/>
        <v>35</v>
      </c>
      <c r="BW15" s="74">
        <f t="shared" si="5"/>
        <v>39</v>
      </c>
      <c r="BX15" s="73">
        <f t="shared" si="6"/>
        <v>70</v>
      </c>
      <c r="BY15" s="74">
        <f t="shared" si="7"/>
        <v>73</v>
      </c>
      <c r="BZ15" s="73">
        <f t="shared" si="8"/>
        <v>109</v>
      </c>
      <c r="CA15" s="74">
        <f t="shared" si="9"/>
        <v>117</v>
      </c>
      <c r="CB15" s="73">
        <f t="shared" si="10"/>
        <v>166</v>
      </c>
      <c r="CC15" s="74">
        <f t="shared" si="11"/>
        <v>173</v>
      </c>
      <c r="CD15" s="73">
        <f t="shared" si="12"/>
        <v>226</v>
      </c>
      <c r="CE15" s="74">
        <f t="shared" si="13"/>
        <v>266</v>
      </c>
      <c r="CF15" s="73">
        <f t="shared" si="14"/>
        <v>292</v>
      </c>
      <c r="CG15" s="72">
        <f t="shared" si="15"/>
        <v>34</v>
      </c>
      <c r="CH15" s="73">
        <f t="shared" si="16"/>
        <v>38</v>
      </c>
      <c r="CI15" s="74">
        <f t="shared" si="17"/>
        <v>69</v>
      </c>
      <c r="CJ15" s="74">
        <f t="shared" si="18"/>
        <v>72</v>
      </c>
      <c r="CK15" s="74">
        <f t="shared" si="19"/>
        <v>108</v>
      </c>
      <c r="CL15" s="74">
        <f t="shared" si="20"/>
        <v>116</v>
      </c>
      <c r="CM15" s="74">
        <f t="shared" si="21"/>
        <v>142</v>
      </c>
      <c r="CN15" s="74">
        <f t="shared" si="22"/>
        <v>168</v>
      </c>
      <c r="CO15" s="74">
        <f t="shared" si="23"/>
        <v>204</v>
      </c>
      <c r="CP15" s="74">
        <f t="shared" si="24"/>
        <v>259</v>
      </c>
      <c r="CQ15" s="74">
        <f t="shared" si="25"/>
        <v>291</v>
      </c>
      <c r="CR15" s="74">
        <f t="shared" si="26"/>
        <v>308</v>
      </c>
      <c r="CS15" s="23">
        <f t="shared" si="27"/>
        <v>1</v>
      </c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</row>
    <row r="16" spans="1:1028" x14ac:dyDescent="0.2">
      <c r="A16" s="3" t="str">
        <f t="shared" si="0"/>
        <v>aa2ar_human_3REY</v>
      </c>
      <c r="B16" s="3" t="s">
        <v>139</v>
      </c>
      <c r="C16" s="3" t="s">
        <v>83</v>
      </c>
      <c r="D16" s="3" t="str">
        <f>IFERROR(MID(VLOOKUP($B16,Seqs!$A:$B,2,0),E16,1),"")</f>
        <v>S</v>
      </c>
      <c r="E16" s="3">
        <v>7</v>
      </c>
      <c r="F16" s="3" t="str">
        <f>IFERROR(MID(VLOOKUP($B16,Seqs!$A:$B,2,0),G16,1),"")</f>
        <v>N</v>
      </c>
      <c r="G16" s="3">
        <v>34</v>
      </c>
      <c r="H16" s="3" t="str">
        <f>IFERROR(MID(VLOOKUP($B16,Seqs!$A:$B,2,0),I16,1),"")</f>
        <v>S</v>
      </c>
      <c r="I16" s="23">
        <v>35</v>
      </c>
      <c r="J16" s="3" t="str">
        <f>IFERROR(MID(VLOOKUP($B16,Seqs!$A:$B,2,0),K16,1),"")</f>
        <v>Q</v>
      </c>
      <c r="K16" s="23">
        <v>38</v>
      </c>
      <c r="L16" s="3" t="str">
        <f>IFERROR(MID(VLOOKUP($B16,Seqs!$A:$B,2,0),M16,1),"")</f>
        <v>N</v>
      </c>
      <c r="M16" s="3">
        <v>39</v>
      </c>
      <c r="N16" s="3" t="str">
        <f>IFERROR(MID(VLOOKUP($B16,Seqs!$A:$B,2,0),O16,1),"")</f>
        <v>G</v>
      </c>
      <c r="O16" s="3">
        <v>69</v>
      </c>
      <c r="P16" s="3" t="str">
        <f>IFERROR(MID(VLOOKUP($B16,Seqs!$A:$B,2,0),Q16,1),"")</f>
        <v>F</v>
      </c>
      <c r="Q16" s="3">
        <v>70</v>
      </c>
      <c r="R16" s="3" t="str">
        <f>IFERROR(MID(VLOOKUP($B16,Seqs!$A:$B,2,0),S16,1),"")</f>
        <v>A</v>
      </c>
      <c r="S16" s="3">
        <v>72</v>
      </c>
      <c r="T16" s="3" t="str">
        <f>IFERROR(MID(VLOOKUP($B16,Seqs!$A:$B,2,0),U16,1),"")</f>
        <v>A</v>
      </c>
      <c r="U16" s="3">
        <v>73</v>
      </c>
      <c r="V16" s="3" t="str">
        <f>IFERROR(MID(VLOOKUP($B16,Seqs!$A:$B,2,0),W16,1),"")</f>
        <v>I</v>
      </c>
      <c r="W16" s="3">
        <v>108</v>
      </c>
      <c r="X16" s="3" t="str">
        <f>IFERROR(MID(VLOOKUP($B16,Seqs!$A:$B,2,0),Y16,1),"")</f>
        <v>P</v>
      </c>
      <c r="Y16" s="3">
        <v>109</v>
      </c>
      <c r="Z16" s="3" t="str">
        <f>IFERROR(MID(VLOOKUP($B16,Seqs!$A:$B,2,0),AA16,1),"")</f>
        <v>V</v>
      </c>
      <c r="AA16" s="3">
        <v>116</v>
      </c>
      <c r="AB16" s="3" t="str">
        <f>IFERROR(MID(VLOOKUP($B16,Seqs!$A:$B,2,0),AC16,1),"")</f>
        <v>T</v>
      </c>
      <c r="AC16" s="9">
        <v>117</v>
      </c>
      <c r="AD16" s="3" t="str">
        <f>IFERROR(MID(VLOOKUP($B16,Seqs!$A:$B,2,0),AE16,1),"")</f>
        <v>G</v>
      </c>
      <c r="AE16" s="3">
        <v>142</v>
      </c>
      <c r="AF16" s="3" t="str">
        <f>IFERROR(MID(VLOOKUP($B16,Seqs!$A:$B,2,0),AG16,1),"")</f>
        <v>C</v>
      </c>
      <c r="AG16" s="3">
        <v>166</v>
      </c>
      <c r="AH16" s="3" t="str">
        <f>IFERROR(MID(VLOOKUP($B16,Seqs!$A:$B,2,0),AI16,1),"")</f>
        <v>F</v>
      </c>
      <c r="AI16" s="3">
        <v>168</v>
      </c>
      <c r="AJ16" s="3" t="str">
        <f>IFERROR(MID(VLOOKUP($B16,Seqs!$A:$B,2,0),AK16,1),"")</f>
        <v>P</v>
      </c>
      <c r="AK16" s="3">
        <v>173</v>
      </c>
      <c r="AL16" s="3" t="str">
        <f>IFERROR(MID(VLOOKUP($B16,Seqs!$A:$B,2,0),AM16,1),"")</f>
        <v>Q</v>
      </c>
      <c r="AM16" s="3">
        <v>210</v>
      </c>
      <c r="AN16" s="3" t="str">
        <f>IFERROR(MID(VLOOKUP($B16,Seqs!$A:$B,2,0),AO16,1),"")</f>
        <v>E</v>
      </c>
      <c r="AO16" s="3">
        <v>219</v>
      </c>
      <c r="AP16" s="3" t="str">
        <f>IFERROR(MID(VLOOKUP($B16,Seqs!$A:$B,2,0),AQ16,1),"")</f>
        <v>C</v>
      </c>
      <c r="AQ16" s="3">
        <v>259</v>
      </c>
      <c r="AR16" s="3" t="str">
        <f>IFERROR(MID(VLOOKUP($B16,Seqs!$A:$B,2,0),AS16,1),"")</f>
        <v>P</v>
      </c>
      <c r="AS16" s="3">
        <v>266</v>
      </c>
      <c r="AT16" s="3" t="str">
        <f>IFERROR(MID(VLOOKUP($B16,Seqs!$A:$B,2,0),AU16,1),"")</f>
        <v>R</v>
      </c>
      <c r="AU16" s="3">
        <v>291</v>
      </c>
      <c r="AV16" s="3" t="str">
        <f>IFERROR(MID(VLOOKUP($B16,Seqs!$A:$B,2,0),AW16,1),"")</f>
        <v>I</v>
      </c>
      <c r="AW16" s="3">
        <v>292</v>
      </c>
      <c r="AX16" s="3" t="str">
        <f>IFERROR(MID(VLOOKUP($B16,Seqs!$A:$B,2,0),AY16,1),"")</f>
        <v>S</v>
      </c>
      <c r="AY16" s="3">
        <v>305</v>
      </c>
      <c r="AZ16" s="79" t="str">
        <f>VLOOKUP(B16,Classification!A:D,2,0)</f>
        <v>A</v>
      </c>
      <c r="BA16" s="97" t="str">
        <f>VLOOKUP(B16,Classification!A:D,4,0)</f>
        <v>Adenosine</v>
      </c>
      <c r="BB16" s="27" t="b">
        <f t="shared" si="1"/>
        <v>1</v>
      </c>
      <c r="BC16" s="23">
        <f t="shared" si="2"/>
        <v>258</v>
      </c>
      <c r="BD16" s="4" t="s">
        <v>23</v>
      </c>
      <c r="BE16" s="3" t="s">
        <v>1381</v>
      </c>
      <c r="BF16" s="50" t="s">
        <v>1384</v>
      </c>
      <c r="BG16" s="50" t="s">
        <v>1384</v>
      </c>
      <c r="BH16" s="1"/>
      <c r="BI16" s="72" t="s">
        <v>1293</v>
      </c>
      <c r="BJ16" s="58" t="s">
        <v>1293</v>
      </c>
      <c r="BK16" s="58" t="s">
        <v>1293</v>
      </c>
      <c r="BL16" s="58" t="s">
        <v>1293</v>
      </c>
      <c r="BM16" s="58" t="s">
        <v>1293</v>
      </c>
      <c r="BN16" s="58" t="s">
        <v>1293</v>
      </c>
      <c r="BO16" s="58" t="s">
        <v>1293</v>
      </c>
      <c r="BP16" s="58" t="s">
        <v>1293</v>
      </c>
      <c r="BQ16" s="58" t="s">
        <v>1293</v>
      </c>
      <c r="BR16" s="58" t="s">
        <v>1293</v>
      </c>
      <c r="BS16" s="58" t="s">
        <v>1293</v>
      </c>
      <c r="BT16" s="58" t="s">
        <v>1293</v>
      </c>
      <c r="BU16" s="72">
        <f t="shared" si="3"/>
        <v>7</v>
      </c>
      <c r="BV16" s="73">
        <f t="shared" si="4"/>
        <v>35</v>
      </c>
      <c r="BW16" s="74">
        <f t="shared" si="5"/>
        <v>39</v>
      </c>
      <c r="BX16" s="73">
        <f t="shared" si="6"/>
        <v>70</v>
      </c>
      <c r="BY16" s="74">
        <f t="shared" si="7"/>
        <v>73</v>
      </c>
      <c r="BZ16" s="73">
        <f t="shared" si="8"/>
        <v>109</v>
      </c>
      <c r="CA16" s="74">
        <f t="shared" si="9"/>
        <v>117</v>
      </c>
      <c r="CB16" s="73">
        <f t="shared" si="10"/>
        <v>166</v>
      </c>
      <c r="CC16" s="74">
        <f t="shared" si="11"/>
        <v>173</v>
      </c>
      <c r="CD16" s="73">
        <f t="shared" si="12"/>
        <v>219</v>
      </c>
      <c r="CE16" s="74">
        <f t="shared" si="13"/>
        <v>266</v>
      </c>
      <c r="CF16" s="73">
        <f t="shared" si="14"/>
        <v>292</v>
      </c>
      <c r="CG16" s="72">
        <f t="shared" si="15"/>
        <v>34</v>
      </c>
      <c r="CH16" s="73">
        <f t="shared" si="16"/>
        <v>38</v>
      </c>
      <c r="CI16" s="74">
        <f t="shared" si="17"/>
        <v>69</v>
      </c>
      <c r="CJ16" s="74">
        <f t="shared" si="18"/>
        <v>72</v>
      </c>
      <c r="CK16" s="74">
        <f t="shared" si="19"/>
        <v>108</v>
      </c>
      <c r="CL16" s="74">
        <f t="shared" si="20"/>
        <v>116</v>
      </c>
      <c r="CM16" s="74">
        <f t="shared" si="21"/>
        <v>142</v>
      </c>
      <c r="CN16" s="74">
        <f t="shared" si="22"/>
        <v>168</v>
      </c>
      <c r="CO16" s="74">
        <f t="shared" si="23"/>
        <v>210</v>
      </c>
      <c r="CP16" s="74">
        <f t="shared" si="24"/>
        <v>259</v>
      </c>
      <c r="CQ16" s="74">
        <f t="shared" si="25"/>
        <v>291</v>
      </c>
      <c r="CR16" s="74">
        <f t="shared" si="26"/>
        <v>305</v>
      </c>
      <c r="CS16" s="23">
        <f t="shared" si="27"/>
        <v>1</v>
      </c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  <c r="ADW16" s="1"/>
      <c r="ADX16" s="1"/>
      <c r="ADY16" s="1"/>
      <c r="ADZ16" s="1"/>
      <c r="AEA16" s="1"/>
      <c r="AEB16" s="1"/>
      <c r="AEC16" s="1"/>
      <c r="AED16" s="1"/>
      <c r="AEE16" s="1"/>
      <c r="AEF16" s="1"/>
      <c r="AEG16" s="1"/>
      <c r="AEH16" s="1"/>
      <c r="AEI16" s="1"/>
      <c r="AEJ16" s="1"/>
      <c r="AEK16" s="1"/>
      <c r="AEL16" s="1"/>
      <c r="AEM16" s="1"/>
      <c r="AEN16" s="1"/>
      <c r="AEO16" s="1"/>
      <c r="AEP16" s="1"/>
      <c r="AEQ16" s="1"/>
      <c r="AER16" s="1"/>
      <c r="AES16" s="1"/>
      <c r="AET16" s="1"/>
      <c r="AEU16" s="1"/>
      <c r="AEV16" s="1"/>
      <c r="AEW16" s="1"/>
      <c r="AEX16" s="1"/>
      <c r="AEY16" s="1"/>
      <c r="AEZ16" s="1"/>
      <c r="AFA16" s="1"/>
      <c r="AFB16" s="1"/>
      <c r="AFC16" s="1"/>
      <c r="AFD16" s="1"/>
      <c r="AFE16" s="1"/>
      <c r="AFF16" s="1"/>
      <c r="AFG16" s="1"/>
      <c r="AFH16" s="1"/>
      <c r="AFI16" s="1"/>
      <c r="AFJ16" s="1"/>
      <c r="AFK16" s="1"/>
      <c r="AFL16" s="1"/>
      <c r="AFM16" s="1"/>
      <c r="AFN16" s="1"/>
      <c r="AFO16" s="1"/>
      <c r="AFP16" s="1"/>
      <c r="AFQ16" s="1"/>
      <c r="AFR16" s="1"/>
      <c r="AFS16" s="1"/>
      <c r="AFT16" s="1"/>
      <c r="AFU16" s="1"/>
      <c r="AFV16" s="1"/>
      <c r="AFW16" s="1"/>
      <c r="AFX16" s="1"/>
      <c r="AFY16" s="1"/>
      <c r="AFZ16" s="1"/>
      <c r="AGA16" s="1"/>
      <c r="AGB16" s="1"/>
      <c r="AGC16" s="1"/>
      <c r="AGD16" s="1"/>
      <c r="AGE16" s="1"/>
      <c r="AGF16" s="1"/>
      <c r="AGG16" s="1"/>
      <c r="AGH16" s="1"/>
      <c r="AGI16" s="1"/>
      <c r="AGJ16" s="1"/>
      <c r="AGK16" s="1"/>
      <c r="AGL16" s="1"/>
      <c r="AGM16" s="1"/>
      <c r="AGN16" s="1"/>
      <c r="AGO16" s="1"/>
      <c r="AGP16" s="1"/>
      <c r="AGQ16" s="1"/>
      <c r="AGR16" s="1"/>
      <c r="AGS16" s="1"/>
      <c r="AGT16" s="1"/>
      <c r="AGU16" s="1"/>
      <c r="AGV16" s="1"/>
      <c r="AGW16" s="1"/>
      <c r="AGX16" s="1"/>
      <c r="AGY16" s="1"/>
      <c r="AGZ16" s="1"/>
      <c r="AHA16" s="1"/>
      <c r="AHB16" s="1"/>
      <c r="AHC16" s="1"/>
      <c r="AHD16" s="1"/>
      <c r="AHE16" s="1"/>
      <c r="AHF16" s="1"/>
      <c r="AHG16" s="1"/>
      <c r="AHH16" s="1"/>
      <c r="AHI16" s="1"/>
      <c r="AHJ16" s="1"/>
      <c r="AHK16" s="1"/>
      <c r="AHL16" s="1"/>
      <c r="AHM16" s="1"/>
      <c r="AHN16" s="1"/>
      <c r="AHO16" s="1"/>
      <c r="AHP16" s="1"/>
      <c r="AHQ16" s="1"/>
      <c r="AHR16" s="1"/>
      <c r="AHS16" s="1"/>
      <c r="AHT16" s="1"/>
      <c r="AHU16" s="1"/>
      <c r="AHV16" s="1"/>
      <c r="AHW16" s="1"/>
      <c r="AHX16" s="1"/>
      <c r="AHY16" s="1"/>
      <c r="AHZ16" s="1"/>
      <c r="AIA16" s="1"/>
      <c r="AIB16" s="1"/>
      <c r="AIC16" s="1"/>
      <c r="AID16" s="1"/>
      <c r="AIE16" s="1"/>
      <c r="AIF16" s="1"/>
      <c r="AIG16" s="1"/>
      <c r="AIH16" s="1"/>
      <c r="AII16" s="1"/>
      <c r="AIJ16" s="1"/>
      <c r="AIK16" s="1"/>
      <c r="AIL16" s="1"/>
      <c r="AIM16" s="1"/>
      <c r="AIN16" s="1"/>
      <c r="AIO16" s="1"/>
      <c r="AIP16" s="1"/>
      <c r="AIQ16" s="1"/>
      <c r="AIR16" s="1"/>
      <c r="AIS16" s="1"/>
      <c r="AIT16" s="1"/>
      <c r="AIU16" s="1"/>
      <c r="AIV16" s="1"/>
      <c r="AIW16" s="1"/>
      <c r="AIX16" s="1"/>
      <c r="AIY16" s="1"/>
      <c r="AIZ16" s="1"/>
      <c r="AJA16" s="1"/>
      <c r="AJB16" s="1"/>
      <c r="AJC16" s="1"/>
      <c r="AJD16" s="1"/>
      <c r="AJE16" s="1"/>
      <c r="AJF16" s="1"/>
      <c r="AJG16" s="1"/>
      <c r="AJH16" s="1"/>
      <c r="AJI16" s="1"/>
      <c r="AJJ16" s="1"/>
      <c r="AJK16" s="1"/>
      <c r="AJL16" s="1"/>
      <c r="AJM16" s="1"/>
      <c r="AJN16" s="1"/>
      <c r="AJO16" s="1"/>
      <c r="AJP16" s="1"/>
      <c r="AJQ16" s="1"/>
      <c r="AJR16" s="1"/>
      <c r="AJS16" s="1"/>
      <c r="AJT16" s="1"/>
      <c r="AJU16" s="1"/>
      <c r="AJV16" s="1"/>
      <c r="AJW16" s="1"/>
      <c r="AJX16" s="1"/>
      <c r="AJY16" s="1"/>
      <c r="AJZ16" s="1"/>
      <c r="AKA16" s="1"/>
      <c r="AKB16" s="1"/>
      <c r="AKC16" s="1"/>
      <c r="AKD16" s="1"/>
      <c r="AKE16" s="1"/>
      <c r="AKF16" s="1"/>
      <c r="AKG16" s="1"/>
      <c r="AKH16" s="1"/>
      <c r="AKI16" s="1"/>
      <c r="AKJ16" s="1"/>
      <c r="AKK16" s="1"/>
      <c r="AKL16" s="1"/>
      <c r="AKM16" s="1"/>
      <c r="AKN16" s="1"/>
      <c r="AKO16" s="1"/>
      <c r="AKP16" s="1"/>
      <c r="AKQ16" s="1"/>
      <c r="AKR16" s="1"/>
      <c r="AKS16" s="1"/>
      <c r="AKT16" s="1"/>
      <c r="AKU16" s="1"/>
      <c r="AKV16" s="1"/>
      <c r="AKW16" s="1"/>
      <c r="AKX16" s="1"/>
      <c r="AKY16" s="1"/>
      <c r="AKZ16" s="1"/>
      <c r="ALA16" s="1"/>
      <c r="ALB16" s="1"/>
      <c r="ALC16" s="1"/>
      <c r="ALD16" s="1"/>
      <c r="ALE16" s="1"/>
      <c r="ALF16" s="1"/>
      <c r="ALG16" s="1"/>
      <c r="ALH16" s="1"/>
      <c r="ALI16" s="1"/>
      <c r="ALJ16" s="1"/>
      <c r="ALK16" s="1"/>
      <c r="ALL16" s="1"/>
      <c r="ALM16" s="1"/>
      <c r="ALN16" s="1"/>
      <c r="ALO16" s="1"/>
      <c r="ALP16" s="1"/>
      <c r="ALQ16" s="1"/>
      <c r="ALR16" s="1"/>
      <c r="ALS16" s="1"/>
      <c r="ALT16" s="1"/>
      <c r="ALU16" s="1"/>
      <c r="ALV16" s="1"/>
      <c r="ALW16" s="1"/>
      <c r="ALX16" s="1"/>
      <c r="ALY16" s="1"/>
      <c r="ALZ16" s="1"/>
      <c r="AMA16" s="1"/>
      <c r="AMB16" s="1"/>
      <c r="AMC16" s="1"/>
      <c r="AMD16" s="1"/>
      <c r="AME16" s="1"/>
      <c r="AMF16" s="1"/>
      <c r="AMG16" s="1"/>
      <c r="AMH16" s="1"/>
      <c r="AMI16" s="1"/>
      <c r="AMJ16" s="1"/>
      <c r="AMK16" s="1"/>
      <c r="AML16" s="1"/>
      <c r="AMM16" s="1"/>
      <c r="AMN16" s="1"/>
    </row>
    <row r="17" spans="1:1029" x14ac:dyDescent="0.2">
      <c r="A17" s="3" t="str">
        <f t="shared" si="0"/>
        <v>aa2ar_human_3RFM</v>
      </c>
      <c r="B17" s="3" t="s">
        <v>139</v>
      </c>
      <c r="C17" s="3" t="s">
        <v>1035</v>
      </c>
      <c r="D17" s="3" t="str">
        <f>IFERROR(MID(VLOOKUP($B17,Seqs!$A:$B,2,0),E17,1),"")</f>
        <v>S</v>
      </c>
      <c r="E17" s="3">
        <v>7</v>
      </c>
      <c r="F17" s="3" t="str">
        <f>IFERROR(MID(VLOOKUP($B17,Seqs!$A:$B,2,0),G17,1),"")</f>
        <v>N</v>
      </c>
      <c r="G17" s="3">
        <v>34</v>
      </c>
      <c r="H17" s="3" t="str">
        <f>IFERROR(MID(VLOOKUP($B17,Seqs!$A:$B,2,0),I17,1),"")</f>
        <v>S</v>
      </c>
      <c r="I17" s="23">
        <v>35</v>
      </c>
      <c r="J17" s="3" t="str">
        <f>IFERROR(MID(VLOOKUP($B17,Seqs!$A:$B,2,0),K17,1),"")</f>
        <v>Q</v>
      </c>
      <c r="K17" s="23">
        <v>38</v>
      </c>
      <c r="L17" s="3" t="str">
        <f>IFERROR(MID(VLOOKUP($B17,Seqs!$A:$B,2,0),M17,1),"")</f>
        <v>N</v>
      </c>
      <c r="M17" s="3">
        <v>39</v>
      </c>
      <c r="N17" s="3" t="str">
        <f>IFERROR(MID(VLOOKUP($B17,Seqs!$A:$B,2,0),O17,1),"")</f>
        <v>G</v>
      </c>
      <c r="O17" s="3">
        <v>69</v>
      </c>
      <c r="P17" s="3" t="str">
        <f>IFERROR(MID(VLOOKUP($B17,Seqs!$A:$B,2,0),Q17,1),"")</f>
        <v>F</v>
      </c>
      <c r="Q17" s="3">
        <v>70</v>
      </c>
      <c r="R17" s="3" t="str">
        <f>IFERROR(MID(VLOOKUP($B17,Seqs!$A:$B,2,0),S17,1),"")</f>
        <v>A</v>
      </c>
      <c r="S17" s="3">
        <v>72</v>
      </c>
      <c r="T17" s="3" t="str">
        <f>IFERROR(MID(VLOOKUP($B17,Seqs!$A:$B,2,0),U17,1),"")</f>
        <v>A</v>
      </c>
      <c r="U17" s="3">
        <v>73</v>
      </c>
      <c r="V17" s="3" t="str">
        <f>IFERROR(MID(VLOOKUP($B17,Seqs!$A:$B,2,0),W17,1),"")</f>
        <v>I</v>
      </c>
      <c r="W17" s="3">
        <v>108</v>
      </c>
      <c r="X17" s="3" t="str">
        <f>IFERROR(MID(VLOOKUP($B17,Seqs!$A:$B,2,0),Y17,1),"")</f>
        <v>P</v>
      </c>
      <c r="Y17" s="3">
        <v>109</v>
      </c>
      <c r="Z17" s="3" t="str">
        <f>IFERROR(MID(VLOOKUP($B17,Seqs!$A:$B,2,0),AA17,1),"")</f>
        <v>V</v>
      </c>
      <c r="AA17" s="3">
        <v>116</v>
      </c>
      <c r="AB17" s="3" t="str">
        <f>IFERROR(MID(VLOOKUP($B17,Seqs!$A:$B,2,0),AC17,1),"")</f>
        <v>T</v>
      </c>
      <c r="AC17" s="9">
        <v>117</v>
      </c>
      <c r="AD17" s="3" t="str">
        <f>IFERROR(MID(VLOOKUP($B17,Seqs!$A:$B,2,0),AE17,1),"")</f>
        <v>G</v>
      </c>
      <c r="AE17" s="3">
        <v>142</v>
      </c>
      <c r="AF17" s="3" t="str">
        <f>IFERROR(MID(VLOOKUP($B17,Seqs!$A:$B,2,0),AG17,1),"")</f>
        <v>C</v>
      </c>
      <c r="AG17" s="3">
        <v>166</v>
      </c>
      <c r="AH17" s="3" t="str">
        <f>IFERROR(MID(VLOOKUP($B17,Seqs!$A:$B,2,0),AI17,1),"")</f>
        <v>F</v>
      </c>
      <c r="AI17" s="3">
        <v>168</v>
      </c>
      <c r="AJ17" s="3" t="str">
        <f>IFERROR(MID(VLOOKUP($B17,Seqs!$A:$B,2,0),AK17,1),"")</f>
        <v>P</v>
      </c>
      <c r="AK17" s="3">
        <v>173</v>
      </c>
      <c r="AL17" s="3" t="str">
        <f>IFERROR(MID(VLOOKUP($B17,Seqs!$A:$B,2,0),AM17,1),"")</f>
        <v>S</v>
      </c>
      <c r="AM17" s="3">
        <v>213</v>
      </c>
      <c r="AN17" s="3" t="str">
        <f>IFERROR(MID(VLOOKUP($B17,Seqs!$A:$B,2,0),AO17,1),"")</f>
        <v>E</v>
      </c>
      <c r="AO17" s="3">
        <v>219</v>
      </c>
      <c r="AP17" s="3" t="str">
        <f>IFERROR(MID(VLOOKUP($B17,Seqs!$A:$B,2,0),AQ17,1),"")</f>
        <v>C</v>
      </c>
      <c r="AQ17" s="3">
        <v>259</v>
      </c>
      <c r="AR17" s="3" t="str">
        <f>IFERROR(MID(VLOOKUP($B17,Seqs!$A:$B,2,0),AS17,1),"")</f>
        <v>P</v>
      </c>
      <c r="AS17" s="3">
        <v>266</v>
      </c>
      <c r="AT17" s="3" t="str">
        <f>IFERROR(MID(VLOOKUP($B17,Seqs!$A:$B,2,0),AU17,1),"")</f>
        <v>R</v>
      </c>
      <c r="AU17" s="3">
        <v>291</v>
      </c>
      <c r="AV17" s="3" t="str">
        <f>IFERROR(MID(VLOOKUP($B17,Seqs!$A:$B,2,0),AW17,1),"")</f>
        <v>I</v>
      </c>
      <c r="AW17" s="3">
        <v>292</v>
      </c>
      <c r="AX17" s="3" t="str">
        <f>IFERROR(MID(VLOOKUP($B17,Seqs!$A:$B,2,0),AY17,1),"")</f>
        <v>S</v>
      </c>
      <c r="AY17" s="3">
        <v>305</v>
      </c>
      <c r="AZ17" s="79" t="str">
        <f>VLOOKUP(B17,Classification!A:D,2,0)</f>
        <v>A</v>
      </c>
      <c r="BA17" s="97" t="str">
        <f>VLOOKUP(B17,Classification!A:D,4,0)</f>
        <v>Adenosine</v>
      </c>
      <c r="BB17" s="27" t="b">
        <f t="shared" si="1"/>
        <v>1</v>
      </c>
      <c r="BC17" s="23">
        <f t="shared" si="2"/>
        <v>261</v>
      </c>
      <c r="BD17" s="4" t="s">
        <v>23</v>
      </c>
      <c r="BE17" s="3" t="s">
        <v>1381</v>
      </c>
      <c r="BF17" s="50" t="s">
        <v>1384</v>
      </c>
      <c r="BG17" s="50" t="s">
        <v>1384</v>
      </c>
      <c r="BH17" s="1"/>
      <c r="BI17" s="72" t="s">
        <v>1293</v>
      </c>
      <c r="BJ17" s="58" t="s">
        <v>1293</v>
      </c>
      <c r="BK17" s="58" t="s">
        <v>1293</v>
      </c>
      <c r="BL17" s="58" t="s">
        <v>1293</v>
      </c>
      <c r="BM17" s="58" t="s">
        <v>1293</v>
      </c>
      <c r="BN17" s="58" t="s">
        <v>1293</v>
      </c>
      <c r="BO17" s="58" t="s">
        <v>1293</v>
      </c>
      <c r="BP17" s="58" t="s">
        <v>1293</v>
      </c>
      <c r="BQ17" s="58" t="s">
        <v>1293</v>
      </c>
      <c r="BR17" s="58" t="s">
        <v>1293</v>
      </c>
      <c r="BS17" s="58" t="s">
        <v>1293</v>
      </c>
      <c r="BT17" s="58" t="s">
        <v>1293</v>
      </c>
      <c r="BU17" s="72">
        <f t="shared" si="3"/>
        <v>7</v>
      </c>
      <c r="BV17" s="73">
        <f t="shared" si="4"/>
        <v>35</v>
      </c>
      <c r="BW17" s="74">
        <f t="shared" si="5"/>
        <v>39</v>
      </c>
      <c r="BX17" s="73">
        <f t="shared" si="6"/>
        <v>70</v>
      </c>
      <c r="BY17" s="74">
        <f t="shared" si="7"/>
        <v>73</v>
      </c>
      <c r="BZ17" s="73">
        <f t="shared" si="8"/>
        <v>109</v>
      </c>
      <c r="CA17" s="74">
        <f t="shared" si="9"/>
        <v>117</v>
      </c>
      <c r="CB17" s="73">
        <f t="shared" si="10"/>
        <v>166</v>
      </c>
      <c r="CC17" s="74">
        <f t="shared" si="11"/>
        <v>173</v>
      </c>
      <c r="CD17" s="73">
        <f t="shared" si="12"/>
        <v>219</v>
      </c>
      <c r="CE17" s="74">
        <f t="shared" si="13"/>
        <v>266</v>
      </c>
      <c r="CF17" s="73">
        <f t="shared" si="14"/>
        <v>292</v>
      </c>
      <c r="CG17" s="72">
        <f t="shared" si="15"/>
        <v>34</v>
      </c>
      <c r="CH17" s="73">
        <f t="shared" si="16"/>
        <v>38</v>
      </c>
      <c r="CI17" s="74">
        <f t="shared" si="17"/>
        <v>69</v>
      </c>
      <c r="CJ17" s="74">
        <f t="shared" si="18"/>
        <v>72</v>
      </c>
      <c r="CK17" s="74">
        <f t="shared" si="19"/>
        <v>108</v>
      </c>
      <c r="CL17" s="74">
        <f t="shared" si="20"/>
        <v>116</v>
      </c>
      <c r="CM17" s="74">
        <f t="shared" si="21"/>
        <v>142</v>
      </c>
      <c r="CN17" s="74">
        <f t="shared" si="22"/>
        <v>168</v>
      </c>
      <c r="CO17" s="74">
        <f t="shared" si="23"/>
        <v>213</v>
      </c>
      <c r="CP17" s="74">
        <f t="shared" si="24"/>
        <v>259</v>
      </c>
      <c r="CQ17" s="74">
        <f t="shared" si="25"/>
        <v>291</v>
      </c>
      <c r="CR17" s="74">
        <f t="shared" si="26"/>
        <v>305</v>
      </c>
      <c r="CS17" s="23">
        <f t="shared" si="27"/>
        <v>1</v>
      </c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  <c r="ADW17" s="1"/>
      <c r="ADX17" s="1"/>
      <c r="ADY17" s="1"/>
      <c r="ADZ17" s="1"/>
      <c r="AEA17" s="1"/>
      <c r="AEB17" s="1"/>
      <c r="AEC17" s="1"/>
      <c r="AED17" s="1"/>
      <c r="AEE17" s="1"/>
      <c r="AEF17" s="1"/>
      <c r="AEG17" s="1"/>
      <c r="AEH17" s="1"/>
      <c r="AEI17" s="1"/>
      <c r="AEJ17" s="1"/>
      <c r="AEK17" s="1"/>
      <c r="AEL17" s="1"/>
      <c r="AEM17" s="1"/>
      <c r="AEN17" s="1"/>
      <c r="AEO17" s="1"/>
      <c r="AEP17" s="1"/>
      <c r="AEQ17" s="1"/>
      <c r="AER17" s="1"/>
      <c r="AES17" s="1"/>
      <c r="AET17" s="1"/>
      <c r="AEU17" s="1"/>
      <c r="AEV17" s="1"/>
      <c r="AEW17" s="1"/>
      <c r="AEX17" s="1"/>
      <c r="AEY17" s="1"/>
      <c r="AEZ17" s="1"/>
      <c r="AFA17" s="1"/>
      <c r="AFB17" s="1"/>
      <c r="AFC17" s="1"/>
      <c r="AFD17" s="1"/>
      <c r="AFE17" s="1"/>
      <c r="AFF17" s="1"/>
      <c r="AFG17" s="1"/>
      <c r="AFH17" s="1"/>
      <c r="AFI17" s="1"/>
      <c r="AFJ17" s="1"/>
      <c r="AFK17" s="1"/>
      <c r="AFL17" s="1"/>
      <c r="AFM17" s="1"/>
      <c r="AFN17" s="1"/>
      <c r="AFO17" s="1"/>
      <c r="AFP17" s="1"/>
      <c r="AFQ17" s="1"/>
      <c r="AFR17" s="1"/>
      <c r="AFS17" s="1"/>
      <c r="AFT17" s="1"/>
      <c r="AFU17" s="1"/>
      <c r="AFV17" s="1"/>
      <c r="AFW17" s="1"/>
      <c r="AFX17" s="1"/>
      <c r="AFY17" s="1"/>
      <c r="AFZ17" s="1"/>
      <c r="AGA17" s="1"/>
      <c r="AGB17" s="1"/>
      <c r="AGC17" s="1"/>
      <c r="AGD17" s="1"/>
      <c r="AGE17" s="1"/>
      <c r="AGF17" s="1"/>
      <c r="AGG17" s="1"/>
      <c r="AGH17" s="1"/>
      <c r="AGI17" s="1"/>
      <c r="AGJ17" s="1"/>
      <c r="AGK17" s="1"/>
      <c r="AGL17" s="1"/>
      <c r="AGM17" s="1"/>
      <c r="AGN17" s="1"/>
      <c r="AGO17" s="1"/>
      <c r="AGP17" s="1"/>
      <c r="AGQ17" s="1"/>
      <c r="AGR17" s="1"/>
      <c r="AGS17" s="1"/>
      <c r="AGT17" s="1"/>
      <c r="AGU17" s="1"/>
      <c r="AGV17" s="1"/>
      <c r="AGW17" s="1"/>
      <c r="AGX17" s="1"/>
      <c r="AGY17" s="1"/>
      <c r="AGZ17" s="1"/>
      <c r="AHA17" s="1"/>
      <c r="AHB17" s="1"/>
      <c r="AHC17" s="1"/>
      <c r="AHD17" s="1"/>
      <c r="AHE17" s="1"/>
      <c r="AHF17" s="1"/>
      <c r="AHG17" s="1"/>
      <c r="AHH17" s="1"/>
      <c r="AHI17" s="1"/>
      <c r="AHJ17" s="1"/>
      <c r="AHK17" s="1"/>
      <c r="AHL17" s="1"/>
      <c r="AHM17" s="1"/>
      <c r="AHN17" s="1"/>
      <c r="AHO17" s="1"/>
      <c r="AHP17" s="1"/>
      <c r="AHQ17" s="1"/>
      <c r="AHR17" s="1"/>
      <c r="AHS17" s="1"/>
      <c r="AHT17" s="1"/>
      <c r="AHU17" s="1"/>
      <c r="AHV17" s="1"/>
      <c r="AHW17" s="1"/>
      <c r="AHX17" s="1"/>
      <c r="AHY17" s="1"/>
      <c r="AHZ17" s="1"/>
      <c r="AIA17" s="1"/>
      <c r="AIB17" s="1"/>
      <c r="AIC17" s="1"/>
      <c r="AID17" s="1"/>
      <c r="AIE17" s="1"/>
      <c r="AIF17" s="1"/>
      <c r="AIG17" s="1"/>
      <c r="AIH17" s="1"/>
      <c r="AII17" s="1"/>
      <c r="AIJ17" s="1"/>
      <c r="AIK17" s="1"/>
      <c r="AIL17" s="1"/>
      <c r="AIM17" s="1"/>
      <c r="AIN17" s="1"/>
      <c r="AIO17" s="1"/>
      <c r="AIP17" s="1"/>
      <c r="AIQ17" s="1"/>
      <c r="AIR17" s="1"/>
      <c r="AIS17" s="1"/>
      <c r="AIT17" s="1"/>
      <c r="AIU17" s="1"/>
      <c r="AIV17" s="1"/>
      <c r="AIW17" s="1"/>
      <c r="AIX17" s="1"/>
      <c r="AIY17" s="1"/>
      <c r="AIZ17" s="1"/>
      <c r="AJA17" s="1"/>
      <c r="AJB17" s="1"/>
      <c r="AJC17" s="1"/>
      <c r="AJD17" s="1"/>
      <c r="AJE17" s="1"/>
      <c r="AJF17" s="1"/>
      <c r="AJG17" s="1"/>
      <c r="AJH17" s="1"/>
      <c r="AJI17" s="1"/>
      <c r="AJJ17" s="1"/>
      <c r="AJK17" s="1"/>
      <c r="AJL17" s="1"/>
      <c r="AJM17" s="1"/>
      <c r="AJN17" s="1"/>
      <c r="AJO17" s="1"/>
      <c r="AJP17" s="1"/>
      <c r="AJQ17" s="1"/>
      <c r="AJR17" s="1"/>
      <c r="AJS17" s="1"/>
      <c r="AJT17" s="1"/>
      <c r="AJU17" s="1"/>
      <c r="AJV17" s="1"/>
      <c r="AJW17" s="1"/>
      <c r="AJX17" s="1"/>
      <c r="AJY17" s="1"/>
      <c r="AJZ17" s="1"/>
      <c r="AKA17" s="1"/>
      <c r="AKB17" s="1"/>
      <c r="AKC17" s="1"/>
      <c r="AKD17" s="1"/>
      <c r="AKE17" s="1"/>
      <c r="AKF17" s="1"/>
      <c r="AKG17" s="1"/>
      <c r="AKH17" s="1"/>
      <c r="AKI17" s="1"/>
      <c r="AKJ17" s="1"/>
      <c r="AKK17" s="1"/>
      <c r="AKL17" s="1"/>
      <c r="AKM17" s="1"/>
      <c r="AKN17" s="1"/>
      <c r="AKO17" s="1"/>
      <c r="AKP17" s="1"/>
      <c r="AKQ17" s="1"/>
      <c r="AKR17" s="1"/>
      <c r="AKS17" s="1"/>
      <c r="AKT17" s="1"/>
      <c r="AKU17" s="1"/>
      <c r="AKV17" s="1"/>
      <c r="AKW17" s="1"/>
      <c r="AKX17" s="1"/>
      <c r="AKY17" s="1"/>
      <c r="AKZ17" s="1"/>
      <c r="ALA17" s="1"/>
      <c r="ALB17" s="1"/>
      <c r="ALC17" s="1"/>
      <c r="ALD17" s="1"/>
      <c r="ALE17" s="1"/>
      <c r="ALF17" s="1"/>
      <c r="ALG17" s="1"/>
      <c r="ALH17" s="1"/>
      <c r="ALI17" s="1"/>
      <c r="ALJ17" s="1"/>
      <c r="ALK17" s="1"/>
      <c r="ALL17" s="1"/>
      <c r="ALM17" s="1"/>
      <c r="ALN17" s="1"/>
      <c r="ALO17" s="1"/>
      <c r="ALP17" s="1"/>
      <c r="ALQ17" s="1"/>
      <c r="ALR17" s="1"/>
      <c r="ALS17" s="1"/>
      <c r="ALT17" s="1"/>
      <c r="ALU17" s="1"/>
      <c r="ALV17" s="1"/>
      <c r="ALW17" s="1"/>
      <c r="ALX17" s="1"/>
      <c r="ALY17" s="1"/>
      <c r="ALZ17" s="1"/>
      <c r="AMA17" s="1"/>
      <c r="AMB17" s="1"/>
      <c r="AMC17" s="1"/>
      <c r="AMD17" s="1"/>
      <c r="AME17" s="1"/>
      <c r="AMF17" s="1"/>
      <c r="AMG17" s="1"/>
      <c r="AMH17" s="1"/>
      <c r="AMI17" s="1"/>
      <c r="AMJ17" s="1"/>
      <c r="AMK17" s="1"/>
      <c r="AML17" s="1"/>
      <c r="AMM17" s="1"/>
      <c r="AMN17" s="1"/>
    </row>
    <row r="18" spans="1:1029" x14ac:dyDescent="0.2">
      <c r="A18" s="3" t="str">
        <f t="shared" si="0"/>
        <v>aa2ar_human_3UZA</v>
      </c>
      <c r="B18" s="3" t="s">
        <v>139</v>
      </c>
      <c r="C18" s="3" t="s">
        <v>1036</v>
      </c>
      <c r="D18" s="3" t="str">
        <f>IFERROR(MID(VLOOKUP($B18,Seqs!$A:$B,2,0),E18,1),"")</f>
        <v>S</v>
      </c>
      <c r="E18" s="3">
        <v>7</v>
      </c>
      <c r="F18" s="3" t="str">
        <f>IFERROR(MID(VLOOKUP($B18,Seqs!$A:$B,2,0),G18,1),"")</f>
        <v>N</v>
      </c>
      <c r="G18" s="3">
        <v>34</v>
      </c>
      <c r="H18" s="3" t="str">
        <f>IFERROR(MID(VLOOKUP($B18,Seqs!$A:$B,2,0),I18,1),"")</f>
        <v>S</v>
      </c>
      <c r="I18" s="23">
        <v>35</v>
      </c>
      <c r="J18" s="3" t="str">
        <f>IFERROR(MID(VLOOKUP($B18,Seqs!$A:$B,2,0),K18,1),"")</f>
        <v>Q</v>
      </c>
      <c r="K18" s="23">
        <v>38</v>
      </c>
      <c r="L18" s="3" t="str">
        <f>IFERROR(MID(VLOOKUP($B18,Seqs!$A:$B,2,0),M18,1),"")</f>
        <v>N</v>
      </c>
      <c r="M18" s="3">
        <v>39</v>
      </c>
      <c r="N18" s="3" t="str">
        <f>IFERROR(MID(VLOOKUP($B18,Seqs!$A:$B,2,0),O18,1),"")</f>
        <v>G</v>
      </c>
      <c r="O18" s="3">
        <v>69</v>
      </c>
      <c r="P18" s="3" t="str">
        <f>IFERROR(MID(VLOOKUP($B18,Seqs!$A:$B,2,0),Q18,1),"")</f>
        <v>F</v>
      </c>
      <c r="Q18" s="3">
        <v>70</v>
      </c>
      <c r="R18" s="3" t="str">
        <f>IFERROR(MID(VLOOKUP($B18,Seqs!$A:$B,2,0),S18,1),"")</f>
        <v>A</v>
      </c>
      <c r="S18" s="3">
        <v>72</v>
      </c>
      <c r="T18" s="3" t="str">
        <f>IFERROR(MID(VLOOKUP($B18,Seqs!$A:$B,2,0),U18,1),"")</f>
        <v>A</v>
      </c>
      <c r="U18" s="3">
        <v>73</v>
      </c>
      <c r="V18" s="3" t="str">
        <f>IFERROR(MID(VLOOKUP($B18,Seqs!$A:$B,2,0),W18,1),"")</f>
        <v>I</v>
      </c>
      <c r="W18" s="3">
        <v>108</v>
      </c>
      <c r="X18" s="3" t="str">
        <f>IFERROR(MID(VLOOKUP($B18,Seqs!$A:$B,2,0),Y18,1),"")</f>
        <v>P</v>
      </c>
      <c r="Y18" s="3">
        <v>109</v>
      </c>
      <c r="Z18" s="3" t="str">
        <f>IFERROR(MID(VLOOKUP($B18,Seqs!$A:$B,2,0),AA18,1),"")</f>
        <v>V</v>
      </c>
      <c r="AA18" s="3">
        <v>116</v>
      </c>
      <c r="AB18" s="3" t="str">
        <f>IFERROR(MID(VLOOKUP($B18,Seqs!$A:$B,2,0),AC18,1),"")</f>
        <v>T</v>
      </c>
      <c r="AC18" s="9">
        <v>117</v>
      </c>
      <c r="AD18" s="3" t="str">
        <f>IFERROR(MID(VLOOKUP($B18,Seqs!$A:$B,2,0),AE18,1),"")</f>
        <v>G</v>
      </c>
      <c r="AE18" s="3">
        <v>142</v>
      </c>
      <c r="AF18" s="3" t="str">
        <f>IFERROR(MID(VLOOKUP($B18,Seqs!$A:$B,2,0),AG18,1),"")</f>
        <v>C</v>
      </c>
      <c r="AG18" s="3">
        <v>166</v>
      </c>
      <c r="AH18" s="3" t="str">
        <f>IFERROR(MID(VLOOKUP($B18,Seqs!$A:$B,2,0),AI18,1),"")</f>
        <v>F</v>
      </c>
      <c r="AI18" s="3">
        <v>168</v>
      </c>
      <c r="AJ18" s="3" t="str">
        <f>IFERROR(MID(VLOOKUP($B18,Seqs!$A:$B,2,0),AK18,1),"")</f>
        <v>P</v>
      </c>
      <c r="AK18" s="3">
        <v>173</v>
      </c>
      <c r="AL18" s="3" t="str">
        <f>IFERROR(MID(VLOOKUP($B18,Seqs!$A:$B,2,0),AM18,1),"")</f>
        <v>S</v>
      </c>
      <c r="AM18" s="3">
        <v>213</v>
      </c>
      <c r="AN18" s="3" t="str">
        <f>IFERROR(MID(VLOOKUP($B18,Seqs!$A:$B,2,0),AO18,1),"")</f>
        <v>E</v>
      </c>
      <c r="AO18" s="3">
        <v>219</v>
      </c>
      <c r="AP18" s="3" t="str">
        <f>IFERROR(MID(VLOOKUP($B18,Seqs!$A:$B,2,0),AQ18,1),"")</f>
        <v>C</v>
      </c>
      <c r="AQ18" s="3">
        <v>259</v>
      </c>
      <c r="AR18" s="3" t="str">
        <f>IFERROR(MID(VLOOKUP($B18,Seqs!$A:$B,2,0),AS18,1),"")</f>
        <v>P</v>
      </c>
      <c r="AS18" s="3">
        <v>266</v>
      </c>
      <c r="AT18" s="3" t="str">
        <f>IFERROR(MID(VLOOKUP($B18,Seqs!$A:$B,2,0),AU18,1),"")</f>
        <v>R</v>
      </c>
      <c r="AU18" s="3">
        <v>291</v>
      </c>
      <c r="AV18" s="3" t="str">
        <f>IFERROR(MID(VLOOKUP($B18,Seqs!$A:$B,2,0),AW18,1),"")</f>
        <v>I</v>
      </c>
      <c r="AW18" s="3">
        <v>292</v>
      </c>
      <c r="AX18" s="3" t="str">
        <f>IFERROR(MID(VLOOKUP($B18,Seqs!$A:$B,2,0),AY18,1),"")</f>
        <v>S</v>
      </c>
      <c r="AY18" s="3">
        <v>305</v>
      </c>
      <c r="AZ18" s="79" t="str">
        <f>VLOOKUP(B18,Classification!A:D,2,0)</f>
        <v>A</v>
      </c>
      <c r="BA18" s="97" t="str">
        <f>VLOOKUP(B18,Classification!A:D,4,0)</f>
        <v>Adenosine</v>
      </c>
      <c r="BB18" s="27" t="b">
        <f t="shared" si="1"/>
        <v>1</v>
      </c>
      <c r="BC18" s="23">
        <f t="shared" si="2"/>
        <v>261</v>
      </c>
      <c r="BD18" s="4" t="s">
        <v>23</v>
      </c>
      <c r="BE18" s="3" t="s">
        <v>1381</v>
      </c>
      <c r="BF18" s="50" t="s">
        <v>1384</v>
      </c>
      <c r="BG18" s="50" t="s">
        <v>1384</v>
      </c>
      <c r="BH18" s="1"/>
      <c r="BI18" s="72" t="s">
        <v>1293</v>
      </c>
      <c r="BJ18" s="58" t="s">
        <v>1293</v>
      </c>
      <c r="BK18" s="58" t="s">
        <v>1293</v>
      </c>
      <c r="BL18" s="58" t="s">
        <v>1293</v>
      </c>
      <c r="BM18" s="58" t="s">
        <v>1293</v>
      </c>
      <c r="BN18" s="58" t="s">
        <v>1293</v>
      </c>
      <c r="BO18" s="58" t="s">
        <v>1293</v>
      </c>
      <c r="BP18" s="58" t="s">
        <v>1293</v>
      </c>
      <c r="BQ18" s="58" t="s">
        <v>1293</v>
      </c>
      <c r="BR18" s="58" t="s">
        <v>1293</v>
      </c>
      <c r="BS18" s="58" t="s">
        <v>1293</v>
      </c>
      <c r="BT18" s="58" t="s">
        <v>1293</v>
      </c>
      <c r="BU18" s="72">
        <f t="shared" si="3"/>
        <v>7</v>
      </c>
      <c r="BV18" s="73">
        <f t="shared" si="4"/>
        <v>35</v>
      </c>
      <c r="BW18" s="74">
        <f t="shared" si="5"/>
        <v>39</v>
      </c>
      <c r="BX18" s="73">
        <f t="shared" si="6"/>
        <v>70</v>
      </c>
      <c r="BY18" s="74">
        <f t="shared" si="7"/>
        <v>73</v>
      </c>
      <c r="BZ18" s="73">
        <f t="shared" si="8"/>
        <v>109</v>
      </c>
      <c r="CA18" s="74">
        <f t="shared" si="9"/>
        <v>117</v>
      </c>
      <c r="CB18" s="73">
        <f t="shared" si="10"/>
        <v>166</v>
      </c>
      <c r="CC18" s="74">
        <f t="shared" si="11"/>
        <v>173</v>
      </c>
      <c r="CD18" s="73">
        <f t="shared" si="12"/>
        <v>219</v>
      </c>
      <c r="CE18" s="74">
        <f t="shared" si="13"/>
        <v>266</v>
      </c>
      <c r="CF18" s="73">
        <f t="shared" si="14"/>
        <v>292</v>
      </c>
      <c r="CG18" s="72">
        <f t="shared" si="15"/>
        <v>34</v>
      </c>
      <c r="CH18" s="73">
        <f t="shared" si="16"/>
        <v>38</v>
      </c>
      <c r="CI18" s="74">
        <f t="shared" si="17"/>
        <v>69</v>
      </c>
      <c r="CJ18" s="74">
        <f t="shared" si="18"/>
        <v>72</v>
      </c>
      <c r="CK18" s="74">
        <f t="shared" si="19"/>
        <v>108</v>
      </c>
      <c r="CL18" s="74">
        <f t="shared" si="20"/>
        <v>116</v>
      </c>
      <c r="CM18" s="74">
        <f t="shared" si="21"/>
        <v>142</v>
      </c>
      <c r="CN18" s="74">
        <f t="shared" si="22"/>
        <v>168</v>
      </c>
      <c r="CO18" s="74">
        <f t="shared" si="23"/>
        <v>213</v>
      </c>
      <c r="CP18" s="74">
        <f t="shared" si="24"/>
        <v>259</v>
      </c>
      <c r="CQ18" s="74">
        <f t="shared" si="25"/>
        <v>291</v>
      </c>
      <c r="CR18" s="74">
        <f t="shared" si="26"/>
        <v>305</v>
      </c>
      <c r="CS18" s="23">
        <f t="shared" si="27"/>
        <v>1</v>
      </c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  <c r="ADW18" s="1"/>
      <c r="ADX18" s="1"/>
      <c r="ADY18" s="1"/>
      <c r="ADZ18" s="1"/>
      <c r="AEA18" s="1"/>
      <c r="AEB18" s="1"/>
      <c r="AEC18" s="1"/>
      <c r="AED18" s="1"/>
      <c r="AEE18" s="1"/>
      <c r="AEF18" s="1"/>
      <c r="AEG18" s="1"/>
      <c r="AEH18" s="1"/>
      <c r="AEI18" s="1"/>
      <c r="AEJ18" s="1"/>
      <c r="AEK18" s="1"/>
      <c r="AEL18" s="1"/>
      <c r="AEM18" s="1"/>
      <c r="AEN18" s="1"/>
      <c r="AEO18" s="1"/>
      <c r="AEP18" s="1"/>
      <c r="AEQ18" s="1"/>
      <c r="AER18" s="1"/>
      <c r="AES18" s="1"/>
      <c r="AET18" s="1"/>
      <c r="AEU18" s="1"/>
      <c r="AEV18" s="1"/>
      <c r="AEW18" s="1"/>
      <c r="AEX18" s="1"/>
      <c r="AEY18" s="1"/>
      <c r="AEZ18" s="1"/>
      <c r="AFA18" s="1"/>
      <c r="AFB18" s="1"/>
      <c r="AFC18" s="1"/>
      <c r="AFD18" s="1"/>
      <c r="AFE18" s="1"/>
      <c r="AFF18" s="1"/>
      <c r="AFG18" s="1"/>
      <c r="AFH18" s="1"/>
      <c r="AFI18" s="1"/>
      <c r="AFJ18" s="1"/>
      <c r="AFK18" s="1"/>
      <c r="AFL18" s="1"/>
      <c r="AFM18" s="1"/>
      <c r="AFN18" s="1"/>
      <c r="AFO18" s="1"/>
      <c r="AFP18" s="1"/>
      <c r="AFQ18" s="1"/>
      <c r="AFR18" s="1"/>
      <c r="AFS18" s="1"/>
      <c r="AFT18" s="1"/>
      <c r="AFU18" s="1"/>
      <c r="AFV18" s="1"/>
      <c r="AFW18" s="1"/>
      <c r="AFX18" s="1"/>
      <c r="AFY18" s="1"/>
      <c r="AFZ18" s="1"/>
      <c r="AGA18" s="1"/>
      <c r="AGB18" s="1"/>
      <c r="AGC18" s="1"/>
      <c r="AGD18" s="1"/>
      <c r="AGE18" s="1"/>
      <c r="AGF18" s="1"/>
      <c r="AGG18" s="1"/>
      <c r="AGH18" s="1"/>
      <c r="AGI18" s="1"/>
      <c r="AGJ18" s="1"/>
      <c r="AGK18" s="1"/>
      <c r="AGL18" s="1"/>
      <c r="AGM18" s="1"/>
      <c r="AGN18" s="1"/>
      <c r="AGO18" s="1"/>
      <c r="AGP18" s="1"/>
      <c r="AGQ18" s="1"/>
      <c r="AGR18" s="1"/>
      <c r="AGS18" s="1"/>
      <c r="AGT18" s="1"/>
      <c r="AGU18" s="1"/>
      <c r="AGV18" s="1"/>
      <c r="AGW18" s="1"/>
      <c r="AGX18" s="1"/>
      <c r="AGY18" s="1"/>
      <c r="AGZ18" s="1"/>
      <c r="AHA18" s="1"/>
      <c r="AHB18" s="1"/>
      <c r="AHC18" s="1"/>
      <c r="AHD18" s="1"/>
      <c r="AHE18" s="1"/>
      <c r="AHF18" s="1"/>
      <c r="AHG18" s="1"/>
      <c r="AHH18" s="1"/>
      <c r="AHI18" s="1"/>
      <c r="AHJ18" s="1"/>
      <c r="AHK18" s="1"/>
      <c r="AHL18" s="1"/>
      <c r="AHM18" s="1"/>
      <c r="AHN18" s="1"/>
      <c r="AHO18" s="1"/>
      <c r="AHP18" s="1"/>
      <c r="AHQ18" s="1"/>
      <c r="AHR18" s="1"/>
      <c r="AHS18" s="1"/>
      <c r="AHT18" s="1"/>
      <c r="AHU18" s="1"/>
      <c r="AHV18" s="1"/>
      <c r="AHW18" s="1"/>
      <c r="AHX18" s="1"/>
      <c r="AHY18" s="1"/>
      <c r="AHZ18" s="1"/>
      <c r="AIA18" s="1"/>
      <c r="AIB18" s="1"/>
      <c r="AIC18" s="1"/>
      <c r="AID18" s="1"/>
      <c r="AIE18" s="1"/>
      <c r="AIF18" s="1"/>
      <c r="AIG18" s="1"/>
      <c r="AIH18" s="1"/>
      <c r="AII18" s="1"/>
      <c r="AIJ18" s="1"/>
      <c r="AIK18" s="1"/>
      <c r="AIL18" s="1"/>
      <c r="AIM18" s="1"/>
      <c r="AIN18" s="1"/>
      <c r="AIO18" s="1"/>
      <c r="AIP18" s="1"/>
      <c r="AIQ18" s="1"/>
      <c r="AIR18" s="1"/>
      <c r="AIS18" s="1"/>
      <c r="AIT18" s="1"/>
      <c r="AIU18" s="1"/>
      <c r="AIV18" s="1"/>
      <c r="AIW18" s="1"/>
      <c r="AIX18" s="1"/>
      <c r="AIY18" s="1"/>
      <c r="AIZ18" s="1"/>
      <c r="AJA18" s="1"/>
      <c r="AJB18" s="1"/>
      <c r="AJC18" s="1"/>
      <c r="AJD18" s="1"/>
      <c r="AJE18" s="1"/>
      <c r="AJF18" s="1"/>
      <c r="AJG18" s="1"/>
      <c r="AJH18" s="1"/>
      <c r="AJI18" s="1"/>
      <c r="AJJ18" s="1"/>
      <c r="AJK18" s="1"/>
      <c r="AJL18" s="1"/>
      <c r="AJM18" s="1"/>
      <c r="AJN18" s="1"/>
      <c r="AJO18" s="1"/>
      <c r="AJP18" s="1"/>
      <c r="AJQ18" s="1"/>
      <c r="AJR18" s="1"/>
      <c r="AJS18" s="1"/>
      <c r="AJT18" s="1"/>
      <c r="AJU18" s="1"/>
      <c r="AJV18" s="1"/>
      <c r="AJW18" s="1"/>
      <c r="AJX18" s="1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1"/>
      <c r="AKN18" s="1"/>
      <c r="AKO18" s="1"/>
      <c r="AKP18" s="1"/>
      <c r="AKQ18" s="1"/>
      <c r="AKR18" s="1"/>
      <c r="AKS18" s="1"/>
      <c r="AKT18" s="1"/>
      <c r="AKU18" s="1"/>
      <c r="AKV18" s="1"/>
      <c r="AKW18" s="1"/>
      <c r="AKX18" s="1"/>
      <c r="AKY18" s="1"/>
      <c r="AKZ18" s="1"/>
      <c r="ALA18" s="1"/>
      <c r="ALB18" s="1"/>
      <c r="ALC18" s="1"/>
      <c r="ALD18" s="1"/>
      <c r="ALE18" s="1"/>
      <c r="ALF18" s="1"/>
      <c r="ALG18" s="1"/>
      <c r="ALH18" s="1"/>
      <c r="ALI18" s="1"/>
      <c r="ALJ18" s="1"/>
      <c r="ALK18" s="1"/>
      <c r="ALL18" s="1"/>
      <c r="ALM18" s="1"/>
      <c r="ALN18" s="1"/>
      <c r="ALO18" s="1"/>
      <c r="ALP18" s="1"/>
      <c r="ALQ18" s="1"/>
      <c r="ALR18" s="1"/>
      <c r="ALS18" s="1"/>
      <c r="ALT18" s="1"/>
      <c r="ALU18" s="1"/>
      <c r="ALV18" s="1"/>
      <c r="ALW18" s="1"/>
      <c r="ALX18" s="1"/>
      <c r="ALY18" s="1"/>
      <c r="ALZ18" s="1"/>
      <c r="AMA18" s="1"/>
      <c r="AMB18" s="1"/>
      <c r="AMC18" s="1"/>
      <c r="AMD18" s="1"/>
      <c r="AME18" s="1"/>
      <c r="AMF18" s="1"/>
      <c r="AMG18" s="1"/>
      <c r="AMH18" s="1"/>
      <c r="AMI18" s="1"/>
      <c r="AMJ18" s="1"/>
      <c r="AMK18" s="1"/>
      <c r="AML18" s="1"/>
      <c r="AMM18" s="1"/>
      <c r="AMN18" s="1"/>
    </row>
    <row r="19" spans="1:1029" s="6" customFormat="1" x14ac:dyDescent="0.2">
      <c r="A19" s="3" t="str">
        <f t="shared" si="0"/>
        <v>aa2ar_human_3UZC</v>
      </c>
      <c r="B19" s="3" t="s">
        <v>139</v>
      </c>
      <c r="C19" s="3" t="s">
        <v>1037</v>
      </c>
      <c r="D19" s="3" t="str">
        <f>IFERROR(MID(VLOOKUP($B19,Seqs!$A:$B,2,0),E19,1),"")</f>
        <v>S</v>
      </c>
      <c r="E19" s="3">
        <v>7</v>
      </c>
      <c r="F19" s="3" t="str">
        <f>IFERROR(MID(VLOOKUP($B19,Seqs!$A:$B,2,0),G19,1),"")</f>
        <v>N</v>
      </c>
      <c r="G19" s="3">
        <v>34</v>
      </c>
      <c r="H19" s="3" t="str">
        <f>IFERROR(MID(VLOOKUP($B19,Seqs!$A:$B,2,0),I19,1),"")</f>
        <v>S</v>
      </c>
      <c r="I19" s="23">
        <v>35</v>
      </c>
      <c r="J19" s="3" t="str">
        <f>IFERROR(MID(VLOOKUP($B19,Seqs!$A:$B,2,0),K19,1),"")</f>
        <v>Q</v>
      </c>
      <c r="K19" s="23">
        <v>38</v>
      </c>
      <c r="L19" s="3" t="str">
        <f>IFERROR(MID(VLOOKUP($B19,Seqs!$A:$B,2,0),M19,1),"")</f>
        <v>N</v>
      </c>
      <c r="M19" s="3">
        <v>39</v>
      </c>
      <c r="N19" s="3" t="str">
        <f>IFERROR(MID(VLOOKUP($B19,Seqs!$A:$B,2,0),O19,1),"")</f>
        <v>G</v>
      </c>
      <c r="O19" s="3">
        <v>69</v>
      </c>
      <c r="P19" s="3" t="str">
        <f>IFERROR(MID(VLOOKUP($B19,Seqs!$A:$B,2,0),Q19,1),"")</f>
        <v>F</v>
      </c>
      <c r="Q19" s="3">
        <v>70</v>
      </c>
      <c r="R19" s="3" t="str">
        <f>IFERROR(MID(VLOOKUP($B19,Seqs!$A:$B,2,0),S19,1),"")</f>
        <v>A</v>
      </c>
      <c r="S19" s="3">
        <v>72</v>
      </c>
      <c r="T19" s="3" t="str">
        <f>IFERROR(MID(VLOOKUP($B19,Seqs!$A:$B,2,0),U19,1),"")</f>
        <v>A</v>
      </c>
      <c r="U19" s="3">
        <v>73</v>
      </c>
      <c r="V19" s="3" t="str">
        <f>IFERROR(MID(VLOOKUP($B19,Seqs!$A:$B,2,0),W19,1),"")</f>
        <v>I</v>
      </c>
      <c r="W19" s="3">
        <v>108</v>
      </c>
      <c r="X19" s="3" t="str">
        <f>IFERROR(MID(VLOOKUP($B19,Seqs!$A:$B,2,0),Y19,1),"")</f>
        <v>P</v>
      </c>
      <c r="Y19" s="3">
        <v>109</v>
      </c>
      <c r="Z19" s="3" t="str">
        <f>IFERROR(MID(VLOOKUP($B19,Seqs!$A:$B,2,0),AA19,1),"")</f>
        <v>V</v>
      </c>
      <c r="AA19" s="3">
        <v>116</v>
      </c>
      <c r="AB19" s="3" t="str">
        <f>IFERROR(MID(VLOOKUP($B19,Seqs!$A:$B,2,0),AC19,1),"")</f>
        <v>T</v>
      </c>
      <c r="AC19" s="9">
        <v>117</v>
      </c>
      <c r="AD19" s="3" t="str">
        <f>IFERROR(MID(VLOOKUP($B19,Seqs!$A:$B,2,0),AE19,1),"")</f>
        <v>G</v>
      </c>
      <c r="AE19" s="3">
        <v>142</v>
      </c>
      <c r="AF19" s="3" t="str">
        <f>IFERROR(MID(VLOOKUP($B19,Seqs!$A:$B,2,0),AG19,1),"")</f>
        <v>C</v>
      </c>
      <c r="AG19" s="3">
        <v>166</v>
      </c>
      <c r="AH19" s="3" t="str">
        <f>IFERROR(MID(VLOOKUP($B19,Seqs!$A:$B,2,0),AI19,1),"")</f>
        <v>F</v>
      </c>
      <c r="AI19" s="3">
        <v>168</v>
      </c>
      <c r="AJ19" s="3" t="str">
        <f>IFERROR(MID(VLOOKUP($B19,Seqs!$A:$B,2,0),AK19,1),"")</f>
        <v>P</v>
      </c>
      <c r="AK19" s="3">
        <v>173</v>
      </c>
      <c r="AL19" s="3" t="str">
        <f>IFERROR(MID(VLOOKUP($B19,Seqs!$A:$B,2,0),AM19,1),"")</f>
        <v>S</v>
      </c>
      <c r="AM19" s="3">
        <v>213</v>
      </c>
      <c r="AN19" s="3" t="str">
        <f>IFERROR(MID(VLOOKUP($B19,Seqs!$A:$B,2,0),AO19,1),"")</f>
        <v>E</v>
      </c>
      <c r="AO19" s="3">
        <v>219</v>
      </c>
      <c r="AP19" s="3" t="str">
        <f>IFERROR(MID(VLOOKUP($B19,Seqs!$A:$B,2,0),AQ19,1),"")</f>
        <v>C</v>
      </c>
      <c r="AQ19" s="3">
        <v>259</v>
      </c>
      <c r="AR19" s="3" t="str">
        <f>IFERROR(MID(VLOOKUP($B19,Seqs!$A:$B,2,0),AS19,1),"")</f>
        <v>P</v>
      </c>
      <c r="AS19" s="3">
        <v>266</v>
      </c>
      <c r="AT19" s="3" t="str">
        <f>IFERROR(MID(VLOOKUP($B19,Seqs!$A:$B,2,0),AU19,1),"")</f>
        <v>R</v>
      </c>
      <c r="AU19" s="3">
        <v>291</v>
      </c>
      <c r="AV19" s="3" t="str">
        <f>IFERROR(MID(VLOOKUP($B19,Seqs!$A:$B,2,0),AW19,1),"")</f>
        <v>I</v>
      </c>
      <c r="AW19" s="3">
        <v>292</v>
      </c>
      <c r="AX19" s="3" t="str">
        <f>IFERROR(MID(VLOOKUP($B19,Seqs!$A:$B,2,0),AY19,1),"")</f>
        <v>S</v>
      </c>
      <c r="AY19" s="3">
        <v>305</v>
      </c>
      <c r="AZ19" s="79" t="str">
        <f>VLOOKUP(B19,Classification!A:D,2,0)</f>
        <v>A</v>
      </c>
      <c r="BA19" s="97" t="str">
        <f>VLOOKUP(B19,Classification!A:D,4,0)</f>
        <v>Adenosine</v>
      </c>
      <c r="BB19" s="27" t="b">
        <f t="shared" si="1"/>
        <v>1</v>
      </c>
      <c r="BC19" s="23">
        <f t="shared" si="2"/>
        <v>261</v>
      </c>
      <c r="BD19" s="4" t="s">
        <v>23</v>
      </c>
      <c r="BE19" s="3" t="s">
        <v>1381</v>
      </c>
      <c r="BF19" s="50" t="s">
        <v>1384</v>
      </c>
      <c r="BG19" s="50" t="s">
        <v>1384</v>
      </c>
      <c r="BH19" s="1"/>
      <c r="BI19" s="72" t="s">
        <v>1293</v>
      </c>
      <c r="BJ19" s="58" t="s">
        <v>1293</v>
      </c>
      <c r="BK19" s="58" t="s">
        <v>1293</v>
      </c>
      <c r="BL19" s="58" t="s">
        <v>1293</v>
      </c>
      <c r="BM19" s="58" t="s">
        <v>1293</v>
      </c>
      <c r="BN19" s="58" t="s">
        <v>1293</v>
      </c>
      <c r="BO19" s="58" t="s">
        <v>1293</v>
      </c>
      <c r="BP19" s="58" t="s">
        <v>1293</v>
      </c>
      <c r="BQ19" s="58" t="s">
        <v>1293</v>
      </c>
      <c r="BR19" s="58" t="s">
        <v>1293</v>
      </c>
      <c r="BS19" s="58" t="s">
        <v>1293</v>
      </c>
      <c r="BT19" s="58" t="s">
        <v>1293</v>
      </c>
      <c r="BU19" s="72">
        <f t="shared" si="3"/>
        <v>7</v>
      </c>
      <c r="BV19" s="73">
        <f t="shared" si="4"/>
        <v>35</v>
      </c>
      <c r="BW19" s="74">
        <f t="shared" si="5"/>
        <v>39</v>
      </c>
      <c r="BX19" s="73">
        <f t="shared" si="6"/>
        <v>70</v>
      </c>
      <c r="BY19" s="74">
        <f t="shared" si="7"/>
        <v>73</v>
      </c>
      <c r="BZ19" s="73">
        <f t="shared" si="8"/>
        <v>109</v>
      </c>
      <c r="CA19" s="74">
        <f t="shared" si="9"/>
        <v>117</v>
      </c>
      <c r="CB19" s="73">
        <f t="shared" si="10"/>
        <v>166</v>
      </c>
      <c r="CC19" s="74">
        <f t="shared" si="11"/>
        <v>173</v>
      </c>
      <c r="CD19" s="73">
        <f t="shared" si="12"/>
        <v>219</v>
      </c>
      <c r="CE19" s="74">
        <f t="shared" si="13"/>
        <v>266</v>
      </c>
      <c r="CF19" s="73">
        <f t="shared" si="14"/>
        <v>292</v>
      </c>
      <c r="CG19" s="72">
        <f t="shared" si="15"/>
        <v>34</v>
      </c>
      <c r="CH19" s="73">
        <f t="shared" si="16"/>
        <v>38</v>
      </c>
      <c r="CI19" s="74">
        <f t="shared" si="17"/>
        <v>69</v>
      </c>
      <c r="CJ19" s="74">
        <f t="shared" si="18"/>
        <v>72</v>
      </c>
      <c r="CK19" s="74">
        <f t="shared" si="19"/>
        <v>108</v>
      </c>
      <c r="CL19" s="74">
        <f t="shared" si="20"/>
        <v>116</v>
      </c>
      <c r="CM19" s="74">
        <f t="shared" si="21"/>
        <v>142</v>
      </c>
      <c r="CN19" s="74">
        <f t="shared" si="22"/>
        <v>168</v>
      </c>
      <c r="CO19" s="74">
        <f t="shared" si="23"/>
        <v>213</v>
      </c>
      <c r="CP19" s="74">
        <f t="shared" si="24"/>
        <v>259</v>
      </c>
      <c r="CQ19" s="74">
        <f t="shared" si="25"/>
        <v>291</v>
      </c>
      <c r="CR19" s="74">
        <f t="shared" si="26"/>
        <v>305</v>
      </c>
      <c r="CS19" s="23">
        <f t="shared" si="27"/>
        <v>1</v>
      </c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  <c r="ADW19" s="1"/>
      <c r="ADX19" s="1"/>
      <c r="ADY19" s="1"/>
      <c r="ADZ19" s="1"/>
      <c r="AEA19" s="1"/>
      <c r="AEB19" s="1"/>
      <c r="AEC19" s="1"/>
      <c r="AED19" s="1"/>
      <c r="AEE19" s="1"/>
      <c r="AEF19" s="1"/>
      <c r="AEG19" s="1"/>
      <c r="AEH19" s="1"/>
      <c r="AEI19" s="1"/>
      <c r="AEJ19" s="1"/>
      <c r="AEK19" s="1"/>
      <c r="AEL19" s="1"/>
      <c r="AEM19" s="1"/>
      <c r="AEN19" s="1"/>
      <c r="AEO19" s="1"/>
      <c r="AEP19" s="1"/>
      <c r="AEQ19" s="1"/>
      <c r="AER19" s="1"/>
      <c r="AES19" s="1"/>
      <c r="AET19" s="1"/>
      <c r="AEU19" s="1"/>
      <c r="AEV19" s="1"/>
      <c r="AEW19" s="1"/>
      <c r="AEX19" s="1"/>
      <c r="AEY19" s="1"/>
      <c r="AEZ19" s="1"/>
      <c r="AFA19" s="1"/>
      <c r="AFB19" s="1"/>
      <c r="AFC19" s="1"/>
      <c r="AFD19" s="1"/>
      <c r="AFE19" s="1"/>
      <c r="AFF19" s="1"/>
      <c r="AFG19" s="1"/>
      <c r="AFH19" s="1"/>
      <c r="AFI19" s="1"/>
      <c r="AFJ19" s="1"/>
      <c r="AFK19" s="1"/>
      <c r="AFL19" s="1"/>
      <c r="AFM19" s="1"/>
      <c r="AFN19" s="1"/>
      <c r="AFO19" s="1"/>
      <c r="AFP19" s="1"/>
      <c r="AFQ19" s="1"/>
      <c r="AFR19" s="1"/>
      <c r="AFS19" s="1"/>
      <c r="AFT19" s="1"/>
      <c r="AFU19" s="1"/>
      <c r="AFV19" s="1"/>
      <c r="AFW19" s="1"/>
      <c r="AFX19" s="1"/>
      <c r="AFY19" s="1"/>
      <c r="AFZ19" s="1"/>
      <c r="AGA19" s="1"/>
      <c r="AGB19" s="1"/>
      <c r="AGC19" s="1"/>
      <c r="AGD19" s="1"/>
      <c r="AGE19" s="1"/>
      <c r="AGF19" s="1"/>
      <c r="AGG19" s="1"/>
      <c r="AGH19" s="1"/>
      <c r="AGI19" s="1"/>
      <c r="AGJ19" s="1"/>
      <c r="AGK19" s="1"/>
      <c r="AGL19" s="1"/>
      <c r="AGM19" s="1"/>
      <c r="AGN19" s="1"/>
      <c r="AGO19" s="1"/>
      <c r="AGP19" s="1"/>
      <c r="AGQ19" s="1"/>
      <c r="AGR19" s="1"/>
      <c r="AGS19" s="1"/>
      <c r="AGT19" s="1"/>
      <c r="AGU19" s="1"/>
      <c r="AGV19" s="1"/>
      <c r="AGW19" s="1"/>
      <c r="AGX19" s="1"/>
      <c r="AGY19" s="1"/>
      <c r="AGZ19" s="1"/>
      <c r="AHA19" s="1"/>
      <c r="AHB19" s="1"/>
      <c r="AHC19" s="1"/>
      <c r="AHD19" s="1"/>
      <c r="AHE19" s="1"/>
      <c r="AHF19" s="1"/>
      <c r="AHG19" s="1"/>
      <c r="AHH19" s="1"/>
      <c r="AHI19" s="1"/>
      <c r="AHJ19" s="1"/>
      <c r="AHK19" s="1"/>
      <c r="AHL19" s="1"/>
      <c r="AHM19" s="1"/>
      <c r="AHN19" s="1"/>
      <c r="AHO19" s="1"/>
      <c r="AHP19" s="1"/>
      <c r="AHQ19" s="1"/>
      <c r="AHR19" s="1"/>
      <c r="AHS19" s="1"/>
      <c r="AHT19" s="1"/>
      <c r="AHU19" s="1"/>
      <c r="AHV19" s="1"/>
      <c r="AHW19" s="1"/>
      <c r="AHX19" s="1"/>
      <c r="AHY19" s="1"/>
      <c r="AHZ19" s="1"/>
      <c r="AIA19" s="1"/>
      <c r="AIB19" s="1"/>
      <c r="AIC19" s="1"/>
      <c r="AID19" s="1"/>
      <c r="AIE19" s="1"/>
      <c r="AIF19" s="1"/>
      <c r="AIG19" s="1"/>
      <c r="AIH19" s="1"/>
      <c r="AII19" s="1"/>
      <c r="AIJ19" s="1"/>
      <c r="AIK19" s="1"/>
      <c r="AIL19" s="1"/>
      <c r="AIM19" s="1"/>
      <c r="AIN19" s="1"/>
      <c r="AIO19" s="1"/>
      <c r="AIP19" s="1"/>
      <c r="AIQ19" s="1"/>
      <c r="AIR19" s="1"/>
      <c r="AIS19" s="1"/>
      <c r="AIT19" s="1"/>
      <c r="AIU19" s="1"/>
      <c r="AIV19" s="1"/>
      <c r="AIW19" s="1"/>
      <c r="AIX19" s="1"/>
      <c r="AIY19" s="1"/>
      <c r="AIZ19" s="1"/>
      <c r="AJA19" s="1"/>
      <c r="AJB19" s="1"/>
      <c r="AJC19" s="1"/>
      <c r="AJD19" s="1"/>
      <c r="AJE19" s="1"/>
      <c r="AJF19" s="1"/>
      <c r="AJG19" s="1"/>
      <c r="AJH19" s="1"/>
      <c r="AJI19" s="1"/>
      <c r="AJJ19" s="1"/>
      <c r="AJK19" s="1"/>
      <c r="AJL19" s="1"/>
      <c r="AJM19" s="1"/>
      <c r="AJN19" s="1"/>
      <c r="AJO19" s="1"/>
      <c r="AJP19" s="1"/>
      <c r="AJQ19" s="1"/>
      <c r="AJR19" s="1"/>
      <c r="AJS19" s="1"/>
      <c r="AJT19" s="1"/>
      <c r="AJU19" s="1"/>
      <c r="AJV19" s="1"/>
      <c r="AJW19" s="1"/>
      <c r="AJX19" s="1"/>
      <c r="AJY19" s="1"/>
      <c r="AJZ19" s="1"/>
      <c r="AKA19" s="1"/>
      <c r="AKB19" s="1"/>
      <c r="AKC19" s="1"/>
      <c r="AKD19" s="1"/>
      <c r="AKE19" s="1"/>
      <c r="AKF19" s="1"/>
      <c r="AKG19" s="1"/>
      <c r="AKH19" s="1"/>
      <c r="AKI19" s="1"/>
      <c r="AKJ19" s="1"/>
      <c r="AKK19" s="1"/>
      <c r="AKL19" s="1"/>
      <c r="AKM19" s="1"/>
      <c r="AKN19" s="1"/>
      <c r="AKO19" s="1"/>
      <c r="AKP19" s="1"/>
      <c r="AKQ19" s="1"/>
      <c r="AKR19" s="1"/>
      <c r="AKS19" s="1"/>
      <c r="AKT19" s="1"/>
      <c r="AKU19" s="1"/>
      <c r="AKV19" s="1"/>
      <c r="AKW19" s="1"/>
      <c r="AKX19" s="1"/>
      <c r="AKY19" s="1"/>
      <c r="AKZ19" s="1"/>
      <c r="ALA19" s="1"/>
      <c r="ALB19" s="1"/>
      <c r="ALC19" s="1"/>
      <c r="ALD19" s="1"/>
      <c r="ALE19" s="1"/>
      <c r="ALF19" s="1"/>
      <c r="ALG19" s="1"/>
      <c r="ALH19" s="1"/>
      <c r="ALI19" s="1"/>
      <c r="ALJ19" s="1"/>
      <c r="ALK19" s="1"/>
      <c r="ALL19" s="1"/>
      <c r="ALM19" s="1"/>
      <c r="ALN19" s="1"/>
      <c r="ALO19" s="1"/>
      <c r="ALP19" s="1"/>
      <c r="ALQ19" s="1"/>
      <c r="ALR19" s="1"/>
      <c r="ALS19" s="1"/>
      <c r="ALT19" s="1"/>
      <c r="ALU19" s="1"/>
      <c r="ALV19" s="1"/>
      <c r="ALW19" s="1"/>
      <c r="ALX19" s="1"/>
      <c r="ALY19" s="1"/>
      <c r="ALZ19" s="1"/>
      <c r="AMA19" s="1"/>
      <c r="AMB19" s="1"/>
      <c r="AMC19" s="1"/>
      <c r="AMD19" s="1"/>
      <c r="AME19" s="1"/>
      <c r="AMF19" s="1"/>
      <c r="AMG19" s="1"/>
      <c r="AMH19" s="1"/>
      <c r="AMI19" s="1"/>
      <c r="AMJ19" s="1"/>
      <c r="AMK19" s="1"/>
      <c r="AML19" s="1"/>
      <c r="AMM19" s="1"/>
      <c r="AMN19" s="1"/>
      <c r="AMO19" s="1"/>
    </row>
    <row r="20" spans="1:1029" s="6" customFormat="1" x14ac:dyDescent="0.2">
      <c r="A20" s="3" t="str">
        <f t="shared" si="0"/>
        <v>aa2ar_human_3VG9</v>
      </c>
      <c r="B20" s="3" t="s">
        <v>139</v>
      </c>
      <c r="C20" s="3" t="s">
        <v>1104</v>
      </c>
      <c r="D20" s="3" t="str">
        <f>IFERROR(MID(VLOOKUP($B20,Seqs!$A:$B,2,0),E20,1),"")</f>
        <v>S</v>
      </c>
      <c r="E20" s="3">
        <v>6</v>
      </c>
      <c r="F20" s="3" t="str">
        <f>IFERROR(MID(VLOOKUP($B20,Seqs!$A:$B,2,0),G20,1),"")</f>
        <v>N</v>
      </c>
      <c r="G20" s="3">
        <v>34</v>
      </c>
      <c r="H20" s="3" t="str">
        <f>IFERROR(MID(VLOOKUP($B20,Seqs!$A:$B,2,0),I20,1),"")</f>
        <v>S</v>
      </c>
      <c r="I20" s="23">
        <v>35</v>
      </c>
      <c r="J20" s="3" t="str">
        <f>IFERROR(MID(VLOOKUP($B20,Seqs!$A:$B,2,0),K20,1),"")</f>
        <v>Q</v>
      </c>
      <c r="K20" s="23">
        <v>38</v>
      </c>
      <c r="L20" s="3" t="str">
        <f>IFERROR(MID(VLOOKUP($B20,Seqs!$A:$B,2,0),M20,1),"")</f>
        <v>N</v>
      </c>
      <c r="M20" s="3">
        <v>39</v>
      </c>
      <c r="N20" s="3" t="str">
        <f>IFERROR(MID(VLOOKUP($B20,Seqs!$A:$B,2,0),O20,1),"")</f>
        <v>G</v>
      </c>
      <c r="O20" s="3">
        <v>69</v>
      </c>
      <c r="P20" s="3" t="str">
        <f>IFERROR(MID(VLOOKUP($B20,Seqs!$A:$B,2,0),Q20,1),"")</f>
        <v>F</v>
      </c>
      <c r="Q20" s="3">
        <v>70</v>
      </c>
      <c r="R20" s="3" t="str">
        <f>IFERROR(MID(VLOOKUP($B20,Seqs!$A:$B,2,0),S20,1),"")</f>
        <v>A</v>
      </c>
      <c r="S20" s="3">
        <v>72</v>
      </c>
      <c r="T20" s="3" t="str">
        <f>IFERROR(MID(VLOOKUP($B20,Seqs!$A:$B,2,0),U20,1),"")</f>
        <v>A</v>
      </c>
      <c r="U20" s="3">
        <v>73</v>
      </c>
      <c r="V20" s="3" t="str">
        <f>IFERROR(MID(VLOOKUP($B20,Seqs!$A:$B,2,0),W20,1),"")</f>
        <v>I</v>
      </c>
      <c r="W20" s="3">
        <v>108</v>
      </c>
      <c r="X20" s="3" t="str">
        <f>IFERROR(MID(VLOOKUP($B20,Seqs!$A:$B,2,0),Y20,1),"")</f>
        <v>P</v>
      </c>
      <c r="Y20" s="3">
        <v>109</v>
      </c>
      <c r="Z20" s="3" t="str">
        <f>IFERROR(MID(VLOOKUP($B20,Seqs!$A:$B,2,0),AA20,1),"")</f>
        <v>V</v>
      </c>
      <c r="AA20" s="3">
        <v>116</v>
      </c>
      <c r="AB20" s="3" t="str">
        <f>IFERROR(MID(VLOOKUP($B20,Seqs!$A:$B,2,0),AC20,1),"")</f>
        <v>T</v>
      </c>
      <c r="AC20" s="9">
        <v>117</v>
      </c>
      <c r="AD20" s="3" t="str">
        <f>IFERROR(MID(VLOOKUP($B20,Seqs!$A:$B,2,0),AE20,1),"")</f>
        <v>G</v>
      </c>
      <c r="AE20" s="3">
        <v>142</v>
      </c>
      <c r="AF20" s="3" t="str">
        <f>IFERROR(MID(VLOOKUP($B20,Seqs!$A:$B,2,0),AG20,1),"")</f>
        <v>C</v>
      </c>
      <c r="AG20" s="3">
        <v>166</v>
      </c>
      <c r="AH20" s="3" t="str">
        <f>IFERROR(MID(VLOOKUP($B20,Seqs!$A:$B,2,0),AI20,1),"")</f>
        <v>F</v>
      </c>
      <c r="AI20" s="3">
        <v>168</v>
      </c>
      <c r="AJ20" s="3" t="str">
        <f>IFERROR(MID(VLOOKUP($B20,Seqs!$A:$B,2,0),AK20,1),"")</f>
        <v>P</v>
      </c>
      <c r="AK20" s="3">
        <v>173</v>
      </c>
      <c r="AL20" s="3" t="str">
        <f>IFERROR(MID(VLOOKUP($B20,Seqs!$A:$B,2,0),AM20,1),"")</f>
        <v>Q</v>
      </c>
      <c r="AM20" s="3">
        <v>214</v>
      </c>
      <c r="AN20" s="3" t="str">
        <f>IFERROR(MID(VLOOKUP($B20,Seqs!$A:$B,2,0),AO20,1),"")</f>
        <v>A</v>
      </c>
      <c r="AO20" s="3">
        <v>221</v>
      </c>
      <c r="AP20" s="3" t="str">
        <f>IFERROR(MID(VLOOKUP($B20,Seqs!$A:$B,2,0),AQ20,1),"")</f>
        <v>C</v>
      </c>
      <c r="AQ20" s="3">
        <v>259</v>
      </c>
      <c r="AR20" s="3" t="str">
        <f>IFERROR(MID(VLOOKUP($B20,Seqs!$A:$B,2,0),AS20,1),"")</f>
        <v>P</v>
      </c>
      <c r="AS20" s="3">
        <v>266</v>
      </c>
      <c r="AT20" s="3" t="str">
        <f>IFERROR(MID(VLOOKUP($B20,Seqs!$A:$B,2,0),AU20,1),"")</f>
        <v>R</v>
      </c>
      <c r="AU20" s="3">
        <v>291</v>
      </c>
      <c r="AV20" s="3" t="str">
        <f>IFERROR(MID(VLOOKUP($B20,Seqs!$A:$B,2,0),AW20,1),"")</f>
        <v>I</v>
      </c>
      <c r="AW20" s="3">
        <v>292</v>
      </c>
      <c r="AX20" s="3" t="str">
        <f>IFERROR(MID(VLOOKUP($B20,Seqs!$A:$B,2,0),AY20,1),"")</f>
        <v>Q</v>
      </c>
      <c r="AY20" s="3">
        <v>311</v>
      </c>
      <c r="AZ20" s="79" t="str">
        <f>VLOOKUP(B20,Classification!A:D,2,0)</f>
        <v>A</v>
      </c>
      <c r="BA20" s="97" t="str">
        <f>VLOOKUP(B20,Classification!A:D,4,0)</f>
        <v>Adenosine</v>
      </c>
      <c r="BB20" s="27" t="b">
        <f t="shared" si="1"/>
        <v>1</v>
      </c>
      <c r="BC20" s="23">
        <f t="shared" si="2"/>
        <v>267</v>
      </c>
      <c r="BD20" s="4" t="s">
        <v>23</v>
      </c>
      <c r="BE20" s="3" t="s">
        <v>1381</v>
      </c>
      <c r="BF20" s="50" t="s">
        <v>1384</v>
      </c>
      <c r="BG20" s="50" t="s">
        <v>1384</v>
      </c>
      <c r="BH20" s="1"/>
      <c r="BI20" s="72" t="s">
        <v>1293</v>
      </c>
      <c r="BJ20" s="58" t="s">
        <v>1293</v>
      </c>
      <c r="BK20" s="58" t="s">
        <v>1293</v>
      </c>
      <c r="BL20" s="58" t="s">
        <v>1293</v>
      </c>
      <c r="BM20" s="58" t="s">
        <v>1293</v>
      </c>
      <c r="BN20" s="58" t="s">
        <v>1293</v>
      </c>
      <c r="BO20" s="58" t="s">
        <v>1293</v>
      </c>
      <c r="BP20" s="58" t="s">
        <v>1293</v>
      </c>
      <c r="BQ20" s="58" t="s">
        <v>1293</v>
      </c>
      <c r="BR20" s="58" t="s">
        <v>1293</v>
      </c>
      <c r="BS20" s="58" t="s">
        <v>1293</v>
      </c>
      <c r="BT20" s="58" t="s">
        <v>1293</v>
      </c>
      <c r="BU20" s="72">
        <f t="shared" si="3"/>
        <v>6</v>
      </c>
      <c r="BV20" s="73">
        <f t="shared" si="4"/>
        <v>35</v>
      </c>
      <c r="BW20" s="74">
        <f t="shared" si="5"/>
        <v>39</v>
      </c>
      <c r="BX20" s="73">
        <f t="shared" si="6"/>
        <v>70</v>
      </c>
      <c r="BY20" s="74">
        <f t="shared" si="7"/>
        <v>73</v>
      </c>
      <c r="BZ20" s="73">
        <f t="shared" si="8"/>
        <v>109</v>
      </c>
      <c r="CA20" s="74">
        <f t="shared" si="9"/>
        <v>117</v>
      </c>
      <c r="CB20" s="73">
        <f t="shared" si="10"/>
        <v>166</v>
      </c>
      <c r="CC20" s="74">
        <f t="shared" si="11"/>
        <v>173</v>
      </c>
      <c r="CD20" s="73">
        <f t="shared" si="12"/>
        <v>221</v>
      </c>
      <c r="CE20" s="74">
        <f t="shared" si="13"/>
        <v>266</v>
      </c>
      <c r="CF20" s="73">
        <f t="shared" si="14"/>
        <v>292</v>
      </c>
      <c r="CG20" s="72">
        <f t="shared" si="15"/>
        <v>34</v>
      </c>
      <c r="CH20" s="73">
        <f t="shared" si="16"/>
        <v>38</v>
      </c>
      <c r="CI20" s="74">
        <f t="shared" si="17"/>
        <v>69</v>
      </c>
      <c r="CJ20" s="74">
        <f t="shared" si="18"/>
        <v>72</v>
      </c>
      <c r="CK20" s="74">
        <f t="shared" si="19"/>
        <v>108</v>
      </c>
      <c r="CL20" s="74">
        <f t="shared" si="20"/>
        <v>116</v>
      </c>
      <c r="CM20" s="74">
        <f t="shared" si="21"/>
        <v>142</v>
      </c>
      <c r="CN20" s="74">
        <f t="shared" si="22"/>
        <v>168</v>
      </c>
      <c r="CO20" s="74">
        <f t="shared" si="23"/>
        <v>214</v>
      </c>
      <c r="CP20" s="74">
        <f t="shared" si="24"/>
        <v>259</v>
      </c>
      <c r="CQ20" s="74">
        <f t="shared" si="25"/>
        <v>291</v>
      </c>
      <c r="CR20" s="74">
        <f t="shared" si="26"/>
        <v>311</v>
      </c>
      <c r="CS20" s="23">
        <f t="shared" si="27"/>
        <v>1</v>
      </c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0"/>
        <v>aa2ar_human_4EIY</v>
      </c>
      <c r="B21" s="3" t="s">
        <v>139</v>
      </c>
      <c r="C21" s="3" t="s">
        <v>81</v>
      </c>
      <c r="D21" s="3" t="str">
        <f>IFERROR(MID(VLOOKUP($B21,Seqs!$A:$B,2,0),E21,1),"")</f>
        <v>P</v>
      </c>
      <c r="E21" s="3">
        <v>2</v>
      </c>
      <c r="F21" s="3" t="str">
        <f>IFERROR(MID(VLOOKUP($B21,Seqs!$A:$B,2,0),G21,1),"")</f>
        <v>N</v>
      </c>
      <c r="G21" s="3">
        <v>34</v>
      </c>
      <c r="H21" s="3" t="str">
        <f>IFERROR(MID(VLOOKUP($B21,Seqs!$A:$B,2,0),I21,1),"")</f>
        <v>S</v>
      </c>
      <c r="I21" s="23">
        <v>35</v>
      </c>
      <c r="J21" s="3" t="str">
        <f>IFERROR(MID(VLOOKUP($B21,Seqs!$A:$B,2,0),K21,1),"")</f>
        <v>Q</v>
      </c>
      <c r="K21" s="23">
        <v>38</v>
      </c>
      <c r="L21" s="3" t="str">
        <f>IFERROR(MID(VLOOKUP($B21,Seqs!$A:$B,2,0),M21,1),"")</f>
        <v>N</v>
      </c>
      <c r="M21" s="3">
        <v>39</v>
      </c>
      <c r="N21" s="3" t="str">
        <f>IFERROR(MID(VLOOKUP($B21,Seqs!$A:$B,2,0),O21,1),"")</f>
        <v>G</v>
      </c>
      <c r="O21" s="3">
        <v>69</v>
      </c>
      <c r="P21" s="3" t="str">
        <f>IFERROR(MID(VLOOKUP($B21,Seqs!$A:$B,2,0),Q21,1),"")</f>
        <v>F</v>
      </c>
      <c r="Q21" s="3">
        <v>70</v>
      </c>
      <c r="R21" s="3" t="str">
        <f>IFERROR(MID(VLOOKUP($B21,Seqs!$A:$B,2,0),S21,1),"")</f>
        <v>A</v>
      </c>
      <c r="S21" s="3">
        <v>72</v>
      </c>
      <c r="T21" s="3" t="str">
        <f>IFERROR(MID(VLOOKUP($B21,Seqs!$A:$B,2,0),U21,1),"")</f>
        <v>A</v>
      </c>
      <c r="U21" s="3">
        <v>73</v>
      </c>
      <c r="V21" s="3" t="str">
        <f>IFERROR(MID(VLOOKUP($B21,Seqs!$A:$B,2,0),W21,1),"")</f>
        <v>I</v>
      </c>
      <c r="W21" s="3">
        <v>108</v>
      </c>
      <c r="X21" s="3" t="str">
        <f>IFERROR(MID(VLOOKUP($B21,Seqs!$A:$B,2,0),Y21,1),"")</f>
        <v>P</v>
      </c>
      <c r="Y21" s="3">
        <v>109</v>
      </c>
      <c r="Z21" s="3" t="str">
        <f>IFERROR(MID(VLOOKUP($B21,Seqs!$A:$B,2,0),AA21,1),"")</f>
        <v>V</v>
      </c>
      <c r="AA21" s="3">
        <v>116</v>
      </c>
      <c r="AB21" s="3" t="str">
        <f>IFERROR(MID(VLOOKUP($B21,Seqs!$A:$B,2,0),AC21,1),"")</f>
        <v>T</v>
      </c>
      <c r="AC21" s="9">
        <v>117</v>
      </c>
      <c r="AD21" s="3" t="str">
        <f>IFERROR(MID(VLOOKUP($B21,Seqs!$A:$B,2,0),AE21,1),"")</f>
        <v>G</v>
      </c>
      <c r="AE21" s="3">
        <v>142</v>
      </c>
      <c r="AF21" s="3" t="str">
        <f>IFERROR(MID(VLOOKUP($B21,Seqs!$A:$B,2,0),AG21,1),"")</f>
        <v>C</v>
      </c>
      <c r="AG21" s="3">
        <v>166</v>
      </c>
      <c r="AH21" s="3" t="str">
        <f>IFERROR(MID(VLOOKUP($B21,Seqs!$A:$B,2,0),AI21,1),"")</f>
        <v>F</v>
      </c>
      <c r="AI21" s="3">
        <v>168</v>
      </c>
      <c r="AJ21" s="3" t="str">
        <f>IFERROR(MID(VLOOKUP($B21,Seqs!$A:$B,2,0),AK21,1),"")</f>
        <v>P</v>
      </c>
      <c r="AK21" s="3">
        <v>173</v>
      </c>
      <c r="AL21" s="3" t="str">
        <f>IFERROR(MID(VLOOKUP($B21,Seqs!$A:$B,2,0),AM21,1),"")</f>
        <v>Q</v>
      </c>
      <c r="AM21" s="3">
        <v>207</v>
      </c>
      <c r="AN21" s="3" t="str">
        <f>IFERROR(MID(VLOOKUP($B21,Seqs!$A:$B,2,0),AO21,1),"")</f>
        <v>E</v>
      </c>
      <c r="AO21" s="3">
        <v>219</v>
      </c>
      <c r="AP21" s="3" t="str">
        <f>IFERROR(MID(VLOOKUP($B21,Seqs!$A:$B,2,0),AQ21,1),"")</f>
        <v>C</v>
      </c>
      <c r="AQ21" s="3">
        <v>259</v>
      </c>
      <c r="AR21" s="3" t="str">
        <f>IFERROR(MID(VLOOKUP($B21,Seqs!$A:$B,2,0),AS21,1),"")</f>
        <v>P</v>
      </c>
      <c r="AS21" s="3">
        <v>266</v>
      </c>
      <c r="AT21" s="3" t="str">
        <f>IFERROR(MID(VLOOKUP($B21,Seqs!$A:$B,2,0),AU21,1),"")</f>
        <v>R</v>
      </c>
      <c r="AU21" s="3">
        <v>291</v>
      </c>
      <c r="AV21" s="3" t="str">
        <f>IFERROR(MID(VLOOKUP($B21,Seqs!$A:$B,2,0),AW21,1),"")</f>
        <v>I</v>
      </c>
      <c r="AW21" s="3">
        <v>292</v>
      </c>
      <c r="AX21" s="3" t="str">
        <f>IFERROR(MID(VLOOKUP($B21,Seqs!$A:$B,2,0),AY21,1),"")</f>
        <v>V</v>
      </c>
      <c r="AY21" s="3">
        <v>307</v>
      </c>
      <c r="AZ21" s="79" t="str">
        <f>VLOOKUP(B21,Classification!A:D,2,0)</f>
        <v>A</v>
      </c>
      <c r="BA21" s="97" t="str">
        <f>VLOOKUP(B21,Classification!A:D,4,0)</f>
        <v>Adenosine</v>
      </c>
      <c r="BB21" s="27" t="b">
        <f t="shared" si="1"/>
        <v>1</v>
      </c>
      <c r="BC21" s="23">
        <f t="shared" si="2"/>
        <v>262</v>
      </c>
      <c r="BD21" s="4" t="s">
        <v>23</v>
      </c>
      <c r="BE21" s="3" t="s">
        <v>1381</v>
      </c>
      <c r="BF21" s="50" t="s">
        <v>1384</v>
      </c>
      <c r="BG21" s="50" t="s">
        <v>1384</v>
      </c>
      <c r="BH21" s="1"/>
      <c r="BI21" s="72" t="s">
        <v>1293</v>
      </c>
      <c r="BJ21" s="58" t="s">
        <v>1293</v>
      </c>
      <c r="BK21" s="58" t="s">
        <v>1293</v>
      </c>
      <c r="BL21" s="58" t="s">
        <v>1293</v>
      </c>
      <c r="BM21" s="58" t="s">
        <v>1293</v>
      </c>
      <c r="BN21" s="58" t="s">
        <v>1293</v>
      </c>
      <c r="BO21" s="58" t="s">
        <v>1293</v>
      </c>
      <c r="BP21" s="58" t="s">
        <v>1293</v>
      </c>
      <c r="BQ21" s="58" t="s">
        <v>1293</v>
      </c>
      <c r="BR21" s="58" t="s">
        <v>1293</v>
      </c>
      <c r="BS21" s="58" t="s">
        <v>1293</v>
      </c>
      <c r="BT21" s="58" t="s">
        <v>1293</v>
      </c>
      <c r="BU21" s="72">
        <f t="shared" si="3"/>
        <v>2</v>
      </c>
      <c r="BV21" s="73">
        <f t="shared" si="4"/>
        <v>35</v>
      </c>
      <c r="BW21" s="74">
        <f t="shared" si="5"/>
        <v>39</v>
      </c>
      <c r="BX21" s="73">
        <f t="shared" si="6"/>
        <v>70</v>
      </c>
      <c r="BY21" s="74">
        <f t="shared" si="7"/>
        <v>73</v>
      </c>
      <c r="BZ21" s="73">
        <f t="shared" si="8"/>
        <v>109</v>
      </c>
      <c r="CA21" s="74">
        <f t="shared" si="9"/>
        <v>117</v>
      </c>
      <c r="CB21" s="73">
        <f t="shared" si="10"/>
        <v>166</v>
      </c>
      <c r="CC21" s="74">
        <f t="shared" si="11"/>
        <v>173</v>
      </c>
      <c r="CD21" s="73">
        <f t="shared" si="12"/>
        <v>219</v>
      </c>
      <c r="CE21" s="74">
        <f t="shared" si="13"/>
        <v>266</v>
      </c>
      <c r="CF21" s="73">
        <f t="shared" si="14"/>
        <v>292</v>
      </c>
      <c r="CG21" s="72">
        <f t="shared" si="15"/>
        <v>34</v>
      </c>
      <c r="CH21" s="73">
        <f t="shared" si="16"/>
        <v>38</v>
      </c>
      <c r="CI21" s="74">
        <f t="shared" si="17"/>
        <v>69</v>
      </c>
      <c r="CJ21" s="74">
        <f t="shared" si="18"/>
        <v>72</v>
      </c>
      <c r="CK21" s="74">
        <f t="shared" si="19"/>
        <v>108</v>
      </c>
      <c r="CL21" s="74">
        <f t="shared" si="20"/>
        <v>116</v>
      </c>
      <c r="CM21" s="74">
        <f t="shared" si="21"/>
        <v>142</v>
      </c>
      <c r="CN21" s="74">
        <f t="shared" si="22"/>
        <v>168</v>
      </c>
      <c r="CO21" s="74">
        <f t="shared" si="23"/>
        <v>207</v>
      </c>
      <c r="CP21" s="74">
        <f t="shared" si="24"/>
        <v>259</v>
      </c>
      <c r="CQ21" s="74">
        <f t="shared" si="25"/>
        <v>291</v>
      </c>
      <c r="CR21" s="74">
        <f t="shared" si="26"/>
        <v>307</v>
      </c>
      <c r="CS21" s="23">
        <f t="shared" si="27"/>
        <v>1</v>
      </c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</row>
    <row r="22" spans="1:1029" x14ac:dyDescent="0.2">
      <c r="A22" s="3" t="str">
        <f t="shared" si="0"/>
        <v>aa2ar_human_4UHR</v>
      </c>
      <c r="B22" s="3" t="s">
        <v>139</v>
      </c>
      <c r="C22" s="3" t="s">
        <v>1055</v>
      </c>
      <c r="D22" s="3" t="str">
        <f>IFERROR(MID(VLOOKUP($B22,Seqs!$A:$B,2,0),E22,1),"")</f>
        <v>S</v>
      </c>
      <c r="E22" s="3">
        <v>6</v>
      </c>
      <c r="F22" s="3" t="str">
        <f>IFERROR(MID(VLOOKUP($B22,Seqs!$A:$B,2,0),G22,1),"")</f>
        <v>N</v>
      </c>
      <c r="G22" s="3">
        <v>34</v>
      </c>
      <c r="H22" s="3" t="str">
        <f>IFERROR(MID(VLOOKUP($B22,Seqs!$A:$B,2,0),I22,1),"")</f>
        <v>S</v>
      </c>
      <c r="I22" s="23">
        <v>35</v>
      </c>
      <c r="J22" s="3" t="str">
        <f>IFERROR(MID(VLOOKUP($B22,Seqs!$A:$B,2,0),K22,1),"")</f>
        <v>Q</v>
      </c>
      <c r="K22" s="23">
        <v>38</v>
      </c>
      <c r="L22" s="3" t="str">
        <f>IFERROR(MID(VLOOKUP($B22,Seqs!$A:$B,2,0),M22,1),"")</f>
        <v>N</v>
      </c>
      <c r="M22" s="3">
        <v>39</v>
      </c>
      <c r="N22" s="3" t="str">
        <f>IFERROR(MID(VLOOKUP($B22,Seqs!$A:$B,2,0),O22,1),"")</f>
        <v>G</v>
      </c>
      <c r="O22" s="3">
        <v>69</v>
      </c>
      <c r="P22" s="3" t="str">
        <f>IFERROR(MID(VLOOKUP($B22,Seqs!$A:$B,2,0),Q22,1),"")</f>
        <v>F</v>
      </c>
      <c r="Q22" s="3">
        <v>70</v>
      </c>
      <c r="R22" s="3" t="str">
        <f>IFERROR(MID(VLOOKUP($B22,Seqs!$A:$B,2,0),S22,1),"")</f>
        <v>A</v>
      </c>
      <c r="S22" s="3">
        <v>72</v>
      </c>
      <c r="T22" s="3" t="str">
        <f>IFERROR(MID(VLOOKUP($B22,Seqs!$A:$B,2,0),U22,1),"")</f>
        <v>A</v>
      </c>
      <c r="U22" s="3">
        <v>73</v>
      </c>
      <c r="V22" s="3" t="str">
        <f>IFERROR(MID(VLOOKUP($B22,Seqs!$A:$B,2,0),W22,1),"")</f>
        <v>I</v>
      </c>
      <c r="W22" s="3">
        <v>108</v>
      </c>
      <c r="X22" s="3" t="str">
        <f>IFERROR(MID(VLOOKUP($B22,Seqs!$A:$B,2,0),Y22,1),"")</f>
        <v>P</v>
      </c>
      <c r="Y22" s="3">
        <v>109</v>
      </c>
      <c r="Z22" s="3" t="str">
        <f>IFERROR(MID(VLOOKUP($B22,Seqs!$A:$B,2,0),AA22,1),"")</f>
        <v>V</v>
      </c>
      <c r="AA22" s="3">
        <v>116</v>
      </c>
      <c r="AB22" s="3" t="str">
        <f>IFERROR(MID(VLOOKUP($B22,Seqs!$A:$B,2,0),AC22,1),"")</f>
        <v>T</v>
      </c>
      <c r="AC22" s="9">
        <v>117</v>
      </c>
      <c r="AD22" s="3" t="str">
        <f>IFERROR(MID(VLOOKUP($B22,Seqs!$A:$B,2,0),AE22,1),"")</f>
        <v>G</v>
      </c>
      <c r="AE22" s="3">
        <v>142</v>
      </c>
      <c r="AF22" s="3" t="str">
        <f>IFERROR(MID(VLOOKUP($B22,Seqs!$A:$B,2,0),AG22,1),"")</f>
        <v>C</v>
      </c>
      <c r="AG22" s="3">
        <v>166</v>
      </c>
      <c r="AH22" s="3" t="str">
        <f>IFERROR(MID(VLOOKUP($B22,Seqs!$A:$B,2,0),AI22,1),"")</f>
        <v>F</v>
      </c>
      <c r="AI22" s="3">
        <v>168</v>
      </c>
      <c r="AJ22" s="3" t="str">
        <f>IFERROR(MID(VLOOKUP($B22,Seqs!$A:$B,2,0),AK22,1),"")</f>
        <v>P</v>
      </c>
      <c r="AK22" s="3">
        <v>173</v>
      </c>
      <c r="AL22" s="3" t="str">
        <f>IFERROR(MID(VLOOKUP($B22,Seqs!$A:$B,2,0),AM22,1),"")</f>
        <v>S</v>
      </c>
      <c r="AM22" s="3">
        <v>213</v>
      </c>
      <c r="AN22" s="3" t="str">
        <f>IFERROR(MID(VLOOKUP($B22,Seqs!$A:$B,2,0),AO22,1),"")</f>
        <v>E</v>
      </c>
      <c r="AO22" s="3">
        <v>219</v>
      </c>
      <c r="AP22" s="3" t="str">
        <f>IFERROR(MID(VLOOKUP($B22,Seqs!$A:$B,2,0),AQ22,1),"")</f>
        <v>C</v>
      </c>
      <c r="AQ22" s="3">
        <v>259</v>
      </c>
      <c r="AR22" s="3" t="str">
        <f>IFERROR(MID(VLOOKUP($B22,Seqs!$A:$B,2,0),AS22,1),"")</f>
        <v>P</v>
      </c>
      <c r="AS22" s="3">
        <v>266</v>
      </c>
      <c r="AT22" s="3" t="str">
        <f>IFERROR(MID(VLOOKUP($B22,Seqs!$A:$B,2,0),AU22,1),"")</f>
        <v>R</v>
      </c>
      <c r="AU22" s="3">
        <v>291</v>
      </c>
      <c r="AV22" s="3" t="str">
        <f>IFERROR(MID(VLOOKUP($B22,Seqs!$A:$B,2,0),AW22,1),"")</f>
        <v>I</v>
      </c>
      <c r="AW22" s="3">
        <v>292</v>
      </c>
      <c r="AX22" s="3" t="str">
        <f>IFERROR(MID(VLOOKUP($B22,Seqs!$A:$B,2,0),AY22,1),"")</f>
        <v>Q</v>
      </c>
      <c r="AY22" s="3">
        <v>311</v>
      </c>
      <c r="AZ22" s="79" t="str">
        <f>VLOOKUP(B22,Classification!A:D,2,0)</f>
        <v>A</v>
      </c>
      <c r="BA22" s="97" t="str">
        <f>VLOOKUP(B22,Classification!A:D,4,0)</f>
        <v>Adenosine</v>
      </c>
      <c r="BB22" s="27" t="b">
        <f t="shared" si="1"/>
        <v>1</v>
      </c>
      <c r="BC22" s="23">
        <f t="shared" si="2"/>
        <v>268</v>
      </c>
      <c r="BD22" s="2" t="s">
        <v>1383</v>
      </c>
      <c r="BE22" s="3" t="s">
        <v>1381</v>
      </c>
      <c r="BF22" s="50" t="s">
        <v>1384</v>
      </c>
      <c r="BG22" s="50" t="s">
        <v>1384</v>
      </c>
      <c r="BH22" s="1"/>
      <c r="BI22" s="72" t="s">
        <v>1293</v>
      </c>
      <c r="BJ22" s="58" t="s">
        <v>1293</v>
      </c>
      <c r="BK22" s="58" t="s">
        <v>1293</v>
      </c>
      <c r="BL22" s="58" t="s">
        <v>1293</v>
      </c>
      <c r="BM22" s="58" t="s">
        <v>1293</v>
      </c>
      <c r="BN22" s="58" t="s">
        <v>1293</v>
      </c>
      <c r="BO22" s="58" t="s">
        <v>1293</v>
      </c>
      <c r="BP22" s="58" t="s">
        <v>1293</v>
      </c>
      <c r="BQ22" s="58" t="s">
        <v>1293</v>
      </c>
      <c r="BR22" s="58" t="s">
        <v>1293</v>
      </c>
      <c r="BS22" s="58" t="s">
        <v>1293</v>
      </c>
      <c r="BT22" s="58" t="s">
        <v>1293</v>
      </c>
      <c r="BU22" s="72">
        <f t="shared" si="3"/>
        <v>6</v>
      </c>
      <c r="BV22" s="73">
        <f t="shared" si="4"/>
        <v>35</v>
      </c>
      <c r="BW22" s="74">
        <f t="shared" si="5"/>
        <v>39</v>
      </c>
      <c r="BX22" s="73">
        <f t="shared" si="6"/>
        <v>70</v>
      </c>
      <c r="BY22" s="74">
        <f t="shared" si="7"/>
        <v>73</v>
      </c>
      <c r="BZ22" s="73">
        <f t="shared" si="8"/>
        <v>109</v>
      </c>
      <c r="CA22" s="74">
        <f t="shared" si="9"/>
        <v>117</v>
      </c>
      <c r="CB22" s="73">
        <f t="shared" si="10"/>
        <v>166</v>
      </c>
      <c r="CC22" s="74">
        <f t="shared" si="11"/>
        <v>173</v>
      </c>
      <c r="CD22" s="73">
        <f t="shared" si="12"/>
        <v>219</v>
      </c>
      <c r="CE22" s="74">
        <f t="shared" si="13"/>
        <v>266</v>
      </c>
      <c r="CF22" s="73">
        <f t="shared" si="14"/>
        <v>292</v>
      </c>
      <c r="CG22" s="72">
        <f t="shared" si="15"/>
        <v>34</v>
      </c>
      <c r="CH22" s="73">
        <f t="shared" si="16"/>
        <v>38</v>
      </c>
      <c r="CI22" s="74">
        <f t="shared" si="17"/>
        <v>69</v>
      </c>
      <c r="CJ22" s="74">
        <f t="shared" si="18"/>
        <v>72</v>
      </c>
      <c r="CK22" s="74">
        <f t="shared" si="19"/>
        <v>108</v>
      </c>
      <c r="CL22" s="74">
        <f t="shared" si="20"/>
        <v>116</v>
      </c>
      <c r="CM22" s="74">
        <f t="shared" si="21"/>
        <v>142</v>
      </c>
      <c r="CN22" s="74">
        <f t="shared" si="22"/>
        <v>168</v>
      </c>
      <c r="CO22" s="74">
        <f t="shared" si="23"/>
        <v>213</v>
      </c>
      <c r="CP22" s="74">
        <f t="shared" si="24"/>
        <v>259</v>
      </c>
      <c r="CQ22" s="74">
        <f t="shared" si="25"/>
        <v>291</v>
      </c>
      <c r="CR22" s="74">
        <f t="shared" si="26"/>
        <v>311</v>
      </c>
      <c r="CS22" s="23">
        <f t="shared" si="27"/>
        <v>1</v>
      </c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</row>
    <row r="23" spans="1:1029" x14ac:dyDescent="0.2">
      <c r="A23" s="3" t="str">
        <f t="shared" si="0"/>
        <v>aa2ar_human_5G53</v>
      </c>
      <c r="B23" s="3" t="s">
        <v>139</v>
      </c>
      <c r="C23" s="3" t="s">
        <v>1298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34</v>
      </c>
      <c r="H23" s="3" t="str">
        <f>IFERROR(MID(VLOOKUP($B23,Seqs!$A:$B,2,0),I23,1),"")</f>
        <v>S</v>
      </c>
      <c r="I23" s="23">
        <v>35</v>
      </c>
      <c r="J23" s="3" t="str">
        <f>IFERROR(MID(VLOOKUP($B23,Seqs!$A:$B,2,0),K23,1),"")</f>
        <v>Q</v>
      </c>
      <c r="K23" s="23">
        <v>38</v>
      </c>
      <c r="L23" s="3" t="str">
        <f>IFERROR(MID(VLOOKUP($B23,Seqs!$A:$B,2,0),M23,1),"")</f>
        <v>N</v>
      </c>
      <c r="M23" s="3">
        <v>39</v>
      </c>
      <c r="N23" s="3" t="str">
        <f>IFERROR(MID(VLOOKUP($B23,Seqs!$A:$B,2,0),O23,1),"")</f>
        <v>G</v>
      </c>
      <c r="O23" s="3">
        <v>69</v>
      </c>
      <c r="P23" s="3" t="str">
        <f>IFERROR(MID(VLOOKUP($B23,Seqs!$A:$B,2,0),Q23,1),"")</f>
        <v>F</v>
      </c>
      <c r="Q23" s="3">
        <v>70</v>
      </c>
      <c r="R23" s="3" t="str">
        <f>IFERROR(MID(VLOOKUP($B23,Seqs!$A:$B,2,0),S23,1),"")</f>
        <v>A</v>
      </c>
      <c r="S23" s="3">
        <v>72</v>
      </c>
      <c r="T23" s="3" t="str">
        <f>IFERROR(MID(VLOOKUP($B23,Seqs!$A:$B,2,0),U23,1),"")</f>
        <v>A</v>
      </c>
      <c r="U23" s="3">
        <v>73</v>
      </c>
      <c r="V23" s="3" t="str">
        <f>IFERROR(MID(VLOOKUP($B23,Seqs!$A:$B,2,0),W23,1),"")</f>
        <v>I</v>
      </c>
      <c r="W23" s="3">
        <v>108</v>
      </c>
      <c r="X23" s="3" t="str">
        <f>IFERROR(MID(VLOOKUP($B23,Seqs!$A:$B,2,0),Y23,1),"")</f>
        <v>P</v>
      </c>
      <c r="Y23" s="3">
        <v>109</v>
      </c>
      <c r="Z23" s="3" t="str">
        <f>IFERROR(MID(VLOOKUP($B23,Seqs!$A:$B,2,0),AA23,1),"")</f>
        <v>V</v>
      </c>
      <c r="AA23" s="3">
        <v>116</v>
      </c>
      <c r="AB23" s="3" t="str">
        <f>IFERROR(MID(VLOOKUP($B23,Seqs!$A:$B,2,0),AC23,1),"")</f>
        <v>T</v>
      </c>
      <c r="AC23" s="9">
        <v>117</v>
      </c>
      <c r="AD23" s="3" t="str">
        <f>IFERROR(MID(VLOOKUP($B23,Seqs!$A:$B,2,0),AE23,1),"")</f>
        <v>G</v>
      </c>
      <c r="AE23" s="3">
        <v>142</v>
      </c>
      <c r="AF23" s="3" t="str">
        <f>IFERROR(MID(VLOOKUP($B23,Seqs!$A:$B,2,0),AG23,1),"")</f>
        <v>C</v>
      </c>
      <c r="AG23" s="3">
        <v>166</v>
      </c>
      <c r="AH23" s="3" t="str">
        <f>IFERROR(MID(VLOOKUP($B23,Seqs!$A:$B,2,0),AI23,1),"")</f>
        <v>F</v>
      </c>
      <c r="AI23" s="3">
        <v>168</v>
      </c>
      <c r="AJ23" s="3" t="str">
        <f>IFERROR(MID(VLOOKUP($B23,Seqs!$A:$B,2,0),AK23,1),"")</f>
        <v>P</v>
      </c>
      <c r="AK23" s="3">
        <v>173</v>
      </c>
      <c r="AL23" s="3" t="str">
        <f>IFERROR(MID(VLOOKUP($B23,Seqs!$A:$B,2,0),AM23,1),"")</f>
        <v>Q</v>
      </c>
      <c r="AM23" s="3">
        <v>207</v>
      </c>
      <c r="AN23" s="3" t="str">
        <f>IFERROR(MID(VLOOKUP($B23,Seqs!$A:$B,2,0),AO23,1),"")</f>
        <v>T</v>
      </c>
      <c r="AO23" s="3">
        <v>224</v>
      </c>
      <c r="AP23" s="3" t="str">
        <f>IFERROR(MID(VLOOKUP($B23,Seqs!$A:$B,2,0),AQ23,1),"")</f>
        <v>C</v>
      </c>
      <c r="AQ23" s="3">
        <v>259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S</v>
      </c>
      <c r="AY23" s="3">
        <v>305</v>
      </c>
      <c r="AZ23" s="79" t="str">
        <f>VLOOKUP(B23,Classification!A:D,2,0)</f>
        <v>A</v>
      </c>
      <c r="BA23" s="97" t="str">
        <f>VLOOKUP(B23,Classification!A:D,4,0)</f>
        <v>Adenosine</v>
      </c>
      <c r="BB23" s="27" t="b">
        <f t="shared" si="1"/>
        <v>1</v>
      </c>
      <c r="BC23" s="23">
        <f t="shared" ref="BC23:BC57" si="84">_xlfn.AGGREGATE(9,6,CG23:CR23)-_xlfn.AGGREGATE(9,6,BU23:CF23)+12</f>
        <v>251</v>
      </c>
      <c r="BD23" s="4" t="s">
        <v>23</v>
      </c>
      <c r="BE23" s="3" t="s">
        <v>1381</v>
      </c>
      <c r="BF23" s="50" t="s">
        <v>1287</v>
      </c>
      <c r="BG23" s="50" t="s">
        <v>1287</v>
      </c>
      <c r="BH23" s="1"/>
      <c r="BI23" s="72" t="s">
        <v>1293</v>
      </c>
      <c r="BJ23" s="58" t="s">
        <v>1293</v>
      </c>
      <c r="BK23" s="58" t="s">
        <v>1293</v>
      </c>
      <c r="BL23" s="58" t="s">
        <v>1293</v>
      </c>
      <c r="BM23" s="58" t="s">
        <v>1293</v>
      </c>
      <c r="BN23" s="58" t="s">
        <v>1293</v>
      </c>
      <c r="BO23" s="58" t="s">
        <v>1293</v>
      </c>
      <c r="BP23" s="58" t="s">
        <v>1293</v>
      </c>
      <c r="BQ23" s="58" t="s">
        <v>1293</v>
      </c>
      <c r="BR23" s="58" t="s">
        <v>1293</v>
      </c>
      <c r="BS23" s="58" t="s">
        <v>1293</v>
      </c>
      <c r="BT23" s="58" t="s">
        <v>1293</v>
      </c>
      <c r="BU23" s="72">
        <f t="shared" ref="BU23:BU57" si="85">E23</f>
        <v>6</v>
      </c>
      <c r="BV23" s="73">
        <f t="shared" ref="BV23:BV57" si="86">I23</f>
        <v>35</v>
      </c>
      <c r="BW23" s="74">
        <f t="shared" ref="BW23:BW57" si="87">M23</f>
        <v>39</v>
      </c>
      <c r="BX23" s="73">
        <f t="shared" ref="BX23:BX57" si="88">Q23</f>
        <v>70</v>
      </c>
      <c r="BY23" s="74">
        <f t="shared" ref="BY23:BY57" si="89">U23</f>
        <v>73</v>
      </c>
      <c r="BZ23" s="73">
        <f t="shared" ref="BZ23:BZ57" si="90">Y23</f>
        <v>109</v>
      </c>
      <c r="CA23" s="74">
        <f t="shared" ref="CA23:CA57" si="91">AC23</f>
        <v>117</v>
      </c>
      <c r="CB23" s="73">
        <f t="shared" ref="CB23:CB57" si="92">AG23</f>
        <v>166</v>
      </c>
      <c r="CC23" s="74">
        <f t="shared" ref="CC23:CC57" si="93">AK23</f>
        <v>173</v>
      </c>
      <c r="CD23" s="73">
        <f t="shared" ref="CD23:CD57" si="94">AO23</f>
        <v>224</v>
      </c>
      <c r="CE23" s="74">
        <f t="shared" ref="CE23:CE57" si="95">AS23</f>
        <v>266</v>
      </c>
      <c r="CF23" s="73">
        <f t="shared" ref="CF23:CF57" si="96">AW23</f>
        <v>292</v>
      </c>
      <c r="CG23" s="72">
        <f t="shared" ref="CG23:CG57" si="97">G23</f>
        <v>34</v>
      </c>
      <c r="CH23" s="73">
        <f t="shared" ref="CH23:CH57" si="98">K23</f>
        <v>38</v>
      </c>
      <c r="CI23" s="74">
        <f t="shared" ref="CI23:CI57" si="99">O23</f>
        <v>69</v>
      </c>
      <c r="CJ23" s="74">
        <f t="shared" ref="CJ23:CJ57" si="100">S23</f>
        <v>72</v>
      </c>
      <c r="CK23" s="74">
        <f t="shared" ref="CK23:CK57" si="101">W23</f>
        <v>108</v>
      </c>
      <c r="CL23" s="74">
        <f t="shared" ref="CL23:CL57" si="102">AA23</f>
        <v>116</v>
      </c>
      <c r="CM23" s="74">
        <f t="shared" ref="CM23:CM57" si="103">AE23</f>
        <v>142</v>
      </c>
      <c r="CN23" s="74">
        <f t="shared" ref="CN23:CN57" si="104">AI23</f>
        <v>168</v>
      </c>
      <c r="CO23" s="74">
        <f t="shared" ref="CO23:CO57" si="105">AM23</f>
        <v>207</v>
      </c>
      <c r="CP23" s="74">
        <f t="shared" ref="CP23:CP57" si="106">AQ23</f>
        <v>259</v>
      </c>
      <c r="CQ23" s="74">
        <f t="shared" ref="CQ23:CQ57" si="107">AU23</f>
        <v>291</v>
      </c>
      <c r="CR23" s="74">
        <f t="shared" ref="CR23:CR57" si="108">AY23</f>
        <v>305</v>
      </c>
      <c r="CS23" s="23">
        <f t="shared" ref="CS23:CS57" si="109">M23-K23</f>
        <v>1</v>
      </c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</row>
    <row r="24" spans="1:1029" x14ac:dyDescent="0.2">
      <c r="A24" s="3" t="str">
        <f t="shared" si="0"/>
        <v>aa2ar_human_5IU4</v>
      </c>
      <c r="B24" s="3" t="s">
        <v>139</v>
      </c>
      <c r="C24" s="3" t="s">
        <v>1351</v>
      </c>
      <c r="D24" s="3" t="str">
        <f>IFERROR(MID(VLOOKUP($B24,Seqs!$A:$B,2,0),E24,1),"")</f>
        <v>P</v>
      </c>
      <c r="E24" s="3">
        <v>2</v>
      </c>
      <c r="F24" s="3" t="str">
        <f>IFERROR(MID(VLOOKUP($B24,Seqs!$A:$B,2,0),G24,1),"")</f>
        <v>N</v>
      </c>
      <c r="G24" s="3">
        <v>34</v>
      </c>
      <c r="H24" s="3" t="str">
        <f>IFERROR(MID(VLOOKUP($B24,Seqs!$A:$B,2,0),I24,1),"")</f>
        <v>S</v>
      </c>
      <c r="I24" s="23">
        <v>35</v>
      </c>
      <c r="J24" s="3" t="str">
        <f>IFERROR(MID(VLOOKUP($B24,Seqs!$A:$B,2,0),K24,1),"")</f>
        <v>Q</v>
      </c>
      <c r="K24" s="23">
        <v>38</v>
      </c>
      <c r="L24" s="3" t="str">
        <f>IFERROR(MID(VLOOKUP($B24,Seqs!$A:$B,2,0),M24,1),"")</f>
        <v>N</v>
      </c>
      <c r="M24" s="3">
        <v>39</v>
      </c>
      <c r="N24" s="3" t="str">
        <f>IFERROR(MID(VLOOKUP($B24,Seqs!$A:$B,2,0),O24,1),"")</f>
        <v>G</v>
      </c>
      <c r="O24" s="3">
        <v>69</v>
      </c>
      <c r="P24" s="3" t="str">
        <f>IFERROR(MID(VLOOKUP($B24,Seqs!$A:$B,2,0),Q24,1),"")</f>
        <v>F</v>
      </c>
      <c r="Q24" s="3">
        <v>70</v>
      </c>
      <c r="R24" s="3" t="str">
        <f>IFERROR(MID(VLOOKUP($B24,Seqs!$A:$B,2,0),S24,1),"")</f>
        <v>A</v>
      </c>
      <c r="S24" s="3">
        <v>72</v>
      </c>
      <c r="T24" s="3" t="str">
        <f>IFERROR(MID(VLOOKUP($B24,Seqs!$A:$B,2,0),U24,1),"")</f>
        <v>A</v>
      </c>
      <c r="U24" s="3">
        <v>73</v>
      </c>
      <c r="V24" s="3" t="str">
        <f>IFERROR(MID(VLOOKUP($B24,Seqs!$A:$B,2,0),W24,1),"")</f>
        <v>I</v>
      </c>
      <c r="W24" s="3">
        <v>108</v>
      </c>
      <c r="X24" s="3" t="str">
        <f>IFERROR(MID(VLOOKUP($B24,Seqs!$A:$B,2,0),Y24,1),"")</f>
        <v>P</v>
      </c>
      <c r="Y24" s="3">
        <v>109</v>
      </c>
      <c r="Z24" s="3" t="str">
        <f>IFERROR(MID(VLOOKUP($B24,Seqs!$A:$B,2,0),AA24,1),"")</f>
        <v>V</v>
      </c>
      <c r="AA24" s="3">
        <v>116</v>
      </c>
      <c r="AB24" s="3" t="str">
        <f>IFERROR(MID(VLOOKUP($B24,Seqs!$A:$B,2,0),AC24,1),"")</f>
        <v>T</v>
      </c>
      <c r="AC24" s="9">
        <v>117</v>
      </c>
      <c r="AD24" s="3" t="str">
        <f>IFERROR(MID(VLOOKUP($B24,Seqs!$A:$B,2,0),AE24,1),"")</f>
        <v>G</v>
      </c>
      <c r="AE24" s="3">
        <v>142</v>
      </c>
      <c r="AF24" s="3" t="str">
        <f>IFERROR(MID(VLOOKUP($B24,Seqs!$A:$B,2,0),AG24,1),"")</f>
        <v>C</v>
      </c>
      <c r="AG24" s="3">
        <v>166</v>
      </c>
      <c r="AH24" s="3" t="str">
        <f>IFERROR(MID(VLOOKUP($B24,Seqs!$A:$B,2,0),AI24,1),"")</f>
        <v>F</v>
      </c>
      <c r="AI24" s="3">
        <v>168</v>
      </c>
      <c r="AJ24" s="3" t="str">
        <f>IFERROR(MID(VLOOKUP($B24,Seqs!$A:$B,2,0),AK24,1),"")</f>
        <v>P</v>
      </c>
      <c r="AK24" s="3">
        <v>173</v>
      </c>
      <c r="AL24" s="3" t="str">
        <f>IFERROR(MID(VLOOKUP($B24,Seqs!$A:$B,2,0),AM24,1),"")</f>
        <v>L</v>
      </c>
      <c r="AM24" s="3">
        <v>208</v>
      </c>
      <c r="AN24" s="3" t="str">
        <f>IFERROR(MID(VLOOKUP($B24,Seqs!$A:$B,2,0),AO24,1),"")</f>
        <v>E</v>
      </c>
      <c r="AO24" s="3">
        <v>219</v>
      </c>
      <c r="AP24" s="3" t="str">
        <f>IFERROR(MID(VLOOKUP($B24,Seqs!$A:$B,2,0),AQ24,1),"")</f>
        <v>C</v>
      </c>
      <c r="AQ24" s="3">
        <v>259</v>
      </c>
      <c r="AR24" s="3" t="str">
        <f>IFERROR(MID(VLOOKUP($B24,Seqs!$A:$B,2,0),AS24,1),"")</f>
        <v>P</v>
      </c>
      <c r="AS24" s="3">
        <v>266</v>
      </c>
      <c r="AT24" s="3" t="str">
        <f>IFERROR(MID(VLOOKUP($B24,Seqs!$A:$B,2,0),AU24,1),"")</f>
        <v>R</v>
      </c>
      <c r="AU24" s="3">
        <v>291</v>
      </c>
      <c r="AV24" s="3" t="str">
        <f>IFERROR(MID(VLOOKUP($B24,Seqs!$A:$B,2,0),AW24,1),"")</f>
        <v>I</v>
      </c>
      <c r="AW24" s="3">
        <v>292</v>
      </c>
      <c r="AX24" s="3" t="str">
        <f>IFERROR(MID(VLOOKUP($B24,Seqs!$A:$B,2,0),AY24,1),"")</f>
        <v>S</v>
      </c>
      <c r="AY24" s="3">
        <v>305</v>
      </c>
      <c r="AZ24" s="79" t="str">
        <f>VLOOKUP(B24,Classification!A:D,2,0)</f>
        <v>A</v>
      </c>
      <c r="BA24" s="97" t="str">
        <f>VLOOKUP(B24,Classification!A:D,4,0)</f>
        <v>Adenosine</v>
      </c>
      <c r="BB24" s="27" t="b">
        <f t="shared" si="1"/>
        <v>1</v>
      </c>
      <c r="BC24" s="23">
        <f t="shared" si="84"/>
        <v>261</v>
      </c>
      <c r="BD24" s="4" t="s">
        <v>23</v>
      </c>
      <c r="BE24" s="3" t="s">
        <v>1381</v>
      </c>
      <c r="BF24" s="50" t="s">
        <v>1384</v>
      </c>
      <c r="BG24" s="50" t="s">
        <v>1384</v>
      </c>
      <c r="BH24" s="1"/>
      <c r="BI24" s="72" t="s">
        <v>1293</v>
      </c>
      <c r="BJ24" s="58" t="s">
        <v>1293</v>
      </c>
      <c r="BK24" s="58" t="s">
        <v>1293</v>
      </c>
      <c r="BL24" s="58" t="s">
        <v>1293</v>
      </c>
      <c r="BM24" s="58" t="s">
        <v>1293</v>
      </c>
      <c r="BN24" s="58" t="s">
        <v>1293</v>
      </c>
      <c r="BO24" s="58" t="s">
        <v>1293</v>
      </c>
      <c r="BP24" s="58" t="s">
        <v>1293</v>
      </c>
      <c r="BQ24" s="58" t="s">
        <v>1293</v>
      </c>
      <c r="BR24" s="58" t="s">
        <v>1293</v>
      </c>
      <c r="BS24" s="58" t="s">
        <v>1293</v>
      </c>
      <c r="BT24" s="58" t="s">
        <v>1293</v>
      </c>
      <c r="BU24" s="72">
        <f t="shared" si="85"/>
        <v>2</v>
      </c>
      <c r="BV24" s="73">
        <f t="shared" si="86"/>
        <v>35</v>
      </c>
      <c r="BW24" s="74">
        <f t="shared" si="87"/>
        <v>39</v>
      </c>
      <c r="BX24" s="73">
        <f t="shared" si="88"/>
        <v>70</v>
      </c>
      <c r="BY24" s="74">
        <f t="shared" si="89"/>
        <v>73</v>
      </c>
      <c r="BZ24" s="73">
        <f t="shared" si="90"/>
        <v>109</v>
      </c>
      <c r="CA24" s="74">
        <f t="shared" si="91"/>
        <v>117</v>
      </c>
      <c r="CB24" s="73">
        <f t="shared" si="92"/>
        <v>166</v>
      </c>
      <c r="CC24" s="74">
        <f t="shared" si="93"/>
        <v>173</v>
      </c>
      <c r="CD24" s="73">
        <f t="shared" si="94"/>
        <v>219</v>
      </c>
      <c r="CE24" s="74">
        <f t="shared" si="95"/>
        <v>266</v>
      </c>
      <c r="CF24" s="73">
        <f t="shared" si="96"/>
        <v>292</v>
      </c>
      <c r="CG24" s="72">
        <f t="shared" si="97"/>
        <v>34</v>
      </c>
      <c r="CH24" s="73">
        <f t="shared" si="98"/>
        <v>38</v>
      </c>
      <c r="CI24" s="74">
        <f t="shared" si="99"/>
        <v>69</v>
      </c>
      <c r="CJ24" s="74">
        <f t="shared" si="100"/>
        <v>72</v>
      </c>
      <c r="CK24" s="74">
        <f t="shared" si="101"/>
        <v>108</v>
      </c>
      <c r="CL24" s="74">
        <f t="shared" si="102"/>
        <v>116</v>
      </c>
      <c r="CM24" s="74">
        <f t="shared" si="103"/>
        <v>142</v>
      </c>
      <c r="CN24" s="74">
        <f t="shared" si="104"/>
        <v>168</v>
      </c>
      <c r="CO24" s="74">
        <f t="shared" si="105"/>
        <v>208</v>
      </c>
      <c r="CP24" s="74">
        <f t="shared" si="106"/>
        <v>259</v>
      </c>
      <c r="CQ24" s="74">
        <f t="shared" si="107"/>
        <v>291</v>
      </c>
      <c r="CR24" s="74">
        <f t="shared" si="108"/>
        <v>305</v>
      </c>
      <c r="CS24" s="23">
        <f t="shared" si="109"/>
        <v>1</v>
      </c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</row>
    <row r="25" spans="1:1029" x14ac:dyDescent="0.2">
      <c r="A25" s="3" t="str">
        <f t="shared" si="0"/>
        <v>aa2ar_human_5IU7</v>
      </c>
      <c r="B25" s="3" t="s">
        <v>139</v>
      </c>
      <c r="C25" s="3" t="s">
        <v>1352</v>
      </c>
      <c r="D25" s="3" t="str">
        <f>IFERROR(MID(VLOOKUP($B25,Seqs!$A:$B,2,0),E25,1),"")</f>
        <v>P</v>
      </c>
      <c r="E25" s="3">
        <v>2</v>
      </c>
      <c r="F25" s="3" t="str">
        <f>IFERROR(MID(VLOOKUP($B25,Seqs!$A:$B,2,0),G25,1),"")</f>
        <v>N</v>
      </c>
      <c r="G25" s="3">
        <v>34</v>
      </c>
      <c r="H25" s="3" t="str">
        <f>IFERROR(MID(VLOOKUP($B25,Seqs!$A:$B,2,0),I25,1),"")</f>
        <v>S</v>
      </c>
      <c r="I25" s="23">
        <v>35</v>
      </c>
      <c r="J25" s="3" t="str">
        <f>IFERROR(MID(VLOOKUP($B25,Seqs!$A:$B,2,0),K25,1),"")</f>
        <v>Q</v>
      </c>
      <c r="K25" s="23">
        <v>38</v>
      </c>
      <c r="L25" s="3" t="str">
        <f>IFERROR(MID(VLOOKUP($B25,Seqs!$A:$B,2,0),M25,1),"")</f>
        <v>N</v>
      </c>
      <c r="M25" s="3">
        <v>39</v>
      </c>
      <c r="N25" s="3" t="str">
        <f>IFERROR(MID(VLOOKUP($B25,Seqs!$A:$B,2,0),O25,1),"")</f>
        <v>G</v>
      </c>
      <c r="O25" s="3">
        <v>69</v>
      </c>
      <c r="P25" s="3" t="str">
        <f>IFERROR(MID(VLOOKUP($B25,Seqs!$A:$B,2,0),Q25,1),"")</f>
        <v>F</v>
      </c>
      <c r="Q25" s="3">
        <v>70</v>
      </c>
      <c r="R25" s="3" t="str">
        <f>IFERROR(MID(VLOOKUP($B25,Seqs!$A:$B,2,0),S25,1),"")</f>
        <v>A</v>
      </c>
      <c r="S25" s="3">
        <v>72</v>
      </c>
      <c r="T25" s="3" t="str">
        <f>IFERROR(MID(VLOOKUP($B25,Seqs!$A:$B,2,0),U25,1),"")</f>
        <v>A</v>
      </c>
      <c r="U25" s="3">
        <v>73</v>
      </c>
      <c r="V25" s="3" t="str">
        <f>IFERROR(MID(VLOOKUP($B25,Seqs!$A:$B,2,0),W25,1),"")</f>
        <v>I</v>
      </c>
      <c r="W25" s="3">
        <v>108</v>
      </c>
      <c r="X25" s="3" t="str">
        <f>IFERROR(MID(VLOOKUP($B25,Seqs!$A:$B,2,0),Y25,1),"")</f>
        <v>P</v>
      </c>
      <c r="Y25" s="3">
        <v>109</v>
      </c>
      <c r="Z25" s="3" t="str">
        <f>IFERROR(MID(VLOOKUP($B25,Seqs!$A:$B,2,0),AA25,1),"")</f>
        <v>V</v>
      </c>
      <c r="AA25" s="3">
        <v>116</v>
      </c>
      <c r="AB25" s="3" t="str">
        <f>IFERROR(MID(VLOOKUP($B25,Seqs!$A:$B,2,0),AC25,1),"")</f>
        <v>T</v>
      </c>
      <c r="AC25" s="9">
        <v>117</v>
      </c>
      <c r="AD25" s="3" t="str">
        <f>IFERROR(MID(VLOOKUP($B25,Seqs!$A:$B,2,0),AE25,1),"")</f>
        <v>G</v>
      </c>
      <c r="AE25" s="3">
        <v>142</v>
      </c>
      <c r="AF25" s="3" t="str">
        <f>IFERROR(MID(VLOOKUP($B25,Seqs!$A:$B,2,0),AG25,1),"")</f>
        <v>C</v>
      </c>
      <c r="AG25" s="3">
        <v>166</v>
      </c>
      <c r="AH25" s="3" t="str">
        <f>IFERROR(MID(VLOOKUP($B25,Seqs!$A:$B,2,0),AI25,1),"")</f>
        <v>F</v>
      </c>
      <c r="AI25" s="3">
        <v>168</v>
      </c>
      <c r="AJ25" s="3" t="str">
        <f>IFERROR(MID(VLOOKUP($B25,Seqs!$A:$B,2,0),AK25,1),"")</f>
        <v>P</v>
      </c>
      <c r="AK25" s="3">
        <v>173</v>
      </c>
      <c r="AL25" s="3" t="str">
        <f>IFERROR(MID(VLOOKUP($B25,Seqs!$A:$B,2,0),AM25,1),"")</f>
        <v>L</v>
      </c>
      <c r="AM25" s="3">
        <v>208</v>
      </c>
      <c r="AN25" s="3" t="str">
        <f>IFERROR(MID(VLOOKUP($B25,Seqs!$A:$B,2,0),AO25,1),"")</f>
        <v>E</v>
      </c>
      <c r="AO25" s="3">
        <v>219</v>
      </c>
      <c r="AP25" s="3" t="str">
        <f>IFERROR(MID(VLOOKUP($B25,Seqs!$A:$B,2,0),AQ25,1),"")</f>
        <v>C</v>
      </c>
      <c r="AQ25" s="3">
        <v>259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V</v>
      </c>
      <c r="AY25" s="3">
        <v>307</v>
      </c>
      <c r="AZ25" s="79" t="str">
        <f>VLOOKUP(B25,Classification!A:D,2,0)</f>
        <v>A</v>
      </c>
      <c r="BA25" s="97" t="str">
        <f>VLOOKUP(B25,Classification!A:D,4,0)</f>
        <v>Adenosine</v>
      </c>
      <c r="BB25" s="27" t="b">
        <f t="shared" si="1"/>
        <v>1</v>
      </c>
      <c r="BC25" s="23">
        <f t="shared" si="84"/>
        <v>263</v>
      </c>
      <c r="BD25" s="4" t="s">
        <v>23</v>
      </c>
      <c r="BE25" s="3" t="s">
        <v>1381</v>
      </c>
      <c r="BF25" s="50" t="s">
        <v>1384</v>
      </c>
      <c r="BG25" s="50" t="s">
        <v>1384</v>
      </c>
      <c r="BH25" s="1"/>
      <c r="BI25" s="72" t="s">
        <v>1293</v>
      </c>
      <c r="BJ25" s="58" t="s">
        <v>1293</v>
      </c>
      <c r="BK25" s="58" t="s">
        <v>1293</v>
      </c>
      <c r="BL25" s="58" t="s">
        <v>1293</v>
      </c>
      <c r="BM25" s="58" t="s">
        <v>1293</v>
      </c>
      <c r="BN25" s="58" t="s">
        <v>1293</v>
      </c>
      <c r="BO25" s="58" t="s">
        <v>1293</v>
      </c>
      <c r="BP25" s="58" t="s">
        <v>1293</v>
      </c>
      <c r="BQ25" s="58" t="s">
        <v>1293</v>
      </c>
      <c r="BR25" s="58" t="s">
        <v>1293</v>
      </c>
      <c r="BS25" s="58" t="s">
        <v>1293</v>
      </c>
      <c r="BT25" s="58" t="s">
        <v>1293</v>
      </c>
      <c r="BU25" s="72">
        <f t="shared" si="85"/>
        <v>2</v>
      </c>
      <c r="BV25" s="73">
        <f t="shared" si="86"/>
        <v>35</v>
      </c>
      <c r="BW25" s="74">
        <f t="shared" si="87"/>
        <v>39</v>
      </c>
      <c r="BX25" s="73">
        <f t="shared" si="88"/>
        <v>70</v>
      </c>
      <c r="BY25" s="74">
        <f t="shared" si="89"/>
        <v>73</v>
      </c>
      <c r="BZ25" s="73">
        <f t="shared" si="90"/>
        <v>109</v>
      </c>
      <c r="CA25" s="74">
        <f t="shared" si="91"/>
        <v>117</v>
      </c>
      <c r="CB25" s="73">
        <f t="shared" si="92"/>
        <v>166</v>
      </c>
      <c r="CC25" s="74">
        <f t="shared" si="93"/>
        <v>173</v>
      </c>
      <c r="CD25" s="73">
        <f t="shared" si="94"/>
        <v>219</v>
      </c>
      <c r="CE25" s="74">
        <f t="shared" si="95"/>
        <v>266</v>
      </c>
      <c r="CF25" s="73">
        <f t="shared" si="96"/>
        <v>292</v>
      </c>
      <c r="CG25" s="72">
        <f t="shared" si="97"/>
        <v>34</v>
      </c>
      <c r="CH25" s="73">
        <f t="shared" si="98"/>
        <v>38</v>
      </c>
      <c r="CI25" s="74">
        <f t="shared" si="99"/>
        <v>69</v>
      </c>
      <c r="CJ25" s="74">
        <f t="shared" si="100"/>
        <v>72</v>
      </c>
      <c r="CK25" s="74">
        <f t="shared" si="101"/>
        <v>108</v>
      </c>
      <c r="CL25" s="74">
        <f t="shared" si="102"/>
        <v>116</v>
      </c>
      <c r="CM25" s="74">
        <f t="shared" si="103"/>
        <v>142</v>
      </c>
      <c r="CN25" s="74">
        <f t="shared" si="104"/>
        <v>168</v>
      </c>
      <c r="CO25" s="74">
        <f t="shared" si="105"/>
        <v>208</v>
      </c>
      <c r="CP25" s="74">
        <f t="shared" si="106"/>
        <v>259</v>
      </c>
      <c r="CQ25" s="74">
        <f t="shared" si="107"/>
        <v>291</v>
      </c>
      <c r="CR25" s="74">
        <f t="shared" si="108"/>
        <v>307</v>
      </c>
      <c r="CS25" s="23">
        <f t="shared" si="109"/>
        <v>1</v>
      </c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</row>
    <row r="26" spans="1:1029" x14ac:dyDescent="0.2">
      <c r="A26" s="3" t="str">
        <f t="shared" si="0"/>
        <v>aa2ar_human_5IU8</v>
      </c>
      <c r="B26" s="3" t="s">
        <v>139</v>
      </c>
      <c r="C26" s="3" t="s">
        <v>1353</v>
      </c>
      <c r="D26" s="3" t="str">
        <f>IFERROR(MID(VLOOKUP($B26,Seqs!$A:$B,2,0),E26,1),"")</f>
        <v>P</v>
      </c>
      <c r="E26" s="3">
        <v>2</v>
      </c>
      <c r="F26" s="3" t="str">
        <f>IFERROR(MID(VLOOKUP($B26,Seqs!$A:$B,2,0),G26,1),"")</f>
        <v>N</v>
      </c>
      <c r="G26" s="3">
        <v>34</v>
      </c>
      <c r="H26" s="3" t="str">
        <f>IFERROR(MID(VLOOKUP($B26,Seqs!$A:$B,2,0),I26,1),"")</f>
        <v>S</v>
      </c>
      <c r="I26" s="23">
        <v>35</v>
      </c>
      <c r="J26" s="3" t="str">
        <f>IFERROR(MID(VLOOKUP($B26,Seqs!$A:$B,2,0),K26,1),"")</f>
        <v>Q</v>
      </c>
      <c r="K26" s="23">
        <v>38</v>
      </c>
      <c r="L26" s="3" t="str">
        <f>IFERROR(MID(VLOOKUP($B26,Seqs!$A:$B,2,0),M26,1),"")</f>
        <v>N</v>
      </c>
      <c r="M26" s="3">
        <v>39</v>
      </c>
      <c r="N26" s="3" t="str">
        <f>IFERROR(MID(VLOOKUP($B26,Seqs!$A:$B,2,0),O26,1),"")</f>
        <v>G</v>
      </c>
      <c r="O26" s="3">
        <v>69</v>
      </c>
      <c r="P26" s="3" t="str">
        <f>IFERROR(MID(VLOOKUP($B26,Seqs!$A:$B,2,0),Q26,1),"")</f>
        <v>F</v>
      </c>
      <c r="Q26" s="3">
        <v>70</v>
      </c>
      <c r="R26" s="3" t="str">
        <f>IFERROR(MID(VLOOKUP($B26,Seqs!$A:$B,2,0),S26,1),"")</f>
        <v>A</v>
      </c>
      <c r="S26" s="3">
        <v>72</v>
      </c>
      <c r="T26" s="3" t="str">
        <f>IFERROR(MID(VLOOKUP($B26,Seqs!$A:$B,2,0),U26,1),"")</f>
        <v>A</v>
      </c>
      <c r="U26" s="3">
        <v>73</v>
      </c>
      <c r="V26" s="3" t="str">
        <f>IFERROR(MID(VLOOKUP($B26,Seqs!$A:$B,2,0),W26,1),"")</f>
        <v>I</v>
      </c>
      <c r="W26" s="3">
        <v>108</v>
      </c>
      <c r="X26" s="3" t="str">
        <f>IFERROR(MID(VLOOKUP($B26,Seqs!$A:$B,2,0),Y26,1),"")</f>
        <v>P</v>
      </c>
      <c r="Y26" s="3">
        <v>109</v>
      </c>
      <c r="Z26" s="3" t="str">
        <f>IFERROR(MID(VLOOKUP($B26,Seqs!$A:$B,2,0),AA26,1),"")</f>
        <v>V</v>
      </c>
      <c r="AA26" s="3">
        <v>116</v>
      </c>
      <c r="AB26" s="3" t="str">
        <f>IFERROR(MID(VLOOKUP($B26,Seqs!$A:$B,2,0),AC26,1),"")</f>
        <v>T</v>
      </c>
      <c r="AC26" s="9">
        <v>117</v>
      </c>
      <c r="AD26" s="3" t="str">
        <f>IFERROR(MID(VLOOKUP($B26,Seqs!$A:$B,2,0),AE26,1),"")</f>
        <v>G</v>
      </c>
      <c r="AE26" s="3">
        <v>142</v>
      </c>
      <c r="AF26" s="3" t="str">
        <f>IFERROR(MID(VLOOKUP($B26,Seqs!$A:$B,2,0),AG26,1),"")</f>
        <v>C</v>
      </c>
      <c r="AG26" s="3">
        <v>166</v>
      </c>
      <c r="AH26" s="3" t="str">
        <f>IFERROR(MID(VLOOKUP($B26,Seqs!$A:$B,2,0),AI26,1),"")</f>
        <v>F</v>
      </c>
      <c r="AI26" s="3">
        <v>168</v>
      </c>
      <c r="AJ26" s="3" t="str">
        <f>IFERROR(MID(VLOOKUP($B26,Seqs!$A:$B,2,0),AK26,1),"")</f>
        <v>P</v>
      </c>
      <c r="AK26" s="3">
        <v>173</v>
      </c>
      <c r="AL26" s="3" t="str">
        <f>IFERROR(MID(VLOOKUP($B26,Seqs!$A:$B,2,0),AM26,1),"")</f>
        <v>L</v>
      </c>
      <c r="AM26" s="3">
        <v>208</v>
      </c>
      <c r="AN26" s="3" t="str">
        <f>IFERROR(MID(VLOOKUP($B26,Seqs!$A:$B,2,0),AO26,1),"")</f>
        <v>E</v>
      </c>
      <c r="AO26" s="3">
        <v>219</v>
      </c>
      <c r="AP26" s="3" t="str">
        <f>IFERROR(MID(VLOOKUP($B26,Seqs!$A:$B,2,0),AQ26,1),"")</f>
        <v>C</v>
      </c>
      <c r="AQ26" s="3">
        <v>259</v>
      </c>
      <c r="AR26" s="3" t="str">
        <f>IFERROR(MID(VLOOKUP($B26,Seqs!$A:$B,2,0),AS26,1),"")</f>
        <v>P</v>
      </c>
      <c r="AS26" s="3">
        <v>266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S</v>
      </c>
      <c r="AY26" s="3">
        <v>305</v>
      </c>
      <c r="AZ26" s="79" t="str">
        <f>VLOOKUP(B26,Classification!A:D,2,0)</f>
        <v>A</v>
      </c>
      <c r="BA26" s="97" t="str">
        <f>VLOOKUP(B26,Classification!A:D,4,0)</f>
        <v>Adenosine</v>
      </c>
      <c r="BB26" s="27" t="b">
        <f t="shared" si="1"/>
        <v>1</v>
      </c>
      <c r="BC26" s="23">
        <f t="shared" si="84"/>
        <v>261</v>
      </c>
      <c r="BD26" s="4" t="s">
        <v>23</v>
      </c>
      <c r="BE26" s="3" t="s">
        <v>1381</v>
      </c>
      <c r="BF26" s="50" t="s">
        <v>1384</v>
      </c>
      <c r="BG26" s="50" t="s">
        <v>1384</v>
      </c>
      <c r="BH26" s="1"/>
      <c r="BI26" s="72" t="s">
        <v>1293</v>
      </c>
      <c r="BJ26" s="58" t="s">
        <v>1293</v>
      </c>
      <c r="BK26" s="58" t="s">
        <v>1293</v>
      </c>
      <c r="BL26" s="58" t="s">
        <v>1293</v>
      </c>
      <c r="BM26" s="58" t="s">
        <v>1293</v>
      </c>
      <c r="BN26" s="58" t="s">
        <v>1293</v>
      </c>
      <c r="BO26" s="58" t="s">
        <v>1293</v>
      </c>
      <c r="BP26" s="58" t="s">
        <v>1293</v>
      </c>
      <c r="BQ26" s="58" t="s">
        <v>1293</v>
      </c>
      <c r="BR26" s="58" t="s">
        <v>1293</v>
      </c>
      <c r="BS26" s="58" t="s">
        <v>1293</v>
      </c>
      <c r="BT26" s="58" t="s">
        <v>1293</v>
      </c>
      <c r="BU26" s="72">
        <f t="shared" si="85"/>
        <v>2</v>
      </c>
      <c r="BV26" s="73">
        <f t="shared" si="86"/>
        <v>35</v>
      </c>
      <c r="BW26" s="74">
        <f t="shared" si="87"/>
        <v>39</v>
      </c>
      <c r="BX26" s="73">
        <f t="shared" si="88"/>
        <v>70</v>
      </c>
      <c r="BY26" s="74">
        <f t="shared" si="89"/>
        <v>73</v>
      </c>
      <c r="BZ26" s="73">
        <f t="shared" si="90"/>
        <v>109</v>
      </c>
      <c r="CA26" s="74">
        <f t="shared" si="91"/>
        <v>117</v>
      </c>
      <c r="CB26" s="73">
        <f t="shared" si="92"/>
        <v>166</v>
      </c>
      <c r="CC26" s="74">
        <f t="shared" si="93"/>
        <v>173</v>
      </c>
      <c r="CD26" s="73">
        <f t="shared" si="94"/>
        <v>219</v>
      </c>
      <c r="CE26" s="74">
        <f t="shared" si="95"/>
        <v>266</v>
      </c>
      <c r="CF26" s="73">
        <f t="shared" si="96"/>
        <v>292</v>
      </c>
      <c r="CG26" s="72">
        <f t="shared" si="97"/>
        <v>34</v>
      </c>
      <c r="CH26" s="73">
        <f t="shared" si="98"/>
        <v>38</v>
      </c>
      <c r="CI26" s="74">
        <f t="shared" si="99"/>
        <v>69</v>
      </c>
      <c r="CJ26" s="74">
        <f t="shared" si="100"/>
        <v>72</v>
      </c>
      <c r="CK26" s="74">
        <f t="shared" si="101"/>
        <v>108</v>
      </c>
      <c r="CL26" s="74">
        <f t="shared" si="102"/>
        <v>116</v>
      </c>
      <c r="CM26" s="74">
        <f t="shared" si="103"/>
        <v>142</v>
      </c>
      <c r="CN26" s="74">
        <f t="shared" si="104"/>
        <v>168</v>
      </c>
      <c r="CO26" s="74">
        <f t="shared" si="105"/>
        <v>208</v>
      </c>
      <c r="CP26" s="74">
        <f t="shared" si="106"/>
        <v>259</v>
      </c>
      <c r="CQ26" s="74">
        <f t="shared" si="107"/>
        <v>291</v>
      </c>
      <c r="CR26" s="74">
        <f t="shared" si="108"/>
        <v>305</v>
      </c>
      <c r="CS26" s="23">
        <f t="shared" si="109"/>
        <v>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</row>
    <row r="27" spans="1:1029" x14ac:dyDescent="0.2">
      <c r="A27" s="3" t="str">
        <f t="shared" si="0"/>
        <v>aa2ar_human_5IUA</v>
      </c>
      <c r="B27" s="3" t="s">
        <v>139</v>
      </c>
      <c r="C27" s="3" t="s">
        <v>1354</v>
      </c>
      <c r="D27" s="3" t="str">
        <f>IFERROR(MID(VLOOKUP($B27,Seqs!$A:$B,2,0),E27,1),"")</f>
        <v>P</v>
      </c>
      <c r="E27" s="3">
        <v>2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L</v>
      </c>
      <c r="AM27" s="3">
        <v>208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H</v>
      </c>
      <c r="AY27" s="3">
        <v>306</v>
      </c>
      <c r="AZ27" s="79" t="str">
        <f>VLOOKUP(B27,Classification!A:D,2,0)</f>
        <v>A</v>
      </c>
      <c r="BA27" s="97" t="str">
        <f>VLOOKUP(B27,Classification!A:D,4,0)</f>
        <v>Adenosine</v>
      </c>
      <c r="BB27" s="27" t="b">
        <f t="shared" si="1"/>
        <v>1</v>
      </c>
      <c r="BC27" s="23">
        <f t="shared" si="84"/>
        <v>262</v>
      </c>
      <c r="BD27" s="4" t="s">
        <v>23</v>
      </c>
      <c r="BE27" s="3" t="s">
        <v>1381</v>
      </c>
      <c r="BF27" s="50" t="s">
        <v>1384</v>
      </c>
      <c r="BG27" s="50" t="s">
        <v>1384</v>
      </c>
      <c r="BH27" s="1"/>
      <c r="BI27" s="72" t="s">
        <v>1293</v>
      </c>
      <c r="BJ27" s="58" t="s">
        <v>1293</v>
      </c>
      <c r="BK27" s="58" t="s">
        <v>1293</v>
      </c>
      <c r="BL27" s="58" t="s">
        <v>1293</v>
      </c>
      <c r="BM27" s="58" t="s">
        <v>1293</v>
      </c>
      <c r="BN27" s="58" t="s">
        <v>1293</v>
      </c>
      <c r="BO27" s="58" t="s">
        <v>1293</v>
      </c>
      <c r="BP27" s="58" t="s">
        <v>1293</v>
      </c>
      <c r="BQ27" s="58" t="s">
        <v>1293</v>
      </c>
      <c r="BR27" s="58" t="s">
        <v>1293</v>
      </c>
      <c r="BS27" s="58" t="s">
        <v>1293</v>
      </c>
      <c r="BT27" s="58" t="s">
        <v>1293</v>
      </c>
      <c r="BU27" s="72">
        <f t="shared" si="85"/>
        <v>2</v>
      </c>
      <c r="BV27" s="73">
        <f t="shared" si="86"/>
        <v>35</v>
      </c>
      <c r="BW27" s="74">
        <f t="shared" si="87"/>
        <v>39</v>
      </c>
      <c r="BX27" s="73">
        <f t="shared" si="88"/>
        <v>70</v>
      </c>
      <c r="BY27" s="74">
        <f t="shared" si="89"/>
        <v>73</v>
      </c>
      <c r="BZ27" s="73">
        <f t="shared" si="90"/>
        <v>109</v>
      </c>
      <c r="CA27" s="74">
        <f t="shared" si="91"/>
        <v>117</v>
      </c>
      <c r="CB27" s="73">
        <f t="shared" si="92"/>
        <v>166</v>
      </c>
      <c r="CC27" s="74">
        <f t="shared" si="93"/>
        <v>173</v>
      </c>
      <c r="CD27" s="73">
        <f t="shared" si="94"/>
        <v>219</v>
      </c>
      <c r="CE27" s="74">
        <f t="shared" si="95"/>
        <v>266</v>
      </c>
      <c r="CF27" s="73">
        <f t="shared" si="96"/>
        <v>292</v>
      </c>
      <c r="CG27" s="72">
        <f t="shared" si="97"/>
        <v>34</v>
      </c>
      <c r="CH27" s="73">
        <f t="shared" si="98"/>
        <v>38</v>
      </c>
      <c r="CI27" s="74">
        <f t="shared" si="99"/>
        <v>69</v>
      </c>
      <c r="CJ27" s="74">
        <f t="shared" si="100"/>
        <v>72</v>
      </c>
      <c r="CK27" s="74">
        <f t="shared" si="101"/>
        <v>108</v>
      </c>
      <c r="CL27" s="74">
        <f t="shared" si="102"/>
        <v>116</v>
      </c>
      <c r="CM27" s="74">
        <f t="shared" si="103"/>
        <v>142</v>
      </c>
      <c r="CN27" s="74">
        <f t="shared" si="104"/>
        <v>168</v>
      </c>
      <c r="CO27" s="74">
        <f t="shared" si="105"/>
        <v>208</v>
      </c>
      <c r="CP27" s="74">
        <f t="shared" si="106"/>
        <v>259</v>
      </c>
      <c r="CQ27" s="74">
        <f t="shared" si="107"/>
        <v>291</v>
      </c>
      <c r="CR27" s="74">
        <f t="shared" si="108"/>
        <v>306</v>
      </c>
      <c r="CS27" s="23">
        <f t="shared" si="109"/>
        <v>1</v>
      </c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</row>
    <row r="28" spans="1:1029" x14ac:dyDescent="0.2">
      <c r="A28" s="3" t="str">
        <f t="shared" si="0"/>
        <v>aa2ar_human_5IUB</v>
      </c>
      <c r="B28" s="3" t="s">
        <v>139</v>
      </c>
      <c r="C28" s="3" t="s">
        <v>1355</v>
      </c>
      <c r="D28" s="3" t="str">
        <f>IFERROR(MID(VLOOKUP($B28,Seqs!$A:$B,2,0),E28,1),"")</f>
        <v>P</v>
      </c>
      <c r="E28" s="3">
        <v>2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L</v>
      </c>
      <c r="AM28" s="3">
        <v>208</v>
      </c>
      <c r="AN28" s="3" t="str">
        <f>IFERROR(MID(VLOOKUP($B28,Seqs!$A:$B,2,0),AO28,1),"")</f>
        <v>E</v>
      </c>
      <c r="AO28" s="3">
        <v>219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S</v>
      </c>
      <c r="AY28" s="3">
        <v>305</v>
      </c>
      <c r="AZ28" s="79" t="str">
        <f>VLOOKUP(B28,Classification!A:D,2,0)</f>
        <v>A</v>
      </c>
      <c r="BA28" s="97" t="str">
        <f>VLOOKUP(B28,Classification!A:D,4,0)</f>
        <v>Adenosine</v>
      </c>
      <c r="BB28" s="27" t="b">
        <f t="shared" si="1"/>
        <v>1</v>
      </c>
      <c r="BC28" s="23">
        <f t="shared" si="84"/>
        <v>261</v>
      </c>
      <c r="BD28" s="4" t="s">
        <v>23</v>
      </c>
      <c r="BE28" s="3" t="s">
        <v>1381</v>
      </c>
      <c r="BF28" s="50" t="s">
        <v>1384</v>
      </c>
      <c r="BG28" s="50" t="s">
        <v>1384</v>
      </c>
      <c r="BH28" s="1"/>
      <c r="BI28" s="72" t="s">
        <v>1293</v>
      </c>
      <c r="BJ28" s="58" t="s">
        <v>1293</v>
      </c>
      <c r="BK28" s="58" t="s">
        <v>1293</v>
      </c>
      <c r="BL28" s="58" t="s">
        <v>1293</v>
      </c>
      <c r="BM28" s="58" t="s">
        <v>1293</v>
      </c>
      <c r="BN28" s="58" t="s">
        <v>1293</v>
      </c>
      <c r="BO28" s="58" t="s">
        <v>1293</v>
      </c>
      <c r="BP28" s="58" t="s">
        <v>1293</v>
      </c>
      <c r="BQ28" s="58" t="s">
        <v>1293</v>
      </c>
      <c r="BR28" s="58" t="s">
        <v>1293</v>
      </c>
      <c r="BS28" s="58" t="s">
        <v>1293</v>
      </c>
      <c r="BT28" s="58" t="s">
        <v>1293</v>
      </c>
      <c r="BU28" s="72">
        <f t="shared" si="85"/>
        <v>2</v>
      </c>
      <c r="BV28" s="73">
        <f t="shared" si="86"/>
        <v>35</v>
      </c>
      <c r="BW28" s="74">
        <f t="shared" si="87"/>
        <v>39</v>
      </c>
      <c r="BX28" s="73">
        <f t="shared" si="88"/>
        <v>70</v>
      </c>
      <c r="BY28" s="74">
        <f t="shared" si="89"/>
        <v>73</v>
      </c>
      <c r="BZ28" s="73">
        <f t="shared" si="90"/>
        <v>109</v>
      </c>
      <c r="CA28" s="74">
        <f t="shared" si="91"/>
        <v>117</v>
      </c>
      <c r="CB28" s="73">
        <f t="shared" si="92"/>
        <v>166</v>
      </c>
      <c r="CC28" s="74">
        <f t="shared" si="93"/>
        <v>173</v>
      </c>
      <c r="CD28" s="73">
        <f t="shared" si="94"/>
        <v>219</v>
      </c>
      <c r="CE28" s="74">
        <f t="shared" si="95"/>
        <v>266</v>
      </c>
      <c r="CF28" s="73">
        <f t="shared" si="96"/>
        <v>292</v>
      </c>
      <c r="CG28" s="72">
        <f t="shared" si="97"/>
        <v>34</v>
      </c>
      <c r="CH28" s="73">
        <f t="shared" si="98"/>
        <v>38</v>
      </c>
      <c r="CI28" s="74">
        <f t="shared" si="99"/>
        <v>69</v>
      </c>
      <c r="CJ28" s="74">
        <f t="shared" si="100"/>
        <v>72</v>
      </c>
      <c r="CK28" s="74">
        <f t="shared" si="101"/>
        <v>108</v>
      </c>
      <c r="CL28" s="74">
        <f t="shared" si="102"/>
        <v>116</v>
      </c>
      <c r="CM28" s="74">
        <f t="shared" si="103"/>
        <v>142</v>
      </c>
      <c r="CN28" s="74">
        <f t="shared" si="104"/>
        <v>168</v>
      </c>
      <c r="CO28" s="74">
        <f t="shared" si="105"/>
        <v>208</v>
      </c>
      <c r="CP28" s="74">
        <f t="shared" si="106"/>
        <v>259</v>
      </c>
      <c r="CQ28" s="74">
        <f t="shared" si="107"/>
        <v>291</v>
      </c>
      <c r="CR28" s="74">
        <f t="shared" si="108"/>
        <v>305</v>
      </c>
      <c r="CS28" s="23">
        <f t="shared" si="109"/>
        <v>1</v>
      </c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</row>
    <row r="29" spans="1:1029" x14ac:dyDescent="0.2">
      <c r="A29" s="3" t="str">
        <f t="shared" si="0"/>
        <v>aa2ar_human_5K2A</v>
      </c>
      <c r="B29" s="3" t="s">
        <v>139</v>
      </c>
      <c r="C29" s="3" t="s">
        <v>1345</v>
      </c>
      <c r="D29" s="3" t="str">
        <f>IFERROR(MID(VLOOKUP($B29,Seqs!$A:$B,2,0),E29,1),"")</f>
        <v>P</v>
      </c>
      <c r="E29" s="3">
        <v>2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L</v>
      </c>
      <c r="AM29" s="3">
        <v>208</v>
      </c>
      <c r="AN29" s="3" t="str">
        <f>IFERROR(MID(VLOOKUP($B29,Seqs!$A:$B,2,0),AO29,1),"")</f>
        <v>E</v>
      </c>
      <c r="AO29" s="3">
        <v>219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V</v>
      </c>
      <c r="AY29" s="3">
        <v>307</v>
      </c>
      <c r="AZ29" s="79" t="str">
        <f>VLOOKUP(B29,Classification!A:D,2,0)</f>
        <v>A</v>
      </c>
      <c r="BA29" s="97" t="str">
        <f>VLOOKUP(B29,Classification!A:D,4,0)</f>
        <v>Adenosine</v>
      </c>
      <c r="BB29" s="27" t="b">
        <f t="shared" si="1"/>
        <v>1</v>
      </c>
      <c r="BC29" s="23">
        <f t="shared" si="84"/>
        <v>263</v>
      </c>
      <c r="BD29" s="1" t="s">
        <v>23</v>
      </c>
      <c r="BE29" s="3" t="s">
        <v>1381</v>
      </c>
      <c r="BF29" s="50" t="s">
        <v>1384</v>
      </c>
      <c r="BG29" s="50" t="s">
        <v>1384</v>
      </c>
      <c r="BH29" s="1"/>
      <c r="BI29" s="72" t="s">
        <v>1293</v>
      </c>
      <c r="BJ29" s="58" t="s">
        <v>1293</v>
      </c>
      <c r="BK29" s="58" t="s">
        <v>1293</v>
      </c>
      <c r="BL29" s="58" t="s">
        <v>1293</v>
      </c>
      <c r="BM29" s="58" t="s">
        <v>1293</v>
      </c>
      <c r="BN29" s="58" t="s">
        <v>1293</v>
      </c>
      <c r="BO29" s="58" t="s">
        <v>1293</v>
      </c>
      <c r="BP29" s="58" t="s">
        <v>1293</v>
      </c>
      <c r="BQ29" s="58" t="s">
        <v>1293</v>
      </c>
      <c r="BR29" s="58" t="s">
        <v>1293</v>
      </c>
      <c r="BS29" s="58" t="s">
        <v>1293</v>
      </c>
      <c r="BT29" s="58" t="s">
        <v>1293</v>
      </c>
      <c r="BU29" s="72">
        <f t="shared" si="85"/>
        <v>2</v>
      </c>
      <c r="BV29" s="73">
        <f t="shared" si="86"/>
        <v>35</v>
      </c>
      <c r="BW29" s="74">
        <f t="shared" si="87"/>
        <v>39</v>
      </c>
      <c r="BX29" s="73">
        <f t="shared" si="88"/>
        <v>70</v>
      </c>
      <c r="BY29" s="74">
        <f t="shared" si="89"/>
        <v>73</v>
      </c>
      <c r="BZ29" s="73">
        <f t="shared" si="90"/>
        <v>109</v>
      </c>
      <c r="CA29" s="74">
        <f t="shared" si="91"/>
        <v>117</v>
      </c>
      <c r="CB29" s="73">
        <f t="shared" si="92"/>
        <v>166</v>
      </c>
      <c r="CC29" s="74">
        <f t="shared" si="93"/>
        <v>173</v>
      </c>
      <c r="CD29" s="73">
        <f t="shared" si="94"/>
        <v>219</v>
      </c>
      <c r="CE29" s="74">
        <f t="shared" si="95"/>
        <v>266</v>
      </c>
      <c r="CF29" s="73">
        <f t="shared" si="96"/>
        <v>292</v>
      </c>
      <c r="CG29" s="72">
        <f t="shared" si="97"/>
        <v>34</v>
      </c>
      <c r="CH29" s="73">
        <f t="shared" si="98"/>
        <v>38</v>
      </c>
      <c r="CI29" s="74">
        <f t="shared" si="99"/>
        <v>69</v>
      </c>
      <c r="CJ29" s="74">
        <f t="shared" si="100"/>
        <v>72</v>
      </c>
      <c r="CK29" s="74">
        <f t="shared" si="101"/>
        <v>108</v>
      </c>
      <c r="CL29" s="74">
        <f t="shared" si="102"/>
        <v>116</v>
      </c>
      <c r="CM29" s="74">
        <f t="shared" si="103"/>
        <v>142</v>
      </c>
      <c r="CN29" s="74">
        <f t="shared" si="104"/>
        <v>168</v>
      </c>
      <c r="CO29" s="74">
        <f t="shared" si="105"/>
        <v>208</v>
      </c>
      <c r="CP29" s="74">
        <f t="shared" si="106"/>
        <v>259</v>
      </c>
      <c r="CQ29" s="74">
        <f t="shared" si="107"/>
        <v>291</v>
      </c>
      <c r="CR29" s="74">
        <f t="shared" si="108"/>
        <v>307</v>
      </c>
      <c r="CS29" s="23">
        <f t="shared" si="109"/>
        <v>1</v>
      </c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</row>
    <row r="30" spans="1:1029" x14ac:dyDescent="0.2">
      <c r="A30" s="3" t="str">
        <f t="shared" si="0"/>
        <v>aa2ar_human_5K2B</v>
      </c>
      <c r="B30" s="3" t="s">
        <v>139</v>
      </c>
      <c r="C30" s="3" t="s">
        <v>1346</v>
      </c>
      <c r="D30" s="3" t="str">
        <f>IFERROR(MID(VLOOKUP($B30,Seqs!$A:$B,2,0),E30,1),"")</f>
        <v>P</v>
      </c>
      <c r="E30" s="3">
        <v>2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L</v>
      </c>
      <c r="AM30" s="3">
        <v>208</v>
      </c>
      <c r="AN30" s="3" t="str">
        <f>IFERROR(MID(VLOOKUP($B30,Seqs!$A:$B,2,0),AO30,1),"")</f>
        <v>E</v>
      </c>
      <c r="AO30" s="3">
        <v>219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V</v>
      </c>
      <c r="AY30" s="3">
        <v>307</v>
      </c>
      <c r="AZ30" s="79" t="str">
        <f>VLOOKUP(B30,Classification!A:D,2,0)</f>
        <v>A</v>
      </c>
      <c r="BA30" s="97" t="str">
        <f>VLOOKUP(B30,Classification!A:D,4,0)</f>
        <v>Adenosine</v>
      </c>
      <c r="BB30" s="27" t="b">
        <f t="shared" si="1"/>
        <v>1</v>
      </c>
      <c r="BC30" s="23">
        <f t="shared" si="84"/>
        <v>263</v>
      </c>
      <c r="BD30" s="4" t="s">
        <v>23</v>
      </c>
      <c r="BE30" s="3" t="s">
        <v>1381</v>
      </c>
      <c r="BF30" s="50" t="s">
        <v>1384</v>
      </c>
      <c r="BG30" s="50" t="s">
        <v>1384</v>
      </c>
      <c r="BH30" s="1"/>
      <c r="BI30" s="72" t="s">
        <v>1293</v>
      </c>
      <c r="BJ30" s="58" t="s">
        <v>1293</v>
      </c>
      <c r="BK30" s="58" t="s">
        <v>1293</v>
      </c>
      <c r="BL30" s="58" t="s">
        <v>1293</v>
      </c>
      <c r="BM30" s="58" t="s">
        <v>1293</v>
      </c>
      <c r="BN30" s="58" t="s">
        <v>1293</v>
      </c>
      <c r="BO30" s="58" t="s">
        <v>1293</v>
      </c>
      <c r="BP30" s="58" t="s">
        <v>1293</v>
      </c>
      <c r="BQ30" s="58" t="s">
        <v>1293</v>
      </c>
      <c r="BR30" s="58" t="s">
        <v>1293</v>
      </c>
      <c r="BS30" s="58" t="s">
        <v>1293</v>
      </c>
      <c r="BT30" s="58" t="s">
        <v>1293</v>
      </c>
      <c r="BU30" s="72">
        <f t="shared" si="85"/>
        <v>2</v>
      </c>
      <c r="BV30" s="73">
        <f t="shared" si="86"/>
        <v>35</v>
      </c>
      <c r="BW30" s="74">
        <f t="shared" si="87"/>
        <v>39</v>
      </c>
      <c r="BX30" s="73">
        <f t="shared" si="88"/>
        <v>70</v>
      </c>
      <c r="BY30" s="74">
        <f t="shared" si="89"/>
        <v>73</v>
      </c>
      <c r="BZ30" s="73">
        <f t="shared" si="90"/>
        <v>109</v>
      </c>
      <c r="CA30" s="74">
        <f t="shared" si="91"/>
        <v>117</v>
      </c>
      <c r="CB30" s="73">
        <f t="shared" si="92"/>
        <v>166</v>
      </c>
      <c r="CC30" s="74">
        <f t="shared" si="93"/>
        <v>173</v>
      </c>
      <c r="CD30" s="73">
        <f t="shared" si="94"/>
        <v>219</v>
      </c>
      <c r="CE30" s="74">
        <f t="shared" si="95"/>
        <v>266</v>
      </c>
      <c r="CF30" s="73">
        <f t="shared" si="96"/>
        <v>292</v>
      </c>
      <c r="CG30" s="72">
        <f t="shared" si="97"/>
        <v>34</v>
      </c>
      <c r="CH30" s="73">
        <f t="shared" si="98"/>
        <v>38</v>
      </c>
      <c r="CI30" s="74">
        <f t="shared" si="99"/>
        <v>69</v>
      </c>
      <c r="CJ30" s="74">
        <f t="shared" si="100"/>
        <v>72</v>
      </c>
      <c r="CK30" s="74">
        <f t="shared" si="101"/>
        <v>108</v>
      </c>
      <c r="CL30" s="74">
        <f t="shared" si="102"/>
        <v>116</v>
      </c>
      <c r="CM30" s="74">
        <f t="shared" si="103"/>
        <v>142</v>
      </c>
      <c r="CN30" s="74">
        <f t="shared" si="104"/>
        <v>168</v>
      </c>
      <c r="CO30" s="74">
        <f t="shared" si="105"/>
        <v>208</v>
      </c>
      <c r="CP30" s="74">
        <f t="shared" si="106"/>
        <v>259</v>
      </c>
      <c r="CQ30" s="74">
        <f t="shared" si="107"/>
        <v>291</v>
      </c>
      <c r="CR30" s="74">
        <f t="shared" si="108"/>
        <v>307</v>
      </c>
      <c r="CS30" s="23">
        <f t="shared" si="109"/>
        <v>1</v>
      </c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</row>
    <row r="31" spans="1:1029" x14ac:dyDescent="0.2">
      <c r="A31" s="3" t="str">
        <f t="shared" si="0"/>
        <v>aa2ar_human_5K2C</v>
      </c>
      <c r="B31" s="3" t="s">
        <v>139</v>
      </c>
      <c r="C31" s="3" t="s">
        <v>1347</v>
      </c>
      <c r="D31" s="3" t="str">
        <f>IFERROR(MID(VLOOKUP($B31,Seqs!$A:$B,2,0),E31,1),"")</f>
        <v>P</v>
      </c>
      <c r="E31" s="3">
        <v>2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L</v>
      </c>
      <c r="AM31" s="3">
        <v>208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V</v>
      </c>
      <c r="AY31" s="3">
        <v>307</v>
      </c>
      <c r="AZ31" s="79" t="str">
        <f>VLOOKUP(B31,Classification!A:D,2,0)</f>
        <v>A</v>
      </c>
      <c r="BA31" s="97" t="str">
        <f>VLOOKUP(B31,Classification!A:D,4,0)</f>
        <v>Adenosine</v>
      </c>
      <c r="BB31" s="27" t="b">
        <f t="shared" si="1"/>
        <v>1</v>
      </c>
      <c r="BC31" s="23">
        <f t="shared" si="84"/>
        <v>263</v>
      </c>
      <c r="BD31" s="4" t="s">
        <v>23</v>
      </c>
      <c r="BE31" s="3" t="s">
        <v>1381</v>
      </c>
      <c r="BF31" s="50" t="s">
        <v>1384</v>
      </c>
      <c r="BG31" s="50" t="s">
        <v>1384</v>
      </c>
      <c r="BH31" s="1"/>
      <c r="BI31" s="72" t="s">
        <v>1293</v>
      </c>
      <c r="BJ31" s="58" t="s">
        <v>1293</v>
      </c>
      <c r="BK31" s="58" t="s">
        <v>1293</v>
      </c>
      <c r="BL31" s="58" t="s">
        <v>1293</v>
      </c>
      <c r="BM31" s="58" t="s">
        <v>1293</v>
      </c>
      <c r="BN31" s="58" t="s">
        <v>1293</v>
      </c>
      <c r="BO31" s="58" t="s">
        <v>1293</v>
      </c>
      <c r="BP31" s="58" t="s">
        <v>1293</v>
      </c>
      <c r="BQ31" s="58" t="s">
        <v>1293</v>
      </c>
      <c r="BR31" s="58" t="s">
        <v>1293</v>
      </c>
      <c r="BS31" s="58" t="s">
        <v>1293</v>
      </c>
      <c r="BT31" s="58" t="s">
        <v>1293</v>
      </c>
      <c r="BU31" s="72">
        <f t="shared" si="85"/>
        <v>2</v>
      </c>
      <c r="BV31" s="73">
        <f t="shared" si="86"/>
        <v>35</v>
      </c>
      <c r="BW31" s="74">
        <f t="shared" si="87"/>
        <v>39</v>
      </c>
      <c r="BX31" s="73">
        <f t="shared" si="88"/>
        <v>70</v>
      </c>
      <c r="BY31" s="74">
        <f t="shared" si="89"/>
        <v>73</v>
      </c>
      <c r="BZ31" s="73">
        <f t="shared" si="90"/>
        <v>109</v>
      </c>
      <c r="CA31" s="74">
        <f t="shared" si="91"/>
        <v>117</v>
      </c>
      <c r="CB31" s="73">
        <f t="shared" si="92"/>
        <v>166</v>
      </c>
      <c r="CC31" s="74">
        <f t="shared" si="93"/>
        <v>173</v>
      </c>
      <c r="CD31" s="73">
        <f t="shared" si="94"/>
        <v>219</v>
      </c>
      <c r="CE31" s="74">
        <f t="shared" si="95"/>
        <v>266</v>
      </c>
      <c r="CF31" s="73">
        <f t="shared" si="96"/>
        <v>292</v>
      </c>
      <c r="CG31" s="72">
        <f t="shared" si="97"/>
        <v>34</v>
      </c>
      <c r="CH31" s="73">
        <f t="shared" si="98"/>
        <v>38</v>
      </c>
      <c r="CI31" s="74">
        <f t="shared" si="99"/>
        <v>69</v>
      </c>
      <c r="CJ31" s="74">
        <f t="shared" si="100"/>
        <v>72</v>
      </c>
      <c r="CK31" s="74">
        <f t="shared" si="101"/>
        <v>108</v>
      </c>
      <c r="CL31" s="74">
        <f t="shared" si="102"/>
        <v>116</v>
      </c>
      <c r="CM31" s="74">
        <f t="shared" si="103"/>
        <v>142</v>
      </c>
      <c r="CN31" s="74">
        <f t="shared" si="104"/>
        <v>168</v>
      </c>
      <c r="CO31" s="74">
        <f t="shared" si="105"/>
        <v>208</v>
      </c>
      <c r="CP31" s="74">
        <f t="shared" si="106"/>
        <v>259</v>
      </c>
      <c r="CQ31" s="74">
        <f t="shared" si="107"/>
        <v>291</v>
      </c>
      <c r="CR31" s="74">
        <f t="shared" si="108"/>
        <v>307</v>
      </c>
      <c r="CS31" s="23">
        <f t="shared" si="109"/>
        <v>1</v>
      </c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</row>
    <row r="32" spans="1:1029" x14ac:dyDescent="0.2">
      <c r="A32" s="3" t="str">
        <f t="shared" si="0"/>
        <v>aa2ar_human_5K2D</v>
      </c>
      <c r="B32" s="3" t="s">
        <v>139</v>
      </c>
      <c r="C32" s="3" t="s">
        <v>1348</v>
      </c>
      <c r="D32" s="3" t="str">
        <f>IFERROR(MID(VLOOKUP($B32,Seqs!$A:$B,2,0),E32,1),"")</f>
        <v>P</v>
      </c>
      <c r="E32" s="3">
        <v>2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L</v>
      </c>
      <c r="AM32" s="3">
        <v>208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V</v>
      </c>
      <c r="AY32" s="3">
        <v>307</v>
      </c>
      <c r="AZ32" s="79" t="str">
        <f>VLOOKUP(B32,Classification!A:D,2,0)</f>
        <v>A</v>
      </c>
      <c r="BA32" s="97" t="str">
        <f>VLOOKUP(B32,Classification!A:D,4,0)</f>
        <v>Adenosine</v>
      </c>
      <c r="BB32" s="27" t="b">
        <f t="shared" si="1"/>
        <v>1</v>
      </c>
      <c r="BC32" s="23">
        <f t="shared" si="84"/>
        <v>263</v>
      </c>
      <c r="BD32" s="5" t="s">
        <v>23</v>
      </c>
      <c r="BE32" s="3" t="s">
        <v>1381</v>
      </c>
      <c r="BF32" s="50" t="s">
        <v>1384</v>
      </c>
      <c r="BG32" s="50" t="s">
        <v>1384</v>
      </c>
      <c r="BH32" s="1"/>
      <c r="BI32" s="72" t="s">
        <v>1293</v>
      </c>
      <c r="BJ32" s="58" t="s">
        <v>1293</v>
      </c>
      <c r="BK32" s="58" t="s">
        <v>1293</v>
      </c>
      <c r="BL32" s="58" t="s">
        <v>1293</v>
      </c>
      <c r="BM32" s="58" t="s">
        <v>1293</v>
      </c>
      <c r="BN32" s="58" t="s">
        <v>1293</v>
      </c>
      <c r="BO32" s="58" t="s">
        <v>1293</v>
      </c>
      <c r="BP32" s="58" t="s">
        <v>1293</v>
      </c>
      <c r="BQ32" s="58" t="s">
        <v>1293</v>
      </c>
      <c r="BR32" s="58" t="s">
        <v>1293</v>
      </c>
      <c r="BS32" s="58" t="s">
        <v>1293</v>
      </c>
      <c r="BT32" s="58" t="s">
        <v>1293</v>
      </c>
      <c r="BU32" s="72">
        <f t="shared" si="85"/>
        <v>2</v>
      </c>
      <c r="BV32" s="73">
        <f t="shared" si="86"/>
        <v>35</v>
      </c>
      <c r="BW32" s="74">
        <f t="shared" si="87"/>
        <v>39</v>
      </c>
      <c r="BX32" s="73">
        <f t="shared" si="88"/>
        <v>70</v>
      </c>
      <c r="BY32" s="74">
        <f t="shared" si="89"/>
        <v>73</v>
      </c>
      <c r="BZ32" s="73">
        <f t="shared" si="90"/>
        <v>109</v>
      </c>
      <c r="CA32" s="74">
        <f t="shared" si="91"/>
        <v>117</v>
      </c>
      <c r="CB32" s="73">
        <f t="shared" si="92"/>
        <v>166</v>
      </c>
      <c r="CC32" s="74">
        <f t="shared" si="93"/>
        <v>173</v>
      </c>
      <c r="CD32" s="73">
        <f t="shared" si="94"/>
        <v>219</v>
      </c>
      <c r="CE32" s="74">
        <f t="shared" si="95"/>
        <v>266</v>
      </c>
      <c r="CF32" s="73">
        <f t="shared" si="96"/>
        <v>292</v>
      </c>
      <c r="CG32" s="72">
        <f t="shared" si="97"/>
        <v>34</v>
      </c>
      <c r="CH32" s="73">
        <f t="shared" si="98"/>
        <v>38</v>
      </c>
      <c r="CI32" s="74">
        <f t="shared" si="99"/>
        <v>69</v>
      </c>
      <c r="CJ32" s="74">
        <f t="shared" si="100"/>
        <v>72</v>
      </c>
      <c r="CK32" s="74">
        <f t="shared" si="101"/>
        <v>108</v>
      </c>
      <c r="CL32" s="74">
        <f t="shared" si="102"/>
        <v>116</v>
      </c>
      <c r="CM32" s="74">
        <f t="shared" si="103"/>
        <v>142</v>
      </c>
      <c r="CN32" s="74">
        <f t="shared" si="104"/>
        <v>168</v>
      </c>
      <c r="CO32" s="74">
        <f t="shared" si="105"/>
        <v>208</v>
      </c>
      <c r="CP32" s="74">
        <f t="shared" si="106"/>
        <v>259</v>
      </c>
      <c r="CQ32" s="74">
        <f t="shared" si="107"/>
        <v>291</v>
      </c>
      <c r="CR32" s="74">
        <f t="shared" si="108"/>
        <v>307</v>
      </c>
      <c r="CS32" s="23">
        <f t="shared" si="109"/>
        <v>1</v>
      </c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</row>
    <row r="33" spans="1:1028" x14ac:dyDescent="0.2">
      <c r="A33" s="3" t="str">
        <f t="shared" ref="A33" si="110">CONCATENATE(B33,"_",C33)</f>
        <v>aa2ar_human_5UIG</v>
      </c>
      <c r="B33" s="3" t="s">
        <v>139</v>
      </c>
      <c r="C33" s="3" t="s">
        <v>1394</v>
      </c>
      <c r="D33" s="3" t="str">
        <f>IFERROR(MID(VLOOKUP($B33,Seqs!$A:$B,2,0),E33,1),"")</f>
        <v>M</v>
      </c>
      <c r="E33" s="3">
        <v>4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3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L</v>
      </c>
      <c r="AM33" s="3">
        <v>208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Q</v>
      </c>
      <c r="AY33" s="3">
        <v>297</v>
      </c>
      <c r="AZ33" s="79" t="str">
        <f>VLOOKUP(B33,Classification!A:D,2,0)</f>
        <v>A</v>
      </c>
      <c r="BA33" s="97" t="str">
        <f>VLOOKUP(B33,Classification!A:D,4,0)</f>
        <v>Adenosine</v>
      </c>
      <c r="BB33" s="27" t="b">
        <f t="shared" ref="BB33" si="111">AND(E33&lt;G33,OR(G33&lt;I33,I33="-"),OR(I33&lt;K33,I33="-"),OR(K33&lt;M33,K33="-"),M33&lt;O33,OR(O33&lt;Q33,Q33="-"),OR(Q33&lt;S33,Q33="-"),OR(S33&lt;U33,S33="-"),U33&lt;W33,OR(W33&lt;Y33,Y33="-"),OR(Y33&lt;AA33,Y33="-"),OR(AA33&lt;AC33,AA33="-"),AC33&lt;AE33,OR(AE33&lt;AG33,AG33="-"),OR(AG33&lt;AI33,AG33="-"),OR(AI33&lt;AK33,AI33="-"),AK33&lt;AM33,AM33&lt;AO33,AO33&lt;AQ33,AQ33&lt;AS33,AS33&lt;AU33,OR(AU33&lt;AW33,AW33="-"),OR(AW33&lt;AY33,AW33="-"))</f>
        <v>1</v>
      </c>
      <c r="BC33" s="23">
        <f t="shared" ref="BC33" si="112">_xlfn.AGGREGATE(9,6,CG33:CR33)-_xlfn.AGGREGATE(9,6,BU33:CF33)+12</f>
        <v>251</v>
      </c>
      <c r="BD33" s="5" t="s">
        <v>23</v>
      </c>
      <c r="BE33" s="3" t="s">
        <v>1381</v>
      </c>
      <c r="BF33" s="50" t="s">
        <v>1384</v>
      </c>
      <c r="BG33" s="50" t="s">
        <v>1384</v>
      </c>
      <c r="BH33" s="1"/>
      <c r="BI33" s="72" t="s">
        <v>1293</v>
      </c>
      <c r="BJ33" s="58" t="s">
        <v>1293</v>
      </c>
      <c r="BK33" s="58" t="s">
        <v>1293</v>
      </c>
      <c r="BL33" s="58" t="s">
        <v>1293</v>
      </c>
      <c r="BM33" s="58" t="s">
        <v>1293</v>
      </c>
      <c r="BN33" s="58" t="s">
        <v>1293</v>
      </c>
      <c r="BO33" s="58" t="s">
        <v>1293</v>
      </c>
      <c r="BP33" s="58" t="s">
        <v>1293</v>
      </c>
      <c r="BQ33" s="58" t="s">
        <v>1293</v>
      </c>
      <c r="BR33" s="58" t="s">
        <v>1293</v>
      </c>
      <c r="BS33" s="58" t="s">
        <v>1293</v>
      </c>
      <c r="BT33" s="58" t="s">
        <v>1293</v>
      </c>
      <c r="BU33" s="72">
        <f t="shared" ref="BU33" si="113">E33</f>
        <v>4</v>
      </c>
      <c r="BV33" s="73">
        <f t="shared" ref="BV33" si="114">I33</f>
        <v>35</v>
      </c>
      <c r="BW33" s="74">
        <f t="shared" ref="BW33" si="115">M33</f>
        <v>39</v>
      </c>
      <c r="BX33" s="73">
        <f t="shared" ref="BX33" si="116">Q33</f>
        <v>70</v>
      </c>
      <c r="BY33" s="74">
        <f t="shared" ref="BY33" si="117">U33</f>
        <v>73</v>
      </c>
      <c r="BZ33" s="73">
        <f t="shared" ref="BZ33" si="118">Y33</f>
        <v>109</v>
      </c>
      <c r="CA33" s="74">
        <f t="shared" ref="CA33" si="119">AC33</f>
        <v>117</v>
      </c>
      <c r="CB33" s="73">
        <f t="shared" ref="CB33" si="120">AG33</f>
        <v>166</v>
      </c>
      <c r="CC33" s="74">
        <f t="shared" ref="CC33" si="121">AK33</f>
        <v>173</v>
      </c>
      <c r="CD33" s="73">
        <f t="shared" ref="CD33" si="122">AO33</f>
        <v>219</v>
      </c>
      <c r="CE33" s="74">
        <f t="shared" ref="CE33" si="123">AS33</f>
        <v>266</v>
      </c>
      <c r="CF33" s="73">
        <f t="shared" ref="CF33" si="124">AW33</f>
        <v>292</v>
      </c>
      <c r="CG33" s="72">
        <f t="shared" ref="CG33" si="125">G33</f>
        <v>34</v>
      </c>
      <c r="CH33" s="73">
        <f t="shared" ref="CH33" si="126">K33</f>
        <v>38</v>
      </c>
      <c r="CI33" s="74">
        <f t="shared" ref="CI33" si="127">O33</f>
        <v>69</v>
      </c>
      <c r="CJ33" s="74">
        <f t="shared" ref="CJ33" si="128">S33</f>
        <v>72</v>
      </c>
      <c r="CK33" s="74">
        <f t="shared" ref="CK33" si="129">W33</f>
        <v>108</v>
      </c>
      <c r="CL33" s="74">
        <f t="shared" ref="CL33" si="130">AA33</f>
        <v>116</v>
      </c>
      <c r="CM33" s="74">
        <f t="shared" ref="CM33" si="131">AE33</f>
        <v>142</v>
      </c>
      <c r="CN33" s="74">
        <f t="shared" ref="CN33" si="132">AI33</f>
        <v>168</v>
      </c>
      <c r="CO33" s="74">
        <f t="shared" ref="CO33" si="133">AM33</f>
        <v>208</v>
      </c>
      <c r="CP33" s="74">
        <f t="shared" ref="CP33" si="134">AQ33</f>
        <v>259</v>
      </c>
      <c r="CQ33" s="74">
        <f t="shared" ref="CQ33" si="135">AU33</f>
        <v>291</v>
      </c>
      <c r="CR33" s="74">
        <f t="shared" ref="CR33" si="136">AY33</f>
        <v>297</v>
      </c>
      <c r="CS33" s="23">
        <f t="shared" ref="CS33" si="137">M33-K33</f>
        <v>1</v>
      </c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</row>
    <row r="34" spans="1:1028" s="12" customFormat="1" x14ac:dyDescent="0.2">
      <c r="A34" s="9" t="str">
        <f t="shared" ref="A34" si="138">CONCATENATE(B34,"_",C34)</f>
        <v>aa2ar_human_5UVI</v>
      </c>
      <c r="B34" s="9" t="s">
        <v>139</v>
      </c>
      <c r="C34" s="9" t="s">
        <v>1421</v>
      </c>
      <c r="D34" s="9" t="str">
        <f>IFERROR(MID(VLOOKUP($B34,Seqs!$A:$B,2,0),E34,1),"")</f>
        <v>M</v>
      </c>
      <c r="E34" s="9">
        <v>1</v>
      </c>
      <c r="F34" s="9" t="str">
        <f>IFERROR(MID(VLOOKUP($B34,Seqs!$A:$B,2,0),G34,1),"")</f>
        <v>N</v>
      </c>
      <c r="G34" s="9">
        <v>34</v>
      </c>
      <c r="H34" s="9" t="str">
        <f>IFERROR(MID(VLOOKUP($B34,Seqs!$A:$B,2,0),I34,1),"")</f>
        <v>S</v>
      </c>
      <c r="I34" s="112">
        <v>35</v>
      </c>
      <c r="J34" s="9" t="str">
        <f>IFERROR(MID(VLOOKUP($B34,Seqs!$A:$B,2,0),K34,1),"")</f>
        <v>Q</v>
      </c>
      <c r="K34" s="112">
        <v>38</v>
      </c>
      <c r="L34" s="9" t="str">
        <f>IFERROR(MID(VLOOKUP($B34,Seqs!$A:$B,2,0),M34,1),"")</f>
        <v>N</v>
      </c>
      <c r="M34" s="9">
        <v>39</v>
      </c>
      <c r="N34" s="9" t="str">
        <f>IFERROR(MID(VLOOKUP($B34,Seqs!$A:$B,2,0),O34,1),"")</f>
        <v>G</v>
      </c>
      <c r="O34" s="9">
        <v>69</v>
      </c>
      <c r="P34" s="9" t="str">
        <f>IFERROR(MID(VLOOKUP($B34,Seqs!$A:$B,2,0),Q34,1),"")</f>
        <v>F</v>
      </c>
      <c r="Q34" s="9">
        <v>70</v>
      </c>
      <c r="R34" s="9" t="str">
        <f>IFERROR(MID(VLOOKUP($B34,Seqs!$A:$B,2,0),S34,1),"")</f>
        <v>A</v>
      </c>
      <c r="S34" s="9">
        <v>72</v>
      </c>
      <c r="T34" s="9" t="str">
        <f>IFERROR(MID(VLOOKUP($B34,Seqs!$A:$B,2,0),U34,1),"")</f>
        <v>A</v>
      </c>
      <c r="U34" s="9">
        <v>73</v>
      </c>
      <c r="V34" s="9" t="str">
        <f>IFERROR(MID(VLOOKUP($B34,Seqs!$A:$B,2,0),W34,1),"")</f>
        <v>I</v>
      </c>
      <c r="W34" s="9">
        <v>108</v>
      </c>
      <c r="X34" s="9" t="str">
        <f>IFERROR(MID(VLOOKUP($B34,Seqs!$A:$B,2,0),Y34,1),"")</f>
        <v>P</v>
      </c>
      <c r="Y34" s="9">
        <v>109</v>
      </c>
      <c r="Z34" s="9" t="str">
        <f>IFERROR(MID(VLOOKUP($B34,Seqs!$A:$B,2,0),AA34,1),"")</f>
        <v>V</v>
      </c>
      <c r="AA34" s="9">
        <v>116</v>
      </c>
      <c r="AB34" s="9" t="str">
        <f>IFERROR(MID(VLOOKUP($B34,Seqs!$A:$B,2,0),AC34,1),"")</f>
        <v>T</v>
      </c>
      <c r="AC34" s="9">
        <v>117</v>
      </c>
      <c r="AD34" s="9" t="str">
        <f>IFERROR(MID(VLOOKUP($B34,Seqs!$A:$B,2,0),AE34,1),"")</f>
        <v>G</v>
      </c>
      <c r="AE34" s="9">
        <v>142</v>
      </c>
      <c r="AF34" s="9" t="str">
        <f>IFERROR(MID(VLOOKUP($B34,Seqs!$A:$B,2,0),AG34,1),"")</f>
        <v>C</v>
      </c>
      <c r="AG34" s="9">
        <v>166</v>
      </c>
      <c r="AH34" s="9" t="str">
        <f>IFERROR(MID(VLOOKUP($B34,Seqs!$A:$B,2,0),AI34,1),"")</f>
        <v>F</v>
      </c>
      <c r="AI34" s="9">
        <v>168</v>
      </c>
      <c r="AJ34" s="9" t="str">
        <f>IFERROR(MID(VLOOKUP($B34,Seqs!$A:$B,2,0),AK34,1),"")</f>
        <v>P</v>
      </c>
      <c r="AK34" s="9">
        <v>173</v>
      </c>
      <c r="AL34" s="9" t="str">
        <f>IFERROR(MID(VLOOKUP($B34,Seqs!$A:$B,2,0),AM34,1),"")</f>
        <v>L</v>
      </c>
      <c r="AM34" s="9">
        <v>208</v>
      </c>
      <c r="AN34" s="9" t="str">
        <f>IFERROR(MID(VLOOKUP($B34,Seqs!$A:$B,2,0),AO34,1),"")</f>
        <v>E</v>
      </c>
      <c r="AO34" s="9">
        <v>219</v>
      </c>
      <c r="AP34" s="9" t="str">
        <f>IFERROR(MID(VLOOKUP($B34,Seqs!$A:$B,2,0),AQ34,1),"")</f>
        <v>C</v>
      </c>
      <c r="AQ34" s="9">
        <v>259</v>
      </c>
      <c r="AR34" s="9" t="str">
        <f>IFERROR(MID(VLOOKUP($B34,Seqs!$A:$B,2,0),AS34,1),"")</f>
        <v>P</v>
      </c>
      <c r="AS34" s="9">
        <v>266</v>
      </c>
      <c r="AT34" s="9" t="str">
        <f>IFERROR(MID(VLOOKUP($B34,Seqs!$A:$B,2,0),AU34,1),"")</f>
        <v>R</v>
      </c>
      <c r="AU34" s="9">
        <v>291</v>
      </c>
      <c r="AV34" s="9" t="str">
        <f>IFERROR(MID(VLOOKUP($B34,Seqs!$A:$B,2,0),AW34,1),"")</f>
        <v>I</v>
      </c>
      <c r="AW34" s="9">
        <v>292</v>
      </c>
      <c r="AX34" s="9" t="str">
        <f>IFERROR(MID(VLOOKUP($B34,Seqs!$A:$B,2,0),AY34,1),"")</f>
        <v>H</v>
      </c>
      <c r="AY34" s="9">
        <v>306</v>
      </c>
      <c r="AZ34" s="113" t="str">
        <f>VLOOKUP(B34,Classification!A:D,2,0)</f>
        <v>A</v>
      </c>
      <c r="BA34" s="101" t="str">
        <f>VLOOKUP(B34,Classification!A:D,4,0)</f>
        <v>Adenosine</v>
      </c>
      <c r="BB34" s="37" t="b">
        <f t="shared" ref="BB34" si="139">AND(E34&lt;G34,OR(G34&lt;I34,I34="-"),OR(I34&lt;K34,I34="-"),OR(K34&lt;M34,K34="-"),M34&lt;O34,OR(O34&lt;Q34,Q34="-"),OR(Q34&lt;S34,Q34="-"),OR(S34&lt;U34,S34="-"),U34&lt;W34,OR(W34&lt;Y34,Y34="-"),OR(Y34&lt;AA34,Y34="-"),OR(AA34&lt;AC34,AA34="-"),AC34&lt;AE34,OR(AE34&lt;AG34,AG34="-"),OR(AG34&lt;AI34,AG34="-"),OR(AI34&lt;AK34,AI34="-"),AK34&lt;AM34,AM34&lt;AO34,AO34&lt;AQ34,AQ34&lt;AS34,AS34&lt;AU34,OR(AU34&lt;AW34,AW34="-"),OR(AW34&lt;AY34,AW34="-"))</f>
        <v>1</v>
      </c>
      <c r="BC34" s="112">
        <f t="shared" ref="BC34" si="140">_xlfn.AGGREGATE(9,6,CG34:CR34)-_xlfn.AGGREGATE(9,6,BU34:CF34)+12</f>
        <v>263</v>
      </c>
      <c r="BD34" s="13" t="s">
        <v>23</v>
      </c>
      <c r="BE34" s="9" t="s">
        <v>1381</v>
      </c>
      <c r="BF34" s="52" t="s">
        <v>1</v>
      </c>
      <c r="BG34" s="52" t="s">
        <v>1</v>
      </c>
      <c r="BI34" s="114" t="s">
        <v>1293</v>
      </c>
      <c r="BJ34" s="115" t="s">
        <v>1293</v>
      </c>
      <c r="BK34" s="115" t="s">
        <v>1293</v>
      </c>
      <c r="BL34" s="115" t="s">
        <v>1293</v>
      </c>
      <c r="BM34" s="115" t="s">
        <v>1293</v>
      </c>
      <c r="BN34" s="115" t="s">
        <v>1293</v>
      </c>
      <c r="BO34" s="115" t="s">
        <v>1293</v>
      </c>
      <c r="BP34" s="115" t="s">
        <v>1293</v>
      </c>
      <c r="BQ34" s="115" t="s">
        <v>1293</v>
      </c>
      <c r="BR34" s="115" t="s">
        <v>1293</v>
      </c>
      <c r="BS34" s="115" t="s">
        <v>1293</v>
      </c>
      <c r="BT34" s="115" t="s">
        <v>1293</v>
      </c>
      <c r="BU34" s="114">
        <f t="shared" ref="BU34" si="141">E34</f>
        <v>1</v>
      </c>
      <c r="BV34" s="116">
        <f t="shared" ref="BV34" si="142">I34</f>
        <v>35</v>
      </c>
      <c r="BW34" s="117">
        <f t="shared" ref="BW34" si="143">M34</f>
        <v>39</v>
      </c>
      <c r="BX34" s="116">
        <f t="shared" ref="BX34" si="144">Q34</f>
        <v>70</v>
      </c>
      <c r="BY34" s="117">
        <f t="shared" ref="BY34" si="145">U34</f>
        <v>73</v>
      </c>
      <c r="BZ34" s="116">
        <f t="shared" ref="BZ34" si="146">Y34</f>
        <v>109</v>
      </c>
      <c r="CA34" s="117">
        <f t="shared" ref="CA34" si="147">AC34</f>
        <v>117</v>
      </c>
      <c r="CB34" s="116">
        <f t="shared" ref="CB34" si="148">AG34</f>
        <v>166</v>
      </c>
      <c r="CC34" s="117">
        <f t="shared" ref="CC34" si="149">AK34</f>
        <v>173</v>
      </c>
      <c r="CD34" s="116">
        <f t="shared" ref="CD34" si="150">AO34</f>
        <v>219</v>
      </c>
      <c r="CE34" s="117">
        <f t="shared" ref="CE34" si="151">AS34</f>
        <v>266</v>
      </c>
      <c r="CF34" s="116">
        <f t="shared" ref="CF34" si="152">AW34</f>
        <v>292</v>
      </c>
      <c r="CG34" s="114">
        <f t="shared" ref="CG34" si="153">G34</f>
        <v>34</v>
      </c>
      <c r="CH34" s="116">
        <f t="shared" ref="CH34" si="154">K34</f>
        <v>38</v>
      </c>
      <c r="CI34" s="117">
        <f t="shared" ref="CI34" si="155">O34</f>
        <v>69</v>
      </c>
      <c r="CJ34" s="117">
        <f t="shared" ref="CJ34" si="156">S34</f>
        <v>72</v>
      </c>
      <c r="CK34" s="117">
        <f t="shared" ref="CK34" si="157">W34</f>
        <v>108</v>
      </c>
      <c r="CL34" s="117">
        <f t="shared" ref="CL34" si="158">AA34</f>
        <v>116</v>
      </c>
      <c r="CM34" s="117">
        <f t="shared" ref="CM34" si="159">AE34</f>
        <v>142</v>
      </c>
      <c r="CN34" s="117">
        <f t="shared" ref="CN34" si="160">AI34</f>
        <v>168</v>
      </c>
      <c r="CO34" s="117">
        <f t="shared" ref="CO34" si="161">AM34</f>
        <v>208</v>
      </c>
      <c r="CP34" s="117">
        <f t="shared" ref="CP34" si="162">AQ34</f>
        <v>259</v>
      </c>
      <c r="CQ34" s="117">
        <f t="shared" ref="CQ34" si="163">AU34</f>
        <v>291</v>
      </c>
      <c r="CR34" s="117">
        <f t="shared" ref="CR34" si="164">AY34</f>
        <v>306</v>
      </c>
      <c r="CS34" s="112">
        <f t="shared" ref="CS34" si="165">M34-K34</f>
        <v>1</v>
      </c>
    </row>
    <row r="35" spans="1:1028" s="12" customFormat="1" x14ac:dyDescent="0.2">
      <c r="A35" s="9" t="str">
        <f t="shared" ref="A35" si="166">CONCATENATE(B35,"_",C35)</f>
        <v>aa2ar_human_5JTB</v>
      </c>
      <c r="B35" s="9" t="s">
        <v>139</v>
      </c>
      <c r="C35" s="9" t="s">
        <v>1422</v>
      </c>
      <c r="D35" s="9" t="str">
        <f>IFERROR(MID(VLOOKUP($B35,Seqs!$A:$B,2,0),E35,1),"")</f>
        <v>M</v>
      </c>
      <c r="E35" s="9">
        <v>1</v>
      </c>
      <c r="F35" s="9" t="str">
        <f>IFERROR(MID(VLOOKUP($B35,Seqs!$A:$B,2,0),G35,1),"")</f>
        <v>N</v>
      </c>
      <c r="G35" s="9">
        <v>34</v>
      </c>
      <c r="H35" s="9" t="str">
        <f>IFERROR(MID(VLOOKUP($B35,Seqs!$A:$B,2,0),I35,1),"")</f>
        <v>S</v>
      </c>
      <c r="I35" s="112">
        <v>35</v>
      </c>
      <c r="J35" s="9" t="str">
        <f>IFERROR(MID(VLOOKUP($B35,Seqs!$A:$B,2,0),K35,1),"")</f>
        <v>Q</v>
      </c>
      <c r="K35" s="112">
        <v>38</v>
      </c>
      <c r="L35" s="9" t="str">
        <f>IFERROR(MID(VLOOKUP($B35,Seqs!$A:$B,2,0),M35,1),"")</f>
        <v>N</v>
      </c>
      <c r="M35" s="9">
        <v>39</v>
      </c>
      <c r="N35" s="9" t="str">
        <f>IFERROR(MID(VLOOKUP($B35,Seqs!$A:$B,2,0),O35,1),"")</f>
        <v>G</v>
      </c>
      <c r="O35" s="9">
        <v>69</v>
      </c>
      <c r="P35" s="9" t="str">
        <f>IFERROR(MID(VLOOKUP($B35,Seqs!$A:$B,2,0),Q35,1),"")</f>
        <v>F</v>
      </c>
      <c r="Q35" s="9">
        <v>70</v>
      </c>
      <c r="R35" s="9" t="str">
        <f>IFERROR(MID(VLOOKUP($B35,Seqs!$A:$B,2,0),S35,1),"")</f>
        <v>A</v>
      </c>
      <c r="S35" s="9">
        <v>72</v>
      </c>
      <c r="T35" s="9" t="str">
        <f>IFERROR(MID(VLOOKUP($B35,Seqs!$A:$B,2,0),U35,1),"")</f>
        <v>A</v>
      </c>
      <c r="U35" s="9">
        <v>73</v>
      </c>
      <c r="V35" s="9" t="str">
        <f>IFERROR(MID(VLOOKUP($B35,Seqs!$A:$B,2,0),W35,1),"")</f>
        <v>I</v>
      </c>
      <c r="W35" s="9">
        <v>108</v>
      </c>
      <c r="X35" s="9" t="str">
        <f>IFERROR(MID(VLOOKUP($B35,Seqs!$A:$B,2,0),Y35,1),"")</f>
        <v>P</v>
      </c>
      <c r="Y35" s="9">
        <v>109</v>
      </c>
      <c r="Z35" s="9" t="str">
        <f>IFERROR(MID(VLOOKUP($B35,Seqs!$A:$B,2,0),AA35,1),"")</f>
        <v>V</v>
      </c>
      <c r="AA35" s="9">
        <v>116</v>
      </c>
      <c r="AB35" s="9" t="str">
        <f>IFERROR(MID(VLOOKUP($B35,Seqs!$A:$B,2,0),AC35,1),"")</f>
        <v>T</v>
      </c>
      <c r="AC35" s="9">
        <v>117</v>
      </c>
      <c r="AD35" s="9" t="str">
        <f>IFERROR(MID(VLOOKUP($B35,Seqs!$A:$B,2,0),AE35,1),"")</f>
        <v>G</v>
      </c>
      <c r="AE35" s="9">
        <v>142</v>
      </c>
      <c r="AF35" s="9" t="str">
        <f>IFERROR(MID(VLOOKUP($B35,Seqs!$A:$B,2,0),AG35,1),"")</f>
        <v>C</v>
      </c>
      <c r="AG35" s="9">
        <v>166</v>
      </c>
      <c r="AH35" s="9" t="str">
        <f>IFERROR(MID(VLOOKUP($B35,Seqs!$A:$B,2,0),AI35,1),"")</f>
        <v>F</v>
      </c>
      <c r="AI35" s="9">
        <v>168</v>
      </c>
      <c r="AJ35" s="9" t="str">
        <f>IFERROR(MID(VLOOKUP($B35,Seqs!$A:$B,2,0),AK35,1),"")</f>
        <v>P</v>
      </c>
      <c r="AK35" s="9">
        <v>173</v>
      </c>
      <c r="AL35" s="9" t="str">
        <f>IFERROR(MID(VLOOKUP($B35,Seqs!$A:$B,2,0),AM35,1),"")</f>
        <v>L</v>
      </c>
      <c r="AM35" s="9">
        <v>208</v>
      </c>
      <c r="AN35" s="9" t="str">
        <f>IFERROR(MID(VLOOKUP($B35,Seqs!$A:$B,2,0),AO35,1),"")</f>
        <v>E</v>
      </c>
      <c r="AO35" s="9">
        <v>219</v>
      </c>
      <c r="AP35" s="9" t="str">
        <f>IFERROR(MID(VLOOKUP($B35,Seqs!$A:$B,2,0),AQ35,1),"")</f>
        <v>C</v>
      </c>
      <c r="AQ35" s="9">
        <v>259</v>
      </c>
      <c r="AR35" s="9" t="str">
        <f>IFERROR(MID(VLOOKUP($B35,Seqs!$A:$B,2,0),AS35,1),"")</f>
        <v>P</v>
      </c>
      <c r="AS35" s="9">
        <v>266</v>
      </c>
      <c r="AT35" s="9" t="str">
        <f>IFERROR(MID(VLOOKUP($B35,Seqs!$A:$B,2,0),AU35,1),"")</f>
        <v>R</v>
      </c>
      <c r="AU35" s="9">
        <v>291</v>
      </c>
      <c r="AV35" s="9" t="str">
        <f>IFERROR(MID(VLOOKUP($B35,Seqs!$A:$B,2,0),AW35,1),"")</f>
        <v>I</v>
      </c>
      <c r="AW35" s="9">
        <v>292</v>
      </c>
      <c r="AX35" s="9" t="str">
        <f>IFERROR(MID(VLOOKUP($B35,Seqs!$A:$B,2,0),AY35,1),"")</f>
        <v>V</v>
      </c>
      <c r="AY35" s="9">
        <v>307</v>
      </c>
      <c r="AZ35" s="113" t="str">
        <f>VLOOKUP(B35,Classification!A:D,2,0)</f>
        <v>A</v>
      </c>
      <c r="BA35" s="101" t="str">
        <f>VLOOKUP(B35,Classification!A:D,4,0)</f>
        <v>Adenosine</v>
      </c>
      <c r="BB35" s="37" t="b">
        <f t="shared" ref="BB35" si="167">AND(E35&lt;G35,OR(G35&lt;I35,I35="-"),OR(I35&lt;K35,I35="-"),OR(K35&lt;M35,K35="-"),M35&lt;O35,OR(O35&lt;Q35,Q35="-"),OR(Q35&lt;S35,Q35="-"),OR(S35&lt;U35,S35="-"),U35&lt;W35,OR(W35&lt;Y35,Y35="-"),OR(Y35&lt;AA35,Y35="-"),OR(AA35&lt;AC35,AA35="-"),AC35&lt;AE35,OR(AE35&lt;AG35,AG35="-"),OR(AG35&lt;AI35,AG35="-"),OR(AI35&lt;AK35,AI35="-"),AK35&lt;AM35,AM35&lt;AO35,AO35&lt;AQ35,AQ35&lt;AS35,AS35&lt;AU35,OR(AU35&lt;AW35,AW35="-"),OR(AW35&lt;AY35,AW35="-"))</f>
        <v>1</v>
      </c>
      <c r="BC35" s="112">
        <f t="shared" ref="BC35" si="168">_xlfn.AGGREGATE(9,6,CG35:CR35)-_xlfn.AGGREGATE(9,6,BU35:CF35)+12</f>
        <v>264</v>
      </c>
      <c r="BD35" s="13" t="s">
        <v>23</v>
      </c>
      <c r="BE35" s="9" t="s">
        <v>1381</v>
      </c>
      <c r="BF35" s="52" t="s">
        <v>1</v>
      </c>
      <c r="BG35" s="52" t="s">
        <v>1</v>
      </c>
      <c r="BI35" s="114" t="s">
        <v>1293</v>
      </c>
      <c r="BJ35" s="115" t="s">
        <v>1293</v>
      </c>
      <c r="BK35" s="115" t="s">
        <v>1293</v>
      </c>
      <c r="BL35" s="115" t="s">
        <v>1293</v>
      </c>
      <c r="BM35" s="115" t="s">
        <v>1293</v>
      </c>
      <c r="BN35" s="115" t="s">
        <v>1293</v>
      </c>
      <c r="BO35" s="115" t="s">
        <v>1293</v>
      </c>
      <c r="BP35" s="115" t="s">
        <v>1293</v>
      </c>
      <c r="BQ35" s="115" t="s">
        <v>1293</v>
      </c>
      <c r="BR35" s="115" t="s">
        <v>1293</v>
      </c>
      <c r="BS35" s="115" t="s">
        <v>1293</v>
      </c>
      <c r="BT35" s="115" t="s">
        <v>1293</v>
      </c>
      <c r="BU35" s="114">
        <f t="shared" ref="BU35" si="169">E35</f>
        <v>1</v>
      </c>
      <c r="BV35" s="116">
        <f t="shared" ref="BV35" si="170">I35</f>
        <v>35</v>
      </c>
      <c r="BW35" s="117">
        <f t="shared" ref="BW35" si="171">M35</f>
        <v>39</v>
      </c>
      <c r="BX35" s="116">
        <f t="shared" ref="BX35" si="172">Q35</f>
        <v>70</v>
      </c>
      <c r="BY35" s="117">
        <f t="shared" ref="BY35" si="173">U35</f>
        <v>73</v>
      </c>
      <c r="BZ35" s="116">
        <f t="shared" ref="BZ35" si="174">Y35</f>
        <v>109</v>
      </c>
      <c r="CA35" s="117">
        <f t="shared" ref="CA35" si="175">AC35</f>
        <v>117</v>
      </c>
      <c r="CB35" s="116">
        <f t="shared" ref="CB35" si="176">AG35</f>
        <v>166</v>
      </c>
      <c r="CC35" s="117">
        <f t="shared" ref="CC35" si="177">AK35</f>
        <v>173</v>
      </c>
      <c r="CD35" s="116">
        <f t="shared" ref="CD35" si="178">AO35</f>
        <v>219</v>
      </c>
      <c r="CE35" s="117">
        <f t="shared" ref="CE35" si="179">AS35</f>
        <v>266</v>
      </c>
      <c r="CF35" s="116">
        <f t="shared" ref="CF35" si="180">AW35</f>
        <v>292</v>
      </c>
      <c r="CG35" s="114">
        <f t="shared" ref="CG35" si="181">G35</f>
        <v>34</v>
      </c>
      <c r="CH35" s="116">
        <f t="shared" ref="CH35" si="182">K35</f>
        <v>38</v>
      </c>
      <c r="CI35" s="117">
        <f t="shared" ref="CI35" si="183">O35</f>
        <v>69</v>
      </c>
      <c r="CJ35" s="117">
        <f t="shared" ref="CJ35" si="184">S35</f>
        <v>72</v>
      </c>
      <c r="CK35" s="117">
        <f t="shared" ref="CK35" si="185">W35</f>
        <v>108</v>
      </c>
      <c r="CL35" s="117">
        <f t="shared" ref="CL35" si="186">AA35</f>
        <v>116</v>
      </c>
      <c r="CM35" s="117">
        <f t="shared" ref="CM35" si="187">AE35</f>
        <v>142</v>
      </c>
      <c r="CN35" s="117">
        <f t="shared" ref="CN35" si="188">AI35</f>
        <v>168</v>
      </c>
      <c r="CO35" s="117">
        <f t="shared" ref="CO35" si="189">AM35</f>
        <v>208</v>
      </c>
      <c r="CP35" s="117">
        <f t="shared" ref="CP35" si="190">AQ35</f>
        <v>259</v>
      </c>
      <c r="CQ35" s="117">
        <f t="shared" ref="CQ35" si="191">AU35</f>
        <v>291</v>
      </c>
      <c r="CR35" s="117">
        <f t="shared" ref="CR35" si="192">AY35</f>
        <v>307</v>
      </c>
      <c r="CS35" s="112">
        <f t="shared" ref="CS35" si="193">M35-K35</f>
        <v>1</v>
      </c>
    </row>
    <row r="36" spans="1:1028" x14ac:dyDescent="0.2">
      <c r="A36" s="3" t="str">
        <f t="shared" si="0"/>
        <v>acm1_human__wt</v>
      </c>
      <c r="B36" s="3" t="s">
        <v>146</v>
      </c>
      <c r="C36" s="3" t="s">
        <v>100</v>
      </c>
      <c r="D36" s="3" t="str">
        <f>IFERROR(MID(VLOOKUP($B36,Seqs!$A:$B,2,0),E36,1),"")</f>
        <v>P</v>
      </c>
      <c r="E36" s="3">
        <v>22</v>
      </c>
      <c r="F36" s="3" t="str">
        <f>IFERROR(MID(VLOOKUP($B36,Seqs!$A:$B,2,0),G36,1),"")</f>
        <v>N</v>
      </c>
      <c r="G36" s="3">
        <v>53</v>
      </c>
      <c r="H36" s="3" t="str">
        <f>IFERROR(MID(VLOOKUP($B36,Seqs!$A:$B,2,0),I36,1),"")</f>
        <v>T</v>
      </c>
      <c r="I36" s="23">
        <v>54</v>
      </c>
      <c r="J36" s="3" t="str">
        <f>IFERROR(MID(VLOOKUP($B36,Seqs!$A:$B,2,0),K36,1),"")</f>
        <v>K</v>
      </c>
      <c r="K36" s="23">
        <v>57</v>
      </c>
      <c r="L36" s="3" t="str">
        <f>IFERROR(MID(VLOOKUP($B36,Seqs!$A:$B,2,0),M36,1),"")</f>
        <v>T</v>
      </c>
      <c r="M36" s="3">
        <v>58</v>
      </c>
      <c r="N36" s="3" t="str">
        <f>IFERROR(MID(VLOOKUP($B36,Seqs!$A:$B,2,0),O36,1),"")</f>
        <v>M</v>
      </c>
      <c r="O36" s="3">
        <v>88</v>
      </c>
      <c r="P36" s="3" t="str">
        <f>IFERROR(MID(VLOOKUP($B36,Seqs!$A:$B,2,0),Q36,1),"")</f>
        <v>H</v>
      </c>
      <c r="Q36" s="3">
        <v>90</v>
      </c>
      <c r="R36" s="3" t="str">
        <f>IFERROR(MID(VLOOKUP($B36,Seqs!$A:$B,2,0),S36,1),"")</f>
        <v>L</v>
      </c>
      <c r="S36" s="3">
        <v>93</v>
      </c>
      <c r="T36" s="3" t="str">
        <f>IFERROR(MID(VLOOKUP($B36,Seqs!$A:$B,2,0),U36,1),"")</f>
        <v>G</v>
      </c>
      <c r="U36" s="3">
        <v>94</v>
      </c>
      <c r="V36" s="3" t="str">
        <f>IFERROR(MID(VLOOKUP($B36,Seqs!$A:$B,2,0),W36,1),"")</f>
        <v>R</v>
      </c>
      <c r="W36" s="3">
        <v>129</v>
      </c>
      <c r="X36" s="3" t="str">
        <f>IFERROR(MID(VLOOKUP($B36,Seqs!$A:$B,2,0),Y36,1),"")</f>
        <v>P</v>
      </c>
      <c r="Y36" s="3">
        <v>130</v>
      </c>
      <c r="Z36" s="3" t="str">
        <f>IFERROR(MID(VLOOKUP($B36,Seqs!$A:$B,2,0),AA36,1),"")</f>
        <v>R</v>
      </c>
      <c r="AA36" s="3">
        <v>137</v>
      </c>
      <c r="AB36" s="3" t="str">
        <f>IFERROR(MID(VLOOKUP($B36,Seqs!$A:$B,2,0),AC36,1),"")</f>
        <v>T</v>
      </c>
      <c r="AC36" s="9">
        <v>138</v>
      </c>
      <c r="AD36" s="3" t="str">
        <f>IFERROR(MID(VLOOKUP($B36,Seqs!$A:$B,2,0),AE36,1),"")</f>
        <v>G</v>
      </c>
      <c r="AE36" s="3">
        <v>169</v>
      </c>
      <c r="AF36" s="3" t="str">
        <f>IFERROR(MID(VLOOKUP($B36,Seqs!$A:$B,2,0),AG36,1),"")</f>
        <v>C</v>
      </c>
      <c r="AG36" s="3">
        <v>178</v>
      </c>
      <c r="AH36" s="3" t="str">
        <f>IFERROR(MID(VLOOKUP($B36,Seqs!$A:$B,2,0),AI36,1),"")</f>
        <v>I</v>
      </c>
      <c r="AI36" s="3">
        <v>180</v>
      </c>
      <c r="AJ36" s="3" t="str">
        <f>IFERROR(MID(VLOOKUP($B36,Seqs!$A:$B,2,0),AK36,1),"")</f>
        <v>Q</v>
      </c>
      <c r="AK36" s="3">
        <v>185</v>
      </c>
      <c r="AL36" s="3" t="str">
        <f>IFERROR(MID(VLOOKUP($B36,Seqs!$A:$B,2,0),AM36,1),"")</f>
        <v>L</v>
      </c>
      <c r="AM36" s="3">
        <v>225</v>
      </c>
      <c r="AN36" s="3" t="str">
        <f>IFERROR(MID(VLOOKUP($B36,Seqs!$A:$B,2,0),AO36,1),"")</f>
        <v>T</v>
      </c>
      <c r="AO36" s="3">
        <v>354</v>
      </c>
      <c r="AP36" s="3" t="str">
        <f>IFERROR(MID(VLOOKUP($B36,Seqs!$A:$B,2,0),AQ36,1),"")</f>
        <v>C</v>
      </c>
      <c r="AQ36" s="3">
        <v>391</v>
      </c>
      <c r="AR36" s="3" t="str">
        <f>IFERROR(MID(VLOOKUP($B36,Seqs!$A:$B,2,0),AS36,1),"")</f>
        <v>P</v>
      </c>
      <c r="AS36" s="3">
        <v>396</v>
      </c>
      <c r="AT36" s="3" t="str">
        <f>IFERROR(MID(VLOOKUP($B36,Seqs!$A:$B,2,0),AU36,1),"")</f>
        <v>C</v>
      </c>
      <c r="AU36" s="3">
        <v>421</v>
      </c>
      <c r="AV36" s="3" t="str">
        <f>IFERROR(MID(VLOOKUP($B36,Seqs!$A:$B,2,0),AW36,1),"")</f>
        <v>N</v>
      </c>
      <c r="AW36" s="3">
        <v>422</v>
      </c>
      <c r="AX36" s="3" t="str">
        <f>IFERROR(MID(VLOOKUP($B36,Seqs!$A:$B,2,0),AY36,1),"")</f>
        <v>L</v>
      </c>
      <c r="AY36" s="3">
        <v>434</v>
      </c>
      <c r="AZ36" s="79" t="str">
        <f>VLOOKUP(B36,Classification!A:D,2,0)</f>
        <v>A</v>
      </c>
      <c r="BA36" s="97" t="str">
        <f>VLOOKUP(B36,Classification!A:D,4,0)</f>
        <v>Acetylcholine(muscarinic)</v>
      </c>
      <c r="BB36" s="27" t="b">
        <f t="shared" si="1"/>
        <v>1</v>
      </c>
      <c r="BC36" s="23">
        <f t="shared" si="84"/>
        <v>268</v>
      </c>
      <c r="BD36" s="57" t="s">
        <v>1379</v>
      </c>
      <c r="BE36" s="3" t="s">
        <v>1381</v>
      </c>
      <c r="BF36" s="50" t="s">
        <v>1379</v>
      </c>
      <c r="BG36" s="50" t="s">
        <v>1384</v>
      </c>
      <c r="BH36" s="1"/>
      <c r="BI36" s="72" t="s">
        <v>1293</v>
      </c>
      <c r="BJ36" s="58" t="s">
        <v>1293</v>
      </c>
      <c r="BK36" s="58" t="s">
        <v>1293</v>
      </c>
      <c r="BL36" s="58" t="s">
        <v>1293</v>
      </c>
      <c r="BM36" s="58" t="s">
        <v>1293</v>
      </c>
      <c r="BN36" s="58" t="s">
        <v>1293</v>
      </c>
      <c r="BO36" s="58" t="s">
        <v>1293</v>
      </c>
      <c r="BP36" s="58" t="s">
        <v>1293</v>
      </c>
      <c r="BQ36" s="58" t="s">
        <v>1293</v>
      </c>
      <c r="BR36" s="58" t="s">
        <v>1293</v>
      </c>
      <c r="BS36" s="58" t="s">
        <v>1293</v>
      </c>
      <c r="BT36" s="58" t="s">
        <v>1293</v>
      </c>
      <c r="BU36" s="72">
        <f t="shared" si="85"/>
        <v>22</v>
      </c>
      <c r="BV36" s="73">
        <f t="shared" si="86"/>
        <v>54</v>
      </c>
      <c r="BW36" s="74">
        <f t="shared" si="87"/>
        <v>58</v>
      </c>
      <c r="BX36" s="73">
        <f t="shared" si="88"/>
        <v>90</v>
      </c>
      <c r="BY36" s="74">
        <f t="shared" si="89"/>
        <v>94</v>
      </c>
      <c r="BZ36" s="73">
        <f t="shared" si="90"/>
        <v>130</v>
      </c>
      <c r="CA36" s="74">
        <f t="shared" si="91"/>
        <v>138</v>
      </c>
      <c r="CB36" s="73">
        <f t="shared" si="92"/>
        <v>178</v>
      </c>
      <c r="CC36" s="74">
        <f t="shared" si="93"/>
        <v>185</v>
      </c>
      <c r="CD36" s="73">
        <f t="shared" si="94"/>
        <v>354</v>
      </c>
      <c r="CE36" s="74">
        <f t="shared" si="95"/>
        <v>396</v>
      </c>
      <c r="CF36" s="73">
        <f t="shared" si="96"/>
        <v>422</v>
      </c>
      <c r="CG36" s="72">
        <f t="shared" si="97"/>
        <v>53</v>
      </c>
      <c r="CH36" s="73">
        <f t="shared" si="98"/>
        <v>57</v>
      </c>
      <c r="CI36" s="74">
        <f t="shared" si="99"/>
        <v>88</v>
      </c>
      <c r="CJ36" s="74">
        <f t="shared" si="100"/>
        <v>93</v>
      </c>
      <c r="CK36" s="74">
        <f t="shared" si="101"/>
        <v>129</v>
      </c>
      <c r="CL36" s="74">
        <f t="shared" si="102"/>
        <v>137</v>
      </c>
      <c r="CM36" s="74">
        <f t="shared" si="103"/>
        <v>169</v>
      </c>
      <c r="CN36" s="74">
        <f t="shared" si="104"/>
        <v>180</v>
      </c>
      <c r="CO36" s="74">
        <f t="shared" si="105"/>
        <v>225</v>
      </c>
      <c r="CP36" s="74">
        <f t="shared" si="106"/>
        <v>391</v>
      </c>
      <c r="CQ36" s="74">
        <f t="shared" si="107"/>
        <v>421</v>
      </c>
      <c r="CR36" s="74">
        <f t="shared" si="108"/>
        <v>434</v>
      </c>
      <c r="CS36" s="23">
        <f t="shared" si="109"/>
        <v>1</v>
      </c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</row>
    <row r="37" spans="1:1028" x14ac:dyDescent="0.2">
      <c r="A37" s="3" t="str">
        <f t="shared" si="0"/>
        <v>acm1_human_5CXV</v>
      </c>
      <c r="B37" s="3" t="s">
        <v>146</v>
      </c>
      <c r="C37" s="3" t="s">
        <v>62</v>
      </c>
      <c r="D37" s="3" t="str">
        <f>IFERROR(MID(VLOOKUP($B37,Seqs!$A:$B,2,0),E37,1),"")</f>
        <v>P</v>
      </c>
      <c r="E37" s="3">
        <v>22</v>
      </c>
      <c r="F37" s="3" t="str">
        <f>IFERROR(MID(VLOOKUP($B37,Seqs!$A:$B,2,0),G37,1),"")</f>
        <v>N</v>
      </c>
      <c r="G37" s="3">
        <v>53</v>
      </c>
      <c r="H37" s="3" t="str">
        <f>IFERROR(MID(VLOOKUP($B37,Seqs!$A:$B,2,0),I37,1),"")</f>
        <v>T</v>
      </c>
      <c r="I37" s="23">
        <v>54</v>
      </c>
      <c r="J37" s="3" t="str">
        <f>IFERROR(MID(VLOOKUP($B37,Seqs!$A:$B,2,0),K37,1),"")</f>
        <v>K</v>
      </c>
      <c r="K37" s="23">
        <v>57</v>
      </c>
      <c r="L37" s="3" t="str">
        <f>IFERROR(MID(VLOOKUP($B37,Seqs!$A:$B,2,0),M37,1),"")</f>
        <v>T</v>
      </c>
      <c r="M37" s="3">
        <v>58</v>
      </c>
      <c r="N37" s="3" t="str">
        <f>IFERROR(MID(VLOOKUP($B37,Seqs!$A:$B,2,0),O37,1),"")</f>
        <v>M</v>
      </c>
      <c r="O37" s="3">
        <v>88</v>
      </c>
      <c r="P37" s="3" t="str">
        <f>IFERROR(MID(VLOOKUP($B37,Seqs!$A:$B,2,0),Q37,1),"")</f>
        <v>H</v>
      </c>
      <c r="Q37" s="3">
        <v>90</v>
      </c>
      <c r="R37" s="3" t="str">
        <f>IFERROR(MID(VLOOKUP($B37,Seqs!$A:$B,2,0),S37,1),"")</f>
        <v>L</v>
      </c>
      <c r="S37" s="3">
        <v>93</v>
      </c>
      <c r="T37" s="3" t="str">
        <f>IFERROR(MID(VLOOKUP($B37,Seqs!$A:$B,2,0),U37,1),"")</f>
        <v>G</v>
      </c>
      <c r="U37" s="3">
        <v>94</v>
      </c>
      <c r="V37" s="3" t="str">
        <f>IFERROR(MID(VLOOKUP($B37,Seqs!$A:$B,2,0),W37,1),"")</f>
        <v>R</v>
      </c>
      <c r="W37" s="3">
        <v>129</v>
      </c>
      <c r="X37" s="3" t="str">
        <f>IFERROR(MID(VLOOKUP($B37,Seqs!$A:$B,2,0),Y37,1),"")</f>
        <v>P</v>
      </c>
      <c r="Y37" s="3">
        <v>130</v>
      </c>
      <c r="Z37" s="3" t="str">
        <f>IFERROR(MID(VLOOKUP($B37,Seqs!$A:$B,2,0),AA37,1),"")</f>
        <v>R</v>
      </c>
      <c r="AA37" s="3">
        <v>137</v>
      </c>
      <c r="AB37" s="3" t="str">
        <f>IFERROR(MID(VLOOKUP($B37,Seqs!$A:$B,2,0),AC37,1),"")</f>
        <v>T</v>
      </c>
      <c r="AC37" s="9">
        <v>138</v>
      </c>
      <c r="AD37" s="3" t="str">
        <f>IFERROR(MID(VLOOKUP($B37,Seqs!$A:$B,2,0),AE37,1),"")</f>
        <v>G</v>
      </c>
      <c r="AE37" s="3">
        <v>169</v>
      </c>
      <c r="AF37" s="3" t="str">
        <f>IFERROR(MID(VLOOKUP($B37,Seqs!$A:$B,2,0),AG37,1),"")</f>
        <v>C</v>
      </c>
      <c r="AG37" s="3">
        <v>178</v>
      </c>
      <c r="AH37" s="3" t="str">
        <f>IFERROR(MID(VLOOKUP($B37,Seqs!$A:$B,2,0),AI37,1),"")</f>
        <v>I</v>
      </c>
      <c r="AI37" s="3">
        <v>180</v>
      </c>
      <c r="AJ37" s="3" t="str">
        <f>IFERROR(MID(VLOOKUP($B37,Seqs!$A:$B,2,0),AK37,1),"")</f>
        <v>Q</v>
      </c>
      <c r="AK37" s="3">
        <v>185</v>
      </c>
      <c r="AL37" s="3" t="str">
        <f>IFERROR(MID(VLOOKUP($B37,Seqs!$A:$B,2,0),AM37,1),"")</f>
        <v>R</v>
      </c>
      <c r="AM37" s="3">
        <v>213</v>
      </c>
      <c r="AN37" s="3" t="str">
        <f>IFERROR(MID(VLOOKUP($B37,Seqs!$A:$B,2,0),AO37,1),"")</f>
        <v>L</v>
      </c>
      <c r="AO37" s="3">
        <v>357</v>
      </c>
      <c r="AP37" s="3" t="str">
        <f>IFERROR(MID(VLOOKUP($B37,Seqs!$A:$B,2,0),AQ37,1),"")</f>
        <v>C</v>
      </c>
      <c r="AQ37" s="3">
        <v>391</v>
      </c>
      <c r="AR37" s="3" t="str">
        <f>IFERROR(MID(VLOOKUP($B37,Seqs!$A:$B,2,0),AS37,1),"")</f>
        <v>P</v>
      </c>
      <c r="AS37" s="3">
        <v>396</v>
      </c>
      <c r="AT37" s="3" t="str">
        <f>IFERROR(MID(VLOOKUP($B37,Seqs!$A:$B,2,0),AU37,1),"")</f>
        <v>C</v>
      </c>
      <c r="AU37" s="3">
        <v>421</v>
      </c>
      <c r="AV37" s="3" t="str">
        <f>IFERROR(MID(VLOOKUP($B37,Seqs!$A:$B,2,0),AW37,1),"")</f>
        <v>N</v>
      </c>
      <c r="AW37" s="3">
        <v>422</v>
      </c>
      <c r="AX37" s="3" t="str">
        <f>IFERROR(MID(VLOOKUP($B37,Seqs!$A:$B,2,0),AY37,1),"")</f>
        <v>L</v>
      </c>
      <c r="AY37" s="3">
        <v>434</v>
      </c>
      <c r="AZ37" s="79" t="str">
        <f>VLOOKUP(B37,Classification!A:D,2,0)</f>
        <v>A</v>
      </c>
      <c r="BA37" s="97" t="str">
        <f>VLOOKUP(B37,Classification!A:D,4,0)</f>
        <v>Acetylcholine(muscarinic)</v>
      </c>
      <c r="BB37" s="27" t="b">
        <f t="shared" si="1"/>
        <v>1</v>
      </c>
      <c r="BC37" s="23">
        <f t="shared" si="84"/>
        <v>253</v>
      </c>
      <c r="BD37" s="16" t="s">
        <v>1383</v>
      </c>
      <c r="BE37" s="3" t="s">
        <v>1381</v>
      </c>
      <c r="BF37" s="50" t="s">
        <v>1384</v>
      </c>
      <c r="BG37" s="50" t="s">
        <v>1384</v>
      </c>
      <c r="BH37" s="1"/>
      <c r="BI37" s="72" t="s">
        <v>1293</v>
      </c>
      <c r="BJ37" s="58" t="s">
        <v>1293</v>
      </c>
      <c r="BK37" s="58" t="s">
        <v>1293</v>
      </c>
      <c r="BL37" s="58" t="s">
        <v>1293</v>
      </c>
      <c r="BM37" s="58" t="s">
        <v>1293</v>
      </c>
      <c r="BN37" s="58" t="s">
        <v>1293</v>
      </c>
      <c r="BO37" s="58" t="s">
        <v>1293</v>
      </c>
      <c r="BP37" s="58" t="s">
        <v>1293</v>
      </c>
      <c r="BQ37" s="58" t="s">
        <v>1293</v>
      </c>
      <c r="BR37" s="58" t="s">
        <v>1293</v>
      </c>
      <c r="BS37" s="58" t="s">
        <v>1293</v>
      </c>
      <c r="BT37" s="58" t="s">
        <v>1293</v>
      </c>
      <c r="BU37" s="72">
        <f t="shared" si="85"/>
        <v>22</v>
      </c>
      <c r="BV37" s="73">
        <f t="shared" si="86"/>
        <v>54</v>
      </c>
      <c r="BW37" s="74">
        <f t="shared" si="87"/>
        <v>58</v>
      </c>
      <c r="BX37" s="73">
        <f t="shared" si="88"/>
        <v>90</v>
      </c>
      <c r="BY37" s="74">
        <f t="shared" si="89"/>
        <v>94</v>
      </c>
      <c r="BZ37" s="73">
        <f t="shared" si="90"/>
        <v>130</v>
      </c>
      <c r="CA37" s="74">
        <f t="shared" si="91"/>
        <v>138</v>
      </c>
      <c r="CB37" s="73">
        <f t="shared" si="92"/>
        <v>178</v>
      </c>
      <c r="CC37" s="74">
        <f t="shared" si="93"/>
        <v>185</v>
      </c>
      <c r="CD37" s="73">
        <f t="shared" si="94"/>
        <v>357</v>
      </c>
      <c r="CE37" s="74">
        <f t="shared" si="95"/>
        <v>396</v>
      </c>
      <c r="CF37" s="73">
        <f t="shared" si="96"/>
        <v>422</v>
      </c>
      <c r="CG37" s="72">
        <f t="shared" si="97"/>
        <v>53</v>
      </c>
      <c r="CH37" s="73">
        <f t="shared" si="98"/>
        <v>57</v>
      </c>
      <c r="CI37" s="74">
        <f t="shared" si="99"/>
        <v>88</v>
      </c>
      <c r="CJ37" s="74">
        <f t="shared" si="100"/>
        <v>93</v>
      </c>
      <c r="CK37" s="74">
        <f t="shared" si="101"/>
        <v>129</v>
      </c>
      <c r="CL37" s="74">
        <f t="shared" si="102"/>
        <v>137</v>
      </c>
      <c r="CM37" s="74">
        <f t="shared" si="103"/>
        <v>169</v>
      </c>
      <c r="CN37" s="74">
        <f t="shared" si="104"/>
        <v>180</v>
      </c>
      <c r="CO37" s="74">
        <f t="shared" si="105"/>
        <v>213</v>
      </c>
      <c r="CP37" s="74">
        <f t="shared" si="106"/>
        <v>391</v>
      </c>
      <c r="CQ37" s="74">
        <f t="shared" si="107"/>
        <v>421</v>
      </c>
      <c r="CR37" s="74">
        <f t="shared" si="108"/>
        <v>434</v>
      </c>
      <c r="CS37" s="23">
        <f t="shared" si="109"/>
        <v>1</v>
      </c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</row>
    <row r="38" spans="1:1028" x14ac:dyDescent="0.2">
      <c r="A38" s="3" t="str">
        <f t="shared" si="0"/>
        <v>acm2_human__wt</v>
      </c>
      <c r="B38" s="3" t="s">
        <v>147</v>
      </c>
      <c r="C38" s="3" t="s">
        <v>100</v>
      </c>
      <c r="D38" s="3" t="str">
        <f>IFERROR(MID(VLOOKUP($B38,Seqs!$A:$B,2,0),E38,1),"")</f>
        <v>K</v>
      </c>
      <c r="E38" s="3">
        <v>19</v>
      </c>
      <c r="F38" s="3" t="str">
        <f>IFERROR(MID(VLOOKUP($B38,Seqs!$A:$B,2,0),G38,1),"")</f>
        <v>N</v>
      </c>
      <c r="G38" s="3">
        <v>51</v>
      </c>
      <c r="H38" s="3" t="str">
        <f>IFERROR(MID(VLOOKUP($B38,Seqs!$A:$B,2,0),I38,1),"")</f>
        <v>R</v>
      </c>
      <c r="I38" s="23">
        <v>52</v>
      </c>
      <c r="J38" s="3" t="str">
        <f>IFERROR(MID(VLOOKUP($B38,Seqs!$A:$B,2,0),K38,1),"")</f>
        <v>Q</v>
      </c>
      <c r="K38" s="23">
        <v>55</v>
      </c>
      <c r="L38" s="3" t="str">
        <f>IFERROR(MID(VLOOKUP($B38,Seqs!$A:$B,2,0),M38,1),"")</f>
        <v>T</v>
      </c>
      <c r="M38" s="3">
        <v>56</v>
      </c>
      <c r="N38" s="3" t="str">
        <f>IFERROR(MID(VLOOKUP($B38,Seqs!$A:$B,2,0),O38,1),"")</f>
        <v>I</v>
      </c>
      <c r="O38" s="3">
        <v>86</v>
      </c>
      <c r="P38" s="3" t="str">
        <f>IFERROR(MID(VLOOKUP($B38,Seqs!$A:$B,2,0),Q38,1),"")</f>
        <v>Y</v>
      </c>
      <c r="Q38" s="3">
        <v>88</v>
      </c>
      <c r="R38" s="3" t="str">
        <f>IFERROR(MID(VLOOKUP($B38,Seqs!$A:$B,2,0),S38,1),"")</f>
        <v>L</v>
      </c>
      <c r="S38" s="3">
        <v>91</v>
      </c>
      <c r="T38" s="3" t="str">
        <f>IFERROR(MID(VLOOKUP($B38,Seqs!$A:$B,2,0),U38,1),"")</f>
        <v>G</v>
      </c>
      <c r="U38" s="3">
        <v>92</v>
      </c>
      <c r="V38" s="3" t="str">
        <f>IFERROR(MID(VLOOKUP($B38,Seqs!$A:$B,2,0),W38,1),"")</f>
        <v>K</v>
      </c>
      <c r="W38" s="3">
        <v>127</v>
      </c>
      <c r="X38" s="3" t="str">
        <f>IFERROR(MID(VLOOKUP($B38,Seqs!$A:$B,2,0),Y38,1),"")</f>
        <v>P</v>
      </c>
      <c r="Y38" s="3">
        <v>128</v>
      </c>
      <c r="Z38" s="3" t="str">
        <f>IFERROR(MID(VLOOKUP($B38,Seqs!$A:$B,2,0),AA38,1),"")</f>
        <v>R</v>
      </c>
      <c r="AA38" s="3">
        <v>135</v>
      </c>
      <c r="AB38" s="3" t="str">
        <f>IFERROR(MID(VLOOKUP($B38,Seqs!$A:$B,2,0),AC38,1),"")</f>
        <v>T</v>
      </c>
      <c r="AC38" s="9">
        <v>136</v>
      </c>
      <c r="AD38" s="3" t="str">
        <f>IFERROR(MID(VLOOKUP($B38,Seqs!$A:$B,2,0),AE38,1),"")</f>
        <v>G</v>
      </c>
      <c r="AE38" s="3">
        <v>167</v>
      </c>
      <c r="AF38" s="3" t="str">
        <f>IFERROR(MID(VLOOKUP($B38,Seqs!$A:$B,2,0),AG38,1),"")</f>
        <v>C</v>
      </c>
      <c r="AG38" s="3">
        <v>176</v>
      </c>
      <c r="AH38" s="3" t="str">
        <f>IFERROR(MID(VLOOKUP($B38,Seqs!$A:$B,2,0),AI38,1),"")</f>
        <v>I</v>
      </c>
      <c r="AI38" s="3">
        <v>178</v>
      </c>
      <c r="AJ38" s="3" t="str">
        <f>IFERROR(MID(VLOOKUP($B38,Seqs!$A:$B,2,0),AK38,1),"")</f>
        <v>N</v>
      </c>
      <c r="AK38" s="3">
        <v>183</v>
      </c>
      <c r="AL38" s="3" t="str">
        <f>IFERROR(MID(VLOOKUP($B38,Seqs!$A:$B,2,0),AM38,1),"")</f>
        <v>E</v>
      </c>
      <c r="AM38" s="3">
        <v>223</v>
      </c>
      <c r="AN38" s="3" t="str">
        <f>IFERROR(MID(VLOOKUP($B38,Seqs!$A:$B,2,0),AO38,1),"")</f>
        <v>K</v>
      </c>
      <c r="AO38" s="3">
        <v>376</v>
      </c>
      <c r="AP38" s="3" t="str">
        <f>IFERROR(MID(VLOOKUP($B38,Seqs!$A:$B,2,0),AQ38,1),"")</f>
        <v>C</v>
      </c>
      <c r="AQ38" s="3">
        <v>413</v>
      </c>
      <c r="AR38" s="3" t="str">
        <f>IFERROR(MID(VLOOKUP($B38,Seqs!$A:$B,2,0),AS38,1),"")</f>
        <v>P</v>
      </c>
      <c r="AS38" s="3">
        <v>418</v>
      </c>
      <c r="AT38" s="3" t="str">
        <f>IFERROR(MID(VLOOKUP($B38,Seqs!$A:$B,2,0),AU38,1),"")</f>
        <v>C</v>
      </c>
      <c r="AU38" s="3">
        <v>443</v>
      </c>
      <c r="AV38" s="3" t="str">
        <f>IFERROR(MID(VLOOKUP($B38,Seqs!$A:$B,2,0),AW38,1),"")</f>
        <v>N</v>
      </c>
      <c r="AW38" s="3">
        <v>444</v>
      </c>
      <c r="AX38" s="3" t="str">
        <f>IFERROR(MID(VLOOKUP($B38,Seqs!$A:$B,2,0),AY38,1),"")</f>
        <v>M</v>
      </c>
      <c r="AY38" s="3">
        <v>456</v>
      </c>
      <c r="AZ38" s="79" t="str">
        <f>VLOOKUP(B38,Classification!A:D,2,0)</f>
        <v>A</v>
      </c>
      <c r="BA38" s="97" t="str">
        <f>VLOOKUP(B38,Classification!A:D,4,0)</f>
        <v>Acetylcholine(muscarinic)</v>
      </c>
      <c r="BB38" s="27" t="b">
        <f t="shared" si="1"/>
        <v>1</v>
      </c>
      <c r="BC38" s="23">
        <f t="shared" si="84"/>
        <v>269</v>
      </c>
      <c r="BD38" s="57" t="s">
        <v>1379</v>
      </c>
      <c r="BE38" s="3" t="s">
        <v>1381</v>
      </c>
      <c r="BF38" s="50" t="s">
        <v>1379</v>
      </c>
      <c r="BG38" s="50" t="s">
        <v>1384</v>
      </c>
      <c r="BH38" s="1"/>
      <c r="BI38" s="72" t="s">
        <v>1293</v>
      </c>
      <c r="BJ38" s="58" t="s">
        <v>1293</v>
      </c>
      <c r="BK38" s="58" t="s">
        <v>1293</v>
      </c>
      <c r="BL38" s="58" t="s">
        <v>1293</v>
      </c>
      <c r="BM38" s="58" t="s">
        <v>1293</v>
      </c>
      <c r="BN38" s="58" t="s">
        <v>1293</v>
      </c>
      <c r="BO38" s="58" t="s">
        <v>1293</v>
      </c>
      <c r="BP38" s="58" t="s">
        <v>1293</v>
      </c>
      <c r="BQ38" s="58" t="s">
        <v>1293</v>
      </c>
      <c r="BR38" s="58" t="s">
        <v>1293</v>
      </c>
      <c r="BS38" s="58" t="s">
        <v>1293</v>
      </c>
      <c r="BT38" s="58" t="s">
        <v>1293</v>
      </c>
      <c r="BU38" s="72">
        <f t="shared" si="85"/>
        <v>19</v>
      </c>
      <c r="BV38" s="73">
        <f t="shared" si="86"/>
        <v>52</v>
      </c>
      <c r="BW38" s="74">
        <f t="shared" si="87"/>
        <v>56</v>
      </c>
      <c r="BX38" s="73">
        <f t="shared" si="88"/>
        <v>88</v>
      </c>
      <c r="BY38" s="74">
        <f t="shared" si="89"/>
        <v>92</v>
      </c>
      <c r="BZ38" s="73">
        <f t="shared" si="90"/>
        <v>128</v>
      </c>
      <c r="CA38" s="74">
        <f t="shared" si="91"/>
        <v>136</v>
      </c>
      <c r="CB38" s="73">
        <f t="shared" si="92"/>
        <v>176</v>
      </c>
      <c r="CC38" s="74">
        <f t="shared" si="93"/>
        <v>183</v>
      </c>
      <c r="CD38" s="73">
        <f t="shared" si="94"/>
        <v>376</v>
      </c>
      <c r="CE38" s="74">
        <f t="shared" si="95"/>
        <v>418</v>
      </c>
      <c r="CF38" s="73">
        <f t="shared" si="96"/>
        <v>444</v>
      </c>
      <c r="CG38" s="72">
        <f t="shared" si="97"/>
        <v>51</v>
      </c>
      <c r="CH38" s="73">
        <f t="shared" si="98"/>
        <v>55</v>
      </c>
      <c r="CI38" s="74">
        <f t="shared" si="99"/>
        <v>86</v>
      </c>
      <c r="CJ38" s="74">
        <f t="shared" si="100"/>
        <v>91</v>
      </c>
      <c r="CK38" s="74">
        <f t="shared" si="101"/>
        <v>127</v>
      </c>
      <c r="CL38" s="74">
        <f t="shared" si="102"/>
        <v>135</v>
      </c>
      <c r="CM38" s="74">
        <f t="shared" si="103"/>
        <v>167</v>
      </c>
      <c r="CN38" s="74">
        <f t="shared" si="104"/>
        <v>178</v>
      </c>
      <c r="CO38" s="74">
        <f t="shared" si="105"/>
        <v>223</v>
      </c>
      <c r="CP38" s="74">
        <f t="shared" si="106"/>
        <v>413</v>
      </c>
      <c r="CQ38" s="74">
        <f t="shared" si="107"/>
        <v>443</v>
      </c>
      <c r="CR38" s="74">
        <f t="shared" si="108"/>
        <v>456</v>
      </c>
      <c r="CS38" s="23">
        <f t="shared" si="109"/>
        <v>1</v>
      </c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</row>
    <row r="39" spans="1:1028" x14ac:dyDescent="0.2">
      <c r="A39" s="3" t="str">
        <f t="shared" ref="A39:A70" si="194">CONCATENATE(B39,"_",C39)</f>
        <v>acm2_human_3UON</v>
      </c>
      <c r="B39" s="3" t="s">
        <v>147</v>
      </c>
      <c r="C39" s="3" t="s">
        <v>79</v>
      </c>
      <c r="D39" s="3" t="str">
        <f>IFERROR(MID(VLOOKUP($B39,Seqs!$A:$B,2,0),E39,1),"")</f>
        <v>V</v>
      </c>
      <c r="E39" s="3">
        <v>23</v>
      </c>
      <c r="F39" s="3" t="str">
        <f>IFERROR(MID(VLOOKUP($B39,Seqs!$A:$B,2,0),G39,1),"")</f>
        <v>N</v>
      </c>
      <c r="G39" s="3">
        <v>51</v>
      </c>
      <c r="H39" s="3" t="str">
        <f>IFERROR(MID(VLOOKUP($B39,Seqs!$A:$B,2,0),I39,1),"")</f>
        <v>R</v>
      </c>
      <c r="I39" s="23">
        <v>52</v>
      </c>
      <c r="J39" s="3" t="str">
        <f>IFERROR(MID(VLOOKUP($B39,Seqs!$A:$B,2,0),K39,1),"")</f>
        <v>Q</v>
      </c>
      <c r="K39" s="23">
        <v>55</v>
      </c>
      <c r="L39" s="3" t="str">
        <f>IFERROR(MID(VLOOKUP($B39,Seqs!$A:$B,2,0),M39,1),"")</f>
        <v>T</v>
      </c>
      <c r="M39" s="3">
        <v>56</v>
      </c>
      <c r="N39" s="3" t="str">
        <f>IFERROR(MID(VLOOKUP($B39,Seqs!$A:$B,2,0),O39,1),"")</f>
        <v>I</v>
      </c>
      <c r="O39" s="3">
        <v>86</v>
      </c>
      <c r="P39" s="3" t="str">
        <f>IFERROR(MID(VLOOKUP($B39,Seqs!$A:$B,2,0),Q39,1),"")</f>
        <v>Y</v>
      </c>
      <c r="Q39" s="3">
        <v>88</v>
      </c>
      <c r="R39" s="3" t="str">
        <f>IFERROR(MID(VLOOKUP($B39,Seqs!$A:$B,2,0),S39,1),"")</f>
        <v>L</v>
      </c>
      <c r="S39" s="3">
        <v>91</v>
      </c>
      <c r="T39" s="3" t="str">
        <f>IFERROR(MID(VLOOKUP($B39,Seqs!$A:$B,2,0),U39,1),"")</f>
        <v>G</v>
      </c>
      <c r="U39" s="3">
        <v>92</v>
      </c>
      <c r="V39" s="3" t="str">
        <f>IFERROR(MID(VLOOKUP($B39,Seqs!$A:$B,2,0),W39,1),"")</f>
        <v>K</v>
      </c>
      <c r="W39" s="3">
        <v>127</v>
      </c>
      <c r="X39" s="3" t="str">
        <f>IFERROR(MID(VLOOKUP($B39,Seqs!$A:$B,2,0),Y39,1),"")</f>
        <v>P</v>
      </c>
      <c r="Y39" s="3">
        <v>128</v>
      </c>
      <c r="Z39" s="3" t="str">
        <f>IFERROR(MID(VLOOKUP($B39,Seqs!$A:$B,2,0),AA39,1),"")</f>
        <v>R</v>
      </c>
      <c r="AA39" s="3">
        <v>135</v>
      </c>
      <c r="AB39" s="3" t="str">
        <f>IFERROR(MID(VLOOKUP($B39,Seqs!$A:$B,2,0),AC39,1),"")</f>
        <v>T</v>
      </c>
      <c r="AC39" s="9">
        <v>136</v>
      </c>
      <c r="AD39" s="3" t="str">
        <f>IFERROR(MID(VLOOKUP($B39,Seqs!$A:$B,2,0),AE39,1),"")</f>
        <v>G</v>
      </c>
      <c r="AE39" s="3">
        <v>167</v>
      </c>
      <c r="AF39" s="3" t="str">
        <f>IFERROR(MID(VLOOKUP($B39,Seqs!$A:$B,2,0),AG39,1),"")</f>
        <v>C</v>
      </c>
      <c r="AG39" s="3">
        <v>176</v>
      </c>
      <c r="AH39" s="3" t="str">
        <f>IFERROR(MID(VLOOKUP($B39,Seqs!$A:$B,2,0),AI39,1),"")</f>
        <v>I</v>
      </c>
      <c r="AI39" s="3">
        <v>178</v>
      </c>
      <c r="AJ39" s="3" t="str">
        <f>IFERROR(MID(VLOOKUP($B39,Seqs!$A:$B,2,0),AK39,1),"")</f>
        <v>N</v>
      </c>
      <c r="AK39" s="3">
        <v>183</v>
      </c>
      <c r="AL39" s="3" t="str">
        <f>IFERROR(MID(VLOOKUP($B39,Seqs!$A:$B,2,0),AM39,1),"")</f>
        <v>S</v>
      </c>
      <c r="AM39" s="3">
        <v>213</v>
      </c>
      <c r="AN39" s="3" t="str">
        <f>IFERROR(MID(VLOOKUP($B39,Seqs!$A:$B,2,0),AO39,1),"")</f>
        <v>K</v>
      </c>
      <c r="AO39" s="3">
        <v>384</v>
      </c>
      <c r="AP39" s="3" t="str">
        <f>IFERROR(MID(VLOOKUP($B39,Seqs!$A:$B,2,0),AQ39,1),"")</f>
        <v>C</v>
      </c>
      <c r="AQ39" s="3">
        <v>413</v>
      </c>
      <c r="AR39" s="3" t="str">
        <f>IFERROR(MID(VLOOKUP($B39,Seqs!$A:$B,2,0),AS39,1),"")</f>
        <v>P</v>
      </c>
      <c r="AS39" s="3">
        <v>418</v>
      </c>
      <c r="AT39" s="3" t="str">
        <f>IFERROR(MID(VLOOKUP($B39,Seqs!$A:$B,2,0),AU39,1),"")</f>
        <v>C</v>
      </c>
      <c r="AU39" s="3">
        <v>443</v>
      </c>
      <c r="AV39" s="3" t="str">
        <f>IFERROR(MID(VLOOKUP($B39,Seqs!$A:$B,2,0),AW39,1),"")</f>
        <v>N</v>
      </c>
      <c r="AW39" s="3">
        <v>444</v>
      </c>
      <c r="AX39" s="3" t="str">
        <f>IFERROR(MID(VLOOKUP($B39,Seqs!$A:$B,2,0),AY39,1),"")</f>
        <v>M</v>
      </c>
      <c r="AY39" s="3">
        <v>456</v>
      </c>
      <c r="AZ39" s="79" t="str">
        <f>VLOOKUP(B39,Classification!A:D,2,0)</f>
        <v>A</v>
      </c>
      <c r="BA39" s="97" t="str">
        <f>VLOOKUP(B39,Classification!A:D,4,0)</f>
        <v>Acetylcholine(muscarinic)</v>
      </c>
      <c r="BB39" s="27" t="b">
        <f t="shared" ref="BB39:BB70" si="195">AND(E39&lt;G39,OR(G39&lt;I39,I39="-"),OR(I39&lt;K39,I39="-"),OR(K39&lt;M39,K39="-"),M39&lt;O39,OR(O39&lt;Q39,Q39="-"),OR(Q39&lt;S39,Q39="-"),OR(S39&lt;U39,S39="-"),U39&lt;W39,OR(W39&lt;Y39,Y39="-"),OR(Y39&lt;AA39,Y39="-"),OR(AA39&lt;AC39,AA39="-"),AC39&lt;AE39,OR(AE39&lt;AG39,AG39="-"),OR(AG39&lt;AI39,AG39="-"),OR(AI39&lt;AK39,AI39="-"),AK39&lt;AM39,AM39&lt;AO39,AO39&lt;AQ39,AQ39&lt;AS39,AS39&lt;AU39,OR(AU39&lt;AW39,AW39="-"),OR(AW39&lt;AY39,AW39="-"))</f>
        <v>1</v>
      </c>
      <c r="BC39" s="23">
        <f t="shared" si="84"/>
        <v>247</v>
      </c>
      <c r="BD39" s="16" t="s">
        <v>1383</v>
      </c>
      <c r="BE39" s="3" t="s">
        <v>1381</v>
      </c>
      <c r="BF39" s="50" t="s">
        <v>1384</v>
      </c>
      <c r="BG39" s="50" t="s">
        <v>1384</v>
      </c>
      <c r="BH39" s="1"/>
      <c r="BI39" s="72" t="s">
        <v>1293</v>
      </c>
      <c r="BJ39" s="58" t="s">
        <v>1293</v>
      </c>
      <c r="BK39" s="58" t="s">
        <v>1293</v>
      </c>
      <c r="BL39" s="58" t="s">
        <v>1293</v>
      </c>
      <c r="BM39" s="58" t="s">
        <v>1293</v>
      </c>
      <c r="BN39" s="58" t="s">
        <v>1293</v>
      </c>
      <c r="BO39" s="58" t="s">
        <v>1293</v>
      </c>
      <c r="BP39" s="58" t="s">
        <v>1293</v>
      </c>
      <c r="BQ39" s="58" t="s">
        <v>1293</v>
      </c>
      <c r="BR39" s="58" t="s">
        <v>1293</v>
      </c>
      <c r="BS39" s="58" t="s">
        <v>1293</v>
      </c>
      <c r="BT39" s="58" t="s">
        <v>1293</v>
      </c>
      <c r="BU39" s="72">
        <f t="shared" si="85"/>
        <v>23</v>
      </c>
      <c r="BV39" s="73">
        <f t="shared" si="86"/>
        <v>52</v>
      </c>
      <c r="BW39" s="74">
        <f t="shared" si="87"/>
        <v>56</v>
      </c>
      <c r="BX39" s="73">
        <f t="shared" si="88"/>
        <v>88</v>
      </c>
      <c r="BY39" s="74">
        <f t="shared" si="89"/>
        <v>92</v>
      </c>
      <c r="BZ39" s="73">
        <f t="shared" si="90"/>
        <v>128</v>
      </c>
      <c r="CA39" s="74">
        <f t="shared" si="91"/>
        <v>136</v>
      </c>
      <c r="CB39" s="73">
        <f t="shared" si="92"/>
        <v>176</v>
      </c>
      <c r="CC39" s="74">
        <f t="shared" si="93"/>
        <v>183</v>
      </c>
      <c r="CD39" s="73">
        <f t="shared" si="94"/>
        <v>384</v>
      </c>
      <c r="CE39" s="74">
        <f t="shared" si="95"/>
        <v>418</v>
      </c>
      <c r="CF39" s="73">
        <f t="shared" si="96"/>
        <v>444</v>
      </c>
      <c r="CG39" s="72">
        <f t="shared" si="97"/>
        <v>51</v>
      </c>
      <c r="CH39" s="73">
        <f t="shared" si="98"/>
        <v>55</v>
      </c>
      <c r="CI39" s="74">
        <f t="shared" si="99"/>
        <v>86</v>
      </c>
      <c r="CJ39" s="74">
        <f t="shared" si="100"/>
        <v>91</v>
      </c>
      <c r="CK39" s="74">
        <f t="shared" si="101"/>
        <v>127</v>
      </c>
      <c r="CL39" s="74">
        <f t="shared" si="102"/>
        <v>135</v>
      </c>
      <c r="CM39" s="74">
        <f t="shared" si="103"/>
        <v>167</v>
      </c>
      <c r="CN39" s="74">
        <f t="shared" si="104"/>
        <v>178</v>
      </c>
      <c r="CO39" s="74">
        <f t="shared" si="105"/>
        <v>213</v>
      </c>
      <c r="CP39" s="74">
        <f t="shared" si="106"/>
        <v>413</v>
      </c>
      <c r="CQ39" s="74">
        <f t="shared" si="107"/>
        <v>443</v>
      </c>
      <c r="CR39" s="74">
        <f t="shared" si="108"/>
        <v>456</v>
      </c>
      <c r="CS39" s="23">
        <f t="shared" si="109"/>
        <v>1</v>
      </c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</row>
    <row r="40" spans="1:1028" x14ac:dyDescent="0.2">
      <c r="A40" s="3" t="str">
        <f t="shared" si="194"/>
        <v>acm2_human_4MQS</v>
      </c>
      <c r="B40" s="3" t="s">
        <v>147</v>
      </c>
      <c r="C40" s="3" t="s">
        <v>68</v>
      </c>
      <c r="D40" s="3" t="str">
        <f>IFERROR(MID(VLOOKUP($B40,Seqs!$A:$B,2,0),E40,1),"")</f>
        <v>K</v>
      </c>
      <c r="E40" s="3">
        <v>19</v>
      </c>
      <c r="F40" s="3" t="str">
        <f>IFERROR(MID(VLOOKUP($B40,Seqs!$A:$B,2,0),G40,1),"")</f>
        <v>N</v>
      </c>
      <c r="G40" s="3">
        <v>51</v>
      </c>
      <c r="H40" s="3" t="str">
        <f>IFERROR(MID(VLOOKUP($B40,Seqs!$A:$B,2,0),I40,1),"")</f>
        <v>R</v>
      </c>
      <c r="I40" s="23">
        <v>52</v>
      </c>
      <c r="J40" s="3" t="str">
        <f>IFERROR(MID(VLOOKUP($B40,Seqs!$A:$B,2,0),K40,1),"")</f>
        <v>Q</v>
      </c>
      <c r="K40" s="23">
        <v>55</v>
      </c>
      <c r="L40" s="3" t="str">
        <f>IFERROR(MID(VLOOKUP($B40,Seqs!$A:$B,2,0),M40,1),"")</f>
        <v>T</v>
      </c>
      <c r="M40" s="3">
        <v>56</v>
      </c>
      <c r="N40" s="3" t="str">
        <f>IFERROR(MID(VLOOKUP($B40,Seqs!$A:$B,2,0),O40,1),"")</f>
        <v>I</v>
      </c>
      <c r="O40" s="3">
        <v>86</v>
      </c>
      <c r="P40" s="3" t="str">
        <f>IFERROR(MID(VLOOKUP($B40,Seqs!$A:$B,2,0),Q40,1),"")</f>
        <v>Y</v>
      </c>
      <c r="Q40" s="3">
        <v>88</v>
      </c>
      <c r="R40" s="3" t="str">
        <f>IFERROR(MID(VLOOKUP($B40,Seqs!$A:$B,2,0),S40,1),"")</f>
        <v>L</v>
      </c>
      <c r="S40" s="3">
        <v>91</v>
      </c>
      <c r="T40" s="3" t="str">
        <f>IFERROR(MID(VLOOKUP($B40,Seqs!$A:$B,2,0),U40,1),"")</f>
        <v>G</v>
      </c>
      <c r="U40" s="3">
        <v>92</v>
      </c>
      <c r="V40" s="3" t="str">
        <f>IFERROR(MID(VLOOKUP($B40,Seqs!$A:$B,2,0),W40,1),"")</f>
        <v>K</v>
      </c>
      <c r="W40" s="3">
        <v>127</v>
      </c>
      <c r="X40" s="3" t="str">
        <f>IFERROR(MID(VLOOKUP($B40,Seqs!$A:$B,2,0),Y40,1),"")</f>
        <v>P</v>
      </c>
      <c r="Y40" s="3">
        <v>128</v>
      </c>
      <c r="Z40" s="3" t="str">
        <f>IFERROR(MID(VLOOKUP($B40,Seqs!$A:$B,2,0),AA40,1),"")</f>
        <v>R</v>
      </c>
      <c r="AA40" s="3">
        <v>135</v>
      </c>
      <c r="AB40" s="3" t="str">
        <f>IFERROR(MID(VLOOKUP($B40,Seqs!$A:$B,2,0),AC40,1),"")</f>
        <v>T</v>
      </c>
      <c r="AC40" s="9">
        <v>136</v>
      </c>
      <c r="AD40" s="3" t="str">
        <f>IFERROR(MID(VLOOKUP($B40,Seqs!$A:$B,2,0),AE40,1),"")</f>
        <v>G</v>
      </c>
      <c r="AE40" s="3">
        <v>167</v>
      </c>
      <c r="AF40" s="3" t="str">
        <f>IFERROR(MID(VLOOKUP($B40,Seqs!$A:$B,2,0),AG40,1),"")</f>
        <v>C</v>
      </c>
      <c r="AG40" s="3">
        <v>176</v>
      </c>
      <c r="AH40" s="3" t="str">
        <f>IFERROR(MID(VLOOKUP($B40,Seqs!$A:$B,2,0),AI40,1),"")</f>
        <v>I</v>
      </c>
      <c r="AI40" s="3">
        <v>178</v>
      </c>
      <c r="AJ40" s="3" t="str">
        <f>IFERROR(MID(VLOOKUP($B40,Seqs!$A:$B,2,0),AK40,1),"")</f>
        <v>N</v>
      </c>
      <c r="AK40" s="3">
        <v>183</v>
      </c>
      <c r="AL40" s="3" t="str">
        <f>IFERROR(MID(VLOOKUP($B40,Seqs!$A:$B,2,0),AM40,1),"")</f>
        <v>K</v>
      </c>
      <c r="AM40" s="3">
        <v>214</v>
      </c>
      <c r="AN40" s="3" t="str">
        <f>IFERROR(MID(VLOOKUP($B40,Seqs!$A:$B,2,0),AO40,1),"")</f>
        <v>S</v>
      </c>
      <c r="AO40" s="3">
        <v>380</v>
      </c>
      <c r="AP40" s="3" t="str">
        <f>IFERROR(MID(VLOOKUP($B40,Seqs!$A:$B,2,0),AQ40,1),"")</f>
        <v>C</v>
      </c>
      <c r="AQ40" s="3">
        <v>413</v>
      </c>
      <c r="AR40" s="3" t="str">
        <f>IFERROR(MID(VLOOKUP($B40,Seqs!$A:$B,2,0),AS40,1),"")</f>
        <v>P</v>
      </c>
      <c r="AS40" s="3">
        <v>418</v>
      </c>
      <c r="AT40" s="3" t="str">
        <f>IFERROR(MID(VLOOKUP($B40,Seqs!$A:$B,2,0),AU40,1),"")</f>
        <v>C</v>
      </c>
      <c r="AU40" s="3">
        <v>443</v>
      </c>
      <c r="AV40" s="3" t="str">
        <f>IFERROR(MID(VLOOKUP($B40,Seqs!$A:$B,2,0),AW40,1),"")</f>
        <v>N</v>
      </c>
      <c r="AW40" s="3">
        <v>444</v>
      </c>
      <c r="AX40" s="3" t="str">
        <f>IFERROR(MID(VLOOKUP($B40,Seqs!$A:$B,2,0),AY40,1),"")</f>
        <v>M</v>
      </c>
      <c r="AY40" s="3">
        <v>456</v>
      </c>
      <c r="AZ40" s="79" t="str">
        <f>VLOOKUP(B40,Classification!A:D,2,0)</f>
        <v>A</v>
      </c>
      <c r="BA40" s="97" t="str">
        <f>VLOOKUP(B40,Classification!A:D,4,0)</f>
        <v>Acetylcholine(muscarinic)</v>
      </c>
      <c r="BB40" s="27" t="b">
        <f t="shared" si="195"/>
        <v>1</v>
      </c>
      <c r="BC40" s="23">
        <f t="shared" si="84"/>
        <v>256</v>
      </c>
      <c r="BD40" s="4" t="s">
        <v>23</v>
      </c>
      <c r="BE40" s="3" t="s">
        <v>1297</v>
      </c>
      <c r="BF40" s="50" t="s">
        <v>1384</v>
      </c>
      <c r="BG40" s="50" t="s">
        <v>1384</v>
      </c>
      <c r="BH40" s="1"/>
      <c r="BI40" s="72" t="s">
        <v>1293</v>
      </c>
      <c r="BJ40" s="58" t="s">
        <v>1293</v>
      </c>
      <c r="BK40" s="58" t="s">
        <v>1293</v>
      </c>
      <c r="BL40" s="58" t="s">
        <v>1293</v>
      </c>
      <c r="BM40" s="58" t="s">
        <v>1293</v>
      </c>
      <c r="BN40" s="58" t="s">
        <v>1293</v>
      </c>
      <c r="BO40" s="58" t="s">
        <v>1293</v>
      </c>
      <c r="BP40" s="58" t="s">
        <v>1293</v>
      </c>
      <c r="BQ40" s="58" t="s">
        <v>1293</v>
      </c>
      <c r="BR40" s="58" t="s">
        <v>1293</v>
      </c>
      <c r="BS40" s="58" t="s">
        <v>1293</v>
      </c>
      <c r="BT40" s="58" t="s">
        <v>1293</v>
      </c>
      <c r="BU40" s="72">
        <f t="shared" si="85"/>
        <v>19</v>
      </c>
      <c r="BV40" s="73">
        <f t="shared" si="86"/>
        <v>52</v>
      </c>
      <c r="BW40" s="74">
        <f t="shared" si="87"/>
        <v>56</v>
      </c>
      <c r="BX40" s="73">
        <f t="shared" si="88"/>
        <v>88</v>
      </c>
      <c r="BY40" s="74">
        <f t="shared" si="89"/>
        <v>92</v>
      </c>
      <c r="BZ40" s="73">
        <f t="shared" si="90"/>
        <v>128</v>
      </c>
      <c r="CA40" s="74">
        <f t="shared" si="91"/>
        <v>136</v>
      </c>
      <c r="CB40" s="73">
        <f t="shared" si="92"/>
        <v>176</v>
      </c>
      <c r="CC40" s="74">
        <f t="shared" si="93"/>
        <v>183</v>
      </c>
      <c r="CD40" s="73">
        <f t="shared" si="94"/>
        <v>380</v>
      </c>
      <c r="CE40" s="74">
        <f t="shared" si="95"/>
        <v>418</v>
      </c>
      <c r="CF40" s="73">
        <f t="shared" si="96"/>
        <v>444</v>
      </c>
      <c r="CG40" s="72">
        <f t="shared" si="97"/>
        <v>51</v>
      </c>
      <c r="CH40" s="73">
        <f t="shared" si="98"/>
        <v>55</v>
      </c>
      <c r="CI40" s="74">
        <f t="shared" si="99"/>
        <v>86</v>
      </c>
      <c r="CJ40" s="74">
        <f t="shared" si="100"/>
        <v>91</v>
      </c>
      <c r="CK40" s="74">
        <f t="shared" si="101"/>
        <v>127</v>
      </c>
      <c r="CL40" s="74">
        <f t="shared" si="102"/>
        <v>135</v>
      </c>
      <c r="CM40" s="74">
        <f t="shared" si="103"/>
        <v>167</v>
      </c>
      <c r="CN40" s="74">
        <f t="shared" si="104"/>
        <v>178</v>
      </c>
      <c r="CO40" s="74">
        <f t="shared" si="105"/>
        <v>214</v>
      </c>
      <c r="CP40" s="74">
        <f t="shared" si="106"/>
        <v>413</v>
      </c>
      <c r="CQ40" s="74">
        <f t="shared" si="107"/>
        <v>443</v>
      </c>
      <c r="CR40" s="74">
        <f t="shared" si="108"/>
        <v>456</v>
      </c>
      <c r="CS40" s="23">
        <f t="shared" si="109"/>
        <v>1</v>
      </c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</row>
    <row r="41" spans="1:1028" x14ac:dyDescent="0.2">
      <c r="A41" s="3" t="str">
        <f t="shared" si="194"/>
        <v>acm2_human_4MQT</v>
      </c>
      <c r="B41" s="3" t="s">
        <v>147</v>
      </c>
      <c r="C41" s="3" t="s">
        <v>1047</v>
      </c>
      <c r="D41" s="3" t="str">
        <f>IFERROR(MID(VLOOKUP($B41,Seqs!$A:$B,2,0),E41,1),"")</f>
        <v>K</v>
      </c>
      <c r="E41" s="3">
        <v>19</v>
      </c>
      <c r="F41" s="3" t="str">
        <f>IFERROR(MID(VLOOKUP($B41,Seqs!$A:$B,2,0),G41,1),"")</f>
        <v>N</v>
      </c>
      <c r="G41" s="3">
        <v>51</v>
      </c>
      <c r="H41" s="3" t="str">
        <f>IFERROR(MID(VLOOKUP($B41,Seqs!$A:$B,2,0),I41,1),"")</f>
        <v>R</v>
      </c>
      <c r="I41" s="23">
        <v>52</v>
      </c>
      <c r="J41" s="3" t="str">
        <f>IFERROR(MID(VLOOKUP($B41,Seqs!$A:$B,2,0),K41,1),"")</f>
        <v>Q</v>
      </c>
      <c r="K41" s="23">
        <v>55</v>
      </c>
      <c r="L41" s="3" t="str">
        <f>IFERROR(MID(VLOOKUP($B41,Seqs!$A:$B,2,0),M41,1),"")</f>
        <v>T</v>
      </c>
      <c r="M41" s="3">
        <v>56</v>
      </c>
      <c r="N41" s="3" t="str">
        <f>IFERROR(MID(VLOOKUP($B41,Seqs!$A:$B,2,0),O41,1),"")</f>
        <v>I</v>
      </c>
      <c r="O41" s="3">
        <v>86</v>
      </c>
      <c r="P41" s="3" t="str">
        <f>IFERROR(MID(VLOOKUP($B41,Seqs!$A:$B,2,0),Q41,1),"")</f>
        <v>Y</v>
      </c>
      <c r="Q41" s="3">
        <v>88</v>
      </c>
      <c r="R41" s="3" t="str">
        <f>IFERROR(MID(VLOOKUP($B41,Seqs!$A:$B,2,0),S41,1),"")</f>
        <v>L</v>
      </c>
      <c r="S41" s="3">
        <v>91</v>
      </c>
      <c r="T41" s="3" t="str">
        <f>IFERROR(MID(VLOOKUP($B41,Seqs!$A:$B,2,0),U41,1),"")</f>
        <v>G</v>
      </c>
      <c r="U41" s="3">
        <v>92</v>
      </c>
      <c r="V41" s="3" t="str">
        <f>IFERROR(MID(VLOOKUP($B41,Seqs!$A:$B,2,0),W41,1),"")</f>
        <v>K</v>
      </c>
      <c r="W41" s="3">
        <v>127</v>
      </c>
      <c r="X41" s="3" t="str">
        <f>IFERROR(MID(VLOOKUP($B41,Seqs!$A:$B,2,0),Y41,1),"")</f>
        <v>P</v>
      </c>
      <c r="Y41" s="3">
        <v>128</v>
      </c>
      <c r="Z41" s="3" t="str">
        <f>IFERROR(MID(VLOOKUP($B41,Seqs!$A:$B,2,0),AA41,1),"")</f>
        <v>R</v>
      </c>
      <c r="AA41" s="3">
        <v>135</v>
      </c>
      <c r="AB41" s="3" t="str">
        <f>IFERROR(MID(VLOOKUP($B41,Seqs!$A:$B,2,0),AC41,1),"")</f>
        <v>T</v>
      </c>
      <c r="AC41" s="9">
        <v>136</v>
      </c>
      <c r="AD41" s="3" t="str">
        <f>IFERROR(MID(VLOOKUP($B41,Seqs!$A:$B,2,0),AE41,1),"")</f>
        <v>G</v>
      </c>
      <c r="AE41" s="3">
        <v>167</v>
      </c>
      <c r="AF41" s="3" t="str">
        <f>IFERROR(MID(VLOOKUP($B41,Seqs!$A:$B,2,0),AG41,1),"")</f>
        <v>C</v>
      </c>
      <c r="AG41" s="3">
        <v>176</v>
      </c>
      <c r="AH41" s="3" t="str">
        <f>IFERROR(MID(VLOOKUP($B41,Seqs!$A:$B,2,0),AI41,1),"")</f>
        <v>I</v>
      </c>
      <c r="AI41" s="3">
        <v>178</v>
      </c>
      <c r="AJ41" s="3" t="str">
        <f>IFERROR(MID(VLOOKUP($B41,Seqs!$A:$B,2,0),AK41,1),"")</f>
        <v>N</v>
      </c>
      <c r="AK41" s="3">
        <v>183</v>
      </c>
      <c r="AL41" s="3" t="str">
        <f>IFERROR(MID(VLOOKUP($B41,Seqs!$A:$B,2,0),AM41,1),"")</f>
        <v>S</v>
      </c>
      <c r="AM41" s="3">
        <v>215</v>
      </c>
      <c r="AN41" s="3" t="str">
        <f>IFERROR(MID(VLOOKUP($B41,Seqs!$A:$B,2,0),AO41,1),"")</f>
        <v>P</v>
      </c>
      <c r="AO41" s="3">
        <v>379</v>
      </c>
      <c r="AP41" s="3" t="str">
        <f>IFERROR(MID(VLOOKUP($B41,Seqs!$A:$B,2,0),AQ41,1),"")</f>
        <v>C</v>
      </c>
      <c r="AQ41" s="3">
        <v>413</v>
      </c>
      <c r="AR41" s="3" t="str">
        <f>IFERROR(MID(VLOOKUP($B41,Seqs!$A:$B,2,0),AS41,1),"")</f>
        <v>P</v>
      </c>
      <c r="AS41" s="3">
        <v>418</v>
      </c>
      <c r="AT41" s="3" t="str">
        <f>IFERROR(MID(VLOOKUP($B41,Seqs!$A:$B,2,0),AU41,1),"")</f>
        <v>C</v>
      </c>
      <c r="AU41" s="3">
        <v>443</v>
      </c>
      <c r="AV41" s="3" t="str">
        <f>IFERROR(MID(VLOOKUP($B41,Seqs!$A:$B,2,0),AW41,1),"")</f>
        <v>N</v>
      </c>
      <c r="AW41" s="3">
        <v>444</v>
      </c>
      <c r="AX41" s="3" t="str">
        <f>IFERROR(MID(VLOOKUP($B41,Seqs!$A:$B,2,0),AY41,1),"")</f>
        <v>C</v>
      </c>
      <c r="AY41" s="3">
        <v>457</v>
      </c>
      <c r="AZ41" s="79" t="str">
        <f>VLOOKUP(B41,Classification!A:D,2,0)</f>
        <v>A</v>
      </c>
      <c r="BA41" s="97" t="str">
        <f>VLOOKUP(B41,Classification!A:D,4,0)</f>
        <v>Acetylcholine(muscarinic)</v>
      </c>
      <c r="BB41" s="27" t="b">
        <f t="shared" si="195"/>
        <v>1</v>
      </c>
      <c r="BC41" s="23">
        <f t="shared" si="84"/>
        <v>259</v>
      </c>
      <c r="BD41" s="4" t="s">
        <v>1382</v>
      </c>
      <c r="BE41" s="3" t="s">
        <v>1297</v>
      </c>
      <c r="BF41" s="50" t="s">
        <v>1384</v>
      </c>
      <c r="BG41" s="50" t="s">
        <v>1384</v>
      </c>
      <c r="BH41" s="1"/>
      <c r="BI41" s="72" t="s">
        <v>1293</v>
      </c>
      <c r="BJ41" s="58" t="s">
        <v>1293</v>
      </c>
      <c r="BK41" s="58" t="s">
        <v>1293</v>
      </c>
      <c r="BL41" s="58" t="s">
        <v>1293</v>
      </c>
      <c r="BM41" s="58" t="s">
        <v>1293</v>
      </c>
      <c r="BN41" s="58" t="s">
        <v>1293</v>
      </c>
      <c r="BO41" s="58" t="s">
        <v>1293</v>
      </c>
      <c r="BP41" s="58" t="s">
        <v>1293</v>
      </c>
      <c r="BQ41" s="58" t="s">
        <v>1293</v>
      </c>
      <c r="BR41" s="58" t="s">
        <v>1293</v>
      </c>
      <c r="BS41" s="58" t="s">
        <v>1293</v>
      </c>
      <c r="BT41" s="58" t="s">
        <v>1293</v>
      </c>
      <c r="BU41" s="72">
        <f t="shared" si="85"/>
        <v>19</v>
      </c>
      <c r="BV41" s="73">
        <f t="shared" si="86"/>
        <v>52</v>
      </c>
      <c r="BW41" s="74">
        <f t="shared" si="87"/>
        <v>56</v>
      </c>
      <c r="BX41" s="73">
        <f t="shared" si="88"/>
        <v>88</v>
      </c>
      <c r="BY41" s="74">
        <f t="shared" si="89"/>
        <v>92</v>
      </c>
      <c r="BZ41" s="73">
        <f t="shared" si="90"/>
        <v>128</v>
      </c>
      <c r="CA41" s="74">
        <f t="shared" si="91"/>
        <v>136</v>
      </c>
      <c r="CB41" s="73">
        <f t="shared" si="92"/>
        <v>176</v>
      </c>
      <c r="CC41" s="74">
        <f t="shared" si="93"/>
        <v>183</v>
      </c>
      <c r="CD41" s="73">
        <f t="shared" si="94"/>
        <v>379</v>
      </c>
      <c r="CE41" s="74">
        <f t="shared" si="95"/>
        <v>418</v>
      </c>
      <c r="CF41" s="73">
        <f t="shared" si="96"/>
        <v>444</v>
      </c>
      <c r="CG41" s="72">
        <f t="shared" si="97"/>
        <v>51</v>
      </c>
      <c r="CH41" s="73">
        <f t="shared" si="98"/>
        <v>55</v>
      </c>
      <c r="CI41" s="74">
        <f t="shared" si="99"/>
        <v>86</v>
      </c>
      <c r="CJ41" s="74">
        <f t="shared" si="100"/>
        <v>91</v>
      </c>
      <c r="CK41" s="74">
        <f t="shared" si="101"/>
        <v>127</v>
      </c>
      <c r="CL41" s="74">
        <f t="shared" si="102"/>
        <v>135</v>
      </c>
      <c r="CM41" s="74">
        <f t="shared" si="103"/>
        <v>167</v>
      </c>
      <c r="CN41" s="74">
        <f t="shared" si="104"/>
        <v>178</v>
      </c>
      <c r="CO41" s="74">
        <f t="shared" si="105"/>
        <v>215</v>
      </c>
      <c r="CP41" s="74">
        <f t="shared" si="106"/>
        <v>413</v>
      </c>
      <c r="CQ41" s="74">
        <f t="shared" si="107"/>
        <v>443</v>
      </c>
      <c r="CR41" s="74">
        <f t="shared" si="108"/>
        <v>457</v>
      </c>
      <c r="CS41" s="23">
        <f t="shared" si="109"/>
        <v>1</v>
      </c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</row>
    <row r="42" spans="1:1028" x14ac:dyDescent="0.2">
      <c r="A42" s="3" t="str">
        <f t="shared" si="194"/>
        <v>acm3_rat__wt</v>
      </c>
      <c r="B42" s="3" t="s">
        <v>910</v>
      </c>
      <c r="C42" s="3" t="s">
        <v>100</v>
      </c>
      <c r="D42" s="3" t="str">
        <f>IFERROR(MID(VLOOKUP($B42,Seqs!$A:$B,2,0),E42,1),"")</f>
        <v>I</v>
      </c>
      <c r="E42" s="3">
        <v>64</v>
      </c>
      <c r="F42" s="3" t="str">
        <f>IFERROR(MID(VLOOKUP($B42,Seqs!$A:$B,2,0),G42,1),"")</f>
        <v>N</v>
      </c>
      <c r="G42" s="3">
        <v>95</v>
      </c>
      <c r="H42" s="3" t="str">
        <f>IFERROR(MID(VLOOKUP($B42,Seqs!$A:$B,2,0),I42,1),"")</f>
        <v>K</v>
      </c>
      <c r="I42" s="23">
        <v>96</v>
      </c>
      <c r="J42" s="3" t="str">
        <f>IFERROR(MID(VLOOKUP($B42,Seqs!$A:$B,2,0),K42,1),"")</f>
        <v>K</v>
      </c>
      <c r="K42" s="23">
        <v>99</v>
      </c>
      <c r="L42" s="3" t="str">
        <f>IFERROR(MID(VLOOKUP($B42,Seqs!$A:$B,2,0),M42,1),"")</f>
        <v>T</v>
      </c>
      <c r="M42" s="3">
        <v>100</v>
      </c>
      <c r="N42" s="3" t="str">
        <f>IFERROR(MID(VLOOKUP($B42,Seqs!$A:$B,2,0),O42,1),"")</f>
        <v>M</v>
      </c>
      <c r="O42" s="3">
        <v>130</v>
      </c>
      <c r="P42" s="3" t="str">
        <f>IFERROR(MID(VLOOKUP($B42,Seqs!$A:$B,2,0),Q42,1),"")</f>
        <v>R</v>
      </c>
      <c r="Q42" s="3">
        <v>132</v>
      </c>
      <c r="R42" s="3" t="str">
        <f>IFERROR(MID(VLOOKUP($B42,Seqs!$A:$B,2,0),S42,1),"")</f>
        <v>L</v>
      </c>
      <c r="S42" s="3">
        <v>135</v>
      </c>
      <c r="T42" s="3" t="str">
        <f>IFERROR(MID(VLOOKUP($B42,Seqs!$A:$B,2,0),U42,1),"")</f>
        <v>G</v>
      </c>
      <c r="U42" s="3">
        <v>136</v>
      </c>
      <c r="V42" s="3" t="str">
        <f>IFERROR(MID(VLOOKUP($B42,Seqs!$A:$B,2,0),W42,1),"")</f>
        <v>R</v>
      </c>
      <c r="W42" s="3">
        <v>171</v>
      </c>
      <c r="X42" s="3" t="str">
        <f>IFERROR(MID(VLOOKUP($B42,Seqs!$A:$B,2,0),Y42,1),"")</f>
        <v>P</v>
      </c>
      <c r="Y42" s="3">
        <v>172</v>
      </c>
      <c r="Z42" s="3" t="str">
        <f>IFERROR(MID(VLOOKUP($B42,Seqs!$A:$B,2,0),AA42,1),"")</f>
        <v>R</v>
      </c>
      <c r="AA42" s="3">
        <v>179</v>
      </c>
      <c r="AB42" s="3" t="str">
        <f>IFERROR(MID(VLOOKUP($B42,Seqs!$A:$B,2,0),AC42,1),"")</f>
        <v>T</v>
      </c>
      <c r="AC42" s="9">
        <v>180</v>
      </c>
      <c r="AD42" s="3" t="str">
        <f>IFERROR(MID(VLOOKUP($B42,Seqs!$A:$B,2,0),AE42,1),"")</f>
        <v>G</v>
      </c>
      <c r="AE42" s="3">
        <v>211</v>
      </c>
      <c r="AF42" s="3" t="str">
        <f>IFERROR(MID(VLOOKUP($B42,Seqs!$A:$B,2,0),AG42,1),"")</f>
        <v>C</v>
      </c>
      <c r="AG42" s="3">
        <v>220</v>
      </c>
      <c r="AH42" s="3" t="str">
        <f>IFERROR(MID(VLOOKUP($B42,Seqs!$A:$B,2,0),AI42,1),"")</f>
        <v>I</v>
      </c>
      <c r="AI42" s="3">
        <v>222</v>
      </c>
      <c r="AJ42" s="3" t="str">
        <f>IFERROR(MID(VLOOKUP($B42,Seqs!$A:$B,2,0),AK42,1),"")</f>
        <v>E</v>
      </c>
      <c r="AK42" s="3">
        <v>227</v>
      </c>
      <c r="AL42" s="3" t="str">
        <f>IFERROR(MID(VLOOKUP($B42,Seqs!$A:$B,2,0),AM42,1),"")</f>
        <v>L</v>
      </c>
      <c r="AM42" s="3">
        <v>267</v>
      </c>
      <c r="AN42" s="3" t="str">
        <f>IFERROR(MID(VLOOKUP($B42,Seqs!$A:$B,2,0),AO42,1),"")</f>
        <v>R</v>
      </c>
      <c r="AO42" s="3">
        <v>479</v>
      </c>
      <c r="AP42" s="3" t="str">
        <f>IFERROR(MID(VLOOKUP($B42,Seqs!$A:$B,2,0),AQ42,1),"")</f>
        <v>C</v>
      </c>
      <c r="AQ42" s="3">
        <v>516</v>
      </c>
      <c r="AR42" s="3" t="str">
        <f>IFERROR(MID(VLOOKUP($B42,Seqs!$A:$B,2,0),AS42,1),"")</f>
        <v>P</v>
      </c>
      <c r="AS42" s="3">
        <v>521</v>
      </c>
      <c r="AT42" s="3" t="str">
        <f>IFERROR(MID(VLOOKUP($B42,Seqs!$A:$B,2,0),AU42,1),"")</f>
        <v>C</v>
      </c>
      <c r="AU42" s="3">
        <v>546</v>
      </c>
      <c r="AV42" s="3" t="str">
        <f>IFERROR(MID(VLOOKUP($B42,Seqs!$A:$B,2,0),AW42,1),"")</f>
        <v>N</v>
      </c>
      <c r="AW42" s="3">
        <v>547</v>
      </c>
      <c r="AX42" s="3" t="str">
        <f>IFERROR(MID(VLOOKUP($B42,Seqs!$A:$B,2,0),AY42,1),"")</f>
        <v>L</v>
      </c>
      <c r="AY42" s="3">
        <v>558</v>
      </c>
      <c r="AZ42" s="79" t="str">
        <f>VLOOKUP(B42,Classification!A:D,2,0)</f>
        <v>A</v>
      </c>
      <c r="BA42" s="97" t="str">
        <f>VLOOKUP(B42,Classification!A:D,4,0)</f>
        <v>Acetylcholine(muscarinic)</v>
      </c>
      <c r="BB42" s="27" t="b">
        <f t="shared" si="195"/>
        <v>1</v>
      </c>
      <c r="BC42" s="23">
        <f t="shared" si="84"/>
        <v>267</v>
      </c>
      <c r="BD42" s="57" t="s">
        <v>1379</v>
      </c>
      <c r="BE42" s="3" t="s">
        <v>1381</v>
      </c>
      <c r="BF42" s="50" t="s">
        <v>1379</v>
      </c>
      <c r="BG42" s="50" t="s">
        <v>1384</v>
      </c>
      <c r="BH42" s="1"/>
      <c r="BI42" s="72" t="s">
        <v>1293</v>
      </c>
      <c r="BJ42" s="58" t="s">
        <v>1293</v>
      </c>
      <c r="BK42" s="58" t="s">
        <v>1293</v>
      </c>
      <c r="BL42" s="58" t="s">
        <v>1293</v>
      </c>
      <c r="BM42" s="58" t="s">
        <v>1293</v>
      </c>
      <c r="BN42" s="58" t="s">
        <v>1293</v>
      </c>
      <c r="BO42" s="58" t="s">
        <v>1293</v>
      </c>
      <c r="BP42" s="58" t="s">
        <v>1293</v>
      </c>
      <c r="BQ42" s="58" t="s">
        <v>1293</v>
      </c>
      <c r="BR42" s="58" t="s">
        <v>1293</v>
      </c>
      <c r="BS42" s="58" t="s">
        <v>1293</v>
      </c>
      <c r="BT42" s="58" t="s">
        <v>1293</v>
      </c>
      <c r="BU42" s="72">
        <f t="shared" si="85"/>
        <v>64</v>
      </c>
      <c r="BV42" s="73">
        <f t="shared" si="86"/>
        <v>96</v>
      </c>
      <c r="BW42" s="74">
        <f t="shared" si="87"/>
        <v>100</v>
      </c>
      <c r="BX42" s="73">
        <f t="shared" si="88"/>
        <v>132</v>
      </c>
      <c r="BY42" s="74">
        <f t="shared" si="89"/>
        <v>136</v>
      </c>
      <c r="BZ42" s="73">
        <f t="shared" si="90"/>
        <v>172</v>
      </c>
      <c r="CA42" s="74">
        <f t="shared" si="91"/>
        <v>180</v>
      </c>
      <c r="CB42" s="73">
        <f t="shared" si="92"/>
        <v>220</v>
      </c>
      <c r="CC42" s="74">
        <f t="shared" si="93"/>
        <v>227</v>
      </c>
      <c r="CD42" s="73">
        <f t="shared" si="94"/>
        <v>479</v>
      </c>
      <c r="CE42" s="74">
        <f t="shared" si="95"/>
        <v>521</v>
      </c>
      <c r="CF42" s="73">
        <f t="shared" si="96"/>
        <v>547</v>
      </c>
      <c r="CG42" s="72">
        <f t="shared" si="97"/>
        <v>95</v>
      </c>
      <c r="CH42" s="73">
        <f t="shared" si="98"/>
        <v>99</v>
      </c>
      <c r="CI42" s="74">
        <f t="shared" si="99"/>
        <v>130</v>
      </c>
      <c r="CJ42" s="74">
        <f t="shared" si="100"/>
        <v>135</v>
      </c>
      <c r="CK42" s="74">
        <f t="shared" si="101"/>
        <v>171</v>
      </c>
      <c r="CL42" s="74">
        <f t="shared" si="102"/>
        <v>179</v>
      </c>
      <c r="CM42" s="74">
        <f t="shared" si="103"/>
        <v>211</v>
      </c>
      <c r="CN42" s="74">
        <f t="shared" si="104"/>
        <v>222</v>
      </c>
      <c r="CO42" s="74">
        <f t="shared" si="105"/>
        <v>267</v>
      </c>
      <c r="CP42" s="74">
        <f t="shared" si="106"/>
        <v>516</v>
      </c>
      <c r="CQ42" s="74">
        <f t="shared" si="107"/>
        <v>546</v>
      </c>
      <c r="CR42" s="74">
        <f t="shared" si="108"/>
        <v>558</v>
      </c>
      <c r="CS42" s="23">
        <f t="shared" si="109"/>
        <v>1</v>
      </c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</row>
    <row r="43" spans="1:1028" x14ac:dyDescent="0.2">
      <c r="A43" s="3" t="str">
        <f t="shared" si="194"/>
        <v>acm3_rat_4U15</v>
      </c>
      <c r="B43" s="3" t="s">
        <v>910</v>
      </c>
      <c r="C43" s="3" t="s">
        <v>71</v>
      </c>
      <c r="D43" s="3" t="str">
        <f>IFERROR(MID(VLOOKUP($B43,Seqs!$A:$B,2,0),E43,1),"")</f>
        <v>I</v>
      </c>
      <c r="E43" s="3">
        <v>64</v>
      </c>
      <c r="F43" s="3" t="str">
        <f>IFERROR(MID(VLOOKUP($B43,Seqs!$A:$B,2,0),G43,1),"")</f>
        <v>N</v>
      </c>
      <c r="G43" s="3">
        <v>95</v>
      </c>
      <c r="H43" s="3" t="str">
        <f>IFERROR(MID(VLOOKUP($B43,Seqs!$A:$B,2,0),I43,1),"")</f>
        <v>K</v>
      </c>
      <c r="I43" s="23">
        <v>96</v>
      </c>
      <c r="J43" s="3" t="str">
        <f>IFERROR(MID(VLOOKUP($B43,Seqs!$A:$B,2,0),K43,1),"")</f>
        <v>K</v>
      </c>
      <c r="K43" s="23">
        <v>99</v>
      </c>
      <c r="L43" s="3" t="str">
        <f>IFERROR(MID(VLOOKUP($B43,Seqs!$A:$B,2,0),M43,1),"")</f>
        <v>T</v>
      </c>
      <c r="M43" s="3">
        <v>100</v>
      </c>
      <c r="N43" s="3" t="str">
        <f>IFERROR(MID(VLOOKUP($B43,Seqs!$A:$B,2,0),O43,1),"")</f>
        <v>M</v>
      </c>
      <c r="O43" s="3">
        <v>130</v>
      </c>
      <c r="P43" s="3" t="str">
        <f>IFERROR(MID(VLOOKUP($B43,Seqs!$A:$B,2,0),Q43,1),"")</f>
        <v>R</v>
      </c>
      <c r="Q43" s="3">
        <v>132</v>
      </c>
      <c r="R43" s="3" t="str">
        <f>IFERROR(MID(VLOOKUP($B43,Seqs!$A:$B,2,0),S43,1),"")</f>
        <v>L</v>
      </c>
      <c r="S43" s="3">
        <v>135</v>
      </c>
      <c r="T43" s="3" t="str">
        <f>IFERROR(MID(VLOOKUP($B43,Seqs!$A:$B,2,0),U43,1),"")</f>
        <v>G</v>
      </c>
      <c r="U43" s="3">
        <v>136</v>
      </c>
      <c r="V43" s="3" t="str">
        <f>IFERROR(MID(VLOOKUP($B43,Seqs!$A:$B,2,0),W43,1),"")</f>
        <v>R</v>
      </c>
      <c r="W43" s="3">
        <v>171</v>
      </c>
      <c r="X43" s="3" t="str">
        <f>IFERROR(MID(VLOOKUP($B43,Seqs!$A:$B,2,0),Y43,1),"")</f>
        <v>P</v>
      </c>
      <c r="Y43" s="3">
        <v>172</v>
      </c>
      <c r="Z43" s="3" t="str">
        <f>IFERROR(MID(VLOOKUP($B43,Seqs!$A:$B,2,0),AA43,1),"")</f>
        <v>R</v>
      </c>
      <c r="AA43" s="3">
        <v>179</v>
      </c>
      <c r="AB43" s="3" t="str">
        <f>IFERROR(MID(VLOOKUP($B43,Seqs!$A:$B,2,0),AC43,1),"")</f>
        <v>T</v>
      </c>
      <c r="AC43" s="9">
        <v>180</v>
      </c>
      <c r="AD43" s="3" t="str">
        <f>IFERROR(MID(VLOOKUP($B43,Seqs!$A:$B,2,0),AE43,1),"")</f>
        <v>G</v>
      </c>
      <c r="AE43" s="3">
        <v>211</v>
      </c>
      <c r="AF43" s="3" t="str">
        <f>IFERROR(MID(VLOOKUP($B43,Seqs!$A:$B,2,0),AG43,1),"")</f>
        <v>C</v>
      </c>
      <c r="AG43" s="3">
        <v>220</v>
      </c>
      <c r="AH43" s="3" t="str">
        <f>IFERROR(MID(VLOOKUP($B43,Seqs!$A:$B,2,0),AI43,1),"")</f>
        <v>I</v>
      </c>
      <c r="AI43" s="3">
        <v>222</v>
      </c>
      <c r="AJ43" s="3" t="str">
        <f>IFERROR(MID(VLOOKUP($B43,Seqs!$A:$B,2,0),AK43,1),"")</f>
        <v>E</v>
      </c>
      <c r="AK43" s="3">
        <v>227</v>
      </c>
      <c r="AL43" s="3" t="str">
        <f>IFERROR(MID(VLOOKUP($B43,Seqs!$A:$B,2,0),AM43,1),"")</f>
        <v>K</v>
      </c>
      <c r="AM43" s="3">
        <v>259</v>
      </c>
      <c r="AN43" s="3" t="str">
        <f>IFERROR(MID(VLOOKUP($B43,Seqs!$A:$B,2,0),AO43,1),"")</f>
        <v>I</v>
      </c>
      <c r="AO43" s="3">
        <v>483</v>
      </c>
      <c r="AP43" s="3" t="str">
        <f>IFERROR(MID(VLOOKUP($B43,Seqs!$A:$B,2,0),AQ43,1),"")</f>
        <v>C</v>
      </c>
      <c r="AQ43" s="3">
        <v>516</v>
      </c>
      <c r="AR43" s="3" t="str">
        <f>IFERROR(MID(VLOOKUP($B43,Seqs!$A:$B,2,0),AS43,1),"")</f>
        <v>P</v>
      </c>
      <c r="AS43" s="3">
        <v>521</v>
      </c>
      <c r="AT43" s="3" t="str">
        <f>IFERROR(MID(VLOOKUP($B43,Seqs!$A:$B,2,0),AU43,1),"")</f>
        <v>C</v>
      </c>
      <c r="AU43" s="3">
        <v>546</v>
      </c>
      <c r="AV43" s="3" t="str">
        <f>IFERROR(MID(VLOOKUP($B43,Seqs!$A:$B,2,0),AW43,1),"")</f>
        <v>N</v>
      </c>
      <c r="AW43" s="3">
        <v>547</v>
      </c>
      <c r="AX43" s="3" t="str">
        <f>IFERROR(MID(VLOOKUP($B43,Seqs!$A:$B,2,0),AY43,1),"")</f>
        <v>L</v>
      </c>
      <c r="AY43" s="3">
        <v>558</v>
      </c>
      <c r="AZ43" s="79" t="str">
        <f>VLOOKUP(B43,Classification!A:D,2,0)</f>
        <v>A</v>
      </c>
      <c r="BA43" s="97" t="str">
        <f>VLOOKUP(B43,Classification!A:D,4,0)</f>
        <v>Acetylcholine(muscarinic)</v>
      </c>
      <c r="BB43" s="27" t="b">
        <f t="shared" si="195"/>
        <v>1</v>
      </c>
      <c r="BC43" s="23">
        <f t="shared" si="84"/>
        <v>255</v>
      </c>
      <c r="BD43" s="16" t="s">
        <v>1383</v>
      </c>
      <c r="BE43" s="3" t="s">
        <v>1381</v>
      </c>
      <c r="BF43" s="50" t="s">
        <v>1384</v>
      </c>
      <c r="BG43" s="50" t="s">
        <v>1384</v>
      </c>
      <c r="BH43" s="1"/>
      <c r="BI43" s="72" t="s">
        <v>1293</v>
      </c>
      <c r="BJ43" s="58" t="s">
        <v>1293</v>
      </c>
      <c r="BK43" s="58" t="s">
        <v>1293</v>
      </c>
      <c r="BL43" s="58" t="s">
        <v>1293</v>
      </c>
      <c r="BM43" s="58" t="s">
        <v>1293</v>
      </c>
      <c r="BN43" s="58" t="s">
        <v>1293</v>
      </c>
      <c r="BO43" s="58" t="s">
        <v>1293</v>
      </c>
      <c r="BP43" s="58" t="s">
        <v>1293</v>
      </c>
      <c r="BQ43" s="58" t="s">
        <v>1293</v>
      </c>
      <c r="BR43" s="58" t="s">
        <v>1293</v>
      </c>
      <c r="BS43" s="58" t="s">
        <v>1293</v>
      </c>
      <c r="BT43" s="58" t="s">
        <v>1293</v>
      </c>
      <c r="BU43" s="72">
        <f t="shared" si="85"/>
        <v>64</v>
      </c>
      <c r="BV43" s="73">
        <f t="shared" si="86"/>
        <v>96</v>
      </c>
      <c r="BW43" s="74">
        <f t="shared" si="87"/>
        <v>100</v>
      </c>
      <c r="BX43" s="73">
        <f t="shared" si="88"/>
        <v>132</v>
      </c>
      <c r="BY43" s="74">
        <f t="shared" si="89"/>
        <v>136</v>
      </c>
      <c r="BZ43" s="73">
        <f t="shared" si="90"/>
        <v>172</v>
      </c>
      <c r="CA43" s="74">
        <f t="shared" si="91"/>
        <v>180</v>
      </c>
      <c r="CB43" s="73">
        <f t="shared" si="92"/>
        <v>220</v>
      </c>
      <c r="CC43" s="74">
        <f t="shared" si="93"/>
        <v>227</v>
      </c>
      <c r="CD43" s="73">
        <f t="shared" si="94"/>
        <v>483</v>
      </c>
      <c r="CE43" s="74">
        <f t="shared" si="95"/>
        <v>521</v>
      </c>
      <c r="CF43" s="73">
        <f t="shared" si="96"/>
        <v>547</v>
      </c>
      <c r="CG43" s="72">
        <f t="shared" si="97"/>
        <v>95</v>
      </c>
      <c r="CH43" s="73">
        <f t="shared" si="98"/>
        <v>99</v>
      </c>
      <c r="CI43" s="74">
        <f t="shared" si="99"/>
        <v>130</v>
      </c>
      <c r="CJ43" s="74">
        <f t="shared" si="100"/>
        <v>135</v>
      </c>
      <c r="CK43" s="74">
        <f t="shared" si="101"/>
        <v>171</v>
      </c>
      <c r="CL43" s="74">
        <f t="shared" si="102"/>
        <v>179</v>
      </c>
      <c r="CM43" s="74">
        <f t="shared" si="103"/>
        <v>211</v>
      </c>
      <c r="CN43" s="74">
        <f t="shared" si="104"/>
        <v>222</v>
      </c>
      <c r="CO43" s="74">
        <f t="shared" si="105"/>
        <v>259</v>
      </c>
      <c r="CP43" s="74">
        <f t="shared" si="106"/>
        <v>516</v>
      </c>
      <c r="CQ43" s="74">
        <f t="shared" si="107"/>
        <v>546</v>
      </c>
      <c r="CR43" s="74">
        <f t="shared" si="108"/>
        <v>558</v>
      </c>
      <c r="CS43" s="23">
        <f t="shared" si="109"/>
        <v>1</v>
      </c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</row>
    <row r="44" spans="1:1028" x14ac:dyDescent="0.2">
      <c r="A44" s="3" t="str">
        <f t="shared" si="194"/>
        <v>acm3_rat_4U16</v>
      </c>
      <c r="B44" s="3" t="s">
        <v>910</v>
      </c>
      <c r="C44" s="3" t="s">
        <v>1054</v>
      </c>
      <c r="D44" s="3" t="str">
        <f>IFERROR(MID(VLOOKUP($B44,Seqs!$A:$B,2,0),E44,1),"")</f>
        <v>I</v>
      </c>
      <c r="E44" s="3">
        <v>64</v>
      </c>
      <c r="F44" s="3" t="str">
        <f>IFERROR(MID(VLOOKUP($B44,Seqs!$A:$B,2,0),G44,1),"")</f>
        <v>N</v>
      </c>
      <c r="G44" s="3">
        <v>95</v>
      </c>
      <c r="H44" s="3" t="str">
        <f>IFERROR(MID(VLOOKUP($B44,Seqs!$A:$B,2,0),I44,1),"")</f>
        <v>K</v>
      </c>
      <c r="I44" s="23">
        <v>96</v>
      </c>
      <c r="J44" s="3" t="str">
        <f>IFERROR(MID(VLOOKUP($B44,Seqs!$A:$B,2,0),K44,1),"")</f>
        <v>K</v>
      </c>
      <c r="K44" s="23">
        <v>99</v>
      </c>
      <c r="L44" s="3" t="str">
        <f>IFERROR(MID(VLOOKUP($B44,Seqs!$A:$B,2,0),M44,1),"")</f>
        <v>T</v>
      </c>
      <c r="M44" s="3">
        <v>100</v>
      </c>
      <c r="N44" s="3" t="str">
        <f>IFERROR(MID(VLOOKUP($B44,Seqs!$A:$B,2,0),O44,1),"")</f>
        <v>M</v>
      </c>
      <c r="O44" s="3">
        <v>130</v>
      </c>
      <c r="P44" s="3" t="str">
        <f>IFERROR(MID(VLOOKUP($B44,Seqs!$A:$B,2,0),Q44,1),"")</f>
        <v>R</v>
      </c>
      <c r="Q44" s="3">
        <v>132</v>
      </c>
      <c r="R44" s="3" t="str">
        <f>IFERROR(MID(VLOOKUP($B44,Seqs!$A:$B,2,0),S44,1),"")</f>
        <v>L</v>
      </c>
      <c r="S44" s="3">
        <v>135</v>
      </c>
      <c r="T44" s="3" t="str">
        <f>IFERROR(MID(VLOOKUP($B44,Seqs!$A:$B,2,0),U44,1),"")</f>
        <v>G</v>
      </c>
      <c r="U44" s="3">
        <v>136</v>
      </c>
      <c r="V44" s="3" t="str">
        <f>IFERROR(MID(VLOOKUP($B44,Seqs!$A:$B,2,0),W44,1),"")</f>
        <v>R</v>
      </c>
      <c r="W44" s="3">
        <v>171</v>
      </c>
      <c r="X44" s="3" t="str">
        <f>IFERROR(MID(VLOOKUP($B44,Seqs!$A:$B,2,0),Y44,1),"")</f>
        <v>P</v>
      </c>
      <c r="Y44" s="3">
        <v>172</v>
      </c>
      <c r="Z44" s="3" t="str">
        <f>IFERROR(MID(VLOOKUP($B44,Seqs!$A:$B,2,0),AA44,1),"")</f>
        <v>R</v>
      </c>
      <c r="AA44" s="3">
        <v>179</v>
      </c>
      <c r="AB44" s="3" t="str">
        <f>IFERROR(MID(VLOOKUP($B44,Seqs!$A:$B,2,0),AC44,1),"")</f>
        <v>T</v>
      </c>
      <c r="AC44" s="9">
        <v>180</v>
      </c>
      <c r="AD44" s="3" t="str">
        <f>IFERROR(MID(VLOOKUP($B44,Seqs!$A:$B,2,0),AE44,1),"")</f>
        <v>G</v>
      </c>
      <c r="AE44" s="3">
        <v>211</v>
      </c>
      <c r="AF44" s="3" t="str">
        <f>IFERROR(MID(VLOOKUP($B44,Seqs!$A:$B,2,0),AG44,1),"")</f>
        <v>C</v>
      </c>
      <c r="AG44" s="3">
        <v>220</v>
      </c>
      <c r="AH44" s="3" t="str">
        <f>IFERROR(MID(VLOOKUP($B44,Seqs!$A:$B,2,0),AI44,1),"")</f>
        <v>I</v>
      </c>
      <c r="AI44" s="3">
        <v>222</v>
      </c>
      <c r="AJ44" s="3" t="str">
        <f>IFERROR(MID(VLOOKUP($B44,Seqs!$A:$B,2,0),AK44,1),"")</f>
        <v>E</v>
      </c>
      <c r="AK44" s="3">
        <v>227</v>
      </c>
      <c r="AL44" s="3" t="str">
        <f>IFERROR(MID(VLOOKUP($B44,Seqs!$A:$B,2,0),AM44,1),"")</f>
        <v>K</v>
      </c>
      <c r="AM44" s="3">
        <v>259</v>
      </c>
      <c r="AN44" s="3" t="str">
        <f>IFERROR(MID(VLOOKUP($B44,Seqs!$A:$B,2,0),AO44,1),"")</f>
        <v>I</v>
      </c>
      <c r="AO44" s="3">
        <v>483</v>
      </c>
      <c r="AP44" s="3" t="str">
        <f>IFERROR(MID(VLOOKUP($B44,Seqs!$A:$B,2,0),AQ44,1),"")</f>
        <v>C</v>
      </c>
      <c r="AQ44" s="3">
        <v>516</v>
      </c>
      <c r="AR44" s="3" t="str">
        <f>IFERROR(MID(VLOOKUP($B44,Seqs!$A:$B,2,0),AS44,1),"")</f>
        <v>P</v>
      </c>
      <c r="AS44" s="3">
        <v>521</v>
      </c>
      <c r="AT44" s="3" t="str">
        <f>IFERROR(MID(VLOOKUP($B44,Seqs!$A:$B,2,0),AU44,1),"")</f>
        <v>C</v>
      </c>
      <c r="AU44" s="3">
        <v>546</v>
      </c>
      <c r="AV44" s="3" t="str">
        <f>IFERROR(MID(VLOOKUP($B44,Seqs!$A:$B,2,0),AW44,1),"")</f>
        <v/>
      </c>
      <c r="AW44" s="3" t="s">
        <v>23</v>
      </c>
      <c r="AX44" s="3" t="str">
        <f>IFERROR(MID(VLOOKUP($B44,Seqs!$A:$B,2,0),AY44,1),"")</f>
        <v/>
      </c>
      <c r="AY44" s="3" t="s">
        <v>23</v>
      </c>
      <c r="AZ44" s="79" t="str">
        <f>VLOOKUP(B44,Classification!A:D,2,0)</f>
        <v>A</v>
      </c>
      <c r="BA44" s="97" t="str">
        <f>VLOOKUP(B44,Classification!A:D,4,0)</f>
        <v>Acetylcholine(muscarinic)</v>
      </c>
      <c r="BB44" s="27" t="b">
        <f t="shared" si="195"/>
        <v>1</v>
      </c>
      <c r="BC44" s="23">
        <f t="shared" si="84"/>
        <v>244</v>
      </c>
      <c r="BD44" s="4" t="s">
        <v>23</v>
      </c>
      <c r="BE44" s="3" t="s">
        <v>1381</v>
      </c>
      <c r="BF44" s="50" t="s">
        <v>1384</v>
      </c>
      <c r="BG44" s="50" t="s">
        <v>1384</v>
      </c>
      <c r="BH44" s="1"/>
      <c r="BI44" s="72" t="s">
        <v>1293</v>
      </c>
      <c r="BJ44" s="58" t="s">
        <v>1293</v>
      </c>
      <c r="BK44" s="58" t="s">
        <v>1293</v>
      </c>
      <c r="BL44" s="58" t="s">
        <v>1293</v>
      </c>
      <c r="BM44" s="58" t="s">
        <v>1293</v>
      </c>
      <c r="BN44" s="58" t="s">
        <v>1293</v>
      </c>
      <c r="BO44" s="58" t="s">
        <v>1293</v>
      </c>
      <c r="BP44" s="58" t="s">
        <v>1293</v>
      </c>
      <c r="BQ44" s="58" t="s">
        <v>1293</v>
      </c>
      <c r="BR44" s="58" t="s">
        <v>1293</v>
      </c>
      <c r="BS44" s="58" t="s">
        <v>1293</v>
      </c>
      <c r="BT44" s="58" t="s">
        <v>1293</v>
      </c>
      <c r="BU44" s="72">
        <f t="shared" si="85"/>
        <v>64</v>
      </c>
      <c r="BV44" s="73">
        <f t="shared" si="86"/>
        <v>96</v>
      </c>
      <c r="BW44" s="74">
        <f t="shared" si="87"/>
        <v>100</v>
      </c>
      <c r="BX44" s="73">
        <f t="shared" si="88"/>
        <v>132</v>
      </c>
      <c r="BY44" s="74">
        <f t="shared" si="89"/>
        <v>136</v>
      </c>
      <c r="BZ44" s="73">
        <f t="shared" si="90"/>
        <v>172</v>
      </c>
      <c r="CA44" s="74">
        <f t="shared" si="91"/>
        <v>180</v>
      </c>
      <c r="CB44" s="73">
        <f t="shared" si="92"/>
        <v>220</v>
      </c>
      <c r="CC44" s="74">
        <f t="shared" si="93"/>
        <v>227</v>
      </c>
      <c r="CD44" s="73">
        <f t="shared" si="94"/>
        <v>483</v>
      </c>
      <c r="CE44" s="74">
        <f t="shared" si="95"/>
        <v>521</v>
      </c>
      <c r="CF44" s="73" t="str">
        <f t="shared" si="96"/>
        <v>-</v>
      </c>
      <c r="CG44" s="72">
        <f t="shared" si="97"/>
        <v>95</v>
      </c>
      <c r="CH44" s="73">
        <f t="shared" si="98"/>
        <v>99</v>
      </c>
      <c r="CI44" s="74">
        <f t="shared" si="99"/>
        <v>130</v>
      </c>
      <c r="CJ44" s="74">
        <f t="shared" si="100"/>
        <v>135</v>
      </c>
      <c r="CK44" s="74">
        <f t="shared" si="101"/>
        <v>171</v>
      </c>
      <c r="CL44" s="74">
        <f t="shared" si="102"/>
        <v>179</v>
      </c>
      <c r="CM44" s="74">
        <f t="shared" si="103"/>
        <v>211</v>
      </c>
      <c r="CN44" s="74">
        <f t="shared" si="104"/>
        <v>222</v>
      </c>
      <c r="CO44" s="74">
        <f t="shared" si="105"/>
        <v>259</v>
      </c>
      <c r="CP44" s="74">
        <f t="shared" si="106"/>
        <v>516</v>
      </c>
      <c r="CQ44" s="74">
        <f t="shared" si="107"/>
        <v>546</v>
      </c>
      <c r="CR44" s="74" t="str">
        <f t="shared" si="108"/>
        <v>-</v>
      </c>
      <c r="CS44" s="23">
        <f t="shared" si="109"/>
        <v>1</v>
      </c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</row>
    <row r="45" spans="1:1028" x14ac:dyDescent="0.2">
      <c r="A45" s="3" t="str">
        <f t="shared" si="194"/>
        <v>acm4_human__wt</v>
      </c>
      <c r="B45" s="3" t="s">
        <v>149</v>
      </c>
      <c r="C45" s="3" t="s">
        <v>100</v>
      </c>
      <c r="D45" s="3" t="str">
        <f>IFERROR(MID(VLOOKUP($B45,Seqs!$A:$B,2,0),E45,1),"")</f>
        <v>R</v>
      </c>
      <c r="E45" s="3">
        <v>26</v>
      </c>
      <c r="F45" s="3" t="str">
        <f>IFERROR(MID(VLOOKUP($B45,Seqs!$A:$B,2,0),G45,1),"")</f>
        <v>N</v>
      </c>
      <c r="G45" s="3">
        <v>60</v>
      </c>
      <c r="H45" s="3" t="str">
        <f>IFERROR(MID(VLOOKUP($B45,Seqs!$A:$B,2,0),I45,1),"")</f>
        <v>R</v>
      </c>
      <c r="I45" s="23">
        <v>61</v>
      </c>
      <c r="J45" s="3" t="str">
        <f>IFERROR(MID(VLOOKUP($B45,Seqs!$A:$B,2,0),K45,1),"")</f>
        <v>Q</v>
      </c>
      <c r="K45" s="23">
        <v>64</v>
      </c>
      <c r="L45" s="3" t="str">
        <f>IFERROR(MID(VLOOKUP($B45,Seqs!$A:$B,2,0),M45,1),"")</f>
        <v>T</v>
      </c>
      <c r="M45" s="3">
        <v>65</v>
      </c>
      <c r="N45" s="3" t="str">
        <f>IFERROR(MID(VLOOKUP($B45,Seqs!$A:$B,2,0),O45,1),"")</f>
        <v>K</v>
      </c>
      <c r="O45" s="3">
        <v>95</v>
      </c>
      <c r="P45" s="3" t="str">
        <f>IFERROR(MID(VLOOKUP($B45,Seqs!$A:$B,2,0),Q45,1),"")</f>
        <v>Y</v>
      </c>
      <c r="Q45" s="3">
        <v>97</v>
      </c>
      <c r="R45" s="3" t="str">
        <f>IFERROR(MID(VLOOKUP($B45,Seqs!$A:$B,2,0),S45,1),"")</f>
        <v>L</v>
      </c>
      <c r="S45" s="3">
        <v>100</v>
      </c>
      <c r="T45" s="3" t="str">
        <f>IFERROR(MID(VLOOKUP($B45,Seqs!$A:$B,2,0),U45,1),"")</f>
        <v>G</v>
      </c>
      <c r="U45" s="3">
        <v>101</v>
      </c>
      <c r="V45" s="3" t="str">
        <f>IFERROR(MID(VLOOKUP($B45,Seqs!$A:$B,2,0),W45,1),"")</f>
        <v>K</v>
      </c>
      <c r="W45" s="3">
        <v>136</v>
      </c>
      <c r="X45" s="3" t="str">
        <f>IFERROR(MID(VLOOKUP($B45,Seqs!$A:$B,2,0),Y45,1),"")</f>
        <v>P</v>
      </c>
      <c r="Y45" s="3">
        <v>137</v>
      </c>
      <c r="Z45" s="3" t="str">
        <f>IFERROR(MID(VLOOKUP($B45,Seqs!$A:$B,2,0),AA45,1),"")</f>
        <v>R</v>
      </c>
      <c r="AA45" s="3">
        <v>144</v>
      </c>
      <c r="AB45" s="3" t="str">
        <f>IFERROR(MID(VLOOKUP($B45,Seqs!$A:$B,2,0),AC45,1),"")</f>
        <v>T</v>
      </c>
      <c r="AC45" s="9">
        <v>145</v>
      </c>
      <c r="AD45" s="3" t="str">
        <f>IFERROR(MID(VLOOKUP($B45,Seqs!$A:$B,2,0),AE45,1),"")</f>
        <v>G</v>
      </c>
      <c r="AE45" s="3">
        <v>176</v>
      </c>
      <c r="AF45" s="3" t="str">
        <f>IFERROR(MID(VLOOKUP($B45,Seqs!$A:$B,2,0),AG45,1),"")</f>
        <v>C</v>
      </c>
      <c r="AG45" s="3">
        <v>185</v>
      </c>
      <c r="AH45" s="3" t="str">
        <f>IFERROR(MID(VLOOKUP($B45,Seqs!$A:$B,2,0),AI45,1),"")</f>
        <v>I</v>
      </c>
      <c r="AI45" s="3">
        <v>187</v>
      </c>
      <c r="AJ45" s="3" t="str">
        <f>IFERROR(MID(VLOOKUP($B45,Seqs!$A:$B,2,0),AK45,1),"")</f>
        <v>N</v>
      </c>
      <c r="AK45" s="3">
        <v>192</v>
      </c>
      <c r="AL45" s="3" t="str">
        <f>IFERROR(MID(VLOOKUP($B45,Seqs!$A:$B,2,0),AM45,1),"")</f>
        <v>E</v>
      </c>
      <c r="AM45" s="3">
        <v>232</v>
      </c>
      <c r="AN45" s="3" t="str">
        <f>IFERROR(MID(VLOOKUP($B45,Seqs!$A:$B,2,0),AO45,1),"")</f>
        <v>R</v>
      </c>
      <c r="AO45" s="3">
        <v>389</v>
      </c>
      <c r="AP45" s="3" t="str">
        <f>IFERROR(MID(VLOOKUP($B45,Seqs!$A:$B,2,0),AQ45,1),"")</f>
        <v>C</v>
      </c>
      <c r="AQ45" s="3">
        <v>426</v>
      </c>
      <c r="AR45" s="3" t="str">
        <f>IFERROR(MID(VLOOKUP($B45,Seqs!$A:$B,2,0),AS45,1),"")</f>
        <v>P</v>
      </c>
      <c r="AS45" s="3">
        <v>431</v>
      </c>
      <c r="AT45" s="3" t="str">
        <f>IFERROR(MID(VLOOKUP($B45,Seqs!$A:$B,2,0),AU45,1),"")</f>
        <v>C</v>
      </c>
      <c r="AU45" s="3">
        <v>456</v>
      </c>
      <c r="AV45" s="3" t="str">
        <f>IFERROR(MID(VLOOKUP($B45,Seqs!$A:$B,2,0),AW45,1),"")</f>
        <v>N</v>
      </c>
      <c r="AW45" s="3">
        <v>457</v>
      </c>
      <c r="AX45" s="3" t="str">
        <f>IFERROR(MID(VLOOKUP($B45,Seqs!$A:$B,2,0),AY45,1),"")</f>
        <v>L</v>
      </c>
      <c r="AY45" s="3">
        <v>469</v>
      </c>
      <c r="AZ45" s="79" t="str">
        <f>VLOOKUP(B45,Classification!A:D,2,0)</f>
        <v>A</v>
      </c>
      <c r="BA45" s="97" t="str">
        <f>VLOOKUP(B45,Classification!A:D,4,0)</f>
        <v>Acetylcholine(muscarinic)</v>
      </c>
      <c r="BB45" s="27" t="b">
        <f t="shared" si="195"/>
        <v>1</v>
      </c>
      <c r="BC45" s="23">
        <f t="shared" si="84"/>
        <v>271</v>
      </c>
      <c r="BD45" s="35" t="s">
        <v>1379</v>
      </c>
      <c r="BE45" s="3" t="s">
        <v>1381</v>
      </c>
      <c r="BF45" s="50" t="s">
        <v>1379</v>
      </c>
      <c r="BG45" s="50" t="s">
        <v>1384</v>
      </c>
      <c r="BH45" s="1"/>
      <c r="BI45" s="72" t="s">
        <v>1293</v>
      </c>
      <c r="BJ45" s="58" t="s">
        <v>1293</v>
      </c>
      <c r="BK45" s="58" t="s">
        <v>1293</v>
      </c>
      <c r="BL45" s="58" t="s">
        <v>1293</v>
      </c>
      <c r="BM45" s="58" t="s">
        <v>1293</v>
      </c>
      <c r="BN45" s="58" t="s">
        <v>1293</v>
      </c>
      <c r="BO45" s="58" t="s">
        <v>1293</v>
      </c>
      <c r="BP45" s="58" t="s">
        <v>1293</v>
      </c>
      <c r="BQ45" s="58" t="s">
        <v>1293</v>
      </c>
      <c r="BR45" s="58" t="s">
        <v>1293</v>
      </c>
      <c r="BS45" s="58" t="s">
        <v>1293</v>
      </c>
      <c r="BT45" s="58" t="s">
        <v>1293</v>
      </c>
      <c r="BU45" s="72">
        <f t="shared" si="85"/>
        <v>26</v>
      </c>
      <c r="BV45" s="73">
        <f t="shared" si="86"/>
        <v>61</v>
      </c>
      <c r="BW45" s="74">
        <f t="shared" si="87"/>
        <v>65</v>
      </c>
      <c r="BX45" s="73">
        <f t="shared" si="88"/>
        <v>97</v>
      </c>
      <c r="BY45" s="74">
        <f t="shared" si="89"/>
        <v>101</v>
      </c>
      <c r="BZ45" s="73">
        <f t="shared" si="90"/>
        <v>137</v>
      </c>
      <c r="CA45" s="74">
        <f t="shared" si="91"/>
        <v>145</v>
      </c>
      <c r="CB45" s="73">
        <f t="shared" si="92"/>
        <v>185</v>
      </c>
      <c r="CC45" s="74">
        <f t="shared" si="93"/>
        <v>192</v>
      </c>
      <c r="CD45" s="73">
        <f t="shared" si="94"/>
        <v>389</v>
      </c>
      <c r="CE45" s="74">
        <f t="shared" si="95"/>
        <v>431</v>
      </c>
      <c r="CF45" s="73">
        <f t="shared" si="96"/>
        <v>457</v>
      </c>
      <c r="CG45" s="72">
        <f t="shared" si="97"/>
        <v>60</v>
      </c>
      <c r="CH45" s="73">
        <f t="shared" si="98"/>
        <v>64</v>
      </c>
      <c r="CI45" s="74">
        <f t="shared" si="99"/>
        <v>95</v>
      </c>
      <c r="CJ45" s="74">
        <f t="shared" si="100"/>
        <v>100</v>
      </c>
      <c r="CK45" s="74">
        <f t="shared" si="101"/>
        <v>136</v>
      </c>
      <c r="CL45" s="74">
        <f t="shared" si="102"/>
        <v>144</v>
      </c>
      <c r="CM45" s="74">
        <f t="shared" si="103"/>
        <v>176</v>
      </c>
      <c r="CN45" s="74">
        <f t="shared" si="104"/>
        <v>187</v>
      </c>
      <c r="CO45" s="74">
        <f t="shared" si="105"/>
        <v>232</v>
      </c>
      <c r="CP45" s="74">
        <f t="shared" si="106"/>
        <v>426</v>
      </c>
      <c r="CQ45" s="74">
        <f t="shared" si="107"/>
        <v>456</v>
      </c>
      <c r="CR45" s="74">
        <f t="shared" si="108"/>
        <v>469</v>
      </c>
      <c r="CS45" s="23">
        <f t="shared" si="109"/>
        <v>1</v>
      </c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</row>
    <row r="46" spans="1:1028" x14ac:dyDescent="0.2">
      <c r="A46" s="3" t="str">
        <f t="shared" si="194"/>
        <v>acm4_human_5DSG</v>
      </c>
      <c r="B46" s="3" t="s">
        <v>149</v>
      </c>
      <c r="C46" s="3" t="s">
        <v>61</v>
      </c>
      <c r="D46" s="3" t="str">
        <f>IFERROR(MID(VLOOKUP($B46,Seqs!$A:$B,2,0),E46,1),"")</f>
        <v>R</v>
      </c>
      <c r="E46" s="3">
        <v>26</v>
      </c>
      <c r="F46" s="3" t="str">
        <f>IFERROR(MID(VLOOKUP($B46,Seqs!$A:$B,2,0),G46,1),"")</f>
        <v>N</v>
      </c>
      <c r="G46" s="3">
        <v>60</v>
      </c>
      <c r="H46" s="3" t="str">
        <f>IFERROR(MID(VLOOKUP($B46,Seqs!$A:$B,2,0),I46,1),"")</f>
        <v>R</v>
      </c>
      <c r="I46" s="23">
        <v>61</v>
      </c>
      <c r="J46" s="3" t="str">
        <f>IFERROR(MID(VLOOKUP($B46,Seqs!$A:$B,2,0),K46,1),"")</f>
        <v>Q</v>
      </c>
      <c r="K46" s="23">
        <v>64</v>
      </c>
      <c r="L46" s="3" t="str">
        <f>IFERROR(MID(VLOOKUP($B46,Seqs!$A:$B,2,0),M46,1),"")</f>
        <v>T</v>
      </c>
      <c r="M46" s="3">
        <v>65</v>
      </c>
      <c r="N46" s="3" t="str">
        <f>IFERROR(MID(VLOOKUP($B46,Seqs!$A:$B,2,0),O46,1),"")</f>
        <v>K</v>
      </c>
      <c r="O46" s="3">
        <v>95</v>
      </c>
      <c r="P46" s="3" t="str">
        <f>IFERROR(MID(VLOOKUP($B46,Seqs!$A:$B,2,0),Q46,1),"")</f>
        <v>Y</v>
      </c>
      <c r="Q46" s="3">
        <v>97</v>
      </c>
      <c r="R46" s="3" t="str">
        <f>IFERROR(MID(VLOOKUP($B46,Seqs!$A:$B,2,0),S46,1),"")</f>
        <v>L</v>
      </c>
      <c r="S46" s="3">
        <v>100</v>
      </c>
      <c r="T46" s="3" t="str">
        <f>IFERROR(MID(VLOOKUP($B46,Seqs!$A:$B,2,0),U46,1),"")</f>
        <v>G</v>
      </c>
      <c r="U46" s="3">
        <v>101</v>
      </c>
      <c r="V46" s="3" t="str">
        <f>IFERROR(MID(VLOOKUP($B46,Seqs!$A:$B,2,0),W46,1),"")</f>
        <v>K</v>
      </c>
      <c r="W46" s="3">
        <v>136</v>
      </c>
      <c r="X46" s="3" t="str">
        <f>IFERROR(MID(VLOOKUP($B46,Seqs!$A:$B,2,0),Y46,1),"")</f>
        <v>P</v>
      </c>
      <c r="Y46" s="3">
        <v>137</v>
      </c>
      <c r="Z46" s="3" t="str">
        <f>IFERROR(MID(VLOOKUP($B46,Seqs!$A:$B,2,0),AA46,1),"")</f>
        <v>R</v>
      </c>
      <c r="AA46" s="3">
        <v>144</v>
      </c>
      <c r="AB46" s="3" t="str">
        <f>IFERROR(MID(VLOOKUP($B46,Seqs!$A:$B,2,0),AC46,1),"")</f>
        <v>T</v>
      </c>
      <c r="AC46" s="9">
        <v>145</v>
      </c>
      <c r="AD46" s="3" t="str">
        <f>IFERROR(MID(VLOOKUP($B46,Seqs!$A:$B,2,0),AE46,1),"")</f>
        <v>G</v>
      </c>
      <c r="AE46" s="3">
        <v>176</v>
      </c>
      <c r="AF46" s="3" t="str">
        <f>IFERROR(MID(VLOOKUP($B46,Seqs!$A:$B,2,0),AG46,1),"")</f>
        <v>C</v>
      </c>
      <c r="AG46" s="3">
        <v>185</v>
      </c>
      <c r="AH46" s="3" t="str">
        <f>IFERROR(MID(VLOOKUP($B46,Seqs!$A:$B,2,0),AI46,1),"")</f>
        <v>I</v>
      </c>
      <c r="AI46" s="3">
        <v>187</v>
      </c>
      <c r="AJ46" s="3" t="str">
        <f>IFERROR(MID(VLOOKUP($B46,Seqs!$A:$B,2,0),AK46,1),"")</f>
        <v>N</v>
      </c>
      <c r="AK46" s="3">
        <v>192</v>
      </c>
      <c r="AL46" s="3" t="str">
        <f>IFERROR(MID(VLOOKUP($B46,Seqs!$A:$B,2,0),AM46,1),"")</f>
        <v>L</v>
      </c>
      <c r="AM46" s="3">
        <v>220</v>
      </c>
      <c r="AN46" s="3" t="str">
        <f>IFERROR(MID(VLOOKUP($B46,Seqs!$A:$B,2,0),AO46,1),"")</f>
        <v>R</v>
      </c>
      <c r="AO46" s="3">
        <v>396</v>
      </c>
      <c r="AP46" s="3" t="str">
        <f>IFERROR(MID(VLOOKUP($B46,Seqs!$A:$B,2,0),AQ46,1),"")</f>
        <v>C</v>
      </c>
      <c r="AQ46" s="3">
        <v>426</v>
      </c>
      <c r="AR46" s="3" t="str">
        <f>IFERROR(MID(VLOOKUP($B46,Seqs!$A:$B,2,0),AS46,1),"")</f>
        <v>P</v>
      </c>
      <c r="AS46" s="3">
        <v>431</v>
      </c>
      <c r="AT46" s="3" t="str">
        <f>IFERROR(MID(VLOOKUP($B46,Seqs!$A:$B,2,0),AU46,1),"")</f>
        <v>C</v>
      </c>
      <c r="AU46" s="3">
        <v>456</v>
      </c>
      <c r="AV46" s="3" t="str">
        <f>IFERROR(MID(VLOOKUP($B46,Seqs!$A:$B,2,0),AW46,1),"")</f>
        <v>N</v>
      </c>
      <c r="AW46" s="3">
        <v>457</v>
      </c>
      <c r="AX46" s="3" t="str">
        <f>IFERROR(MID(VLOOKUP($B46,Seqs!$A:$B,2,0),AY46,1),"")</f>
        <v>L</v>
      </c>
      <c r="AY46" s="3">
        <v>469</v>
      </c>
      <c r="AZ46" s="79" t="str">
        <f>VLOOKUP(B46,Classification!A:D,2,0)</f>
        <v>A</v>
      </c>
      <c r="BA46" s="97" t="str">
        <f>VLOOKUP(B46,Classification!A:D,4,0)</f>
        <v>Acetylcholine(muscarinic)</v>
      </c>
      <c r="BB46" s="27" t="b">
        <f t="shared" si="195"/>
        <v>1</v>
      </c>
      <c r="BC46" s="23">
        <f t="shared" si="84"/>
        <v>252</v>
      </c>
      <c r="BD46" s="2" t="s">
        <v>1383</v>
      </c>
      <c r="BE46" s="3" t="s">
        <v>1381</v>
      </c>
      <c r="BF46" s="50" t="s">
        <v>1384</v>
      </c>
      <c r="BG46" s="50" t="s">
        <v>1384</v>
      </c>
      <c r="BH46" s="1"/>
      <c r="BI46" s="72" t="s">
        <v>1293</v>
      </c>
      <c r="BJ46" s="58" t="s">
        <v>1293</v>
      </c>
      <c r="BK46" s="58" t="s">
        <v>1293</v>
      </c>
      <c r="BL46" s="58" t="s">
        <v>1293</v>
      </c>
      <c r="BM46" s="58" t="s">
        <v>1293</v>
      </c>
      <c r="BN46" s="58" t="s">
        <v>1293</v>
      </c>
      <c r="BO46" s="58" t="s">
        <v>1293</v>
      </c>
      <c r="BP46" s="58" t="s">
        <v>1293</v>
      </c>
      <c r="BQ46" s="58" t="s">
        <v>1293</v>
      </c>
      <c r="BR46" s="58" t="s">
        <v>1293</v>
      </c>
      <c r="BS46" s="58" t="s">
        <v>1293</v>
      </c>
      <c r="BT46" s="58" t="s">
        <v>1293</v>
      </c>
      <c r="BU46" s="72">
        <f t="shared" si="85"/>
        <v>26</v>
      </c>
      <c r="BV46" s="73">
        <f t="shared" si="86"/>
        <v>61</v>
      </c>
      <c r="BW46" s="74">
        <f t="shared" si="87"/>
        <v>65</v>
      </c>
      <c r="BX46" s="73">
        <f t="shared" si="88"/>
        <v>97</v>
      </c>
      <c r="BY46" s="74">
        <f t="shared" si="89"/>
        <v>101</v>
      </c>
      <c r="BZ46" s="73">
        <f t="shared" si="90"/>
        <v>137</v>
      </c>
      <c r="CA46" s="74">
        <f t="shared" si="91"/>
        <v>145</v>
      </c>
      <c r="CB46" s="73">
        <f t="shared" si="92"/>
        <v>185</v>
      </c>
      <c r="CC46" s="74">
        <f t="shared" si="93"/>
        <v>192</v>
      </c>
      <c r="CD46" s="73">
        <f t="shared" si="94"/>
        <v>396</v>
      </c>
      <c r="CE46" s="74">
        <f t="shared" si="95"/>
        <v>431</v>
      </c>
      <c r="CF46" s="73">
        <f t="shared" si="96"/>
        <v>457</v>
      </c>
      <c r="CG46" s="72">
        <f t="shared" si="97"/>
        <v>60</v>
      </c>
      <c r="CH46" s="73">
        <f t="shared" si="98"/>
        <v>64</v>
      </c>
      <c r="CI46" s="74">
        <f t="shared" si="99"/>
        <v>95</v>
      </c>
      <c r="CJ46" s="74">
        <f t="shared" si="100"/>
        <v>100</v>
      </c>
      <c r="CK46" s="74">
        <f t="shared" si="101"/>
        <v>136</v>
      </c>
      <c r="CL46" s="74">
        <f t="shared" si="102"/>
        <v>144</v>
      </c>
      <c r="CM46" s="74">
        <f t="shared" si="103"/>
        <v>176</v>
      </c>
      <c r="CN46" s="74">
        <f t="shared" si="104"/>
        <v>187</v>
      </c>
      <c r="CO46" s="74">
        <f t="shared" si="105"/>
        <v>220</v>
      </c>
      <c r="CP46" s="74">
        <f t="shared" si="106"/>
        <v>426</v>
      </c>
      <c r="CQ46" s="74">
        <f t="shared" si="107"/>
        <v>456</v>
      </c>
      <c r="CR46" s="74">
        <f t="shared" si="108"/>
        <v>469</v>
      </c>
      <c r="CS46" s="23">
        <f t="shared" si="109"/>
        <v>1</v>
      </c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</row>
    <row r="47" spans="1:1028" x14ac:dyDescent="0.2">
      <c r="A47" s="3" t="str">
        <f t="shared" si="194"/>
        <v>adrb1_melga__wt</v>
      </c>
      <c r="B47" s="3" t="s">
        <v>912</v>
      </c>
      <c r="C47" s="3" t="s">
        <v>100</v>
      </c>
      <c r="D47" s="3" t="str">
        <f>IFERROR(MID(VLOOKUP($B47,Seqs!$A:$B,2,0),E47,1),"")</f>
        <v>A</v>
      </c>
      <c r="E47" s="3">
        <v>33</v>
      </c>
      <c r="F47" s="3" t="str">
        <f>IFERROR(MID(VLOOKUP($B47,Seqs!$A:$B,2,0),G47,1),"")</f>
        <v>T</v>
      </c>
      <c r="G47" s="3">
        <v>69</v>
      </c>
      <c r="H47" s="3" t="str">
        <f>IFERROR(MID(VLOOKUP($B47,Seqs!$A:$B,2,0),I47,1),"")</f>
        <v>Q</v>
      </c>
      <c r="I47" s="23">
        <v>70</v>
      </c>
      <c r="J47" s="3" t="str">
        <f>IFERROR(MID(VLOOKUP($B47,Seqs!$A:$B,2,0),K47,1),"")</f>
        <v>Q</v>
      </c>
      <c r="K47" s="23">
        <v>73</v>
      </c>
      <c r="L47" s="3" t="str">
        <f>IFERROR(MID(VLOOKUP($B47,Seqs!$A:$B,2,0),M47,1),"")</f>
        <v>T</v>
      </c>
      <c r="M47" s="3">
        <v>74</v>
      </c>
      <c r="N47" s="3" t="str">
        <f>IFERROR(MID(VLOOKUP($B47,Seqs!$A:$B,2,0),O47,1),"")</f>
        <v>R</v>
      </c>
      <c r="O47" s="3">
        <v>104</v>
      </c>
      <c r="P47" s="3" t="str">
        <f>IFERROR(MID(VLOOKUP($B47,Seqs!$A:$B,2,0),Q47,1),"")</f>
        <v>T</v>
      </c>
      <c r="Q47" s="3">
        <v>106</v>
      </c>
      <c r="R47" s="3" t="str">
        <f>IFERROR(MID(VLOOKUP($B47,Seqs!$A:$B,2,0),S47,1),"")</f>
        <v>W</v>
      </c>
      <c r="S47" s="3">
        <v>109</v>
      </c>
      <c r="T47" s="3" t="str">
        <f>IFERROR(MID(VLOOKUP($B47,Seqs!$A:$B,2,0),U47,1),"")</f>
        <v>G</v>
      </c>
      <c r="U47" s="3">
        <v>110</v>
      </c>
      <c r="V47" s="3" t="str">
        <f>IFERROR(MID(VLOOKUP($B47,Seqs!$A:$B,2,0),W47,1),"")</f>
        <v>S</v>
      </c>
      <c r="W47" s="3">
        <v>145</v>
      </c>
      <c r="X47" s="3" t="str">
        <f>IFERROR(MID(VLOOKUP($B47,Seqs!$A:$B,2,0),Y47,1),"")</f>
        <v>P</v>
      </c>
      <c r="Y47" s="3">
        <v>146</v>
      </c>
      <c r="Z47" s="3" t="str">
        <f>IFERROR(MID(VLOOKUP($B47,Seqs!$A:$B,2,0),AA47,1),"")</f>
        <v>M</v>
      </c>
      <c r="AA47" s="3">
        <v>153</v>
      </c>
      <c r="AB47" s="3" t="str">
        <f>IFERROR(MID(VLOOKUP($B47,Seqs!$A:$B,2,0),AC47,1),"")</f>
        <v>T</v>
      </c>
      <c r="AC47" s="9">
        <v>154</v>
      </c>
      <c r="AD47" s="3" t="str">
        <f>IFERROR(MID(VLOOKUP($B47,Seqs!$A:$B,2,0),AE47,1),"")</f>
        <v>H</v>
      </c>
      <c r="AE47" s="3">
        <v>180</v>
      </c>
      <c r="AF47" s="3" t="str">
        <f>IFERROR(MID(VLOOKUP($B47,Seqs!$A:$B,2,0),AG47,1),"")</f>
        <v>C</v>
      </c>
      <c r="AG47" s="3">
        <v>199</v>
      </c>
      <c r="AH47" s="3" t="str">
        <f>IFERROR(MID(VLOOKUP($B47,Seqs!$A:$B,2,0),AI47,1),"")</f>
        <v>F</v>
      </c>
      <c r="AI47" s="3">
        <v>201</v>
      </c>
      <c r="AJ47" s="3" t="str">
        <f>IFERROR(MID(VLOOKUP($B47,Seqs!$A:$B,2,0),AK47,1),"")</f>
        <v>N</v>
      </c>
      <c r="AK47" s="3">
        <v>204</v>
      </c>
      <c r="AL47" s="3" t="str">
        <f>IFERROR(MID(VLOOKUP($B47,Seqs!$A:$B,2,0),AM47,1),"")</f>
        <v>E</v>
      </c>
      <c r="AM47" s="3">
        <v>245</v>
      </c>
      <c r="AN47" s="3" t="str">
        <f>IFERROR(MID(VLOOKUP($B47,Seqs!$A:$B,2,0),AO47,1),"")</f>
        <v>R</v>
      </c>
      <c r="AO47" s="3">
        <v>275</v>
      </c>
      <c r="AP47" s="3" t="str">
        <f>IFERROR(MID(VLOOKUP($B47,Seqs!$A:$B,2,0),AQ47,1),"")</f>
        <v>N</v>
      </c>
      <c r="AQ47" s="3">
        <v>316</v>
      </c>
      <c r="AR47" s="3" t="str">
        <f>IFERROR(MID(VLOOKUP($B47,Seqs!$A:$B,2,0),AS47,1),"")</f>
        <v>P</v>
      </c>
      <c r="AS47" s="3">
        <v>321</v>
      </c>
      <c r="AT47" s="3" t="str">
        <f>IFERROR(MID(VLOOKUP($B47,Seqs!$A:$B,2,0),AU47,1),"")</f>
        <v>R</v>
      </c>
      <c r="AU47" s="3">
        <v>345</v>
      </c>
      <c r="AV47" s="3" t="str">
        <f>IFERROR(MID(VLOOKUP($B47,Seqs!$A:$B,2,0),AW47,1),"")</f>
        <v>S</v>
      </c>
      <c r="AW47" s="3">
        <v>346</v>
      </c>
      <c r="AX47" s="3" t="str">
        <f>IFERROR(MID(VLOOKUP($B47,Seqs!$A:$B,2,0),AY47,1),"")</f>
        <v>C</v>
      </c>
      <c r="AY47" s="3">
        <v>358</v>
      </c>
      <c r="AZ47" s="79" t="str">
        <f>VLOOKUP(B47,Classification!A:D,2,0)</f>
        <v>A</v>
      </c>
      <c r="BA47" s="97" t="str">
        <f>VLOOKUP(B47,Classification!A:D,4,0)</f>
        <v>Adrenoceptors</v>
      </c>
      <c r="BB47" s="27" t="b">
        <f t="shared" si="195"/>
        <v>1</v>
      </c>
      <c r="BC47" s="23">
        <f t="shared" si="84"/>
        <v>272</v>
      </c>
      <c r="BD47" s="35" t="s">
        <v>1379</v>
      </c>
      <c r="BE47" s="3" t="s">
        <v>1381</v>
      </c>
      <c r="BF47" s="50" t="s">
        <v>1379</v>
      </c>
      <c r="BG47" s="50" t="s">
        <v>1384</v>
      </c>
      <c r="BH47" s="3" t="s">
        <v>1166</v>
      </c>
      <c r="BI47" s="72" t="s">
        <v>1293</v>
      </c>
      <c r="BJ47" s="58" t="s">
        <v>1293</v>
      </c>
      <c r="BK47" s="58" t="s">
        <v>1293</v>
      </c>
      <c r="BL47" s="58" t="s">
        <v>1293</v>
      </c>
      <c r="BM47" s="58" t="s">
        <v>1293</v>
      </c>
      <c r="BN47" s="58" t="s">
        <v>1293</v>
      </c>
      <c r="BO47" s="58" t="s">
        <v>1293</v>
      </c>
      <c r="BP47" s="58" t="s">
        <v>1293</v>
      </c>
      <c r="BQ47" s="58" t="s">
        <v>1293</v>
      </c>
      <c r="BR47" s="58" t="s">
        <v>1293</v>
      </c>
      <c r="BS47" s="58" t="s">
        <v>1293</v>
      </c>
      <c r="BT47" s="58" t="s">
        <v>1293</v>
      </c>
      <c r="BU47" s="72">
        <f t="shared" si="85"/>
        <v>33</v>
      </c>
      <c r="BV47" s="73">
        <f t="shared" si="86"/>
        <v>70</v>
      </c>
      <c r="BW47" s="74">
        <f t="shared" si="87"/>
        <v>74</v>
      </c>
      <c r="BX47" s="73">
        <f t="shared" si="88"/>
        <v>106</v>
      </c>
      <c r="BY47" s="74">
        <f t="shared" si="89"/>
        <v>110</v>
      </c>
      <c r="BZ47" s="73">
        <f t="shared" si="90"/>
        <v>146</v>
      </c>
      <c r="CA47" s="74">
        <f t="shared" si="91"/>
        <v>154</v>
      </c>
      <c r="CB47" s="73">
        <f t="shared" si="92"/>
        <v>199</v>
      </c>
      <c r="CC47" s="74">
        <f t="shared" si="93"/>
        <v>204</v>
      </c>
      <c r="CD47" s="73">
        <f t="shared" si="94"/>
        <v>275</v>
      </c>
      <c r="CE47" s="74">
        <f t="shared" si="95"/>
        <v>321</v>
      </c>
      <c r="CF47" s="73">
        <f t="shared" si="96"/>
        <v>346</v>
      </c>
      <c r="CG47" s="72">
        <f t="shared" si="97"/>
        <v>69</v>
      </c>
      <c r="CH47" s="73">
        <f t="shared" si="98"/>
        <v>73</v>
      </c>
      <c r="CI47" s="74">
        <f t="shared" si="99"/>
        <v>104</v>
      </c>
      <c r="CJ47" s="74">
        <f t="shared" si="100"/>
        <v>109</v>
      </c>
      <c r="CK47" s="74">
        <f t="shared" si="101"/>
        <v>145</v>
      </c>
      <c r="CL47" s="74">
        <f t="shared" si="102"/>
        <v>153</v>
      </c>
      <c r="CM47" s="74">
        <f t="shared" si="103"/>
        <v>180</v>
      </c>
      <c r="CN47" s="74">
        <f t="shared" si="104"/>
        <v>201</v>
      </c>
      <c r="CO47" s="74">
        <f t="shared" si="105"/>
        <v>245</v>
      </c>
      <c r="CP47" s="74">
        <f t="shared" si="106"/>
        <v>316</v>
      </c>
      <c r="CQ47" s="74">
        <f t="shared" si="107"/>
        <v>345</v>
      </c>
      <c r="CR47" s="74">
        <f t="shared" si="108"/>
        <v>358</v>
      </c>
      <c r="CS47" s="23">
        <f t="shared" si="109"/>
        <v>1</v>
      </c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</row>
    <row r="48" spans="1:1028" x14ac:dyDescent="0.2">
      <c r="A48" s="3" t="str">
        <f t="shared" si="194"/>
        <v>adrb1_melga_2Y00</v>
      </c>
      <c r="B48" s="3" t="s">
        <v>912</v>
      </c>
      <c r="C48" s="3" t="s">
        <v>1023</v>
      </c>
      <c r="D48" s="3" t="str">
        <f>IFERROR(MID(VLOOKUP($B48,Seqs!$A:$B,2,0),E48,1),"")</f>
        <v>A</v>
      </c>
      <c r="E48" s="3">
        <v>33</v>
      </c>
      <c r="F48" s="3" t="str">
        <f>IFERROR(MID(VLOOKUP($B48,Seqs!$A:$B,2,0),G48,1),"")</f>
        <v>T</v>
      </c>
      <c r="G48" s="3">
        <v>69</v>
      </c>
      <c r="H48" s="3" t="str">
        <f>IFERROR(MID(VLOOKUP($B48,Seqs!$A:$B,2,0),I48,1),"")</f>
        <v>Q</v>
      </c>
      <c r="I48" s="23">
        <v>70</v>
      </c>
      <c r="J48" s="3" t="str">
        <f>IFERROR(MID(VLOOKUP($B48,Seqs!$A:$B,2,0),K48,1),"")</f>
        <v>Q</v>
      </c>
      <c r="K48" s="23">
        <v>73</v>
      </c>
      <c r="L48" s="3" t="str">
        <f>IFERROR(MID(VLOOKUP($B48,Seqs!$A:$B,2,0),M48,1),"")</f>
        <v>T</v>
      </c>
      <c r="M48" s="3">
        <v>74</v>
      </c>
      <c r="N48" s="3" t="str">
        <f>IFERROR(MID(VLOOKUP($B48,Seqs!$A:$B,2,0),O48,1),"")</f>
        <v>R</v>
      </c>
      <c r="O48" s="3">
        <v>104</v>
      </c>
      <c r="P48" s="3" t="str">
        <f>IFERROR(MID(VLOOKUP($B48,Seqs!$A:$B,2,0),Q48,1),"")</f>
        <v>T</v>
      </c>
      <c r="Q48" s="3">
        <v>106</v>
      </c>
      <c r="R48" s="3" t="str">
        <f>IFERROR(MID(VLOOKUP($B48,Seqs!$A:$B,2,0),S48,1),"")</f>
        <v>W</v>
      </c>
      <c r="S48" s="3">
        <v>109</v>
      </c>
      <c r="T48" s="3" t="str">
        <f>IFERROR(MID(VLOOKUP($B48,Seqs!$A:$B,2,0),U48,1),"")</f>
        <v>G</v>
      </c>
      <c r="U48" s="3">
        <v>110</v>
      </c>
      <c r="V48" s="3" t="str">
        <f>IFERROR(MID(VLOOKUP($B48,Seqs!$A:$B,2,0),W48,1),"")</f>
        <v>S</v>
      </c>
      <c r="W48" s="3">
        <v>145</v>
      </c>
      <c r="X48" s="3" t="str">
        <f>IFERROR(MID(VLOOKUP($B48,Seqs!$A:$B,2,0),Y48,1),"")</f>
        <v>P</v>
      </c>
      <c r="Y48" s="3">
        <v>146</v>
      </c>
      <c r="Z48" s="3" t="str">
        <f>IFERROR(MID(VLOOKUP($B48,Seqs!$A:$B,2,0),AA48,1),"")</f>
        <v>M</v>
      </c>
      <c r="AA48" s="3">
        <v>153</v>
      </c>
      <c r="AB48" s="3" t="str">
        <f>IFERROR(MID(VLOOKUP($B48,Seqs!$A:$B,2,0),AC48,1),"")</f>
        <v>T</v>
      </c>
      <c r="AC48" s="9">
        <v>154</v>
      </c>
      <c r="AD48" s="3" t="str">
        <f>IFERROR(MID(VLOOKUP($B48,Seqs!$A:$B,2,0),AE48,1),"")</f>
        <v>H</v>
      </c>
      <c r="AE48" s="3">
        <v>180</v>
      </c>
      <c r="AF48" s="3" t="str">
        <f>IFERROR(MID(VLOOKUP($B48,Seqs!$A:$B,2,0),AG48,1),"")</f>
        <v>C</v>
      </c>
      <c r="AG48" s="3">
        <v>199</v>
      </c>
      <c r="AH48" s="3" t="str">
        <f>IFERROR(MID(VLOOKUP($B48,Seqs!$A:$B,2,0),AI48,1),"")</f>
        <v>F</v>
      </c>
      <c r="AI48" s="3">
        <v>201</v>
      </c>
      <c r="AJ48" s="3" t="str">
        <f>IFERROR(MID(VLOOKUP($B48,Seqs!$A:$B,2,0),AK48,1),"")</f>
        <v>N</v>
      </c>
      <c r="AK48" s="3">
        <v>204</v>
      </c>
      <c r="AL48" s="3" t="str">
        <f>IFERROR(MID(VLOOKUP($B48,Seqs!$A:$B,2,0),AM48,1),"")</f>
        <v>I</v>
      </c>
      <c r="AM48" s="3">
        <v>238</v>
      </c>
      <c r="AN48" s="3" t="str">
        <f>IFERROR(MID(VLOOKUP($B48,Seqs!$A:$B,2,0),AO48,1),"")</f>
        <v>R</v>
      </c>
      <c r="AO48" s="3">
        <v>275</v>
      </c>
      <c r="AP48" s="3" t="str">
        <f>IFERROR(MID(VLOOKUP($B48,Seqs!$A:$B,2,0),AQ48,1),"")</f>
        <v>N</v>
      </c>
      <c r="AQ48" s="3">
        <v>316</v>
      </c>
      <c r="AR48" s="3" t="str">
        <f>IFERROR(MID(VLOOKUP($B48,Seqs!$A:$B,2,0),AS48,1),"")</f>
        <v>P</v>
      </c>
      <c r="AS48" s="3">
        <v>321</v>
      </c>
      <c r="AT48" s="3" t="str">
        <f>IFERROR(MID(VLOOKUP($B48,Seqs!$A:$B,2,0),AU48,1),"")</f>
        <v>R</v>
      </c>
      <c r="AU48" s="3">
        <v>345</v>
      </c>
      <c r="AV48" s="3" t="str">
        <f>IFERROR(MID(VLOOKUP($B48,Seqs!$A:$B,2,0),AW48,1),"")</f>
        <v>S</v>
      </c>
      <c r="AW48" s="3">
        <v>346</v>
      </c>
      <c r="AX48" s="3" t="str">
        <f>IFERROR(MID(VLOOKUP($B48,Seqs!$A:$B,2,0),AY48,1),"")</f>
        <v>C</v>
      </c>
      <c r="AY48" s="3">
        <v>358</v>
      </c>
      <c r="AZ48" s="79" t="str">
        <f>VLOOKUP(B48,Classification!A:D,2,0)</f>
        <v>A</v>
      </c>
      <c r="BA48" s="97" t="str">
        <f>VLOOKUP(B48,Classification!A:D,4,0)</f>
        <v>Adrenoceptors</v>
      </c>
      <c r="BB48" s="27" t="b">
        <f t="shared" si="195"/>
        <v>1</v>
      </c>
      <c r="BC48" s="23">
        <f t="shared" si="84"/>
        <v>265</v>
      </c>
      <c r="BD48" s="4" t="s">
        <v>23</v>
      </c>
      <c r="BE48" s="3" t="s">
        <v>1381</v>
      </c>
      <c r="BF48" s="50" t="s">
        <v>1384</v>
      </c>
      <c r="BG48" s="50" t="s">
        <v>1384</v>
      </c>
      <c r="BH48" s="1"/>
      <c r="BI48" s="72" t="s">
        <v>1293</v>
      </c>
      <c r="BJ48" s="58" t="s">
        <v>1293</v>
      </c>
      <c r="BK48" s="58" t="s">
        <v>1293</v>
      </c>
      <c r="BL48" s="58" t="s">
        <v>1293</v>
      </c>
      <c r="BM48" s="58" t="s">
        <v>1293</v>
      </c>
      <c r="BN48" s="58" t="s">
        <v>1293</v>
      </c>
      <c r="BO48" s="58" t="s">
        <v>1293</v>
      </c>
      <c r="BP48" s="58" t="s">
        <v>1293</v>
      </c>
      <c r="BQ48" s="58" t="s">
        <v>1293</v>
      </c>
      <c r="BR48" s="58" t="s">
        <v>1293</v>
      </c>
      <c r="BS48" s="58" t="s">
        <v>1293</v>
      </c>
      <c r="BT48" s="58" t="s">
        <v>1293</v>
      </c>
      <c r="BU48" s="72">
        <f t="shared" si="85"/>
        <v>33</v>
      </c>
      <c r="BV48" s="73">
        <f t="shared" si="86"/>
        <v>70</v>
      </c>
      <c r="BW48" s="74">
        <f t="shared" si="87"/>
        <v>74</v>
      </c>
      <c r="BX48" s="73">
        <f t="shared" si="88"/>
        <v>106</v>
      </c>
      <c r="BY48" s="74">
        <f t="shared" si="89"/>
        <v>110</v>
      </c>
      <c r="BZ48" s="73">
        <f t="shared" si="90"/>
        <v>146</v>
      </c>
      <c r="CA48" s="74">
        <f t="shared" si="91"/>
        <v>154</v>
      </c>
      <c r="CB48" s="73">
        <f t="shared" si="92"/>
        <v>199</v>
      </c>
      <c r="CC48" s="74">
        <f t="shared" si="93"/>
        <v>204</v>
      </c>
      <c r="CD48" s="73">
        <f t="shared" si="94"/>
        <v>275</v>
      </c>
      <c r="CE48" s="74">
        <f t="shared" si="95"/>
        <v>321</v>
      </c>
      <c r="CF48" s="73">
        <f t="shared" si="96"/>
        <v>346</v>
      </c>
      <c r="CG48" s="72">
        <f t="shared" si="97"/>
        <v>69</v>
      </c>
      <c r="CH48" s="73">
        <f t="shared" si="98"/>
        <v>73</v>
      </c>
      <c r="CI48" s="74">
        <f t="shared" si="99"/>
        <v>104</v>
      </c>
      <c r="CJ48" s="74">
        <f t="shared" si="100"/>
        <v>109</v>
      </c>
      <c r="CK48" s="74">
        <f t="shared" si="101"/>
        <v>145</v>
      </c>
      <c r="CL48" s="74">
        <f t="shared" si="102"/>
        <v>153</v>
      </c>
      <c r="CM48" s="74">
        <f t="shared" si="103"/>
        <v>180</v>
      </c>
      <c r="CN48" s="74">
        <f t="shared" si="104"/>
        <v>201</v>
      </c>
      <c r="CO48" s="74">
        <f t="shared" si="105"/>
        <v>238</v>
      </c>
      <c r="CP48" s="74">
        <f t="shared" si="106"/>
        <v>316</v>
      </c>
      <c r="CQ48" s="74">
        <f t="shared" si="107"/>
        <v>345</v>
      </c>
      <c r="CR48" s="74">
        <f t="shared" si="108"/>
        <v>358</v>
      </c>
      <c r="CS48" s="23">
        <f t="shared" si="109"/>
        <v>1</v>
      </c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</row>
    <row r="49" spans="1:1028" x14ac:dyDescent="0.2">
      <c r="A49" s="3" t="str">
        <f t="shared" si="194"/>
        <v>adrb1_melga_2Y02</v>
      </c>
      <c r="B49" s="3" t="s">
        <v>912</v>
      </c>
      <c r="C49" s="3" t="s">
        <v>1024</v>
      </c>
      <c r="D49" s="3" t="str">
        <f>IFERROR(MID(VLOOKUP($B49,Seqs!$A:$B,2,0),E49,1),"")</f>
        <v>A</v>
      </c>
      <c r="E49" s="3">
        <v>33</v>
      </c>
      <c r="F49" s="3" t="str">
        <f>IFERROR(MID(VLOOKUP($B49,Seqs!$A:$B,2,0),G49,1),"")</f>
        <v>T</v>
      </c>
      <c r="G49" s="3">
        <v>69</v>
      </c>
      <c r="H49" s="3" t="str">
        <f>IFERROR(MID(VLOOKUP($B49,Seqs!$A:$B,2,0),I49,1),"")</f>
        <v>Q</v>
      </c>
      <c r="I49" s="23">
        <v>70</v>
      </c>
      <c r="J49" s="3" t="str">
        <f>IFERROR(MID(VLOOKUP($B49,Seqs!$A:$B,2,0),K49,1),"")</f>
        <v>Q</v>
      </c>
      <c r="K49" s="23">
        <v>73</v>
      </c>
      <c r="L49" s="3" t="str">
        <f>IFERROR(MID(VLOOKUP($B49,Seqs!$A:$B,2,0),M49,1),"")</f>
        <v>T</v>
      </c>
      <c r="M49" s="3">
        <v>74</v>
      </c>
      <c r="N49" s="3" t="str">
        <f>IFERROR(MID(VLOOKUP($B49,Seqs!$A:$B,2,0),O49,1),"")</f>
        <v>R</v>
      </c>
      <c r="O49" s="3">
        <v>104</v>
      </c>
      <c r="P49" s="3" t="str">
        <f>IFERROR(MID(VLOOKUP($B49,Seqs!$A:$B,2,0),Q49,1),"")</f>
        <v>T</v>
      </c>
      <c r="Q49" s="3">
        <v>106</v>
      </c>
      <c r="R49" s="3" t="str">
        <f>IFERROR(MID(VLOOKUP($B49,Seqs!$A:$B,2,0),S49,1),"")</f>
        <v>W</v>
      </c>
      <c r="S49" s="3">
        <v>109</v>
      </c>
      <c r="T49" s="3" t="str">
        <f>IFERROR(MID(VLOOKUP($B49,Seqs!$A:$B,2,0),U49,1),"")</f>
        <v>G</v>
      </c>
      <c r="U49" s="3">
        <v>110</v>
      </c>
      <c r="V49" s="3" t="str">
        <f>IFERROR(MID(VLOOKUP($B49,Seqs!$A:$B,2,0),W49,1),"")</f>
        <v>S</v>
      </c>
      <c r="W49" s="3">
        <v>145</v>
      </c>
      <c r="X49" s="3" t="str">
        <f>IFERROR(MID(VLOOKUP($B49,Seqs!$A:$B,2,0),Y49,1),"")</f>
        <v>P</v>
      </c>
      <c r="Y49" s="3">
        <v>146</v>
      </c>
      <c r="Z49" s="3" t="str">
        <f>IFERROR(MID(VLOOKUP($B49,Seqs!$A:$B,2,0),AA49,1),"")</f>
        <v>M</v>
      </c>
      <c r="AA49" s="3">
        <v>153</v>
      </c>
      <c r="AB49" s="3" t="str">
        <f>IFERROR(MID(VLOOKUP($B49,Seqs!$A:$B,2,0),AC49,1),"")</f>
        <v>T</v>
      </c>
      <c r="AC49" s="9">
        <v>154</v>
      </c>
      <c r="AD49" s="3" t="str">
        <f>IFERROR(MID(VLOOKUP($B49,Seqs!$A:$B,2,0),AE49,1),"")</f>
        <v>H</v>
      </c>
      <c r="AE49" s="3">
        <v>180</v>
      </c>
      <c r="AF49" s="3" t="str">
        <f>IFERROR(MID(VLOOKUP($B49,Seqs!$A:$B,2,0),AG49,1),"")</f>
        <v>C</v>
      </c>
      <c r="AG49" s="3">
        <v>199</v>
      </c>
      <c r="AH49" s="3" t="str">
        <f>IFERROR(MID(VLOOKUP($B49,Seqs!$A:$B,2,0),AI49,1),"")</f>
        <v>F</v>
      </c>
      <c r="AI49" s="3">
        <v>201</v>
      </c>
      <c r="AJ49" s="3" t="str">
        <f>IFERROR(MID(VLOOKUP($B49,Seqs!$A:$B,2,0),AK49,1),"")</f>
        <v>N</v>
      </c>
      <c r="AK49" s="3">
        <v>204</v>
      </c>
      <c r="AL49" s="3" t="str">
        <f>IFERROR(MID(VLOOKUP($B49,Seqs!$A:$B,2,0),AM49,1),"")</f>
        <v>I</v>
      </c>
      <c r="AM49" s="3">
        <v>238</v>
      </c>
      <c r="AN49" s="3" t="str">
        <f>IFERROR(MID(VLOOKUP($B49,Seqs!$A:$B,2,0),AO49,1),"")</f>
        <v>R</v>
      </c>
      <c r="AO49" s="3">
        <v>275</v>
      </c>
      <c r="AP49" s="3" t="str">
        <f>IFERROR(MID(VLOOKUP($B49,Seqs!$A:$B,2,0),AQ49,1),"")</f>
        <v>N</v>
      </c>
      <c r="AQ49" s="3">
        <v>316</v>
      </c>
      <c r="AR49" s="3" t="str">
        <f>IFERROR(MID(VLOOKUP($B49,Seqs!$A:$B,2,0),AS49,1),"")</f>
        <v>P</v>
      </c>
      <c r="AS49" s="3">
        <v>321</v>
      </c>
      <c r="AT49" s="3" t="str">
        <f>IFERROR(MID(VLOOKUP($B49,Seqs!$A:$B,2,0),AU49,1),"")</f>
        <v>R</v>
      </c>
      <c r="AU49" s="3">
        <v>345</v>
      </c>
      <c r="AV49" s="3" t="str">
        <f>IFERROR(MID(VLOOKUP($B49,Seqs!$A:$B,2,0),AW49,1),"")</f>
        <v>S</v>
      </c>
      <c r="AW49" s="3">
        <v>346</v>
      </c>
      <c r="AX49" s="3" t="str">
        <f>IFERROR(MID(VLOOKUP($B49,Seqs!$A:$B,2,0),AY49,1),"")</f>
        <v>C</v>
      </c>
      <c r="AY49" s="3">
        <v>358</v>
      </c>
      <c r="AZ49" s="79" t="str">
        <f>VLOOKUP(B49,Classification!A:D,2,0)</f>
        <v>A</v>
      </c>
      <c r="BA49" s="97" t="str">
        <f>VLOOKUP(B49,Classification!A:D,4,0)</f>
        <v>Adrenoceptors</v>
      </c>
      <c r="BB49" s="27" t="b">
        <f t="shared" si="195"/>
        <v>1</v>
      </c>
      <c r="BC49" s="23">
        <f t="shared" si="84"/>
        <v>265</v>
      </c>
      <c r="BD49" s="4" t="s">
        <v>23</v>
      </c>
      <c r="BE49" s="3" t="s">
        <v>1381</v>
      </c>
      <c r="BF49" s="50" t="s">
        <v>1384</v>
      </c>
      <c r="BG49" s="50" t="s">
        <v>1384</v>
      </c>
      <c r="BH49" s="1"/>
      <c r="BI49" s="72" t="s">
        <v>1293</v>
      </c>
      <c r="BJ49" s="58" t="s">
        <v>1293</v>
      </c>
      <c r="BK49" s="58" t="s">
        <v>1293</v>
      </c>
      <c r="BL49" s="58" t="s">
        <v>1293</v>
      </c>
      <c r="BM49" s="58" t="s">
        <v>1293</v>
      </c>
      <c r="BN49" s="58" t="s">
        <v>1293</v>
      </c>
      <c r="BO49" s="58" t="s">
        <v>1293</v>
      </c>
      <c r="BP49" s="58" t="s">
        <v>1293</v>
      </c>
      <c r="BQ49" s="58" t="s">
        <v>1293</v>
      </c>
      <c r="BR49" s="58" t="s">
        <v>1293</v>
      </c>
      <c r="BS49" s="58" t="s">
        <v>1293</v>
      </c>
      <c r="BT49" s="58" t="s">
        <v>1293</v>
      </c>
      <c r="BU49" s="72">
        <f t="shared" si="85"/>
        <v>33</v>
      </c>
      <c r="BV49" s="73">
        <f t="shared" si="86"/>
        <v>70</v>
      </c>
      <c r="BW49" s="74">
        <f t="shared" si="87"/>
        <v>74</v>
      </c>
      <c r="BX49" s="73">
        <f t="shared" si="88"/>
        <v>106</v>
      </c>
      <c r="BY49" s="74">
        <f t="shared" si="89"/>
        <v>110</v>
      </c>
      <c r="BZ49" s="73">
        <f t="shared" si="90"/>
        <v>146</v>
      </c>
      <c r="CA49" s="74">
        <f t="shared" si="91"/>
        <v>154</v>
      </c>
      <c r="CB49" s="73">
        <f t="shared" si="92"/>
        <v>199</v>
      </c>
      <c r="CC49" s="74">
        <f t="shared" si="93"/>
        <v>204</v>
      </c>
      <c r="CD49" s="73">
        <f t="shared" si="94"/>
        <v>275</v>
      </c>
      <c r="CE49" s="74">
        <f t="shared" si="95"/>
        <v>321</v>
      </c>
      <c r="CF49" s="73">
        <f t="shared" si="96"/>
        <v>346</v>
      </c>
      <c r="CG49" s="72">
        <f t="shared" si="97"/>
        <v>69</v>
      </c>
      <c r="CH49" s="73">
        <f t="shared" si="98"/>
        <v>73</v>
      </c>
      <c r="CI49" s="74">
        <f t="shared" si="99"/>
        <v>104</v>
      </c>
      <c r="CJ49" s="74">
        <f t="shared" si="100"/>
        <v>109</v>
      </c>
      <c r="CK49" s="74">
        <f t="shared" si="101"/>
        <v>145</v>
      </c>
      <c r="CL49" s="74">
        <f t="shared" si="102"/>
        <v>153</v>
      </c>
      <c r="CM49" s="74">
        <f t="shared" si="103"/>
        <v>180</v>
      </c>
      <c r="CN49" s="74">
        <f t="shared" si="104"/>
        <v>201</v>
      </c>
      <c r="CO49" s="74">
        <f t="shared" si="105"/>
        <v>238</v>
      </c>
      <c r="CP49" s="74">
        <f t="shared" si="106"/>
        <v>316</v>
      </c>
      <c r="CQ49" s="74">
        <f t="shared" si="107"/>
        <v>345</v>
      </c>
      <c r="CR49" s="74">
        <f t="shared" si="108"/>
        <v>358</v>
      </c>
      <c r="CS49" s="23">
        <f t="shared" si="109"/>
        <v>1</v>
      </c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</row>
    <row r="50" spans="1:1028" x14ac:dyDescent="0.2">
      <c r="A50" s="3" t="str">
        <f t="shared" si="194"/>
        <v>adrb1_melga_2Y03</v>
      </c>
      <c r="B50" s="3" t="s">
        <v>912</v>
      </c>
      <c r="C50" s="3" t="s">
        <v>1025</v>
      </c>
      <c r="D50" s="3" t="str">
        <f>IFERROR(MID(VLOOKUP($B50,Seqs!$A:$B,2,0),E50,1),"")</f>
        <v>A</v>
      </c>
      <c r="E50" s="3">
        <v>33</v>
      </c>
      <c r="F50" s="3" t="str">
        <f>IFERROR(MID(VLOOKUP($B50,Seqs!$A:$B,2,0),G50,1),"")</f>
        <v>T</v>
      </c>
      <c r="G50" s="3">
        <v>69</v>
      </c>
      <c r="H50" s="3" t="str">
        <f>IFERROR(MID(VLOOKUP($B50,Seqs!$A:$B,2,0),I50,1),"")</f>
        <v>Q</v>
      </c>
      <c r="I50" s="23">
        <v>70</v>
      </c>
      <c r="J50" s="3" t="str">
        <f>IFERROR(MID(VLOOKUP($B50,Seqs!$A:$B,2,0),K50,1),"")</f>
        <v>Q</v>
      </c>
      <c r="K50" s="23">
        <v>73</v>
      </c>
      <c r="L50" s="3" t="str">
        <f>IFERROR(MID(VLOOKUP($B50,Seqs!$A:$B,2,0),M50,1),"")</f>
        <v>T</v>
      </c>
      <c r="M50" s="3">
        <v>74</v>
      </c>
      <c r="N50" s="3" t="str">
        <f>IFERROR(MID(VLOOKUP($B50,Seqs!$A:$B,2,0),O50,1),"")</f>
        <v>R</v>
      </c>
      <c r="O50" s="3">
        <v>104</v>
      </c>
      <c r="P50" s="3" t="str">
        <f>IFERROR(MID(VLOOKUP($B50,Seqs!$A:$B,2,0),Q50,1),"")</f>
        <v>T</v>
      </c>
      <c r="Q50" s="3">
        <v>106</v>
      </c>
      <c r="R50" s="3" t="str">
        <f>IFERROR(MID(VLOOKUP($B50,Seqs!$A:$B,2,0),S50,1),"")</f>
        <v>W</v>
      </c>
      <c r="S50" s="3">
        <v>109</v>
      </c>
      <c r="T50" s="3" t="str">
        <f>IFERROR(MID(VLOOKUP($B50,Seqs!$A:$B,2,0),U50,1),"")</f>
        <v>G</v>
      </c>
      <c r="U50" s="3">
        <v>110</v>
      </c>
      <c r="V50" s="3" t="str">
        <f>IFERROR(MID(VLOOKUP($B50,Seqs!$A:$B,2,0),W50,1),"")</f>
        <v>S</v>
      </c>
      <c r="W50" s="3">
        <v>145</v>
      </c>
      <c r="X50" s="3" t="str">
        <f>IFERROR(MID(VLOOKUP($B50,Seqs!$A:$B,2,0),Y50,1),"")</f>
        <v>P</v>
      </c>
      <c r="Y50" s="3">
        <v>146</v>
      </c>
      <c r="Z50" s="3" t="str">
        <f>IFERROR(MID(VLOOKUP($B50,Seqs!$A:$B,2,0),AA50,1),"")</f>
        <v>M</v>
      </c>
      <c r="AA50" s="3">
        <v>153</v>
      </c>
      <c r="AB50" s="3" t="str">
        <f>IFERROR(MID(VLOOKUP($B50,Seqs!$A:$B,2,0),AC50,1),"")</f>
        <v>T</v>
      </c>
      <c r="AC50" s="9">
        <v>154</v>
      </c>
      <c r="AD50" s="3" t="str">
        <f>IFERROR(MID(VLOOKUP($B50,Seqs!$A:$B,2,0),AE50,1),"")</f>
        <v>H</v>
      </c>
      <c r="AE50" s="3">
        <v>180</v>
      </c>
      <c r="AF50" s="3" t="str">
        <f>IFERROR(MID(VLOOKUP($B50,Seqs!$A:$B,2,0),AG50,1),"")</f>
        <v>C</v>
      </c>
      <c r="AG50" s="3">
        <v>199</v>
      </c>
      <c r="AH50" s="3" t="str">
        <f>IFERROR(MID(VLOOKUP($B50,Seqs!$A:$B,2,0),AI50,1),"")</f>
        <v>F</v>
      </c>
      <c r="AI50" s="3">
        <v>201</v>
      </c>
      <c r="AJ50" s="3" t="str">
        <f>IFERROR(MID(VLOOKUP($B50,Seqs!$A:$B,2,0),AK50,1),"")</f>
        <v>N</v>
      </c>
      <c r="AK50" s="3">
        <v>204</v>
      </c>
      <c r="AL50" s="3" t="str">
        <f>IFERROR(MID(VLOOKUP($B50,Seqs!$A:$B,2,0),AM50,1),"")</f>
        <v>I</v>
      </c>
      <c r="AM50" s="3">
        <v>238</v>
      </c>
      <c r="AN50" s="3" t="str">
        <f>IFERROR(MID(VLOOKUP($B50,Seqs!$A:$B,2,0),AO50,1),"")</f>
        <v>R</v>
      </c>
      <c r="AO50" s="3">
        <v>275</v>
      </c>
      <c r="AP50" s="3" t="str">
        <f>IFERROR(MID(VLOOKUP($B50,Seqs!$A:$B,2,0),AQ50,1),"")</f>
        <v>N</v>
      </c>
      <c r="AQ50" s="3">
        <v>316</v>
      </c>
      <c r="AR50" s="3" t="str">
        <f>IFERROR(MID(VLOOKUP($B50,Seqs!$A:$B,2,0),AS50,1),"")</f>
        <v>P</v>
      </c>
      <c r="AS50" s="3">
        <v>321</v>
      </c>
      <c r="AT50" s="3" t="str">
        <f>IFERROR(MID(VLOOKUP($B50,Seqs!$A:$B,2,0),AU50,1),"")</f>
        <v>R</v>
      </c>
      <c r="AU50" s="3">
        <v>345</v>
      </c>
      <c r="AV50" s="3" t="str">
        <f>IFERROR(MID(VLOOKUP($B50,Seqs!$A:$B,2,0),AW50,1),"")</f>
        <v>S</v>
      </c>
      <c r="AW50" s="3">
        <v>346</v>
      </c>
      <c r="AX50" s="3" t="str">
        <f>IFERROR(MID(VLOOKUP($B50,Seqs!$A:$B,2,0),AY50,1),"")</f>
        <v>C</v>
      </c>
      <c r="AY50" s="3">
        <v>358</v>
      </c>
      <c r="AZ50" s="79" t="str">
        <f>VLOOKUP(B50,Classification!A:D,2,0)</f>
        <v>A</v>
      </c>
      <c r="BA50" s="97" t="str">
        <f>VLOOKUP(B50,Classification!A:D,4,0)</f>
        <v>Adrenoceptors</v>
      </c>
      <c r="BB50" s="27" t="b">
        <f t="shared" si="195"/>
        <v>1</v>
      </c>
      <c r="BC50" s="23">
        <f t="shared" si="84"/>
        <v>265</v>
      </c>
      <c r="BD50" s="4" t="s">
        <v>23</v>
      </c>
      <c r="BE50" s="3" t="s">
        <v>1381</v>
      </c>
      <c r="BF50" s="50" t="s">
        <v>1384</v>
      </c>
      <c r="BG50" s="50" t="s">
        <v>1384</v>
      </c>
      <c r="BH50" s="1"/>
      <c r="BI50" s="72" t="s">
        <v>1293</v>
      </c>
      <c r="BJ50" s="58" t="s">
        <v>1293</v>
      </c>
      <c r="BK50" s="58" t="s">
        <v>1293</v>
      </c>
      <c r="BL50" s="58" t="s">
        <v>1293</v>
      </c>
      <c r="BM50" s="58" t="s">
        <v>1293</v>
      </c>
      <c r="BN50" s="58" t="s">
        <v>1293</v>
      </c>
      <c r="BO50" s="58" t="s">
        <v>1293</v>
      </c>
      <c r="BP50" s="58" t="s">
        <v>1293</v>
      </c>
      <c r="BQ50" s="58" t="s">
        <v>1293</v>
      </c>
      <c r="BR50" s="58" t="s">
        <v>1293</v>
      </c>
      <c r="BS50" s="58" t="s">
        <v>1293</v>
      </c>
      <c r="BT50" s="58" t="s">
        <v>1293</v>
      </c>
      <c r="BU50" s="72">
        <f t="shared" si="85"/>
        <v>33</v>
      </c>
      <c r="BV50" s="73">
        <f t="shared" si="86"/>
        <v>70</v>
      </c>
      <c r="BW50" s="74">
        <f t="shared" si="87"/>
        <v>74</v>
      </c>
      <c r="BX50" s="73">
        <f t="shared" si="88"/>
        <v>106</v>
      </c>
      <c r="BY50" s="74">
        <f t="shared" si="89"/>
        <v>110</v>
      </c>
      <c r="BZ50" s="73">
        <f t="shared" si="90"/>
        <v>146</v>
      </c>
      <c r="CA50" s="74">
        <f t="shared" si="91"/>
        <v>154</v>
      </c>
      <c r="CB50" s="73">
        <f t="shared" si="92"/>
        <v>199</v>
      </c>
      <c r="CC50" s="74">
        <f t="shared" si="93"/>
        <v>204</v>
      </c>
      <c r="CD50" s="73">
        <f t="shared" si="94"/>
        <v>275</v>
      </c>
      <c r="CE50" s="74">
        <f t="shared" si="95"/>
        <v>321</v>
      </c>
      <c r="CF50" s="73">
        <f t="shared" si="96"/>
        <v>346</v>
      </c>
      <c r="CG50" s="72">
        <f t="shared" si="97"/>
        <v>69</v>
      </c>
      <c r="CH50" s="73">
        <f t="shared" si="98"/>
        <v>73</v>
      </c>
      <c r="CI50" s="74">
        <f t="shared" si="99"/>
        <v>104</v>
      </c>
      <c r="CJ50" s="74">
        <f t="shared" si="100"/>
        <v>109</v>
      </c>
      <c r="CK50" s="74">
        <f t="shared" si="101"/>
        <v>145</v>
      </c>
      <c r="CL50" s="74">
        <f t="shared" si="102"/>
        <v>153</v>
      </c>
      <c r="CM50" s="74">
        <f t="shared" si="103"/>
        <v>180</v>
      </c>
      <c r="CN50" s="74">
        <f t="shared" si="104"/>
        <v>201</v>
      </c>
      <c r="CO50" s="74">
        <f t="shared" si="105"/>
        <v>238</v>
      </c>
      <c r="CP50" s="74">
        <f t="shared" si="106"/>
        <v>316</v>
      </c>
      <c r="CQ50" s="74">
        <f t="shared" si="107"/>
        <v>345</v>
      </c>
      <c r="CR50" s="74">
        <f t="shared" si="108"/>
        <v>358</v>
      </c>
      <c r="CS50" s="23">
        <f t="shared" si="109"/>
        <v>1</v>
      </c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</row>
    <row r="51" spans="1:1028" x14ac:dyDescent="0.2">
      <c r="A51" s="3" t="str">
        <f t="shared" si="194"/>
        <v>adrb1_melga_2Y04</v>
      </c>
      <c r="B51" s="3" t="s">
        <v>912</v>
      </c>
      <c r="C51" s="3" t="s">
        <v>1026</v>
      </c>
      <c r="D51" s="3" t="str">
        <f>IFERROR(MID(VLOOKUP($B51,Seqs!$A:$B,2,0),E51,1),"")</f>
        <v>A</v>
      </c>
      <c r="E51" s="3">
        <v>33</v>
      </c>
      <c r="F51" s="3" t="str">
        <f>IFERROR(MID(VLOOKUP($B51,Seqs!$A:$B,2,0),G51,1),"")</f>
        <v>T</v>
      </c>
      <c r="G51" s="3">
        <v>69</v>
      </c>
      <c r="H51" s="3" t="str">
        <f>IFERROR(MID(VLOOKUP($B51,Seqs!$A:$B,2,0),I51,1),"")</f>
        <v>Q</v>
      </c>
      <c r="I51" s="23">
        <v>70</v>
      </c>
      <c r="J51" s="3" t="str">
        <f>IFERROR(MID(VLOOKUP($B51,Seqs!$A:$B,2,0),K51,1),"")</f>
        <v>Q</v>
      </c>
      <c r="K51" s="23">
        <v>73</v>
      </c>
      <c r="L51" s="3" t="str">
        <f>IFERROR(MID(VLOOKUP($B51,Seqs!$A:$B,2,0),M51,1),"")</f>
        <v>T</v>
      </c>
      <c r="M51" s="3">
        <v>74</v>
      </c>
      <c r="N51" s="3" t="str">
        <f>IFERROR(MID(VLOOKUP($B51,Seqs!$A:$B,2,0),O51,1),"")</f>
        <v>R</v>
      </c>
      <c r="O51" s="3">
        <v>104</v>
      </c>
      <c r="P51" s="3" t="str">
        <f>IFERROR(MID(VLOOKUP($B51,Seqs!$A:$B,2,0),Q51,1),"")</f>
        <v>T</v>
      </c>
      <c r="Q51" s="3">
        <v>106</v>
      </c>
      <c r="R51" s="3" t="str">
        <f>IFERROR(MID(VLOOKUP($B51,Seqs!$A:$B,2,0),S51,1),"")</f>
        <v>W</v>
      </c>
      <c r="S51" s="3">
        <v>109</v>
      </c>
      <c r="T51" s="3" t="str">
        <f>IFERROR(MID(VLOOKUP($B51,Seqs!$A:$B,2,0),U51,1),"")</f>
        <v>G</v>
      </c>
      <c r="U51" s="3">
        <v>110</v>
      </c>
      <c r="V51" s="3" t="str">
        <f>IFERROR(MID(VLOOKUP($B51,Seqs!$A:$B,2,0),W51,1),"")</f>
        <v>S</v>
      </c>
      <c r="W51" s="3">
        <v>145</v>
      </c>
      <c r="X51" s="3" t="str">
        <f>IFERROR(MID(VLOOKUP($B51,Seqs!$A:$B,2,0),Y51,1),"")</f>
        <v>P</v>
      </c>
      <c r="Y51" s="3">
        <v>146</v>
      </c>
      <c r="Z51" s="3" t="str">
        <f>IFERROR(MID(VLOOKUP($B51,Seqs!$A:$B,2,0),AA51,1),"")</f>
        <v>M</v>
      </c>
      <c r="AA51" s="3">
        <v>153</v>
      </c>
      <c r="AB51" s="3" t="str">
        <f>IFERROR(MID(VLOOKUP($B51,Seqs!$A:$B,2,0),AC51,1),"")</f>
        <v>T</v>
      </c>
      <c r="AC51" s="9">
        <v>154</v>
      </c>
      <c r="AD51" s="3" t="str">
        <f>IFERROR(MID(VLOOKUP($B51,Seqs!$A:$B,2,0),AE51,1),"")</f>
        <v>H</v>
      </c>
      <c r="AE51" s="3">
        <v>180</v>
      </c>
      <c r="AF51" s="3" t="str">
        <f>IFERROR(MID(VLOOKUP($B51,Seqs!$A:$B,2,0),AG51,1),"")</f>
        <v>C</v>
      </c>
      <c r="AG51" s="3">
        <v>199</v>
      </c>
      <c r="AH51" s="3" t="str">
        <f>IFERROR(MID(VLOOKUP($B51,Seqs!$A:$B,2,0),AI51,1),"")</f>
        <v>F</v>
      </c>
      <c r="AI51" s="3">
        <v>201</v>
      </c>
      <c r="AJ51" s="3" t="str">
        <f>IFERROR(MID(VLOOKUP($B51,Seqs!$A:$B,2,0),AK51,1),"")</f>
        <v>N</v>
      </c>
      <c r="AK51" s="3">
        <v>204</v>
      </c>
      <c r="AL51" s="3" t="str">
        <f>IFERROR(MID(VLOOKUP($B51,Seqs!$A:$B,2,0),AM51,1),"")</f>
        <v>I</v>
      </c>
      <c r="AM51" s="3">
        <v>238</v>
      </c>
      <c r="AN51" s="3" t="str">
        <f>IFERROR(MID(VLOOKUP($B51,Seqs!$A:$B,2,0),AO51,1),"")</f>
        <v>R</v>
      </c>
      <c r="AO51" s="3">
        <v>275</v>
      </c>
      <c r="AP51" s="3" t="str">
        <f>IFERROR(MID(VLOOKUP($B51,Seqs!$A:$B,2,0),AQ51,1),"")</f>
        <v>N</v>
      </c>
      <c r="AQ51" s="3">
        <v>316</v>
      </c>
      <c r="AR51" s="3" t="str">
        <f>IFERROR(MID(VLOOKUP($B51,Seqs!$A:$B,2,0),AS51,1),"")</f>
        <v>P</v>
      </c>
      <c r="AS51" s="3">
        <v>321</v>
      </c>
      <c r="AT51" s="3" t="str">
        <f>IFERROR(MID(VLOOKUP($B51,Seqs!$A:$B,2,0),AU51,1),"")</f>
        <v>R</v>
      </c>
      <c r="AU51" s="3">
        <v>345</v>
      </c>
      <c r="AV51" s="3" t="str">
        <f>IFERROR(MID(VLOOKUP($B51,Seqs!$A:$B,2,0),AW51,1),"")</f>
        <v>S</v>
      </c>
      <c r="AW51" s="3">
        <v>346</v>
      </c>
      <c r="AX51" s="3" t="str">
        <f>IFERROR(MID(VLOOKUP($B51,Seqs!$A:$B,2,0),AY51,1),"")</f>
        <v>C</v>
      </c>
      <c r="AY51" s="3">
        <v>358</v>
      </c>
      <c r="AZ51" s="79" t="str">
        <f>VLOOKUP(B51,Classification!A:D,2,0)</f>
        <v>A</v>
      </c>
      <c r="BA51" s="97" t="str">
        <f>VLOOKUP(B51,Classification!A:D,4,0)</f>
        <v>Adrenoceptors</v>
      </c>
      <c r="BB51" s="27" t="b">
        <f t="shared" si="195"/>
        <v>1</v>
      </c>
      <c r="BC51" s="23">
        <f t="shared" si="84"/>
        <v>265</v>
      </c>
      <c r="BD51" s="4" t="s">
        <v>23</v>
      </c>
      <c r="BE51" s="3" t="s">
        <v>1381</v>
      </c>
      <c r="BF51" s="50" t="s">
        <v>1384</v>
      </c>
      <c r="BG51" s="50" t="s">
        <v>1384</v>
      </c>
      <c r="BH51" s="1"/>
      <c r="BI51" s="72" t="s">
        <v>1293</v>
      </c>
      <c r="BJ51" s="58" t="s">
        <v>1293</v>
      </c>
      <c r="BK51" s="58" t="s">
        <v>1293</v>
      </c>
      <c r="BL51" s="58" t="s">
        <v>1293</v>
      </c>
      <c r="BM51" s="58" t="s">
        <v>1293</v>
      </c>
      <c r="BN51" s="58" t="s">
        <v>1293</v>
      </c>
      <c r="BO51" s="58" t="s">
        <v>1293</v>
      </c>
      <c r="BP51" s="58" t="s">
        <v>1293</v>
      </c>
      <c r="BQ51" s="58" t="s">
        <v>1293</v>
      </c>
      <c r="BR51" s="58" t="s">
        <v>1293</v>
      </c>
      <c r="BS51" s="58" t="s">
        <v>1293</v>
      </c>
      <c r="BT51" s="58" t="s">
        <v>1293</v>
      </c>
      <c r="BU51" s="72">
        <f t="shared" si="85"/>
        <v>33</v>
      </c>
      <c r="BV51" s="73">
        <f t="shared" si="86"/>
        <v>70</v>
      </c>
      <c r="BW51" s="74">
        <f t="shared" si="87"/>
        <v>74</v>
      </c>
      <c r="BX51" s="73">
        <f t="shared" si="88"/>
        <v>106</v>
      </c>
      <c r="BY51" s="74">
        <f t="shared" si="89"/>
        <v>110</v>
      </c>
      <c r="BZ51" s="73">
        <f t="shared" si="90"/>
        <v>146</v>
      </c>
      <c r="CA51" s="74">
        <f t="shared" si="91"/>
        <v>154</v>
      </c>
      <c r="CB51" s="73">
        <f t="shared" si="92"/>
        <v>199</v>
      </c>
      <c r="CC51" s="74">
        <f t="shared" si="93"/>
        <v>204</v>
      </c>
      <c r="CD51" s="73">
        <f t="shared" si="94"/>
        <v>275</v>
      </c>
      <c r="CE51" s="74">
        <f t="shared" si="95"/>
        <v>321</v>
      </c>
      <c r="CF51" s="73">
        <f t="shared" si="96"/>
        <v>346</v>
      </c>
      <c r="CG51" s="72">
        <f t="shared" si="97"/>
        <v>69</v>
      </c>
      <c r="CH51" s="73">
        <f t="shared" si="98"/>
        <v>73</v>
      </c>
      <c r="CI51" s="74">
        <f t="shared" si="99"/>
        <v>104</v>
      </c>
      <c r="CJ51" s="74">
        <f t="shared" si="100"/>
        <v>109</v>
      </c>
      <c r="CK51" s="74">
        <f t="shared" si="101"/>
        <v>145</v>
      </c>
      <c r="CL51" s="74">
        <f t="shared" si="102"/>
        <v>153</v>
      </c>
      <c r="CM51" s="74">
        <f t="shared" si="103"/>
        <v>180</v>
      </c>
      <c r="CN51" s="74">
        <f t="shared" si="104"/>
        <v>201</v>
      </c>
      <c r="CO51" s="74">
        <f t="shared" si="105"/>
        <v>238</v>
      </c>
      <c r="CP51" s="74">
        <f t="shared" si="106"/>
        <v>316</v>
      </c>
      <c r="CQ51" s="74">
        <f t="shared" si="107"/>
        <v>345</v>
      </c>
      <c r="CR51" s="74">
        <f t="shared" si="108"/>
        <v>358</v>
      </c>
      <c r="CS51" s="23">
        <f t="shared" si="109"/>
        <v>1</v>
      </c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</row>
    <row r="52" spans="1:1028" x14ac:dyDescent="0.2">
      <c r="A52" s="3" t="str">
        <f t="shared" si="194"/>
        <v>adrb1_melga_2YCW</v>
      </c>
      <c r="B52" s="3" t="s">
        <v>912</v>
      </c>
      <c r="C52" s="3" t="s">
        <v>1027</v>
      </c>
      <c r="D52" s="3" t="str">
        <f>IFERROR(MID(VLOOKUP($B52,Seqs!$A:$B,2,0),E52,1),"")</f>
        <v>S</v>
      </c>
      <c r="E52" s="3">
        <v>37</v>
      </c>
      <c r="F52" s="3" t="str">
        <f>IFERROR(MID(VLOOKUP($B52,Seqs!$A:$B,2,0),G52,1),"")</f>
        <v>T</v>
      </c>
      <c r="G52" s="3">
        <v>69</v>
      </c>
      <c r="H52" s="3" t="str">
        <f>IFERROR(MID(VLOOKUP($B52,Seqs!$A:$B,2,0),I52,1),"")</f>
        <v>Q</v>
      </c>
      <c r="I52" s="23">
        <v>70</v>
      </c>
      <c r="J52" s="3" t="str">
        <f>IFERROR(MID(VLOOKUP($B52,Seqs!$A:$B,2,0),K52,1),"")</f>
        <v>Q</v>
      </c>
      <c r="K52" s="23">
        <v>73</v>
      </c>
      <c r="L52" s="3" t="str">
        <f>IFERROR(MID(VLOOKUP($B52,Seqs!$A:$B,2,0),M52,1),"")</f>
        <v>T</v>
      </c>
      <c r="M52" s="3">
        <v>74</v>
      </c>
      <c r="N52" s="3" t="str">
        <f>IFERROR(MID(VLOOKUP($B52,Seqs!$A:$B,2,0),O52,1),"")</f>
        <v>R</v>
      </c>
      <c r="O52" s="3">
        <v>104</v>
      </c>
      <c r="P52" s="3" t="str">
        <f>IFERROR(MID(VLOOKUP($B52,Seqs!$A:$B,2,0),Q52,1),"")</f>
        <v>T</v>
      </c>
      <c r="Q52" s="3">
        <v>106</v>
      </c>
      <c r="R52" s="3" t="str">
        <f>IFERROR(MID(VLOOKUP($B52,Seqs!$A:$B,2,0),S52,1),"")</f>
        <v>W</v>
      </c>
      <c r="S52" s="3">
        <v>109</v>
      </c>
      <c r="T52" s="3" t="str">
        <f>IFERROR(MID(VLOOKUP($B52,Seqs!$A:$B,2,0),U52,1),"")</f>
        <v>G</v>
      </c>
      <c r="U52" s="3">
        <v>110</v>
      </c>
      <c r="V52" s="3" t="str">
        <f>IFERROR(MID(VLOOKUP($B52,Seqs!$A:$B,2,0),W52,1),"")</f>
        <v>S</v>
      </c>
      <c r="W52" s="3">
        <v>145</v>
      </c>
      <c r="X52" s="3" t="str">
        <f>IFERROR(MID(VLOOKUP($B52,Seqs!$A:$B,2,0),Y52,1),"")</f>
        <v>P</v>
      </c>
      <c r="Y52" s="3">
        <v>146</v>
      </c>
      <c r="Z52" s="3" t="str">
        <f>IFERROR(MID(VLOOKUP($B52,Seqs!$A:$B,2,0),AA52,1),"")</f>
        <v>M</v>
      </c>
      <c r="AA52" s="3">
        <v>153</v>
      </c>
      <c r="AB52" s="3" t="str">
        <f>IFERROR(MID(VLOOKUP($B52,Seqs!$A:$B,2,0),AC52,1),"")</f>
        <v>T</v>
      </c>
      <c r="AC52" s="9">
        <v>154</v>
      </c>
      <c r="AD52" s="3" t="str">
        <f>IFERROR(MID(VLOOKUP($B52,Seqs!$A:$B,2,0),AE52,1),"")</f>
        <v>H</v>
      </c>
      <c r="AE52" s="3">
        <v>180</v>
      </c>
      <c r="AF52" s="3" t="str">
        <f>IFERROR(MID(VLOOKUP($B52,Seqs!$A:$B,2,0),AG52,1),"")</f>
        <v>C</v>
      </c>
      <c r="AG52" s="3">
        <v>199</v>
      </c>
      <c r="AH52" s="3" t="str">
        <f>IFERROR(MID(VLOOKUP($B52,Seqs!$A:$B,2,0),AI52,1),"")</f>
        <v>F</v>
      </c>
      <c r="AI52" s="3">
        <v>201</v>
      </c>
      <c r="AJ52" s="3" t="str">
        <f>IFERROR(MID(VLOOKUP($B52,Seqs!$A:$B,2,0),AK52,1),"")</f>
        <v>N</v>
      </c>
      <c r="AK52" s="3">
        <v>204</v>
      </c>
      <c r="AL52" s="3" t="str">
        <f>IFERROR(MID(VLOOKUP($B52,Seqs!$A:$B,2,0),AM52,1),"")</f>
        <v>K</v>
      </c>
      <c r="AM52" s="3">
        <v>240</v>
      </c>
      <c r="AN52" s="3" t="str">
        <f>IFERROR(MID(VLOOKUP($B52,Seqs!$A:$B,2,0),AO52,1),"")</f>
        <v>L</v>
      </c>
      <c r="AO52" s="3">
        <v>289</v>
      </c>
      <c r="AP52" s="3" t="str">
        <f>IFERROR(MID(VLOOKUP($B52,Seqs!$A:$B,2,0),AQ52,1),"")</f>
        <v>N</v>
      </c>
      <c r="AQ52" s="3">
        <v>316</v>
      </c>
      <c r="AR52" s="3" t="str">
        <f>IFERROR(MID(VLOOKUP($B52,Seqs!$A:$B,2,0),AS52,1),"")</f>
        <v>P</v>
      </c>
      <c r="AS52" s="3">
        <v>321</v>
      </c>
      <c r="AT52" s="3" t="str">
        <f>IFERROR(MID(VLOOKUP($B52,Seqs!$A:$B,2,0),AU52,1),"")</f>
        <v>R</v>
      </c>
      <c r="AU52" s="3">
        <v>345</v>
      </c>
      <c r="AV52" s="3" t="str">
        <f>IFERROR(MID(VLOOKUP($B52,Seqs!$A:$B,2,0),AW52,1),"")</f>
        <v>S</v>
      </c>
      <c r="AW52" s="3">
        <v>346</v>
      </c>
      <c r="AX52" s="3" t="str">
        <f>IFERROR(MID(VLOOKUP($B52,Seqs!$A:$B,2,0),AY52,1),"")</f>
        <v>C</v>
      </c>
      <c r="AY52" s="3">
        <v>358</v>
      </c>
      <c r="AZ52" s="79" t="str">
        <f>VLOOKUP(B52,Classification!A:D,2,0)</f>
        <v>A</v>
      </c>
      <c r="BA52" s="97" t="str">
        <f>VLOOKUP(B52,Classification!A:D,4,0)</f>
        <v>Adrenoceptors</v>
      </c>
      <c r="BB52" s="27" t="b">
        <f t="shared" si="195"/>
        <v>1</v>
      </c>
      <c r="BC52" s="23">
        <f t="shared" si="84"/>
        <v>249</v>
      </c>
      <c r="BD52" s="4" t="s">
        <v>23</v>
      </c>
      <c r="BE52" s="3" t="s">
        <v>1381</v>
      </c>
      <c r="BF52" s="50" t="s">
        <v>1384</v>
      </c>
      <c r="BG52" s="50" t="s">
        <v>1384</v>
      </c>
      <c r="BH52" s="1"/>
      <c r="BI52" s="72" t="s">
        <v>1293</v>
      </c>
      <c r="BJ52" s="58" t="s">
        <v>1293</v>
      </c>
      <c r="BK52" s="58" t="s">
        <v>1293</v>
      </c>
      <c r="BL52" s="58" t="s">
        <v>1293</v>
      </c>
      <c r="BM52" s="58" t="s">
        <v>1293</v>
      </c>
      <c r="BN52" s="58" t="s">
        <v>1293</v>
      </c>
      <c r="BO52" s="58" t="s">
        <v>1293</v>
      </c>
      <c r="BP52" s="58" t="s">
        <v>1293</v>
      </c>
      <c r="BQ52" s="58" t="s">
        <v>1293</v>
      </c>
      <c r="BR52" s="58" t="s">
        <v>1293</v>
      </c>
      <c r="BS52" s="58" t="s">
        <v>1293</v>
      </c>
      <c r="BT52" s="58" t="s">
        <v>1293</v>
      </c>
      <c r="BU52" s="72">
        <f t="shared" si="85"/>
        <v>37</v>
      </c>
      <c r="BV52" s="73">
        <f t="shared" si="86"/>
        <v>70</v>
      </c>
      <c r="BW52" s="74">
        <f t="shared" si="87"/>
        <v>74</v>
      </c>
      <c r="BX52" s="73">
        <f t="shared" si="88"/>
        <v>106</v>
      </c>
      <c r="BY52" s="74">
        <f t="shared" si="89"/>
        <v>110</v>
      </c>
      <c r="BZ52" s="73">
        <f t="shared" si="90"/>
        <v>146</v>
      </c>
      <c r="CA52" s="74">
        <f t="shared" si="91"/>
        <v>154</v>
      </c>
      <c r="CB52" s="73">
        <f t="shared" si="92"/>
        <v>199</v>
      </c>
      <c r="CC52" s="74">
        <f t="shared" si="93"/>
        <v>204</v>
      </c>
      <c r="CD52" s="73">
        <f t="shared" si="94"/>
        <v>289</v>
      </c>
      <c r="CE52" s="74">
        <f t="shared" si="95"/>
        <v>321</v>
      </c>
      <c r="CF52" s="73">
        <f t="shared" si="96"/>
        <v>346</v>
      </c>
      <c r="CG52" s="72">
        <f t="shared" si="97"/>
        <v>69</v>
      </c>
      <c r="CH52" s="73">
        <f t="shared" si="98"/>
        <v>73</v>
      </c>
      <c r="CI52" s="74">
        <f t="shared" si="99"/>
        <v>104</v>
      </c>
      <c r="CJ52" s="74">
        <f t="shared" si="100"/>
        <v>109</v>
      </c>
      <c r="CK52" s="74">
        <f t="shared" si="101"/>
        <v>145</v>
      </c>
      <c r="CL52" s="74">
        <f t="shared" si="102"/>
        <v>153</v>
      </c>
      <c r="CM52" s="74">
        <f t="shared" si="103"/>
        <v>180</v>
      </c>
      <c r="CN52" s="74">
        <f t="shared" si="104"/>
        <v>201</v>
      </c>
      <c r="CO52" s="74">
        <f t="shared" si="105"/>
        <v>240</v>
      </c>
      <c r="CP52" s="74">
        <f t="shared" si="106"/>
        <v>316</v>
      </c>
      <c r="CQ52" s="74">
        <f t="shared" si="107"/>
        <v>345</v>
      </c>
      <c r="CR52" s="74">
        <f t="shared" si="108"/>
        <v>358</v>
      </c>
      <c r="CS52" s="23">
        <f t="shared" si="109"/>
        <v>1</v>
      </c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</row>
    <row r="53" spans="1:1028" x14ac:dyDescent="0.2">
      <c r="A53" s="3" t="str">
        <f t="shared" si="194"/>
        <v>adrb1_melga_2YCZ</v>
      </c>
      <c r="B53" s="3" t="s">
        <v>912</v>
      </c>
      <c r="C53" s="3" t="s">
        <v>1028</v>
      </c>
      <c r="D53" s="3" t="str">
        <f>IFERROR(MID(VLOOKUP($B53,Seqs!$A:$B,2,0),E53,1),"")</f>
        <v>A</v>
      </c>
      <c r="E53" s="3">
        <v>33</v>
      </c>
      <c r="F53" s="3" t="str">
        <f>IFERROR(MID(VLOOKUP($B53,Seqs!$A:$B,2,0),G53,1),"")</f>
        <v>T</v>
      </c>
      <c r="G53" s="3">
        <v>69</v>
      </c>
      <c r="H53" s="3" t="str">
        <f>IFERROR(MID(VLOOKUP($B53,Seqs!$A:$B,2,0),I53,1),"")</f>
        <v>Q</v>
      </c>
      <c r="I53" s="23">
        <v>70</v>
      </c>
      <c r="J53" s="3" t="str">
        <f>IFERROR(MID(VLOOKUP($B53,Seqs!$A:$B,2,0),K53,1),"")</f>
        <v>Q</v>
      </c>
      <c r="K53" s="23">
        <v>73</v>
      </c>
      <c r="L53" s="3" t="str">
        <f>IFERROR(MID(VLOOKUP($B53,Seqs!$A:$B,2,0),M53,1),"")</f>
        <v>T</v>
      </c>
      <c r="M53" s="3">
        <v>74</v>
      </c>
      <c r="N53" s="3" t="str">
        <f>IFERROR(MID(VLOOKUP($B53,Seqs!$A:$B,2,0),O53,1),"")</f>
        <v>R</v>
      </c>
      <c r="O53" s="3">
        <v>104</v>
      </c>
      <c r="P53" s="3" t="str">
        <f>IFERROR(MID(VLOOKUP($B53,Seqs!$A:$B,2,0),Q53,1),"")</f>
        <v>T</v>
      </c>
      <c r="Q53" s="3">
        <v>106</v>
      </c>
      <c r="R53" s="3" t="str">
        <f>IFERROR(MID(VLOOKUP($B53,Seqs!$A:$B,2,0),S53,1),"")</f>
        <v>W</v>
      </c>
      <c r="S53" s="3">
        <v>109</v>
      </c>
      <c r="T53" s="3" t="str">
        <f>IFERROR(MID(VLOOKUP($B53,Seqs!$A:$B,2,0),U53,1),"")</f>
        <v>G</v>
      </c>
      <c r="U53" s="3">
        <v>110</v>
      </c>
      <c r="V53" s="3" t="str">
        <f>IFERROR(MID(VLOOKUP($B53,Seqs!$A:$B,2,0),W53,1),"")</f>
        <v>S</v>
      </c>
      <c r="W53" s="3">
        <v>145</v>
      </c>
      <c r="X53" s="3" t="str">
        <f>IFERROR(MID(VLOOKUP($B53,Seqs!$A:$B,2,0),Y53,1),"")</f>
        <v>P</v>
      </c>
      <c r="Y53" s="3">
        <v>146</v>
      </c>
      <c r="Z53" s="3" t="str">
        <f>IFERROR(MID(VLOOKUP($B53,Seqs!$A:$B,2,0),AA53,1),"")</f>
        <v>M</v>
      </c>
      <c r="AA53" s="3">
        <v>153</v>
      </c>
      <c r="AB53" s="3" t="str">
        <f>IFERROR(MID(VLOOKUP($B53,Seqs!$A:$B,2,0),AC53,1),"")</f>
        <v>T</v>
      </c>
      <c r="AC53" s="9">
        <v>154</v>
      </c>
      <c r="AD53" s="3" t="str">
        <f>IFERROR(MID(VLOOKUP($B53,Seqs!$A:$B,2,0),AE53,1),"")</f>
        <v>H</v>
      </c>
      <c r="AE53" s="3">
        <v>180</v>
      </c>
      <c r="AF53" s="3" t="str">
        <f>IFERROR(MID(VLOOKUP($B53,Seqs!$A:$B,2,0),AG53,1),"")</f>
        <v>C</v>
      </c>
      <c r="AG53" s="3">
        <v>199</v>
      </c>
      <c r="AH53" s="3" t="str">
        <f>IFERROR(MID(VLOOKUP($B53,Seqs!$A:$B,2,0),AI53,1),"")</f>
        <v>F</v>
      </c>
      <c r="AI53" s="3">
        <v>201</v>
      </c>
      <c r="AJ53" s="3" t="str">
        <f>IFERROR(MID(VLOOKUP($B53,Seqs!$A:$B,2,0),AK53,1),"")</f>
        <v>N</v>
      </c>
      <c r="AK53" s="3">
        <v>204</v>
      </c>
      <c r="AL53" s="3" t="str">
        <f>IFERROR(MID(VLOOKUP($B53,Seqs!$A:$B,2,0),AM53,1),"")</f>
        <v>K</v>
      </c>
      <c r="AM53" s="3">
        <v>240</v>
      </c>
      <c r="AN53" s="3" t="str">
        <f>IFERROR(MID(VLOOKUP($B53,Seqs!$A:$B,2,0),AO53,1),"")</f>
        <v>A</v>
      </c>
      <c r="AO53" s="3">
        <v>288</v>
      </c>
      <c r="AP53" s="3" t="str">
        <f>IFERROR(MID(VLOOKUP($B53,Seqs!$A:$B,2,0),AQ53,1),"")</f>
        <v>N</v>
      </c>
      <c r="AQ53" s="3">
        <v>316</v>
      </c>
      <c r="AR53" s="3" t="str">
        <f>IFERROR(MID(VLOOKUP($B53,Seqs!$A:$B,2,0),AS53,1),"")</f>
        <v>P</v>
      </c>
      <c r="AS53" s="3">
        <v>321</v>
      </c>
      <c r="AT53" s="3" t="str">
        <f>IFERROR(MID(VLOOKUP($B53,Seqs!$A:$B,2,0),AU53,1),"")</f>
        <v>R</v>
      </c>
      <c r="AU53" s="3">
        <v>345</v>
      </c>
      <c r="AV53" s="3" t="str">
        <f>IFERROR(MID(VLOOKUP($B53,Seqs!$A:$B,2,0),AW53,1),"")</f>
        <v>S</v>
      </c>
      <c r="AW53" s="3">
        <v>346</v>
      </c>
      <c r="AX53" s="3" t="str">
        <f>IFERROR(MID(VLOOKUP($B53,Seqs!$A:$B,2,0),AY53,1),"")</f>
        <v>C</v>
      </c>
      <c r="AY53" s="3">
        <v>358</v>
      </c>
      <c r="AZ53" s="79" t="str">
        <f>VLOOKUP(B53,Classification!A:D,2,0)</f>
        <v>A</v>
      </c>
      <c r="BA53" s="97" t="str">
        <f>VLOOKUP(B53,Classification!A:D,4,0)</f>
        <v>Adrenoceptors</v>
      </c>
      <c r="BB53" s="27" t="b">
        <f t="shared" si="195"/>
        <v>1</v>
      </c>
      <c r="BC53" s="23">
        <f t="shared" si="84"/>
        <v>254</v>
      </c>
      <c r="BD53" s="16" t="s">
        <v>23</v>
      </c>
      <c r="BE53" s="3" t="s">
        <v>1381</v>
      </c>
      <c r="BF53" s="50" t="s">
        <v>1384</v>
      </c>
      <c r="BG53" s="50" t="s">
        <v>1384</v>
      </c>
      <c r="BH53" s="1"/>
      <c r="BI53" s="72" t="s">
        <v>1293</v>
      </c>
      <c r="BJ53" s="58" t="s">
        <v>1293</v>
      </c>
      <c r="BK53" s="58" t="s">
        <v>1293</v>
      </c>
      <c r="BL53" s="58" t="s">
        <v>1293</v>
      </c>
      <c r="BM53" s="58" t="s">
        <v>1293</v>
      </c>
      <c r="BN53" s="58" t="s">
        <v>1293</v>
      </c>
      <c r="BO53" s="58" t="s">
        <v>1293</v>
      </c>
      <c r="BP53" s="58" t="s">
        <v>1293</v>
      </c>
      <c r="BQ53" s="58" t="s">
        <v>1293</v>
      </c>
      <c r="BR53" s="58" t="s">
        <v>1293</v>
      </c>
      <c r="BS53" s="58" t="s">
        <v>1293</v>
      </c>
      <c r="BT53" s="58" t="s">
        <v>1293</v>
      </c>
      <c r="BU53" s="72">
        <f t="shared" si="85"/>
        <v>33</v>
      </c>
      <c r="BV53" s="73">
        <f t="shared" si="86"/>
        <v>70</v>
      </c>
      <c r="BW53" s="74">
        <f t="shared" si="87"/>
        <v>74</v>
      </c>
      <c r="BX53" s="73">
        <f t="shared" si="88"/>
        <v>106</v>
      </c>
      <c r="BY53" s="74">
        <f t="shared" si="89"/>
        <v>110</v>
      </c>
      <c r="BZ53" s="73">
        <f t="shared" si="90"/>
        <v>146</v>
      </c>
      <c r="CA53" s="74">
        <f t="shared" si="91"/>
        <v>154</v>
      </c>
      <c r="CB53" s="73">
        <f t="shared" si="92"/>
        <v>199</v>
      </c>
      <c r="CC53" s="74">
        <f t="shared" si="93"/>
        <v>204</v>
      </c>
      <c r="CD53" s="73">
        <f t="shared" si="94"/>
        <v>288</v>
      </c>
      <c r="CE53" s="74">
        <f t="shared" si="95"/>
        <v>321</v>
      </c>
      <c r="CF53" s="73">
        <f t="shared" si="96"/>
        <v>346</v>
      </c>
      <c r="CG53" s="72">
        <f t="shared" si="97"/>
        <v>69</v>
      </c>
      <c r="CH53" s="73">
        <f t="shared" si="98"/>
        <v>73</v>
      </c>
      <c r="CI53" s="74">
        <f t="shared" si="99"/>
        <v>104</v>
      </c>
      <c r="CJ53" s="74">
        <f t="shared" si="100"/>
        <v>109</v>
      </c>
      <c r="CK53" s="74">
        <f t="shared" si="101"/>
        <v>145</v>
      </c>
      <c r="CL53" s="74">
        <f t="shared" si="102"/>
        <v>153</v>
      </c>
      <c r="CM53" s="74">
        <f t="shared" si="103"/>
        <v>180</v>
      </c>
      <c r="CN53" s="74">
        <f t="shared" si="104"/>
        <v>201</v>
      </c>
      <c r="CO53" s="74">
        <f t="shared" si="105"/>
        <v>240</v>
      </c>
      <c r="CP53" s="74">
        <f t="shared" si="106"/>
        <v>316</v>
      </c>
      <c r="CQ53" s="74">
        <f t="shared" si="107"/>
        <v>345</v>
      </c>
      <c r="CR53" s="74">
        <f t="shared" si="108"/>
        <v>358</v>
      </c>
      <c r="CS53" s="23">
        <f t="shared" si="109"/>
        <v>1</v>
      </c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</row>
    <row r="54" spans="1:1028" x14ac:dyDescent="0.2">
      <c r="A54" s="3" t="str">
        <f t="shared" si="194"/>
        <v>adrb1_melga_3ZPQ</v>
      </c>
      <c r="B54" s="3" t="s">
        <v>912</v>
      </c>
      <c r="C54" s="3" t="s">
        <v>1038</v>
      </c>
      <c r="D54" s="3" t="str">
        <f>IFERROR(MID(VLOOKUP($B54,Seqs!$A:$B,2,0),E54,1),"")</f>
        <v>A</v>
      </c>
      <c r="E54" s="3">
        <v>33</v>
      </c>
      <c r="F54" s="3" t="str">
        <f>IFERROR(MID(VLOOKUP($B54,Seqs!$A:$B,2,0),G54,1),"")</f>
        <v>T</v>
      </c>
      <c r="G54" s="3">
        <v>69</v>
      </c>
      <c r="H54" s="3" t="str">
        <f>IFERROR(MID(VLOOKUP($B54,Seqs!$A:$B,2,0),I54,1),"")</f>
        <v>Q</v>
      </c>
      <c r="I54" s="23">
        <v>70</v>
      </c>
      <c r="J54" s="3" t="str">
        <f>IFERROR(MID(VLOOKUP($B54,Seqs!$A:$B,2,0),K54,1),"")</f>
        <v>Q</v>
      </c>
      <c r="K54" s="23">
        <v>73</v>
      </c>
      <c r="L54" s="3" t="str">
        <f>IFERROR(MID(VLOOKUP($B54,Seqs!$A:$B,2,0),M54,1),"")</f>
        <v>T</v>
      </c>
      <c r="M54" s="3">
        <v>74</v>
      </c>
      <c r="N54" s="3" t="str">
        <f>IFERROR(MID(VLOOKUP($B54,Seqs!$A:$B,2,0),O54,1),"")</f>
        <v>R</v>
      </c>
      <c r="O54" s="3">
        <v>104</v>
      </c>
      <c r="P54" s="3" t="str">
        <f>IFERROR(MID(VLOOKUP($B54,Seqs!$A:$B,2,0),Q54,1),"")</f>
        <v>T</v>
      </c>
      <c r="Q54" s="3">
        <v>106</v>
      </c>
      <c r="R54" s="3" t="str">
        <f>IFERROR(MID(VLOOKUP($B54,Seqs!$A:$B,2,0),S54,1),"")</f>
        <v>W</v>
      </c>
      <c r="S54" s="3">
        <v>109</v>
      </c>
      <c r="T54" s="3" t="str">
        <f>IFERROR(MID(VLOOKUP($B54,Seqs!$A:$B,2,0),U54,1),"")</f>
        <v>G</v>
      </c>
      <c r="U54" s="3">
        <v>110</v>
      </c>
      <c r="V54" s="3" t="str">
        <f>IFERROR(MID(VLOOKUP($B54,Seqs!$A:$B,2,0),W54,1),"")</f>
        <v>S</v>
      </c>
      <c r="W54" s="3">
        <v>145</v>
      </c>
      <c r="X54" s="3" t="str">
        <f>IFERROR(MID(VLOOKUP($B54,Seqs!$A:$B,2,0),Y54,1),"")</f>
        <v>P</v>
      </c>
      <c r="Y54" s="3">
        <v>146</v>
      </c>
      <c r="Z54" s="3" t="str">
        <f>IFERROR(MID(VLOOKUP($B54,Seqs!$A:$B,2,0),AA54,1),"")</f>
        <v>M</v>
      </c>
      <c r="AA54" s="3">
        <v>153</v>
      </c>
      <c r="AB54" s="3" t="str">
        <f>IFERROR(MID(VLOOKUP($B54,Seqs!$A:$B,2,0),AC54,1),"")</f>
        <v>T</v>
      </c>
      <c r="AC54" s="9">
        <v>154</v>
      </c>
      <c r="AD54" s="3" t="str">
        <f>IFERROR(MID(VLOOKUP($B54,Seqs!$A:$B,2,0),AE54,1),"")</f>
        <v>H</v>
      </c>
      <c r="AE54" s="3">
        <v>180</v>
      </c>
      <c r="AF54" s="3" t="str">
        <f>IFERROR(MID(VLOOKUP($B54,Seqs!$A:$B,2,0),AG54,1),"")</f>
        <v>C</v>
      </c>
      <c r="AG54" s="3">
        <v>199</v>
      </c>
      <c r="AH54" s="3" t="str">
        <f>IFERROR(MID(VLOOKUP($B54,Seqs!$A:$B,2,0),AI54,1),"")</f>
        <v>F</v>
      </c>
      <c r="AI54" s="3">
        <v>201</v>
      </c>
      <c r="AJ54" s="3" t="str">
        <f>IFERROR(MID(VLOOKUP($B54,Seqs!$A:$B,2,0),AK54,1),"")</f>
        <v>N</v>
      </c>
      <c r="AK54" s="3">
        <v>204</v>
      </c>
      <c r="AL54" s="3" t="str">
        <f>IFERROR(MID(VLOOKUP($B54,Seqs!$A:$B,2,0),AM54,1),"")</f>
        <v>I</v>
      </c>
      <c r="AM54" s="3">
        <v>238</v>
      </c>
      <c r="AN54" s="3" t="str">
        <f>IFERROR(MID(VLOOKUP($B54,Seqs!$A:$B,2,0),AO54,1),"")</f>
        <v>R</v>
      </c>
      <c r="AO54" s="3">
        <v>275</v>
      </c>
      <c r="AP54" s="3" t="str">
        <f>IFERROR(MID(VLOOKUP($B54,Seqs!$A:$B,2,0),AQ54,1),"")</f>
        <v>N</v>
      </c>
      <c r="AQ54" s="3">
        <v>316</v>
      </c>
      <c r="AR54" s="3" t="str">
        <f>IFERROR(MID(VLOOKUP($B54,Seqs!$A:$B,2,0),AS54,1),"")</f>
        <v>P</v>
      </c>
      <c r="AS54" s="3">
        <v>321</v>
      </c>
      <c r="AT54" s="3" t="str">
        <f>IFERROR(MID(VLOOKUP($B54,Seqs!$A:$B,2,0),AU54,1),"")</f>
        <v>R</v>
      </c>
      <c r="AU54" s="3">
        <v>345</v>
      </c>
      <c r="AV54" s="3" t="str">
        <f>IFERROR(MID(VLOOKUP($B54,Seqs!$A:$B,2,0),AW54,1),"")</f>
        <v>S</v>
      </c>
      <c r="AW54" s="3">
        <v>346</v>
      </c>
      <c r="AX54" s="3" t="str">
        <f>IFERROR(MID(VLOOKUP($B54,Seqs!$A:$B,2,0),AY54,1),"")</f>
        <v>C</v>
      </c>
      <c r="AY54" s="3">
        <v>358</v>
      </c>
      <c r="AZ54" s="79" t="str">
        <f>VLOOKUP(B54,Classification!A:D,2,0)</f>
        <v>A</v>
      </c>
      <c r="BA54" s="97" t="str">
        <f>VLOOKUP(B54,Classification!A:D,4,0)</f>
        <v>Adrenoceptors</v>
      </c>
      <c r="BB54" s="27" t="b">
        <f t="shared" si="195"/>
        <v>1</v>
      </c>
      <c r="BC54" s="23">
        <f t="shared" si="84"/>
        <v>265</v>
      </c>
      <c r="BD54" s="4" t="s">
        <v>23</v>
      </c>
      <c r="BE54" s="3" t="s">
        <v>1381</v>
      </c>
      <c r="BF54" s="50" t="s">
        <v>1384</v>
      </c>
      <c r="BG54" s="50" t="s">
        <v>1384</v>
      </c>
      <c r="BH54" s="1"/>
      <c r="BI54" s="72" t="s">
        <v>1293</v>
      </c>
      <c r="BJ54" s="58" t="s">
        <v>1293</v>
      </c>
      <c r="BK54" s="58" t="s">
        <v>1293</v>
      </c>
      <c r="BL54" s="58" t="s">
        <v>1293</v>
      </c>
      <c r="BM54" s="58" t="s">
        <v>1293</v>
      </c>
      <c r="BN54" s="58" t="s">
        <v>1293</v>
      </c>
      <c r="BO54" s="58" t="s">
        <v>1293</v>
      </c>
      <c r="BP54" s="58" t="s">
        <v>1293</v>
      </c>
      <c r="BQ54" s="58" t="s">
        <v>1293</v>
      </c>
      <c r="BR54" s="58" t="s">
        <v>1293</v>
      </c>
      <c r="BS54" s="58" t="s">
        <v>1293</v>
      </c>
      <c r="BT54" s="58" t="s">
        <v>1293</v>
      </c>
      <c r="BU54" s="72">
        <f t="shared" si="85"/>
        <v>33</v>
      </c>
      <c r="BV54" s="73">
        <f t="shared" si="86"/>
        <v>70</v>
      </c>
      <c r="BW54" s="74">
        <f t="shared" si="87"/>
        <v>74</v>
      </c>
      <c r="BX54" s="73">
        <f t="shared" si="88"/>
        <v>106</v>
      </c>
      <c r="BY54" s="74">
        <f t="shared" si="89"/>
        <v>110</v>
      </c>
      <c r="BZ54" s="73">
        <f t="shared" si="90"/>
        <v>146</v>
      </c>
      <c r="CA54" s="74">
        <f t="shared" si="91"/>
        <v>154</v>
      </c>
      <c r="CB54" s="73">
        <f t="shared" si="92"/>
        <v>199</v>
      </c>
      <c r="CC54" s="74">
        <f t="shared" si="93"/>
        <v>204</v>
      </c>
      <c r="CD54" s="73">
        <f t="shared" si="94"/>
        <v>275</v>
      </c>
      <c r="CE54" s="74">
        <f t="shared" si="95"/>
        <v>321</v>
      </c>
      <c r="CF54" s="73">
        <f t="shared" si="96"/>
        <v>346</v>
      </c>
      <c r="CG54" s="72">
        <f t="shared" si="97"/>
        <v>69</v>
      </c>
      <c r="CH54" s="73">
        <f t="shared" si="98"/>
        <v>73</v>
      </c>
      <c r="CI54" s="74">
        <f t="shared" si="99"/>
        <v>104</v>
      </c>
      <c r="CJ54" s="74">
        <f t="shared" si="100"/>
        <v>109</v>
      </c>
      <c r="CK54" s="74">
        <f t="shared" si="101"/>
        <v>145</v>
      </c>
      <c r="CL54" s="74">
        <f t="shared" si="102"/>
        <v>153</v>
      </c>
      <c r="CM54" s="74">
        <f t="shared" si="103"/>
        <v>180</v>
      </c>
      <c r="CN54" s="74">
        <f t="shared" si="104"/>
        <v>201</v>
      </c>
      <c r="CO54" s="74">
        <f t="shared" si="105"/>
        <v>238</v>
      </c>
      <c r="CP54" s="74">
        <f t="shared" si="106"/>
        <v>316</v>
      </c>
      <c r="CQ54" s="74">
        <f t="shared" si="107"/>
        <v>345</v>
      </c>
      <c r="CR54" s="74">
        <f t="shared" si="108"/>
        <v>358</v>
      </c>
      <c r="CS54" s="23">
        <f t="shared" si="109"/>
        <v>1</v>
      </c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</row>
    <row r="55" spans="1:1028" x14ac:dyDescent="0.2">
      <c r="A55" s="3" t="str">
        <f t="shared" si="194"/>
        <v>adrb1_melga_3ZPR</v>
      </c>
      <c r="B55" s="3" t="s">
        <v>912</v>
      </c>
      <c r="C55" s="3" t="s">
        <v>1039</v>
      </c>
      <c r="D55" s="3" t="str">
        <f>IFERROR(MID(VLOOKUP($B55,Seqs!$A:$B,2,0),E55,1),"")</f>
        <v>A</v>
      </c>
      <c r="E55" s="3">
        <v>33</v>
      </c>
      <c r="F55" s="3" t="str">
        <f>IFERROR(MID(VLOOKUP($B55,Seqs!$A:$B,2,0),G55,1),"")</f>
        <v>T</v>
      </c>
      <c r="G55" s="3">
        <v>69</v>
      </c>
      <c r="H55" s="3" t="str">
        <f>IFERROR(MID(VLOOKUP($B55,Seqs!$A:$B,2,0),I55,1),"")</f>
        <v>Q</v>
      </c>
      <c r="I55" s="23">
        <v>70</v>
      </c>
      <c r="J55" s="3" t="str">
        <f>IFERROR(MID(VLOOKUP($B55,Seqs!$A:$B,2,0),K55,1),"")</f>
        <v>Q</v>
      </c>
      <c r="K55" s="23">
        <v>73</v>
      </c>
      <c r="L55" s="3" t="str">
        <f>IFERROR(MID(VLOOKUP($B55,Seqs!$A:$B,2,0),M55,1),"")</f>
        <v>T</v>
      </c>
      <c r="M55" s="3">
        <v>74</v>
      </c>
      <c r="N55" s="3" t="str">
        <f>IFERROR(MID(VLOOKUP($B55,Seqs!$A:$B,2,0),O55,1),"")</f>
        <v>R</v>
      </c>
      <c r="O55" s="3">
        <v>104</v>
      </c>
      <c r="P55" s="3" t="str">
        <f>IFERROR(MID(VLOOKUP($B55,Seqs!$A:$B,2,0),Q55,1),"")</f>
        <v>T</v>
      </c>
      <c r="Q55" s="3">
        <v>106</v>
      </c>
      <c r="R55" s="3" t="str">
        <f>IFERROR(MID(VLOOKUP($B55,Seqs!$A:$B,2,0),S55,1),"")</f>
        <v>W</v>
      </c>
      <c r="S55" s="3">
        <v>109</v>
      </c>
      <c r="T55" s="3" t="str">
        <f>IFERROR(MID(VLOOKUP($B55,Seqs!$A:$B,2,0),U55,1),"")</f>
        <v>G</v>
      </c>
      <c r="U55" s="3">
        <v>110</v>
      </c>
      <c r="V55" s="3" t="str">
        <f>IFERROR(MID(VLOOKUP($B55,Seqs!$A:$B,2,0),W55,1),"")</f>
        <v>S</v>
      </c>
      <c r="W55" s="3">
        <v>145</v>
      </c>
      <c r="X55" s="3" t="str">
        <f>IFERROR(MID(VLOOKUP($B55,Seqs!$A:$B,2,0),Y55,1),"")</f>
        <v>P</v>
      </c>
      <c r="Y55" s="3">
        <v>146</v>
      </c>
      <c r="Z55" s="3" t="str">
        <f>IFERROR(MID(VLOOKUP($B55,Seqs!$A:$B,2,0),AA55,1),"")</f>
        <v>M</v>
      </c>
      <c r="AA55" s="3">
        <v>153</v>
      </c>
      <c r="AB55" s="3" t="str">
        <f>IFERROR(MID(VLOOKUP($B55,Seqs!$A:$B,2,0),AC55,1),"")</f>
        <v>T</v>
      </c>
      <c r="AC55" s="9">
        <v>154</v>
      </c>
      <c r="AD55" s="3" t="str">
        <f>IFERROR(MID(VLOOKUP($B55,Seqs!$A:$B,2,0),AE55,1),"")</f>
        <v>H</v>
      </c>
      <c r="AE55" s="3">
        <v>180</v>
      </c>
      <c r="AF55" s="3" t="str">
        <f>IFERROR(MID(VLOOKUP($B55,Seqs!$A:$B,2,0),AG55,1),"")</f>
        <v>C</v>
      </c>
      <c r="AG55" s="3">
        <v>199</v>
      </c>
      <c r="AH55" s="3" t="str">
        <f>IFERROR(MID(VLOOKUP($B55,Seqs!$A:$B,2,0),AI55,1),"")</f>
        <v>F</v>
      </c>
      <c r="AI55" s="3">
        <v>201</v>
      </c>
      <c r="AJ55" s="3" t="str">
        <f>IFERROR(MID(VLOOKUP($B55,Seqs!$A:$B,2,0),AK55,1),"")</f>
        <v>N</v>
      </c>
      <c r="AK55" s="3">
        <v>204</v>
      </c>
      <c r="AL55" s="3" t="str">
        <f>IFERROR(MID(VLOOKUP($B55,Seqs!$A:$B,2,0),AM55,1),"")</f>
        <v>I</v>
      </c>
      <c r="AM55" s="3">
        <v>238</v>
      </c>
      <c r="AN55" s="3" t="str">
        <f>IFERROR(MID(VLOOKUP($B55,Seqs!$A:$B,2,0),AO55,1),"")</f>
        <v>R</v>
      </c>
      <c r="AO55" s="3">
        <v>275</v>
      </c>
      <c r="AP55" s="3" t="str">
        <f>IFERROR(MID(VLOOKUP($B55,Seqs!$A:$B,2,0),AQ55,1),"")</f>
        <v>N</v>
      </c>
      <c r="AQ55" s="3">
        <v>316</v>
      </c>
      <c r="AR55" s="3" t="str">
        <f>IFERROR(MID(VLOOKUP($B55,Seqs!$A:$B,2,0),AS55,1),"")</f>
        <v>P</v>
      </c>
      <c r="AS55" s="3">
        <v>321</v>
      </c>
      <c r="AT55" s="3" t="str">
        <f>IFERROR(MID(VLOOKUP($B55,Seqs!$A:$B,2,0),AU55,1),"")</f>
        <v>R</v>
      </c>
      <c r="AU55" s="3">
        <v>345</v>
      </c>
      <c r="AV55" s="3" t="str">
        <f>IFERROR(MID(VLOOKUP($B55,Seqs!$A:$B,2,0),AW55,1),"")</f>
        <v>S</v>
      </c>
      <c r="AW55" s="3">
        <v>346</v>
      </c>
      <c r="AX55" s="3" t="str">
        <f>IFERROR(MID(VLOOKUP($B55,Seqs!$A:$B,2,0),AY55,1),"")</f>
        <v>C</v>
      </c>
      <c r="AY55" s="3">
        <v>358</v>
      </c>
      <c r="AZ55" s="79" t="str">
        <f>VLOOKUP(B55,Classification!A:D,2,0)</f>
        <v>A</v>
      </c>
      <c r="BA55" s="97" t="str">
        <f>VLOOKUP(B55,Classification!A:D,4,0)</f>
        <v>Adrenoceptors</v>
      </c>
      <c r="BB55" s="27" t="b">
        <f t="shared" si="195"/>
        <v>1</v>
      </c>
      <c r="BC55" s="23">
        <f t="shared" si="84"/>
        <v>265</v>
      </c>
      <c r="BD55" s="4" t="s">
        <v>23</v>
      </c>
      <c r="BE55" s="3" t="s">
        <v>1381</v>
      </c>
      <c r="BF55" s="50" t="s">
        <v>1384</v>
      </c>
      <c r="BG55" s="50" t="s">
        <v>1384</v>
      </c>
      <c r="BH55" s="1"/>
      <c r="BI55" s="72" t="s">
        <v>1293</v>
      </c>
      <c r="BJ55" s="58" t="s">
        <v>1293</v>
      </c>
      <c r="BK55" s="58" t="s">
        <v>1293</v>
      </c>
      <c r="BL55" s="58" t="s">
        <v>1293</v>
      </c>
      <c r="BM55" s="58" t="s">
        <v>1293</v>
      </c>
      <c r="BN55" s="58" t="s">
        <v>1293</v>
      </c>
      <c r="BO55" s="58" t="s">
        <v>1293</v>
      </c>
      <c r="BP55" s="58" t="s">
        <v>1293</v>
      </c>
      <c r="BQ55" s="58" t="s">
        <v>1293</v>
      </c>
      <c r="BR55" s="58" t="s">
        <v>1293</v>
      </c>
      <c r="BS55" s="58" t="s">
        <v>1293</v>
      </c>
      <c r="BT55" s="58" t="s">
        <v>1293</v>
      </c>
      <c r="BU55" s="72">
        <f t="shared" si="85"/>
        <v>33</v>
      </c>
      <c r="BV55" s="73">
        <f t="shared" si="86"/>
        <v>70</v>
      </c>
      <c r="BW55" s="74">
        <f t="shared" si="87"/>
        <v>74</v>
      </c>
      <c r="BX55" s="73">
        <f t="shared" si="88"/>
        <v>106</v>
      </c>
      <c r="BY55" s="74">
        <f t="shared" si="89"/>
        <v>110</v>
      </c>
      <c r="BZ55" s="73">
        <f t="shared" si="90"/>
        <v>146</v>
      </c>
      <c r="CA55" s="74">
        <f t="shared" si="91"/>
        <v>154</v>
      </c>
      <c r="CB55" s="73">
        <f t="shared" si="92"/>
        <v>199</v>
      </c>
      <c r="CC55" s="74">
        <f t="shared" si="93"/>
        <v>204</v>
      </c>
      <c r="CD55" s="73">
        <f t="shared" si="94"/>
        <v>275</v>
      </c>
      <c r="CE55" s="74">
        <f t="shared" si="95"/>
        <v>321</v>
      </c>
      <c r="CF55" s="73">
        <f t="shared" si="96"/>
        <v>346</v>
      </c>
      <c r="CG55" s="72">
        <f t="shared" si="97"/>
        <v>69</v>
      </c>
      <c r="CH55" s="73">
        <f t="shared" si="98"/>
        <v>73</v>
      </c>
      <c r="CI55" s="74">
        <f t="shared" si="99"/>
        <v>104</v>
      </c>
      <c r="CJ55" s="74">
        <f t="shared" si="100"/>
        <v>109</v>
      </c>
      <c r="CK55" s="74">
        <f t="shared" si="101"/>
        <v>145</v>
      </c>
      <c r="CL55" s="74">
        <f t="shared" si="102"/>
        <v>153</v>
      </c>
      <c r="CM55" s="74">
        <f t="shared" si="103"/>
        <v>180</v>
      </c>
      <c r="CN55" s="74">
        <f t="shared" si="104"/>
        <v>201</v>
      </c>
      <c r="CO55" s="74">
        <f t="shared" si="105"/>
        <v>238</v>
      </c>
      <c r="CP55" s="74">
        <f t="shared" si="106"/>
        <v>316</v>
      </c>
      <c r="CQ55" s="74">
        <f t="shared" si="107"/>
        <v>345</v>
      </c>
      <c r="CR55" s="74">
        <f t="shared" si="108"/>
        <v>358</v>
      </c>
      <c r="CS55" s="23">
        <f t="shared" si="109"/>
        <v>1</v>
      </c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</row>
    <row r="56" spans="1:1028" x14ac:dyDescent="0.2">
      <c r="A56" s="3" t="str">
        <f t="shared" si="194"/>
        <v>adrb1_melga_4AMI</v>
      </c>
      <c r="B56" s="3" t="s">
        <v>912</v>
      </c>
      <c r="C56" s="3" t="s">
        <v>1040</v>
      </c>
      <c r="D56" s="3" t="str">
        <f>IFERROR(MID(VLOOKUP($B56,Seqs!$A:$B,2,0),E56,1),"")</f>
        <v>A</v>
      </c>
      <c r="E56" s="3">
        <v>33</v>
      </c>
      <c r="F56" s="3" t="str">
        <f>IFERROR(MID(VLOOKUP($B56,Seqs!$A:$B,2,0),G56,1),"")</f>
        <v>T</v>
      </c>
      <c r="G56" s="3">
        <v>69</v>
      </c>
      <c r="H56" s="3" t="str">
        <f>IFERROR(MID(VLOOKUP($B56,Seqs!$A:$B,2,0),I56,1),"")</f>
        <v>Q</v>
      </c>
      <c r="I56" s="23">
        <v>70</v>
      </c>
      <c r="J56" s="3" t="str">
        <f>IFERROR(MID(VLOOKUP($B56,Seqs!$A:$B,2,0),K56,1),"")</f>
        <v>Q</v>
      </c>
      <c r="K56" s="23">
        <v>73</v>
      </c>
      <c r="L56" s="3" t="str">
        <f>IFERROR(MID(VLOOKUP($B56,Seqs!$A:$B,2,0),M56,1),"")</f>
        <v>T</v>
      </c>
      <c r="M56" s="3">
        <v>74</v>
      </c>
      <c r="N56" s="3" t="str">
        <f>IFERROR(MID(VLOOKUP($B56,Seqs!$A:$B,2,0),O56,1),"")</f>
        <v>R</v>
      </c>
      <c r="O56" s="3">
        <v>104</v>
      </c>
      <c r="P56" s="3" t="str">
        <f>IFERROR(MID(VLOOKUP($B56,Seqs!$A:$B,2,0),Q56,1),"")</f>
        <v>T</v>
      </c>
      <c r="Q56" s="3">
        <v>106</v>
      </c>
      <c r="R56" s="3" t="str">
        <f>IFERROR(MID(VLOOKUP($B56,Seqs!$A:$B,2,0),S56,1),"")</f>
        <v>W</v>
      </c>
      <c r="S56" s="3">
        <v>109</v>
      </c>
      <c r="T56" s="3" t="str">
        <f>IFERROR(MID(VLOOKUP($B56,Seqs!$A:$B,2,0),U56,1),"")</f>
        <v>G</v>
      </c>
      <c r="U56" s="3">
        <v>110</v>
      </c>
      <c r="V56" s="3" t="str">
        <f>IFERROR(MID(VLOOKUP($B56,Seqs!$A:$B,2,0),W56,1),"")</f>
        <v>S</v>
      </c>
      <c r="W56" s="3">
        <v>145</v>
      </c>
      <c r="X56" s="3" t="str">
        <f>IFERROR(MID(VLOOKUP($B56,Seqs!$A:$B,2,0),Y56,1),"")</f>
        <v>P</v>
      </c>
      <c r="Y56" s="3">
        <v>146</v>
      </c>
      <c r="Z56" s="3" t="str">
        <f>IFERROR(MID(VLOOKUP($B56,Seqs!$A:$B,2,0),AA56,1),"")</f>
        <v>M</v>
      </c>
      <c r="AA56" s="3">
        <v>153</v>
      </c>
      <c r="AB56" s="3" t="str">
        <f>IFERROR(MID(VLOOKUP($B56,Seqs!$A:$B,2,0),AC56,1),"")</f>
        <v>T</v>
      </c>
      <c r="AC56" s="9">
        <v>154</v>
      </c>
      <c r="AD56" s="3" t="str">
        <f>IFERROR(MID(VLOOKUP($B56,Seqs!$A:$B,2,0),AE56,1),"")</f>
        <v>H</v>
      </c>
      <c r="AE56" s="3">
        <v>180</v>
      </c>
      <c r="AF56" s="3" t="str">
        <f>IFERROR(MID(VLOOKUP($B56,Seqs!$A:$B,2,0),AG56,1),"")</f>
        <v>C</v>
      </c>
      <c r="AG56" s="3">
        <v>199</v>
      </c>
      <c r="AH56" s="3" t="str">
        <f>IFERROR(MID(VLOOKUP($B56,Seqs!$A:$B,2,0),AI56,1),"")</f>
        <v>F</v>
      </c>
      <c r="AI56" s="3">
        <v>201</v>
      </c>
      <c r="AJ56" s="3" t="str">
        <f>IFERROR(MID(VLOOKUP($B56,Seqs!$A:$B,2,0),AK56,1),"")</f>
        <v>N</v>
      </c>
      <c r="AK56" s="3">
        <v>204</v>
      </c>
      <c r="AL56" s="3" t="str">
        <f>IFERROR(MID(VLOOKUP($B56,Seqs!$A:$B,2,0),AM56,1),"")</f>
        <v>E</v>
      </c>
      <c r="AM56" s="3">
        <v>236</v>
      </c>
      <c r="AN56" s="3" t="str">
        <f>IFERROR(MID(VLOOKUP($B56,Seqs!$A:$B,2,0),AO56,1),"")</f>
        <v>A</v>
      </c>
      <c r="AO56" s="3">
        <v>288</v>
      </c>
      <c r="AP56" s="3" t="str">
        <f>IFERROR(MID(VLOOKUP($B56,Seqs!$A:$B,2,0),AQ56,1),"")</f>
        <v>N</v>
      </c>
      <c r="AQ56" s="3">
        <v>316</v>
      </c>
      <c r="AR56" s="3" t="str">
        <f>IFERROR(MID(VLOOKUP($B56,Seqs!$A:$B,2,0),AS56,1),"")</f>
        <v>P</v>
      </c>
      <c r="AS56" s="3">
        <v>321</v>
      </c>
      <c r="AT56" s="3" t="str">
        <f>IFERROR(MID(VLOOKUP($B56,Seqs!$A:$B,2,0),AU56,1),"")</f>
        <v>R</v>
      </c>
      <c r="AU56" s="3">
        <v>345</v>
      </c>
      <c r="AV56" s="3" t="str">
        <f>IFERROR(MID(VLOOKUP($B56,Seqs!$A:$B,2,0),AW56,1),"")</f>
        <v>S</v>
      </c>
      <c r="AW56" s="3">
        <v>346</v>
      </c>
      <c r="AX56" s="3" t="str">
        <f>IFERROR(MID(VLOOKUP($B56,Seqs!$A:$B,2,0),AY56,1),"")</f>
        <v>C</v>
      </c>
      <c r="AY56" s="3">
        <v>358</v>
      </c>
      <c r="AZ56" s="79" t="str">
        <f>VLOOKUP(B56,Classification!A:D,2,0)</f>
        <v>A</v>
      </c>
      <c r="BA56" s="97" t="str">
        <f>VLOOKUP(B56,Classification!A:D,4,0)</f>
        <v>Adrenoceptors</v>
      </c>
      <c r="BB56" s="27" t="b">
        <f t="shared" si="195"/>
        <v>1</v>
      </c>
      <c r="BC56" s="23">
        <f t="shared" si="84"/>
        <v>250</v>
      </c>
      <c r="BD56" s="4" t="s">
        <v>23</v>
      </c>
      <c r="BE56" s="3" t="s">
        <v>1381</v>
      </c>
      <c r="BF56" s="50" t="s">
        <v>1384</v>
      </c>
      <c r="BG56" s="50" t="s">
        <v>1384</v>
      </c>
      <c r="BH56" s="1"/>
      <c r="BI56" s="72" t="s">
        <v>1293</v>
      </c>
      <c r="BJ56" s="58" t="s">
        <v>1293</v>
      </c>
      <c r="BK56" s="58" t="s">
        <v>1293</v>
      </c>
      <c r="BL56" s="58" t="s">
        <v>1293</v>
      </c>
      <c r="BM56" s="58" t="s">
        <v>1293</v>
      </c>
      <c r="BN56" s="58" t="s">
        <v>1293</v>
      </c>
      <c r="BO56" s="58" t="s">
        <v>1293</v>
      </c>
      <c r="BP56" s="58" t="s">
        <v>1293</v>
      </c>
      <c r="BQ56" s="58" t="s">
        <v>1293</v>
      </c>
      <c r="BR56" s="58" t="s">
        <v>1293</v>
      </c>
      <c r="BS56" s="58" t="s">
        <v>1293</v>
      </c>
      <c r="BT56" s="58" t="s">
        <v>1293</v>
      </c>
      <c r="BU56" s="72">
        <f t="shared" si="85"/>
        <v>33</v>
      </c>
      <c r="BV56" s="73">
        <f t="shared" si="86"/>
        <v>70</v>
      </c>
      <c r="BW56" s="74">
        <f t="shared" si="87"/>
        <v>74</v>
      </c>
      <c r="BX56" s="73">
        <f t="shared" si="88"/>
        <v>106</v>
      </c>
      <c r="BY56" s="74">
        <f t="shared" si="89"/>
        <v>110</v>
      </c>
      <c r="BZ56" s="73">
        <f t="shared" si="90"/>
        <v>146</v>
      </c>
      <c r="CA56" s="74">
        <f t="shared" si="91"/>
        <v>154</v>
      </c>
      <c r="CB56" s="73">
        <f t="shared" si="92"/>
        <v>199</v>
      </c>
      <c r="CC56" s="74">
        <f t="shared" si="93"/>
        <v>204</v>
      </c>
      <c r="CD56" s="73">
        <f t="shared" si="94"/>
        <v>288</v>
      </c>
      <c r="CE56" s="74">
        <f t="shared" si="95"/>
        <v>321</v>
      </c>
      <c r="CF56" s="73">
        <f t="shared" si="96"/>
        <v>346</v>
      </c>
      <c r="CG56" s="72">
        <f t="shared" si="97"/>
        <v>69</v>
      </c>
      <c r="CH56" s="73">
        <f t="shared" si="98"/>
        <v>73</v>
      </c>
      <c r="CI56" s="74">
        <f t="shared" si="99"/>
        <v>104</v>
      </c>
      <c r="CJ56" s="74">
        <f t="shared" si="100"/>
        <v>109</v>
      </c>
      <c r="CK56" s="74">
        <f t="shared" si="101"/>
        <v>145</v>
      </c>
      <c r="CL56" s="74">
        <f t="shared" si="102"/>
        <v>153</v>
      </c>
      <c r="CM56" s="74">
        <f t="shared" si="103"/>
        <v>180</v>
      </c>
      <c r="CN56" s="74">
        <f t="shared" si="104"/>
        <v>201</v>
      </c>
      <c r="CO56" s="74">
        <f t="shared" si="105"/>
        <v>236</v>
      </c>
      <c r="CP56" s="74">
        <f t="shared" si="106"/>
        <v>316</v>
      </c>
      <c r="CQ56" s="74">
        <f t="shared" si="107"/>
        <v>345</v>
      </c>
      <c r="CR56" s="74">
        <f t="shared" si="108"/>
        <v>358</v>
      </c>
      <c r="CS56" s="23">
        <f t="shared" si="109"/>
        <v>1</v>
      </c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</row>
    <row r="57" spans="1:1028" x14ac:dyDescent="0.2">
      <c r="A57" s="3" t="str">
        <f t="shared" si="194"/>
        <v>adrb1_melga_4AMJ</v>
      </c>
      <c r="B57" s="3" t="s">
        <v>912</v>
      </c>
      <c r="C57" s="3" t="s">
        <v>1041</v>
      </c>
      <c r="D57" s="3" t="str">
        <f>IFERROR(MID(VLOOKUP($B57,Seqs!$A:$B,2,0),E57,1),"")</f>
        <v>A</v>
      </c>
      <c r="E57" s="3">
        <v>33</v>
      </c>
      <c r="F57" s="3" t="str">
        <f>IFERROR(MID(VLOOKUP($B57,Seqs!$A:$B,2,0),G57,1),"")</f>
        <v>T</v>
      </c>
      <c r="G57" s="3">
        <v>69</v>
      </c>
      <c r="H57" s="3" t="str">
        <f>IFERROR(MID(VLOOKUP($B57,Seqs!$A:$B,2,0),I57,1),"")</f>
        <v>Q</v>
      </c>
      <c r="I57" s="23">
        <v>70</v>
      </c>
      <c r="J57" s="3" t="str">
        <f>IFERROR(MID(VLOOKUP($B57,Seqs!$A:$B,2,0),K57,1),"")</f>
        <v>Q</v>
      </c>
      <c r="K57" s="23">
        <v>73</v>
      </c>
      <c r="L57" s="3" t="str">
        <f>IFERROR(MID(VLOOKUP($B57,Seqs!$A:$B,2,0),M57,1),"")</f>
        <v>T</v>
      </c>
      <c r="M57" s="3">
        <v>74</v>
      </c>
      <c r="N57" s="3" t="str">
        <f>IFERROR(MID(VLOOKUP($B57,Seqs!$A:$B,2,0),O57,1),"")</f>
        <v>R</v>
      </c>
      <c r="O57" s="3">
        <v>104</v>
      </c>
      <c r="P57" s="3" t="str">
        <f>IFERROR(MID(VLOOKUP($B57,Seqs!$A:$B,2,0),Q57,1),"")</f>
        <v>T</v>
      </c>
      <c r="Q57" s="3">
        <v>106</v>
      </c>
      <c r="R57" s="3" t="str">
        <f>IFERROR(MID(VLOOKUP($B57,Seqs!$A:$B,2,0),S57,1),"")</f>
        <v>W</v>
      </c>
      <c r="S57" s="3">
        <v>109</v>
      </c>
      <c r="T57" s="3" t="str">
        <f>IFERROR(MID(VLOOKUP($B57,Seqs!$A:$B,2,0),U57,1),"")</f>
        <v>G</v>
      </c>
      <c r="U57" s="3">
        <v>110</v>
      </c>
      <c r="V57" s="3" t="str">
        <f>IFERROR(MID(VLOOKUP($B57,Seqs!$A:$B,2,0),W57,1),"")</f>
        <v>S</v>
      </c>
      <c r="W57" s="3">
        <v>145</v>
      </c>
      <c r="X57" s="3" t="str">
        <f>IFERROR(MID(VLOOKUP($B57,Seqs!$A:$B,2,0),Y57,1),"")</f>
        <v>P</v>
      </c>
      <c r="Y57" s="3">
        <v>146</v>
      </c>
      <c r="Z57" s="3" t="str">
        <f>IFERROR(MID(VLOOKUP($B57,Seqs!$A:$B,2,0),AA57,1),"")</f>
        <v>M</v>
      </c>
      <c r="AA57" s="3">
        <v>153</v>
      </c>
      <c r="AB57" s="3" t="str">
        <f>IFERROR(MID(VLOOKUP($B57,Seqs!$A:$B,2,0),AC57,1),"")</f>
        <v>T</v>
      </c>
      <c r="AC57" s="9">
        <v>154</v>
      </c>
      <c r="AD57" s="3" t="str">
        <f>IFERROR(MID(VLOOKUP($B57,Seqs!$A:$B,2,0),AE57,1),"")</f>
        <v>H</v>
      </c>
      <c r="AE57" s="3">
        <v>180</v>
      </c>
      <c r="AF57" s="3" t="str">
        <f>IFERROR(MID(VLOOKUP($B57,Seqs!$A:$B,2,0),AG57,1),"")</f>
        <v>C</v>
      </c>
      <c r="AG57" s="3">
        <v>199</v>
      </c>
      <c r="AH57" s="3" t="str">
        <f>IFERROR(MID(VLOOKUP($B57,Seqs!$A:$B,2,0),AI57,1),"")</f>
        <v>F</v>
      </c>
      <c r="AI57" s="3">
        <v>201</v>
      </c>
      <c r="AJ57" s="3" t="str">
        <f>IFERROR(MID(VLOOKUP($B57,Seqs!$A:$B,2,0),AK57,1),"")</f>
        <v>N</v>
      </c>
      <c r="AK57" s="3">
        <v>204</v>
      </c>
      <c r="AL57" s="3" t="str">
        <f>IFERROR(MID(VLOOKUP($B57,Seqs!$A:$B,2,0),AM57,1),"")</f>
        <v>I</v>
      </c>
      <c r="AM57" s="3">
        <v>238</v>
      </c>
      <c r="AN57" s="3" t="str">
        <f>IFERROR(MID(VLOOKUP($B57,Seqs!$A:$B,2,0),AO57,1),"")</f>
        <v>R</v>
      </c>
      <c r="AO57" s="3">
        <v>275</v>
      </c>
      <c r="AP57" s="3" t="str">
        <f>IFERROR(MID(VLOOKUP($B57,Seqs!$A:$B,2,0),AQ57,1),"")</f>
        <v>N</v>
      </c>
      <c r="AQ57" s="3">
        <v>316</v>
      </c>
      <c r="AR57" s="3" t="str">
        <f>IFERROR(MID(VLOOKUP($B57,Seqs!$A:$B,2,0),AS57,1),"")</f>
        <v>P</v>
      </c>
      <c r="AS57" s="3">
        <v>321</v>
      </c>
      <c r="AT57" s="3" t="str">
        <f>IFERROR(MID(VLOOKUP($B57,Seqs!$A:$B,2,0),AU57,1),"")</f>
        <v>R</v>
      </c>
      <c r="AU57" s="3">
        <v>345</v>
      </c>
      <c r="AV57" s="3" t="str">
        <f>IFERROR(MID(VLOOKUP($B57,Seqs!$A:$B,2,0),AW57,1),"")</f>
        <v>S</v>
      </c>
      <c r="AW57" s="3">
        <v>346</v>
      </c>
      <c r="AX57" s="3" t="str">
        <f>IFERROR(MID(VLOOKUP($B57,Seqs!$A:$B,2,0),AY57,1),"")</f>
        <v>C</v>
      </c>
      <c r="AY57" s="3">
        <v>358</v>
      </c>
      <c r="AZ57" s="79" t="str">
        <f>VLOOKUP(B57,Classification!A:D,2,0)</f>
        <v>A</v>
      </c>
      <c r="BA57" s="97" t="str">
        <f>VLOOKUP(B57,Classification!A:D,4,0)</f>
        <v>Adrenoceptors</v>
      </c>
      <c r="BB57" s="27" t="b">
        <f t="shared" si="195"/>
        <v>1</v>
      </c>
      <c r="BC57" s="23">
        <f t="shared" si="84"/>
        <v>265</v>
      </c>
      <c r="BD57" s="2" t="s">
        <v>1383</v>
      </c>
      <c r="BE57" s="3" t="s">
        <v>1381</v>
      </c>
      <c r="BF57" s="50" t="s">
        <v>1384</v>
      </c>
      <c r="BG57" s="50" t="s">
        <v>1384</v>
      </c>
      <c r="BH57" s="1"/>
      <c r="BI57" s="72" t="s">
        <v>1293</v>
      </c>
      <c r="BJ57" s="58" t="s">
        <v>1293</v>
      </c>
      <c r="BK57" s="58" t="s">
        <v>1293</v>
      </c>
      <c r="BL57" s="58" t="s">
        <v>1293</v>
      </c>
      <c r="BM57" s="58" t="s">
        <v>1293</v>
      </c>
      <c r="BN57" s="58" t="s">
        <v>1293</v>
      </c>
      <c r="BO57" s="58" t="s">
        <v>1293</v>
      </c>
      <c r="BP57" s="58" t="s">
        <v>1293</v>
      </c>
      <c r="BQ57" s="58" t="s">
        <v>1293</v>
      </c>
      <c r="BR57" s="58" t="s">
        <v>1293</v>
      </c>
      <c r="BS57" s="58" t="s">
        <v>1293</v>
      </c>
      <c r="BT57" s="58" t="s">
        <v>1293</v>
      </c>
      <c r="BU57" s="72">
        <f t="shared" si="85"/>
        <v>33</v>
      </c>
      <c r="BV57" s="73">
        <f t="shared" si="86"/>
        <v>70</v>
      </c>
      <c r="BW57" s="74">
        <f t="shared" si="87"/>
        <v>74</v>
      </c>
      <c r="BX57" s="73">
        <f t="shared" si="88"/>
        <v>106</v>
      </c>
      <c r="BY57" s="74">
        <f t="shared" si="89"/>
        <v>110</v>
      </c>
      <c r="BZ57" s="73">
        <f t="shared" si="90"/>
        <v>146</v>
      </c>
      <c r="CA57" s="74">
        <f t="shared" si="91"/>
        <v>154</v>
      </c>
      <c r="CB57" s="73">
        <f t="shared" si="92"/>
        <v>199</v>
      </c>
      <c r="CC57" s="74">
        <f t="shared" si="93"/>
        <v>204</v>
      </c>
      <c r="CD57" s="73">
        <f t="shared" si="94"/>
        <v>275</v>
      </c>
      <c r="CE57" s="74">
        <f t="shared" si="95"/>
        <v>321</v>
      </c>
      <c r="CF57" s="73">
        <f t="shared" si="96"/>
        <v>346</v>
      </c>
      <c r="CG57" s="72">
        <f t="shared" si="97"/>
        <v>69</v>
      </c>
      <c r="CH57" s="73">
        <f t="shared" si="98"/>
        <v>73</v>
      </c>
      <c r="CI57" s="74">
        <f t="shared" si="99"/>
        <v>104</v>
      </c>
      <c r="CJ57" s="74">
        <f t="shared" si="100"/>
        <v>109</v>
      </c>
      <c r="CK57" s="74">
        <f t="shared" si="101"/>
        <v>145</v>
      </c>
      <c r="CL57" s="74">
        <f t="shared" si="102"/>
        <v>153</v>
      </c>
      <c r="CM57" s="74">
        <f t="shared" si="103"/>
        <v>180</v>
      </c>
      <c r="CN57" s="74">
        <f t="shared" si="104"/>
        <v>201</v>
      </c>
      <c r="CO57" s="74">
        <f t="shared" si="105"/>
        <v>238</v>
      </c>
      <c r="CP57" s="74">
        <f t="shared" si="106"/>
        <v>316</v>
      </c>
      <c r="CQ57" s="74">
        <f t="shared" si="107"/>
        <v>345</v>
      </c>
      <c r="CR57" s="74">
        <f t="shared" si="108"/>
        <v>358</v>
      </c>
      <c r="CS57" s="23">
        <f t="shared" si="109"/>
        <v>1</v>
      </c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</row>
    <row r="58" spans="1:1028" x14ac:dyDescent="0.2">
      <c r="A58" s="3" t="str">
        <f t="shared" si="194"/>
        <v>adrb1_melga_4BVN</v>
      </c>
      <c r="B58" s="3" t="s">
        <v>912</v>
      </c>
      <c r="C58" s="3" t="s">
        <v>82</v>
      </c>
      <c r="D58" s="3" t="str">
        <f>IFERROR(MID(VLOOKUP($B58,Seqs!$A:$B,2,0),E58,1),"")</f>
        <v>S</v>
      </c>
      <c r="E58" s="3">
        <v>37</v>
      </c>
      <c r="F58" s="3" t="str">
        <f>IFERROR(MID(VLOOKUP($B58,Seqs!$A:$B,2,0),G58,1),"")</f>
        <v>T</v>
      </c>
      <c r="G58" s="3">
        <v>69</v>
      </c>
      <c r="H58" s="3" t="str">
        <f>IFERROR(MID(VLOOKUP($B58,Seqs!$A:$B,2,0),I58,1),"")</f>
        <v>Q</v>
      </c>
      <c r="I58" s="23">
        <v>70</v>
      </c>
      <c r="J58" s="3" t="str">
        <f>IFERROR(MID(VLOOKUP($B58,Seqs!$A:$B,2,0),K58,1),"")</f>
        <v>Q</v>
      </c>
      <c r="K58" s="23">
        <v>73</v>
      </c>
      <c r="L58" s="3" t="str">
        <f>IFERROR(MID(VLOOKUP($B58,Seqs!$A:$B,2,0),M58,1),"")</f>
        <v>T</v>
      </c>
      <c r="M58" s="3">
        <v>74</v>
      </c>
      <c r="N58" s="3" t="str">
        <f>IFERROR(MID(VLOOKUP($B58,Seqs!$A:$B,2,0),O58,1),"")</f>
        <v>R</v>
      </c>
      <c r="O58" s="3">
        <v>104</v>
      </c>
      <c r="P58" s="3" t="str">
        <f>IFERROR(MID(VLOOKUP($B58,Seqs!$A:$B,2,0),Q58,1),"")</f>
        <v>T</v>
      </c>
      <c r="Q58" s="3">
        <v>106</v>
      </c>
      <c r="R58" s="3" t="str">
        <f>IFERROR(MID(VLOOKUP($B58,Seqs!$A:$B,2,0),S58,1),"")</f>
        <v>W</v>
      </c>
      <c r="S58" s="3">
        <v>109</v>
      </c>
      <c r="T58" s="3" t="str">
        <f>IFERROR(MID(VLOOKUP($B58,Seqs!$A:$B,2,0),U58,1),"")</f>
        <v>G</v>
      </c>
      <c r="U58" s="3">
        <v>110</v>
      </c>
      <c r="V58" s="3" t="str">
        <f>IFERROR(MID(VLOOKUP($B58,Seqs!$A:$B,2,0),W58,1),"")</f>
        <v>S</v>
      </c>
      <c r="W58" s="3">
        <v>145</v>
      </c>
      <c r="X58" s="3" t="str">
        <f>IFERROR(MID(VLOOKUP($B58,Seqs!$A:$B,2,0),Y58,1),"")</f>
        <v>P</v>
      </c>
      <c r="Y58" s="3">
        <v>146</v>
      </c>
      <c r="Z58" s="3" t="str">
        <f>IFERROR(MID(VLOOKUP($B58,Seqs!$A:$B,2,0),AA58,1),"")</f>
        <v>M</v>
      </c>
      <c r="AA58" s="3">
        <v>153</v>
      </c>
      <c r="AB58" s="3" t="str">
        <f>IFERROR(MID(VLOOKUP($B58,Seqs!$A:$B,2,0),AC58,1),"")</f>
        <v>T</v>
      </c>
      <c r="AC58" s="9">
        <v>154</v>
      </c>
      <c r="AD58" s="3" t="str">
        <f>IFERROR(MID(VLOOKUP($B58,Seqs!$A:$B,2,0),AE58,1),"")</f>
        <v>H</v>
      </c>
      <c r="AE58" s="3">
        <v>180</v>
      </c>
      <c r="AF58" s="3" t="str">
        <f>IFERROR(MID(VLOOKUP($B58,Seqs!$A:$B,2,0),AG58,1),"")</f>
        <v>C</v>
      </c>
      <c r="AG58" s="3">
        <v>199</v>
      </c>
      <c r="AH58" s="3" t="str">
        <f>IFERROR(MID(VLOOKUP($B58,Seqs!$A:$B,2,0),AI58,1),"")</f>
        <v>F</v>
      </c>
      <c r="AI58" s="3">
        <v>201</v>
      </c>
      <c r="AJ58" s="3" t="str">
        <f>IFERROR(MID(VLOOKUP($B58,Seqs!$A:$B,2,0),AK58,1),"")</f>
        <v>N</v>
      </c>
      <c r="AK58" s="3">
        <v>204</v>
      </c>
      <c r="AL58" s="3" t="str">
        <f>IFERROR(MID(VLOOKUP($B58,Seqs!$A:$B,2,0),AM58,1),"")</f>
        <v>R</v>
      </c>
      <c r="AM58" s="3">
        <v>239</v>
      </c>
      <c r="AN58" s="3" t="str">
        <f>IFERROR(MID(VLOOKUP($B58,Seqs!$A:$B,2,0),AO58,1),"")</f>
        <v>R</v>
      </c>
      <c r="AO58" s="3">
        <v>279</v>
      </c>
      <c r="AP58" s="3" t="str">
        <f>IFERROR(MID(VLOOKUP($B58,Seqs!$A:$B,2,0),AQ58,1),"")</f>
        <v>N</v>
      </c>
      <c r="AQ58" s="3">
        <v>316</v>
      </c>
      <c r="AR58" s="3" t="str">
        <f>IFERROR(MID(VLOOKUP($B58,Seqs!$A:$B,2,0),AS58,1),"")</f>
        <v>P</v>
      </c>
      <c r="AS58" s="3">
        <v>321</v>
      </c>
      <c r="AT58" s="3" t="str">
        <f>IFERROR(MID(VLOOKUP($B58,Seqs!$A:$B,2,0),AU58,1),"")</f>
        <v>R</v>
      </c>
      <c r="AU58" s="3">
        <v>345</v>
      </c>
      <c r="AV58" s="3" t="str">
        <f>IFERROR(MID(VLOOKUP($B58,Seqs!$A:$B,2,0),AW58,1),"")</f>
        <v>S</v>
      </c>
      <c r="AW58" s="3">
        <v>346</v>
      </c>
      <c r="AX58" s="3" t="str">
        <f>IFERROR(MID(VLOOKUP($B58,Seqs!$A:$B,2,0),AY58,1),"")</f>
        <v>C</v>
      </c>
      <c r="AY58" s="3">
        <v>358</v>
      </c>
      <c r="AZ58" s="79" t="str">
        <f>VLOOKUP(B58,Classification!A:D,2,0)</f>
        <v>A</v>
      </c>
      <c r="BA58" s="97" t="str">
        <f>VLOOKUP(B58,Classification!A:D,4,0)</f>
        <v>Adrenoceptors</v>
      </c>
      <c r="BB58" s="27" t="b">
        <f t="shared" si="195"/>
        <v>1</v>
      </c>
      <c r="BC58" s="23">
        <f t="shared" ref="BC58:BC97" si="196">_xlfn.AGGREGATE(9,6,CG58:CR58)-_xlfn.AGGREGATE(9,6,BU58:CF58)+12</f>
        <v>258</v>
      </c>
      <c r="BD58" s="4" t="s">
        <v>23</v>
      </c>
      <c r="BE58" s="3" t="s">
        <v>1381</v>
      </c>
      <c r="BF58" s="50" t="s">
        <v>1384</v>
      </c>
      <c r="BG58" s="50" t="s">
        <v>1384</v>
      </c>
      <c r="BH58" s="1"/>
      <c r="BI58" s="72" t="s">
        <v>1293</v>
      </c>
      <c r="BJ58" s="58" t="s">
        <v>1293</v>
      </c>
      <c r="BK58" s="58" t="s">
        <v>1293</v>
      </c>
      <c r="BL58" s="58" t="s">
        <v>1293</v>
      </c>
      <c r="BM58" s="58" t="s">
        <v>1293</v>
      </c>
      <c r="BN58" s="58" t="s">
        <v>1293</v>
      </c>
      <c r="BO58" s="58" t="s">
        <v>1293</v>
      </c>
      <c r="BP58" s="58" t="s">
        <v>1293</v>
      </c>
      <c r="BQ58" s="58" t="s">
        <v>1293</v>
      </c>
      <c r="BR58" s="58" t="s">
        <v>1293</v>
      </c>
      <c r="BS58" s="58" t="s">
        <v>1293</v>
      </c>
      <c r="BT58" s="58" t="s">
        <v>1293</v>
      </c>
      <c r="BU58" s="72">
        <f t="shared" ref="BU58:BU97" si="197">E58</f>
        <v>37</v>
      </c>
      <c r="BV58" s="73">
        <f t="shared" ref="BV58:BV97" si="198">I58</f>
        <v>70</v>
      </c>
      <c r="BW58" s="74">
        <f t="shared" ref="BW58:BW97" si="199">M58</f>
        <v>74</v>
      </c>
      <c r="BX58" s="73">
        <f t="shared" ref="BX58:BX97" si="200">Q58</f>
        <v>106</v>
      </c>
      <c r="BY58" s="74">
        <f t="shared" ref="BY58:BY97" si="201">U58</f>
        <v>110</v>
      </c>
      <c r="BZ58" s="73">
        <f t="shared" ref="BZ58:BZ97" si="202">Y58</f>
        <v>146</v>
      </c>
      <c r="CA58" s="74">
        <f t="shared" ref="CA58:CA97" si="203">AC58</f>
        <v>154</v>
      </c>
      <c r="CB58" s="73">
        <f t="shared" ref="CB58:CB97" si="204">AG58</f>
        <v>199</v>
      </c>
      <c r="CC58" s="74">
        <f t="shared" ref="CC58:CC97" si="205">AK58</f>
        <v>204</v>
      </c>
      <c r="CD58" s="73">
        <f t="shared" ref="CD58:CD97" si="206">AO58</f>
        <v>279</v>
      </c>
      <c r="CE58" s="74">
        <f t="shared" ref="CE58:CE97" si="207">AS58</f>
        <v>321</v>
      </c>
      <c r="CF58" s="73">
        <f t="shared" ref="CF58:CF97" si="208">AW58</f>
        <v>346</v>
      </c>
      <c r="CG58" s="72">
        <f t="shared" ref="CG58:CG97" si="209">G58</f>
        <v>69</v>
      </c>
      <c r="CH58" s="73">
        <f t="shared" ref="CH58:CH97" si="210">K58</f>
        <v>73</v>
      </c>
      <c r="CI58" s="74">
        <f t="shared" ref="CI58:CI97" si="211">O58</f>
        <v>104</v>
      </c>
      <c r="CJ58" s="74">
        <f t="shared" ref="CJ58:CJ97" si="212">S58</f>
        <v>109</v>
      </c>
      <c r="CK58" s="74">
        <f t="shared" ref="CK58:CK97" si="213">W58</f>
        <v>145</v>
      </c>
      <c r="CL58" s="74">
        <f t="shared" ref="CL58:CL97" si="214">AA58</f>
        <v>153</v>
      </c>
      <c r="CM58" s="74">
        <f t="shared" ref="CM58:CM97" si="215">AE58</f>
        <v>180</v>
      </c>
      <c r="CN58" s="74">
        <f t="shared" ref="CN58:CN97" si="216">AI58</f>
        <v>201</v>
      </c>
      <c r="CO58" s="74">
        <f t="shared" ref="CO58:CO97" si="217">AM58</f>
        <v>239</v>
      </c>
      <c r="CP58" s="74">
        <f t="shared" ref="CP58:CP97" si="218">AQ58</f>
        <v>316</v>
      </c>
      <c r="CQ58" s="74">
        <f t="shared" ref="CQ58:CQ97" si="219">AU58</f>
        <v>345</v>
      </c>
      <c r="CR58" s="74">
        <f t="shared" ref="CR58:CR97" si="220">AY58</f>
        <v>358</v>
      </c>
      <c r="CS58" s="23">
        <f t="shared" ref="CS58:CS97" si="221">M58-K58</f>
        <v>1</v>
      </c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</row>
    <row r="59" spans="1:1028" x14ac:dyDescent="0.2">
      <c r="A59" s="3" t="str">
        <f t="shared" si="194"/>
        <v>adrb1_melga_4GPO</v>
      </c>
      <c r="B59" s="3" t="s">
        <v>912</v>
      </c>
      <c r="C59" s="3" t="s">
        <v>1042</v>
      </c>
      <c r="D59" s="3" t="str">
        <f>IFERROR(MID(VLOOKUP($B59,Seqs!$A:$B,2,0),E59,1),"")</f>
        <v>S</v>
      </c>
      <c r="E59" s="3">
        <v>37</v>
      </c>
      <c r="F59" s="3" t="str">
        <f>IFERROR(MID(VLOOKUP($B59,Seqs!$A:$B,2,0),G59,1),"")</f>
        <v>T</v>
      </c>
      <c r="G59" s="3">
        <v>69</v>
      </c>
      <c r="H59" s="3" t="str">
        <f>IFERROR(MID(VLOOKUP($B59,Seqs!$A:$B,2,0),I59,1),"")</f>
        <v>Q</v>
      </c>
      <c r="I59" s="23">
        <v>70</v>
      </c>
      <c r="J59" s="3" t="str">
        <f>IFERROR(MID(VLOOKUP($B59,Seqs!$A:$B,2,0),K59,1),"")</f>
        <v>Q</v>
      </c>
      <c r="K59" s="23">
        <v>73</v>
      </c>
      <c r="L59" s="3" t="str">
        <f>IFERROR(MID(VLOOKUP($B59,Seqs!$A:$B,2,0),M59,1),"")</f>
        <v>T</v>
      </c>
      <c r="M59" s="3">
        <v>74</v>
      </c>
      <c r="N59" s="3" t="str">
        <f>IFERROR(MID(VLOOKUP($B59,Seqs!$A:$B,2,0),O59,1),"")</f>
        <v>R</v>
      </c>
      <c r="O59" s="3">
        <v>104</v>
      </c>
      <c r="P59" s="3" t="str">
        <f>IFERROR(MID(VLOOKUP($B59,Seqs!$A:$B,2,0),Q59,1),"")</f>
        <v>T</v>
      </c>
      <c r="Q59" s="3">
        <v>106</v>
      </c>
      <c r="R59" s="3" t="str">
        <f>IFERROR(MID(VLOOKUP($B59,Seqs!$A:$B,2,0),S59,1),"")</f>
        <v>W</v>
      </c>
      <c r="S59" s="3">
        <v>109</v>
      </c>
      <c r="T59" s="3" t="str">
        <f>IFERROR(MID(VLOOKUP($B59,Seqs!$A:$B,2,0),U59,1),"")</f>
        <v>G</v>
      </c>
      <c r="U59" s="3">
        <v>110</v>
      </c>
      <c r="V59" s="3" t="str">
        <f>IFERROR(MID(VLOOKUP($B59,Seqs!$A:$B,2,0),W59,1),"")</f>
        <v>S</v>
      </c>
      <c r="W59" s="3">
        <v>145</v>
      </c>
      <c r="X59" s="3" t="str">
        <f>IFERROR(MID(VLOOKUP($B59,Seqs!$A:$B,2,0),Y59,1),"")</f>
        <v>P</v>
      </c>
      <c r="Y59" s="3">
        <v>146</v>
      </c>
      <c r="Z59" s="3" t="str">
        <f>IFERROR(MID(VLOOKUP($B59,Seqs!$A:$B,2,0),AA59,1),"")</f>
        <v>M</v>
      </c>
      <c r="AA59" s="3">
        <v>153</v>
      </c>
      <c r="AB59" s="3" t="str">
        <f>IFERROR(MID(VLOOKUP($B59,Seqs!$A:$B,2,0),AC59,1),"")</f>
        <v>T</v>
      </c>
      <c r="AC59" s="9">
        <v>154</v>
      </c>
      <c r="AD59" s="3" t="str">
        <f>IFERROR(MID(VLOOKUP($B59,Seqs!$A:$B,2,0),AE59,1),"")</f>
        <v>H</v>
      </c>
      <c r="AE59" s="3">
        <v>180</v>
      </c>
      <c r="AF59" s="3" t="str">
        <f>IFERROR(MID(VLOOKUP($B59,Seqs!$A:$B,2,0),AG59,1),"")</f>
        <v>C</v>
      </c>
      <c r="AG59" s="3">
        <v>199</v>
      </c>
      <c r="AH59" s="3" t="str">
        <f>IFERROR(MID(VLOOKUP($B59,Seqs!$A:$B,2,0),AI59,1),"")</f>
        <v>F</v>
      </c>
      <c r="AI59" s="3">
        <v>201</v>
      </c>
      <c r="AJ59" s="3" t="str">
        <f>IFERROR(MID(VLOOKUP($B59,Seqs!$A:$B,2,0),AK59,1),"")</f>
        <v>N</v>
      </c>
      <c r="AK59" s="3">
        <v>204</v>
      </c>
      <c r="AL59" s="3" t="str">
        <f>IFERROR(MID(VLOOKUP($B59,Seqs!$A:$B,2,0),AM59,1),"")</f>
        <v>E</v>
      </c>
      <c r="AM59" s="3">
        <v>233</v>
      </c>
      <c r="AN59" s="3" t="str">
        <f>IFERROR(MID(VLOOKUP($B59,Seqs!$A:$B,2,0),AO59,1),"")</f>
        <v>M</v>
      </c>
      <c r="AO59" s="3">
        <v>283</v>
      </c>
      <c r="AP59" s="3" t="str">
        <f>IFERROR(MID(VLOOKUP($B59,Seqs!$A:$B,2,0),AQ59,1),"")</f>
        <v>N</v>
      </c>
      <c r="AQ59" s="3">
        <v>316</v>
      </c>
      <c r="AR59" s="3" t="str">
        <f>IFERROR(MID(VLOOKUP($B59,Seqs!$A:$B,2,0),AS59,1),"")</f>
        <v>P</v>
      </c>
      <c r="AS59" s="3">
        <v>321</v>
      </c>
      <c r="AT59" s="3" t="str">
        <f>IFERROR(MID(VLOOKUP($B59,Seqs!$A:$B,2,0),AU59,1),"")</f>
        <v>R</v>
      </c>
      <c r="AU59" s="3">
        <v>345</v>
      </c>
      <c r="AV59" s="3" t="str">
        <f>IFERROR(MID(VLOOKUP($B59,Seqs!$A:$B,2,0),AW59,1),"")</f>
        <v>S</v>
      </c>
      <c r="AW59" s="3">
        <v>346</v>
      </c>
      <c r="AX59" s="3" t="str">
        <f>IFERROR(MID(VLOOKUP($B59,Seqs!$A:$B,2,0),AY59,1),"")</f>
        <v>L</v>
      </c>
      <c r="AY59" s="3">
        <v>356</v>
      </c>
      <c r="AZ59" s="79" t="str">
        <f>VLOOKUP(B59,Classification!A:D,2,0)</f>
        <v>A</v>
      </c>
      <c r="BA59" s="97" t="str">
        <f>VLOOKUP(B59,Classification!A:D,4,0)</f>
        <v>Adrenoceptors</v>
      </c>
      <c r="BB59" s="27" t="b">
        <f t="shared" si="195"/>
        <v>1</v>
      </c>
      <c r="BC59" s="23">
        <f t="shared" si="196"/>
        <v>246</v>
      </c>
      <c r="BD59" s="4" t="s">
        <v>23</v>
      </c>
      <c r="BE59" s="3" t="s">
        <v>1381</v>
      </c>
      <c r="BF59" s="50" t="s">
        <v>1384</v>
      </c>
      <c r="BG59" s="50" t="s">
        <v>1384</v>
      </c>
      <c r="BH59" s="1"/>
      <c r="BI59" s="72" t="s">
        <v>1293</v>
      </c>
      <c r="BJ59" s="58" t="s">
        <v>1293</v>
      </c>
      <c r="BK59" s="58" t="s">
        <v>1293</v>
      </c>
      <c r="BL59" s="58" t="s">
        <v>1293</v>
      </c>
      <c r="BM59" s="58" t="s">
        <v>1293</v>
      </c>
      <c r="BN59" s="58" t="s">
        <v>1293</v>
      </c>
      <c r="BO59" s="58" t="s">
        <v>1293</v>
      </c>
      <c r="BP59" s="58" t="s">
        <v>1293</v>
      </c>
      <c r="BQ59" s="58" t="s">
        <v>1293</v>
      </c>
      <c r="BR59" s="58" t="s">
        <v>1293</v>
      </c>
      <c r="BS59" s="58" t="s">
        <v>1293</v>
      </c>
      <c r="BT59" s="58" t="s">
        <v>1293</v>
      </c>
      <c r="BU59" s="72">
        <f t="shared" si="197"/>
        <v>37</v>
      </c>
      <c r="BV59" s="73">
        <f t="shared" si="198"/>
        <v>70</v>
      </c>
      <c r="BW59" s="74">
        <f t="shared" si="199"/>
        <v>74</v>
      </c>
      <c r="BX59" s="73">
        <f t="shared" si="200"/>
        <v>106</v>
      </c>
      <c r="BY59" s="74">
        <f t="shared" si="201"/>
        <v>110</v>
      </c>
      <c r="BZ59" s="73">
        <f t="shared" si="202"/>
        <v>146</v>
      </c>
      <c r="CA59" s="74">
        <f t="shared" si="203"/>
        <v>154</v>
      </c>
      <c r="CB59" s="73">
        <f t="shared" si="204"/>
        <v>199</v>
      </c>
      <c r="CC59" s="74">
        <f t="shared" si="205"/>
        <v>204</v>
      </c>
      <c r="CD59" s="73">
        <f t="shared" si="206"/>
        <v>283</v>
      </c>
      <c r="CE59" s="74">
        <f t="shared" si="207"/>
        <v>321</v>
      </c>
      <c r="CF59" s="73">
        <f t="shared" si="208"/>
        <v>346</v>
      </c>
      <c r="CG59" s="72">
        <f t="shared" si="209"/>
        <v>69</v>
      </c>
      <c r="CH59" s="73">
        <f t="shared" si="210"/>
        <v>73</v>
      </c>
      <c r="CI59" s="74">
        <f t="shared" si="211"/>
        <v>104</v>
      </c>
      <c r="CJ59" s="74">
        <f t="shared" si="212"/>
        <v>109</v>
      </c>
      <c r="CK59" s="74">
        <f t="shared" si="213"/>
        <v>145</v>
      </c>
      <c r="CL59" s="74">
        <f t="shared" si="214"/>
        <v>153</v>
      </c>
      <c r="CM59" s="74">
        <f t="shared" si="215"/>
        <v>180</v>
      </c>
      <c r="CN59" s="74">
        <f t="shared" si="216"/>
        <v>201</v>
      </c>
      <c r="CO59" s="74">
        <f t="shared" si="217"/>
        <v>233</v>
      </c>
      <c r="CP59" s="74">
        <f t="shared" si="218"/>
        <v>316</v>
      </c>
      <c r="CQ59" s="74">
        <f t="shared" si="219"/>
        <v>345</v>
      </c>
      <c r="CR59" s="74">
        <f t="shared" si="220"/>
        <v>356</v>
      </c>
      <c r="CS59" s="23">
        <f t="shared" si="221"/>
        <v>1</v>
      </c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</row>
    <row r="60" spans="1:1028" x14ac:dyDescent="0.2">
      <c r="A60" s="3" t="str">
        <f t="shared" si="194"/>
        <v>adrb1_melga_5A8E</v>
      </c>
      <c r="B60" s="3" t="s">
        <v>912</v>
      </c>
      <c r="C60" s="3" t="s">
        <v>1059</v>
      </c>
      <c r="D60" s="3" t="str">
        <f>IFERROR(MID(VLOOKUP($B60,Seqs!$A:$B,2,0),E60,1),"")</f>
        <v>S</v>
      </c>
      <c r="E60" s="3">
        <v>37</v>
      </c>
      <c r="F60" s="3" t="str">
        <f>IFERROR(MID(VLOOKUP($B60,Seqs!$A:$B,2,0),G60,1),"")</f>
        <v>T</v>
      </c>
      <c r="G60" s="3">
        <v>69</v>
      </c>
      <c r="H60" s="3" t="str">
        <f>IFERROR(MID(VLOOKUP($B60,Seqs!$A:$B,2,0),I60,1),"")</f>
        <v>Q</v>
      </c>
      <c r="I60" s="23">
        <v>70</v>
      </c>
      <c r="J60" s="3" t="str">
        <f>IFERROR(MID(VLOOKUP($B60,Seqs!$A:$B,2,0),K60,1),"")</f>
        <v>Q</v>
      </c>
      <c r="K60" s="23">
        <v>73</v>
      </c>
      <c r="L60" s="3" t="str">
        <f>IFERROR(MID(VLOOKUP($B60,Seqs!$A:$B,2,0),M60,1),"")</f>
        <v>T</v>
      </c>
      <c r="M60" s="3">
        <v>74</v>
      </c>
      <c r="N60" s="3" t="str">
        <f>IFERROR(MID(VLOOKUP($B60,Seqs!$A:$B,2,0),O60,1),"")</f>
        <v>R</v>
      </c>
      <c r="O60" s="3">
        <v>104</v>
      </c>
      <c r="P60" s="3" t="str">
        <f>IFERROR(MID(VLOOKUP($B60,Seqs!$A:$B,2,0),Q60,1),"")</f>
        <v>T</v>
      </c>
      <c r="Q60" s="3">
        <v>106</v>
      </c>
      <c r="R60" s="3" t="str">
        <f>IFERROR(MID(VLOOKUP($B60,Seqs!$A:$B,2,0),S60,1),"")</f>
        <v>W</v>
      </c>
      <c r="S60" s="3">
        <v>109</v>
      </c>
      <c r="T60" s="3" t="str">
        <f>IFERROR(MID(VLOOKUP($B60,Seqs!$A:$B,2,0),U60,1),"")</f>
        <v>G</v>
      </c>
      <c r="U60" s="3">
        <v>110</v>
      </c>
      <c r="V60" s="3" t="str">
        <f>IFERROR(MID(VLOOKUP($B60,Seqs!$A:$B,2,0),W60,1),"")</f>
        <v>S</v>
      </c>
      <c r="W60" s="3">
        <v>145</v>
      </c>
      <c r="X60" s="3" t="str">
        <f>IFERROR(MID(VLOOKUP($B60,Seqs!$A:$B,2,0),Y60,1),"")</f>
        <v>P</v>
      </c>
      <c r="Y60" s="3">
        <v>146</v>
      </c>
      <c r="Z60" s="3" t="str">
        <f>IFERROR(MID(VLOOKUP($B60,Seqs!$A:$B,2,0),AA60,1),"")</f>
        <v>M</v>
      </c>
      <c r="AA60" s="3">
        <v>153</v>
      </c>
      <c r="AB60" s="3" t="str">
        <f>IFERROR(MID(VLOOKUP($B60,Seqs!$A:$B,2,0),AC60,1),"")</f>
        <v>T</v>
      </c>
      <c r="AC60" s="9">
        <v>154</v>
      </c>
      <c r="AD60" s="3" t="str">
        <f>IFERROR(MID(VLOOKUP($B60,Seqs!$A:$B,2,0),AE60,1),"")</f>
        <v>H</v>
      </c>
      <c r="AE60" s="3">
        <v>180</v>
      </c>
      <c r="AF60" s="3" t="str">
        <f>IFERROR(MID(VLOOKUP($B60,Seqs!$A:$B,2,0),AG60,1),"")</f>
        <v>C</v>
      </c>
      <c r="AG60" s="3">
        <v>199</v>
      </c>
      <c r="AH60" s="3" t="str">
        <f>IFERROR(MID(VLOOKUP($B60,Seqs!$A:$B,2,0),AI60,1),"")</f>
        <v>F</v>
      </c>
      <c r="AI60" s="3">
        <v>201</v>
      </c>
      <c r="AJ60" s="3" t="str">
        <f>IFERROR(MID(VLOOKUP($B60,Seqs!$A:$B,2,0),AK60,1),"")</f>
        <v>N</v>
      </c>
      <c r="AK60" s="3">
        <v>204</v>
      </c>
      <c r="AL60" s="3" t="str">
        <f>IFERROR(MID(VLOOKUP($B60,Seqs!$A:$B,2,0),AM60,1),"")</f>
        <v>R</v>
      </c>
      <c r="AM60" s="3">
        <v>239</v>
      </c>
      <c r="AN60" s="3" t="str">
        <f>IFERROR(MID(VLOOKUP($B60,Seqs!$A:$B,2,0),AO60,1),"")</f>
        <v>R</v>
      </c>
      <c r="AO60" s="3">
        <v>279</v>
      </c>
      <c r="AP60" s="3" t="str">
        <f>IFERROR(MID(VLOOKUP($B60,Seqs!$A:$B,2,0),AQ60,1),"")</f>
        <v>N</v>
      </c>
      <c r="AQ60" s="3">
        <v>316</v>
      </c>
      <c r="AR60" s="3" t="str">
        <f>IFERROR(MID(VLOOKUP($B60,Seqs!$A:$B,2,0),AS60,1),"")</f>
        <v>P</v>
      </c>
      <c r="AS60" s="3">
        <v>321</v>
      </c>
      <c r="AT60" s="3" t="str">
        <f>IFERROR(MID(VLOOKUP($B60,Seqs!$A:$B,2,0),AU60,1),"")</f>
        <v>R</v>
      </c>
      <c r="AU60" s="3">
        <v>345</v>
      </c>
      <c r="AV60" s="3" t="str">
        <f>IFERROR(MID(VLOOKUP($B60,Seqs!$A:$B,2,0),AW60,1),"")</f>
        <v>S</v>
      </c>
      <c r="AW60" s="3">
        <v>346</v>
      </c>
      <c r="AX60" s="3" t="str">
        <f>IFERROR(MID(VLOOKUP($B60,Seqs!$A:$B,2,0),AY60,1),"")</f>
        <v>K</v>
      </c>
      <c r="AY60" s="3">
        <v>354</v>
      </c>
      <c r="AZ60" s="79" t="str">
        <f>VLOOKUP(B60,Classification!A:D,2,0)</f>
        <v>A</v>
      </c>
      <c r="BA60" s="97" t="str">
        <f>VLOOKUP(B60,Classification!A:D,4,0)</f>
        <v>Adrenoceptors</v>
      </c>
      <c r="BB60" s="27" t="b">
        <f t="shared" si="195"/>
        <v>1</v>
      </c>
      <c r="BC60" s="23">
        <f t="shared" si="196"/>
        <v>254</v>
      </c>
      <c r="BD60" s="4" t="s">
        <v>23</v>
      </c>
      <c r="BE60" s="3" t="s">
        <v>1381</v>
      </c>
      <c r="BF60" s="50" t="s">
        <v>1384</v>
      </c>
      <c r="BG60" s="50" t="s">
        <v>1384</v>
      </c>
      <c r="BH60" s="1"/>
      <c r="BI60" s="72" t="s">
        <v>1293</v>
      </c>
      <c r="BJ60" s="58" t="s">
        <v>1293</v>
      </c>
      <c r="BK60" s="58" t="s">
        <v>1293</v>
      </c>
      <c r="BL60" s="58" t="s">
        <v>1293</v>
      </c>
      <c r="BM60" s="58" t="s">
        <v>1293</v>
      </c>
      <c r="BN60" s="58" t="s">
        <v>1293</v>
      </c>
      <c r="BO60" s="58" t="s">
        <v>1293</v>
      </c>
      <c r="BP60" s="58" t="s">
        <v>1293</v>
      </c>
      <c r="BQ60" s="58" t="s">
        <v>1293</v>
      </c>
      <c r="BR60" s="58" t="s">
        <v>1293</v>
      </c>
      <c r="BS60" s="58" t="s">
        <v>1293</v>
      </c>
      <c r="BT60" s="58" t="s">
        <v>1293</v>
      </c>
      <c r="BU60" s="72">
        <f t="shared" si="197"/>
        <v>37</v>
      </c>
      <c r="BV60" s="73">
        <f t="shared" si="198"/>
        <v>70</v>
      </c>
      <c r="BW60" s="74">
        <f t="shared" si="199"/>
        <v>74</v>
      </c>
      <c r="BX60" s="73">
        <f t="shared" si="200"/>
        <v>106</v>
      </c>
      <c r="BY60" s="74">
        <f t="shared" si="201"/>
        <v>110</v>
      </c>
      <c r="BZ60" s="73">
        <f t="shared" si="202"/>
        <v>146</v>
      </c>
      <c r="CA60" s="74">
        <f t="shared" si="203"/>
        <v>154</v>
      </c>
      <c r="CB60" s="73">
        <f t="shared" si="204"/>
        <v>199</v>
      </c>
      <c r="CC60" s="74">
        <f t="shared" si="205"/>
        <v>204</v>
      </c>
      <c r="CD60" s="73">
        <f t="shared" si="206"/>
        <v>279</v>
      </c>
      <c r="CE60" s="74">
        <f t="shared" si="207"/>
        <v>321</v>
      </c>
      <c r="CF60" s="73">
        <f t="shared" si="208"/>
        <v>346</v>
      </c>
      <c r="CG60" s="72">
        <f t="shared" si="209"/>
        <v>69</v>
      </c>
      <c r="CH60" s="73">
        <f t="shared" si="210"/>
        <v>73</v>
      </c>
      <c r="CI60" s="74">
        <f t="shared" si="211"/>
        <v>104</v>
      </c>
      <c r="CJ60" s="74">
        <f t="shared" si="212"/>
        <v>109</v>
      </c>
      <c r="CK60" s="74">
        <f t="shared" si="213"/>
        <v>145</v>
      </c>
      <c r="CL60" s="74">
        <f t="shared" si="214"/>
        <v>153</v>
      </c>
      <c r="CM60" s="74">
        <f t="shared" si="215"/>
        <v>180</v>
      </c>
      <c r="CN60" s="74">
        <f t="shared" si="216"/>
        <v>201</v>
      </c>
      <c r="CO60" s="74">
        <f t="shared" si="217"/>
        <v>239</v>
      </c>
      <c r="CP60" s="74">
        <f t="shared" si="218"/>
        <v>316</v>
      </c>
      <c r="CQ60" s="74">
        <f t="shared" si="219"/>
        <v>345</v>
      </c>
      <c r="CR60" s="74">
        <f t="shared" si="220"/>
        <v>354</v>
      </c>
      <c r="CS60" s="23">
        <f t="shared" si="221"/>
        <v>1</v>
      </c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</row>
    <row r="61" spans="1:1028" x14ac:dyDescent="0.2">
      <c r="A61" s="3" t="str">
        <f t="shared" si="194"/>
        <v>adrb1_melga_5F8U</v>
      </c>
      <c r="B61" s="3" t="s">
        <v>912</v>
      </c>
      <c r="C61" s="3" t="s">
        <v>1360</v>
      </c>
      <c r="D61" s="3" t="str">
        <f>IFERROR(MID(VLOOKUP($B61,Seqs!$A:$B,2,0),E61,1),"")</f>
        <v>W</v>
      </c>
      <c r="E61" s="3">
        <v>40</v>
      </c>
      <c r="F61" s="3" t="str">
        <f>IFERROR(MID(VLOOKUP($B61,Seqs!$A:$B,2,0),G61,1),"")</f>
        <v>T</v>
      </c>
      <c r="G61" s="3">
        <v>69</v>
      </c>
      <c r="H61" s="3" t="str">
        <f>IFERROR(MID(VLOOKUP($B61,Seqs!$A:$B,2,0),I61,1),"")</f>
        <v>Q</v>
      </c>
      <c r="I61" s="23">
        <v>70</v>
      </c>
      <c r="J61" s="3" t="str">
        <f>IFERROR(MID(VLOOKUP($B61,Seqs!$A:$B,2,0),K61,1),"")</f>
        <v>Q</v>
      </c>
      <c r="K61" s="23">
        <v>73</v>
      </c>
      <c r="L61" s="3" t="str">
        <f>IFERROR(MID(VLOOKUP($B61,Seqs!$A:$B,2,0),M61,1),"")</f>
        <v>T</v>
      </c>
      <c r="M61" s="3">
        <v>74</v>
      </c>
      <c r="N61" s="3" t="str">
        <f>IFERROR(MID(VLOOKUP($B61,Seqs!$A:$B,2,0),O61,1),"")</f>
        <v>R</v>
      </c>
      <c r="O61" s="3">
        <v>104</v>
      </c>
      <c r="P61" s="3" t="str">
        <f>IFERROR(MID(VLOOKUP($B61,Seqs!$A:$B,2,0),Q61,1),"")</f>
        <v>T</v>
      </c>
      <c r="Q61" s="3">
        <v>106</v>
      </c>
      <c r="R61" s="3" t="str">
        <f>IFERROR(MID(VLOOKUP($B61,Seqs!$A:$B,2,0),S61,1),"")</f>
        <v>W</v>
      </c>
      <c r="S61" s="3">
        <v>109</v>
      </c>
      <c r="T61" s="3" t="str">
        <f>IFERROR(MID(VLOOKUP($B61,Seqs!$A:$B,2,0),U61,1),"")</f>
        <v>G</v>
      </c>
      <c r="U61" s="3">
        <v>110</v>
      </c>
      <c r="V61" s="3" t="str">
        <f>IFERROR(MID(VLOOKUP($B61,Seqs!$A:$B,2,0),W61,1),"")</f>
        <v>S</v>
      </c>
      <c r="W61" s="3">
        <v>145</v>
      </c>
      <c r="X61" s="3" t="str">
        <f>IFERROR(MID(VLOOKUP($B61,Seqs!$A:$B,2,0),Y61,1),"")</f>
        <v>P</v>
      </c>
      <c r="Y61" s="3">
        <v>146</v>
      </c>
      <c r="Z61" s="3" t="str">
        <f>IFERROR(MID(VLOOKUP($B61,Seqs!$A:$B,2,0),AA61,1),"")</f>
        <v>M</v>
      </c>
      <c r="AA61" s="3">
        <v>153</v>
      </c>
      <c r="AB61" s="3" t="str">
        <f>IFERROR(MID(VLOOKUP($B61,Seqs!$A:$B,2,0),AC61,1),"")</f>
        <v>T</v>
      </c>
      <c r="AC61" s="9">
        <v>154</v>
      </c>
      <c r="AD61" s="3" t="str">
        <f>IFERROR(MID(VLOOKUP($B61,Seqs!$A:$B,2,0),AE61,1),"")</f>
        <v>H</v>
      </c>
      <c r="AE61" s="3">
        <v>180</v>
      </c>
      <c r="AF61" s="3" t="str">
        <f>IFERROR(MID(VLOOKUP($B61,Seqs!$A:$B,2,0),AG61,1),"")</f>
        <v>C</v>
      </c>
      <c r="AG61" s="3">
        <v>199</v>
      </c>
      <c r="AH61" s="3" t="str">
        <f>IFERROR(MID(VLOOKUP($B61,Seqs!$A:$B,2,0),AI61,1),"")</f>
        <v>F</v>
      </c>
      <c r="AI61" s="3">
        <v>201</v>
      </c>
      <c r="AJ61" s="3" t="str">
        <f>IFERROR(MID(VLOOKUP($B61,Seqs!$A:$B,2,0),AK61,1),"")</f>
        <v>N</v>
      </c>
      <c r="AK61" s="3">
        <v>204</v>
      </c>
      <c r="AL61" s="3" t="str">
        <f>IFERROR(MID(VLOOKUP($B61,Seqs!$A:$B,2,0),AM61,1),"")</f>
        <v>Q</v>
      </c>
      <c r="AM61" s="3">
        <v>237</v>
      </c>
      <c r="AN61" s="3" t="str">
        <f>IFERROR(MID(VLOOKUP($B61,Seqs!$A:$B,2,0),AO61,1),"")</f>
        <v>R</v>
      </c>
      <c r="AO61" s="3">
        <v>284</v>
      </c>
      <c r="AP61" s="3" t="str">
        <f>IFERROR(MID(VLOOKUP($B61,Seqs!$A:$B,2,0),AQ61,1),"")</f>
        <v>N</v>
      </c>
      <c r="AQ61" s="3">
        <v>316</v>
      </c>
      <c r="AR61" s="3" t="str">
        <f>IFERROR(MID(VLOOKUP($B61,Seqs!$A:$B,2,0),AS61,1),"")</f>
        <v>P</v>
      </c>
      <c r="AS61" s="3">
        <v>321</v>
      </c>
      <c r="AT61" s="3" t="str">
        <f>IFERROR(MID(VLOOKUP($B61,Seqs!$A:$B,2,0),AU61,1),"")</f>
        <v>R</v>
      </c>
      <c r="AU61" s="3">
        <v>345</v>
      </c>
      <c r="AV61" s="3" t="str">
        <f>IFERROR(MID(VLOOKUP($B61,Seqs!$A:$B,2,0),AW61,1),"")</f>
        <v>S</v>
      </c>
      <c r="AW61" s="3">
        <v>346</v>
      </c>
      <c r="AX61" s="3" t="str">
        <f>IFERROR(MID(VLOOKUP($B61,Seqs!$A:$B,2,0),AY61,1),"")</f>
        <v>C</v>
      </c>
      <c r="AY61" s="3">
        <v>358</v>
      </c>
      <c r="AZ61" s="79" t="str">
        <f>VLOOKUP(B61,Classification!A:D,2,0)</f>
        <v>A</v>
      </c>
      <c r="BA61" s="97" t="str">
        <f>VLOOKUP(B61,Classification!A:D,4,0)</f>
        <v>Adrenoceptors</v>
      </c>
      <c r="BB61" s="27" t="b">
        <f t="shared" si="195"/>
        <v>1</v>
      </c>
      <c r="BC61" s="23">
        <f t="shared" si="196"/>
        <v>248</v>
      </c>
      <c r="BD61" s="5" t="s">
        <v>23</v>
      </c>
      <c r="BE61" s="3" t="s">
        <v>1381</v>
      </c>
      <c r="BF61" s="50" t="s">
        <v>1384</v>
      </c>
      <c r="BG61" s="50" t="s">
        <v>1384</v>
      </c>
      <c r="BH61" s="1"/>
      <c r="BI61" s="72" t="s">
        <v>1293</v>
      </c>
      <c r="BJ61" s="58" t="s">
        <v>1293</v>
      </c>
      <c r="BK61" s="58" t="s">
        <v>1293</v>
      </c>
      <c r="BL61" s="58" t="s">
        <v>1293</v>
      </c>
      <c r="BM61" s="58" t="s">
        <v>1293</v>
      </c>
      <c r="BN61" s="58" t="s">
        <v>1293</v>
      </c>
      <c r="BO61" s="58" t="s">
        <v>1293</v>
      </c>
      <c r="BP61" s="58" t="s">
        <v>1293</v>
      </c>
      <c r="BQ61" s="58" t="s">
        <v>1293</v>
      </c>
      <c r="BR61" s="58" t="s">
        <v>1293</v>
      </c>
      <c r="BS61" s="58" t="s">
        <v>1293</v>
      </c>
      <c r="BT61" s="58" t="s">
        <v>1293</v>
      </c>
      <c r="BU61" s="72">
        <f t="shared" si="197"/>
        <v>40</v>
      </c>
      <c r="BV61" s="73">
        <f t="shared" si="198"/>
        <v>70</v>
      </c>
      <c r="BW61" s="74">
        <f t="shared" si="199"/>
        <v>74</v>
      </c>
      <c r="BX61" s="73">
        <f t="shared" si="200"/>
        <v>106</v>
      </c>
      <c r="BY61" s="74">
        <f t="shared" si="201"/>
        <v>110</v>
      </c>
      <c r="BZ61" s="73">
        <f t="shared" si="202"/>
        <v>146</v>
      </c>
      <c r="CA61" s="74">
        <f t="shared" si="203"/>
        <v>154</v>
      </c>
      <c r="CB61" s="73">
        <f t="shared" si="204"/>
        <v>199</v>
      </c>
      <c r="CC61" s="74">
        <f t="shared" si="205"/>
        <v>204</v>
      </c>
      <c r="CD61" s="73">
        <f t="shared" si="206"/>
        <v>284</v>
      </c>
      <c r="CE61" s="74">
        <f t="shared" si="207"/>
        <v>321</v>
      </c>
      <c r="CF61" s="73">
        <f t="shared" si="208"/>
        <v>346</v>
      </c>
      <c r="CG61" s="72">
        <f t="shared" si="209"/>
        <v>69</v>
      </c>
      <c r="CH61" s="73">
        <f t="shared" si="210"/>
        <v>73</v>
      </c>
      <c r="CI61" s="74">
        <f t="shared" si="211"/>
        <v>104</v>
      </c>
      <c r="CJ61" s="74">
        <f t="shared" si="212"/>
        <v>109</v>
      </c>
      <c r="CK61" s="74">
        <f t="shared" si="213"/>
        <v>145</v>
      </c>
      <c r="CL61" s="74">
        <f t="shared" si="214"/>
        <v>153</v>
      </c>
      <c r="CM61" s="74">
        <f t="shared" si="215"/>
        <v>180</v>
      </c>
      <c r="CN61" s="74">
        <f t="shared" si="216"/>
        <v>201</v>
      </c>
      <c r="CO61" s="74">
        <f t="shared" si="217"/>
        <v>237</v>
      </c>
      <c r="CP61" s="74">
        <f t="shared" si="218"/>
        <v>316</v>
      </c>
      <c r="CQ61" s="74">
        <f t="shared" si="219"/>
        <v>345</v>
      </c>
      <c r="CR61" s="74">
        <f t="shared" si="220"/>
        <v>358</v>
      </c>
      <c r="CS61" s="23">
        <f t="shared" si="221"/>
        <v>1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</row>
    <row r="62" spans="1:1028" x14ac:dyDescent="0.2">
      <c r="A62" s="3" t="str">
        <f t="shared" si="194"/>
        <v>adrb2_human__wt</v>
      </c>
      <c r="B62" s="3" t="s">
        <v>126</v>
      </c>
      <c r="C62" s="3" t="s">
        <v>100</v>
      </c>
      <c r="D62" s="3" t="str">
        <f>IFERROR(MID(VLOOKUP($B62,Seqs!$A:$B,2,0),E62,1),"")</f>
        <v>Q</v>
      </c>
      <c r="E62" s="3">
        <v>26</v>
      </c>
      <c r="F62" s="3" t="str">
        <f>IFERROR(MID(VLOOKUP($B62,Seqs!$A:$B,2,0),G62,1),"")</f>
        <v>F</v>
      </c>
      <c r="G62" s="3">
        <v>61</v>
      </c>
      <c r="H62" s="3" t="str">
        <f>IFERROR(MID(VLOOKUP($B62,Seqs!$A:$B,2,0),I62,1),"")</f>
        <v>E</v>
      </c>
      <c r="I62" s="23">
        <v>62</v>
      </c>
      <c r="J62" s="3" t="str">
        <f>IFERROR(MID(VLOOKUP($B62,Seqs!$A:$B,2,0),K62,1),"")</f>
        <v>Q</v>
      </c>
      <c r="K62" s="23">
        <v>65</v>
      </c>
      <c r="L62" s="3" t="str">
        <f>IFERROR(MID(VLOOKUP($B62,Seqs!$A:$B,2,0),M62,1),"")</f>
        <v>T</v>
      </c>
      <c r="M62" s="3">
        <v>66</v>
      </c>
      <c r="N62" s="3" t="str">
        <f>IFERROR(MID(VLOOKUP($B62,Seqs!$A:$B,2,0),O62,1),"")</f>
        <v>M</v>
      </c>
      <c r="O62" s="3">
        <v>96</v>
      </c>
      <c r="P62" s="3" t="str">
        <f>IFERROR(MID(VLOOKUP($B62,Seqs!$A:$B,2,0),Q62,1),"")</f>
        <v>M</v>
      </c>
      <c r="Q62" s="3">
        <v>98</v>
      </c>
      <c r="R62" s="3" t="str">
        <f>IFERROR(MID(VLOOKUP($B62,Seqs!$A:$B,2,0),S62,1),"")</f>
        <v>F</v>
      </c>
      <c r="S62" s="3">
        <v>101</v>
      </c>
      <c r="T62" s="3" t="str">
        <f>IFERROR(MID(VLOOKUP($B62,Seqs!$A:$B,2,0),U62,1),"")</f>
        <v>G</v>
      </c>
      <c r="U62" s="3">
        <v>102</v>
      </c>
      <c r="V62" s="3" t="str">
        <f>IFERROR(MID(VLOOKUP($B62,Seqs!$A:$B,2,0),W62,1),"")</f>
        <v>S</v>
      </c>
      <c r="W62" s="3">
        <v>137</v>
      </c>
      <c r="X62" s="3" t="str">
        <f>IFERROR(MID(VLOOKUP($B62,Seqs!$A:$B,2,0),Y62,1),"")</f>
        <v>P</v>
      </c>
      <c r="Y62" s="3">
        <v>138</v>
      </c>
      <c r="Z62" s="3" t="str">
        <f>IFERROR(MID(VLOOKUP($B62,Seqs!$A:$B,2,0),AA62,1),"")</f>
        <v>L</v>
      </c>
      <c r="AA62" s="3">
        <v>145</v>
      </c>
      <c r="AB62" s="3" t="str">
        <f>IFERROR(MID(VLOOKUP($B62,Seqs!$A:$B,2,0),AC62,1),"")</f>
        <v>T</v>
      </c>
      <c r="AC62" s="9">
        <v>146</v>
      </c>
      <c r="AD62" s="3" t="str">
        <f>IFERROR(MID(VLOOKUP($B62,Seqs!$A:$B,2,0),AE62,1),"")</f>
        <v>H</v>
      </c>
      <c r="AE62" s="3">
        <v>172</v>
      </c>
      <c r="AF62" s="3" t="str">
        <f>IFERROR(MID(VLOOKUP($B62,Seqs!$A:$B,2,0),AG62,1),"")</f>
        <v>C</v>
      </c>
      <c r="AG62" s="3">
        <v>191</v>
      </c>
      <c r="AH62" s="3" t="str">
        <f>IFERROR(MID(VLOOKUP($B62,Seqs!$A:$B,2,0),AI62,1),"")</f>
        <v>F</v>
      </c>
      <c r="AI62" s="3">
        <v>193</v>
      </c>
      <c r="AJ62" s="3" t="str">
        <f>IFERROR(MID(VLOOKUP($B62,Seqs!$A:$B,2,0),AK62,1),"")</f>
        <v>N</v>
      </c>
      <c r="AK62" s="3">
        <v>196</v>
      </c>
      <c r="AL62" s="3" t="str">
        <f>IFERROR(MID(VLOOKUP($B62,Seqs!$A:$B,2,0),AM62,1),"")</f>
        <v>E</v>
      </c>
      <c r="AM62" s="3">
        <v>237</v>
      </c>
      <c r="AN62" s="3" t="str">
        <f>IFERROR(MID(VLOOKUP($B62,Seqs!$A:$B,2,0),AO62,1),"")</f>
        <v>S</v>
      </c>
      <c r="AO62" s="3">
        <v>262</v>
      </c>
      <c r="AP62" s="3" t="str">
        <f>IFERROR(MID(VLOOKUP($B62,Seqs!$A:$B,2,0),AQ62,1),"")</f>
        <v>Q</v>
      </c>
      <c r="AQ62" s="3">
        <v>299</v>
      </c>
      <c r="AR62" s="3" t="str">
        <f>IFERROR(MID(VLOOKUP($B62,Seqs!$A:$B,2,0),AS62,1),"")</f>
        <v>R</v>
      </c>
      <c r="AS62" s="3">
        <v>304</v>
      </c>
      <c r="AT62" s="3" t="str">
        <f>IFERROR(MID(VLOOKUP($B62,Seqs!$A:$B,2,0),AU62,1),"")</f>
        <v>R</v>
      </c>
      <c r="AU62" s="3">
        <v>328</v>
      </c>
      <c r="AV62" s="3" t="str">
        <f>IFERROR(MID(VLOOKUP($B62,Seqs!$A:$B,2,0),AW62,1),"")</f>
        <v>S</v>
      </c>
      <c r="AW62" s="3">
        <v>329</v>
      </c>
      <c r="AX62" s="3" t="str">
        <f>IFERROR(MID(VLOOKUP($B62,Seqs!$A:$B,2,0),AY62,1),"")</f>
        <v>C</v>
      </c>
      <c r="AY62" s="3">
        <v>341</v>
      </c>
      <c r="AZ62" s="79" t="str">
        <f>VLOOKUP(B62,Classification!A:D,2,0)</f>
        <v>A</v>
      </c>
      <c r="BA62" s="97" t="str">
        <f>VLOOKUP(B62,Classification!A:D,4,0)</f>
        <v>Adrenoceptors</v>
      </c>
      <c r="BB62" s="27" t="b">
        <f t="shared" si="195"/>
        <v>1</v>
      </c>
      <c r="BC62" s="23">
        <f t="shared" si="196"/>
        <v>267</v>
      </c>
      <c r="BD62" s="57" t="s">
        <v>1379</v>
      </c>
      <c r="BE62" s="3" t="s">
        <v>1381</v>
      </c>
      <c r="BF62" s="50" t="s">
        <v>1379</v>
      </c>
      <c r="BG62" s="50" t="s">
        <v>1384</v>
      </c>
      <c r="BH62" s="3" t="s">
        <v>1166</v>
      </c>
      <c r="BI62" s="72" t="s">
        <v>1293</v>
      </c>
      <c r="BJ62" s="58" t="s">
        <v>1293</v>
      </c>
      <c r="BK62" s="58" t="s">
        <v>1293</v>
      </c>
      <c r="BL62" s="58" t="s">
        <v>1293</v>
      </c>
      <c r="BM62" s="58" t="s">
        <v>1293</v>
      </c>
      <c r="BN62" s="58" t="s">
        <v>1293</v>
      </c>
      <c r="BO62" s="58" t="s">
        <v>1293</v>
      </c>
      <c r="BP62" s="58" t="s">
        <v>1293</v>
      </c>
      <c r="BQ62" s="58" t="s">
        <v>1293</v>
      </c>
      <c r="BR62" s="58" t="s">
        <v>1293</v>
      </c>
      <c r="BS62" s="58" t="s">
        <v>1293</v>
      </c>
      <c r="BT62" s="58" t="s">
        <v>1293</v>
      </c>
      <c r="BU62" s="72">
        <f t="shared" si="197"/>
        <v>26</v>
      </c>
      <c r="BV62" s="73">
        <f t="shared" si="198"/>
        <v>62</v>
      </c>
      <c r="BW62" s="74">
        <f t="shared" si="199"/>
        <v>66</v>
      </c>
      <c r="BX62" s="73">
        <f t="shared" si="200"/>
        <v>98</v>
      </c>
      <c r="BY62" s="74">
        <f t="shared" si="201"/>
        <v>102</v>
      </c>
      <c r="BZ62" s="73">
        <f t="shared" si="202"/>
        <v>138</v>
      </c>
      <c r="CA62" s="74">
        <f t="shared" si="203"/>
        <v>146</v>
      </c>
      <c r="CB62" s="73">
        <f t="shared" si="204"/>
        <v>191</v>
      </c>
      <c r="CC62" s="74">
        <f t="shared" si="205"/>
        <v>196</v>
      </c>
      <c r="CD62" s="73">
        <f t="shared" si="206"/>
        <v>262</v>
      </c>
      <c r="CE62" s="74">
        <f t="shared" si="207"/>
        <v>304</v>
      </c>
      <c r="CF62" s="73">
        <f t="shared" si="208"/>
        <v>329</v>
      </c>
      <c r="CG62" s="72">
        <f t="shared" si="209"/>
        <v>61</v>
      </c>
      <c r="CH62" s="73">
        <f t="shared" si="210"/>
        <v>65</v>
      </c>
      <c r="CI62" s="74">
        <f t="shared" si="211"/>
        <v>96</v>
      </c>
      <c r="CJ62" s="74">
        <f t="shared" si="212"/>
        <v>101</v>
      </c>
      <c r="CK62" s="74">
        <f t="shared" si="213"/>
        <v>137</v>
      </c>
      <c r="CL62" s="74">
        <f t="shared" si="214"/>
        <v>145</v>
      </c>
      <c r="CM62" s="74">
        <f t="shared" si="215"/>
        <v>172</v>
      </c>
      <c r="CN62" s="74">
        <f t="shared" si="216"/>
        <v>193</v>
      </c>
      <c r="CO62" s="74">
        <f t="shared" si="217"/>
        <v>237</v>
      </c>
      <c r="CP62" s="74">
        <f t="shared" si="218"/>
        <v>299</v>
      </c>
      <c r="CQ62" s="74">
        <f t="shared" si="219"/>
        <v>328</v>
      </c>
      <c r="CR62" s="74">
        <f t="shared" si="220"/>
        <v>341</v>
      </c>
      <c r="CS62" s="23">
        <f t="shared" si="221"/>
        <v>1</v>
      </c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</row>
    <row r="63" spans="1:1028" x14ac:dyDescent="0.2">
      <c r="A63" s="3" t="str">
        <f t="shared" si="194"/>
        <v>adrb2_human_2RH1</v>
      </c>
      <c r="B63" s="3" t="s">
        <v>126</v>
      </c>
      <c r="C63" s="3" t="s">
        <v>75</v>
      </c>
      <c r="D63" s="3" t="str">
        <f>IFERROR(MID(VLOOKUP($B63,Seqs!$A:$B,2,0),E63,1),"")</f>
        <v>D</v>
      </c>
      <c r="E63" s="3">
        <v>29</v>
      </c>
      <c r="F63" s="3" t="str">
        <f>IFERROR(MID(VLOOKUP($B63,Seqs!$A:$B,2,0),G63,1),"")</f>
        <v>F</v>
      </c>
      <c r="G63" s="3">
        <v>61</v>
      </c>
      <c r="H63" s="3" t="str">
        <f>IFERROR(MID(VLOOKUP($B63,Seqs!$A:$B,2,0),I63,1),"")</f>
        <v>E</v>
      </c>
      <c r="I63" s="23">
        <v>62</v>
      </c>
      <c r="J63" s="3" t="str">
        <f>IFERROR(MID(VLOOKUP($B63,Seqs!$A:$B,2,0),K63,1),"")</f>
        <v>Q</v>
      </c>
      <c r="K63" s="23">
        <v>65</v>
      </c>
      <c r="L63" s="3" t="str">
        <f>IFERROR(MID(VLOOKUP($B63,Seqs!$A:$B,2,0),M63,1),"")</f>
        <v>T</v>
      </c>
      <c r="M63" s="3">
        <v>66</v>
      </c>
      <c r="N63" s="3" t="str">
        <f>IFERROR(MID(VLOOKUP($B63,Seqs!$A:$B,2,0),O63,1),"")</f>
        <v>M</v>
      </c>
      <c r="O63" s="3">
        <v>96</v>
      </c>
      <c r="P63" s="3" t="str">
        <f>IFERROR(MID(VLOOKUP($B63,Seqs!$A:$B,2,0),Q63,1),"")</f>
        <v>M</v>
      </c>
      <c r="Q63" s="3">
        <v>98</v>
      </c>
      <c r="R63" s="3" t="str">
        <f>IFERROR(MID(VLOOKUP($B63,Seqs!$A:$B,2,0),S63,1),"")</f>
        <v>F</v>
      </c>
      <c r="S63" s="3">
        <v>101</v>
      </c>
      <c r="T63" s="3" t="str">
        <f>IFERROR(MID(VLOOKUP($B63,Seqs!$A:$B,2,0),U63,1),"")</f>
        <v>G</v>
      </c>
      <c r="U63" s="3">
        <v>102</v>
      </c>
      <c r="V63" s="3" t="str">
        <f>IFERROR(MID(VLOOKUP($B63,Seqs!$A:$B,2,0),W63,1),"")</f>
        <v>S</v>
      </c>
      <c r="W63" s="3">
        <v>137</v>
      </c>
      <c r="X63" s="3" t="str">
        <f>IFERROR(MID(VLOOKUP($B63,Seqs!$A:$B,2,0),Y63,1),"")</f>
        <v/>
      </c>
      <c r="Y63" s="3" t="s">
        <v>23</v>
      </c>
      <c r="Z63" s="3" t="str">
        <f>IFERROR(MID(VLOOKUP($B63,Seqs!$A:$B,2,0),AA63,1),"")</f>
        <v/>
      </c>
      <c r="AA63" s="3" t="s">
        <v>23</v>
      </c>
      <c r="AB63" s="3" t="str">
        <f>IFERROR(MID(VLOOKUP($B63,Seqs!$A:$B,2,0),AC63,1),"")</f>
        <v>T</v>
      </c>
      <c r="AC63" s="9">
        <v>146</v>
      </c>
      <c r="AD63" s="3" t="str">
        <f>IFERROR(MID(VLOOKUP($B63,Seqs!$A:$B,2,0),AE63,1),"")</f>
        <v>H</v>
      </c>
      <c r="AE63" s="3">
        <v>172</v>
      </c>
      <c r="AF63" s="3" t="str">
        <f>IFERROR(MID(VLOOKUP($B63,Seqs!$A:$B,2,0),AG63,1),"")</f>
        <v>C</v>
      </c>
      <c r="AG63" s="3">
        <v>191</v>
      </c>
      <c r="AH63" s="3" t="str">
        <f>IFERROR(MID(VLOOKUP($B63,Seqs!$A:$B,2,0),AI63,1),"")</f>
        <v>F</v>
      </c>
      <c r="AI63" s="3">
        <v>193</v>
      </c>
      <c r="AJ63" s="3" t="str">
        <f>IFERROR(MID(VLOOKUP($B63,Seqs!$A:$B,2,0),AK63,1),"")</f>
        <v>N</v>
      </c>
      <c r="AK63" s="3">
        <v>196</v>
      </c>
      <c r="AL63" s="3" t="str">
        <f>IFERROR(MID(VLOOKUP($B63,Seqs!$A:$B,2,0),AM63,1),"")</f>
        <v>Q</v>
      </c>
      <c r="AM63" s="3">
        <v>229</v>
      </c>
      <c r="AN63" s="3" t="str">
        <f>IFERROR(MID(VLOOKUP($B63,Seqs!$A:$B,2,0),AO63,1),"")</f>
        <v>K</v>
      </c>
      <c r="AO63" s="3">
        <v>267</v>
      </c>
      <c r="AP63" s="3" t="str">
        <f>IFERROR(MID(VLOOKUP($B63,Seqs!$A:$B,2,0),AQ63,1),"")</f>
        <v>Q</v>
      </c>
      <c r="AQ63" s="3">
        <v>299</v>
      </c>
      <c r="AR63" s="3" t="str">
        <f>IFERROR(MID(VLOOKUP($B63,Seqs!$A:$B,2,0),AS63,1),"")</f>
        <v>R</v>
      </c>
      <c r="AS63" s="3">
        <v>304</v>
      </c>
      <c r="AT63" s="3" t="str">
        <f>IFERROR(MID(VLOOKUP($B63,Seqs!$A:$B,2,0),AU63,1),"")</f>
        <v>R</v>
      </c>
      <c r="AU63" s="3">
        <v>328</v>
      </c>
      <c r="AV63" s="3" t="str">
        <f>IFERROR(MID(VLOOKUP($B63,Seqs!$A:$B,2,0),AW63,1),"")</f>
        <v>S</v>
      </c>
      <c r="AW63" s="3">
        <v>329</v>
      </c>
      <c r="AX63" s="3" t="str">
        <f>IFERROR(MID(VLOOKUP($B63,Seqs!$A:$B,2,0),AY63,1),"")</f>
        <v>C</v>
      </c>
      <c r="AY63" s="3">
        <v>341</v>
      </c>
      <c r="AZ63" s="79" t="str">
        <f>VLOOKUP(B63,Classification!A:D,2,0)</f>
        <v>A</v>
      </c>
      <c r="BA63" s="97" t="str">
        <f>VLOOKUP(B63,Classification!A:D,4,0)</f>
        <v>Adrenoceptors</v>
      </c>
      <c r="BB63" s="27" t="b">
        <f t="shared" si="195"/>
        <v>1</v>
      </c>
      <c r="BC63" s="23">
        <f t="shared" si="196"/>
        <v>244</v>
      </c>
      <c r="BD63" s="4" t="s">
        <v>23</v>
      </c>
      <c r="BE63" s="3" t="s">
        <v>1381</v>
      </c>
      <c r="BF63" s="50" t="s">
        <v>1384</v>
      </c>
      <c r="BG63" s="50" t="s">
        <v>1384</v>
      </c>
      <c r="BH63" s="1"/>
      <c r="BI63" s="72" t="s">
        <v>1293</v>
      </c>
      <c r="BJ63" s="58" t="s">
        <v>1293</v>
      </c>
      <c r="BK63" s="58" t="s">
        <v>1293</v>
      </c>
      <c r="BL63" s="58" t="s">
        <v>1293</v>
      </c>
      <c r="BM63" s="58" t="s">
        <v>1293</v>
      </c>
      <c r="BN63" s="58" t="s">
        <v>1293</v>
      </c>
      <c r="BO63" s="58" t="s">
        <v>1293</v>
      </c>
      <c r="BP63" s="58" t="s">
        <v>1293</v>
      </c>
      <c r="BQ63" s="58" t="s">
        <v>1293</v>
      </c>
      <c r="BR63" s="58" t="s">
        <v>1293</v>
      </c>
      <c r="BS63" s="58" t="s">
        <v>1293</v>
      </c>
      <c r="BT63" s="58" t="s">
        <v>1293</v>
      </c>
      <c r="BU63" s="72">
        <f t="shared" si="197"/>
        <v>29</v>
      </c>
      <c r="BV63" s="73">
        <f t="shared" si="198"/>
        <v>62</v>
      </c>
      <c r="BW63" s="74">
        <f t="shared" si="199"/>
        <v>66</v>
      </c>
      <c r="BX63" s="73">
        <f t="shared" si="200"/>
        <v>98</v>
      </c>
      <c r="BY63" s="74">
        <f t="shared" si="201"/>
        <v>102</v>
      </c>
      <c r="BZ63" s="73" t="str">
        <f t="shared" si="202"/>
        <v>-</v>
      </c>
      <c r="CA63" s="74">
        <f t="shared" si="203"/>
        <v>146</v>
      </c>
      <c r="CB63" s="73">
        <f t="shared" si="204"/>
        <v>191</v>
      </c>
      <c r="CC63" s="74">
        <f t="shared" si="205"/>
        <v>196</v>
      </c>
      <c r="CD63" s="73">
        <f t="shared" si="206"/>
        <v>267</v>
      </c>
      <c r="CE63" s="74">
        <f t="shared" si="207"/>
        <v>304</v>
      </c>
      <c r="CF63" s="73">
        <f t="shared" si="208"/>
        <v>329</v>
      </c>
      <c r="CG63" s="72">
        <f t="shared" si="209"/>
        <v>61</v>
      </c>
      <c r="CH63" s="73">
        <f t="shared" si="210"/>
        <v>65</v>
      </c>
      <c r="CI63" s="74">
        <f t="shared" si="211"/>
        <v>96</v>
      </c>
      <c r="CJ63" s="74">
        <f t="shared" si="212"/>
        <v>101</v>
      </c>
      <c r="CK63" s="74">
        <f t="shared" si="213"/>
        <v>137</v>
      </c>
      <c r="CL63" s="74" t="str">
        <f t="shared" si="214"/>
        <v>-</v>
      </c>
      <c r="CM63" s="74">
        <f t="shared" si="215"/>
        <v>172</v>
      </c>
      <c r="CN63" s="74">
        <f t="shared" si="216"/>
        <v>193</v>
      </c>
      <c r="CO63" s="74">
        <f t="shared" si="217"/>
        <v>229</v>
      </c>
      <c r="CP63" s="74">
        <f t="shared" si="218"/>
        <v>299</v>
      </c>
      <c r="CQ63" s="74">
        <f t="shared" si="219"/>
        <v>328</v>
      </c>
      <c r="CR63" s="74">
        <f t="shared" si="220"/>
        <v>341</v>
      </c>
      <c r="CS63" s="23">
        <f t="shared" si="221"/>
        <v>1</v>
      </c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</row>
    <row r="64" spans="1:1028" x14ac:dyDescent="0.2">
      <c r="A64" s="3" t="str">
        <f t="shared" si="194"/>
        <v>adrb2_human_3D4S</v>
      </c>
      <c r="B64" s="3" t="s">
        <v>126</v>
      </c>
      <c r="C64" s="3" t="s">
        <v>76</v>
      </c>
      <c r="D64" s="3" t="str">
        <f>IFERROR(MID(VLOOKUP($B64,Seqs!$A:$B,2,0),E64,1),"")</f>
        <v>W</v>
      </c>
      <c r="E64" s="3">
        <v>32</v>
      </c>
      <c r="F64" s="3" t="str">
        <f>IFERROR(MID(VLOOKUP($B64,Seqs!$A:$B,2,0),G64,1),"")</f>
        <v>F</v>
      </c>
      <c r="G64" s="3">
        <v>61</v>
      </c>
      <c r="H64" s="3" t="str">
        <f>IFERROR(MID(VLOOKUP($B64,Seqs!$A:$B,2,0),I64,1),"")</f>
        <v>E</v>
      </c>
      <c r="I64" s="23">
        <v>62</v>
      </c>
      <c r="J64" s="3" t="str">
        <f>IFERROR(MID(VLOOKUP($B64,Seqs!$A:$B,2,0),K64,1),"")</f>
        <v>Q</v>
      </c>
      <c r="K64" s="23">
        <v>65</v>
      </c>
      <c r="L64" s="3" t="str">
        <f>IFERROR(MID(VLOOKUP($B64,Seqs!$A:$B,2,0),M64,1),"")</f>
        <v>T</v>
      </c>
      <c r="M64" s="3">
        <v>66</v>
      </c>
      <c r="N64" s="3" t="str">
        <f>IFERROR(MID(VLOOKUP($B64,Seqs!$A:$B,2,0),O64,1),"")</f>
        <v>M</v>
      </c>
      <c r="O64" s="3">
        <v>96</v>
      </c>
      <c r="P64" s="3" t="str">
        <f>IFERROR(MID(VLOOKUP($B64,Seqs!$A:$B,2,0),Q64,1),"")</f>
        <v>M</v>
      </c>
      <c r="Q64" s="3">
        <v>98</v>
      </c>
      <c r="R64" s="3" t="str">
        <f>IFERROR(MID(VLOOKUP($B64,Seqs!$A:$B,2,0),S64,1),"")</f>
        <v>F</v>
      </c>
      <c r="S64" s="3">
        <v>101</v>
      </c>
      <c r="T64" s="3" t="str">
        <f>IFERROR(MID(VLOOKUP($B64,Seqs!$A:$B,2,0),U64,1),"")</f>
        <v>G</v>
      </c>
      <c r="U64" s="3">
        <v>102</v>
      </c>
      <c r="V64" s="3" t="str">
        <f>IFERROR(MID(VLOOKUP($B64,Seqs!$A:$B,2,0),W64,1),"")</f>
        <v>S</v>
      </c>
      <c r="W64" s="3">
        <v>137</v>
      </c>
      <c r="X64" s="3" t="str">
        <f>IFERROR(MID(VLOOKUP($B64,Seqs!$A:$B,2,0),Y64,1),"")</f>
        <v/>
      </c>
      <c r="Y64" s="3" t="s">
        <v>23</v>
      </c>
      <c r="Z64" s="3" t="str">
        <f>IFERROR(MID(VLOOKUP($B64,Seqs!$A:$B,2,0),AA64,1),"")</f>
        <v/>
      </c>
      <c r="AA64" s="3" t="s">
        <v>23</v>
      </c>
      <c r="AB64" s="3" t="str">
        <f>IFERROR(MID(VLOOKUP($B64,Seqs!$A:$B,2,0),AC64,1),"")</f>
        <v>T</v>
      </c>
      <c r="AC64" s="9">
        <v>146</v>
      </c>
      <c r="AD64" s="3" t="str">
        <f>IFERROR(MID(VLOOKUP($B64,Seqs!$A:$B,2,0),AE64,1),"")</f>
        <v>H</v>
      </c>
      <c r="AE64" s="3">
        <v>172</v>
      </c>
      <c r="AF64" s="3" t="str">
        <f>IFERROR(MID(VLOOKUP($B64,Seqs!$A:$B,2,0),AG64,1),"")</f>
        <v>C</v>
      </c>
      <c r="AG64" s="3">
        <v>191</v>
      </c>
      <c r="AH64" s="3" t="str">
        <f>IFERROR(MID(VLOOKUP($B64,Seqs!$A:$B,2,0),AI64,1),"")</f>
        <v>F</v>
      </c>
      <c r="AI64" s="3">
        <v>193</v>
      </c>
      <c r="AJ64" s="3" t="str">
        <f>IFERROR(MID(VLOOKUP($B64,Seqs!$A:$B,2,0),AK64,1),"")</f>
        <v>N</v>
      </c>
      <c r="AK64" s="3">
        <v>196</v>
      </c>
      <c r="AL64" s="3" t="str">
        <f>IFERROR(MID(VLOOKUP($B64,Seqs!$A:$B,2,0),AM64,1),"")</f>
        <v>Q</v>
      </c>
      <c r="AM64" s="3">
        <v>229</v>
      </c>
      <c r="AN64" s="3" t="str">
        <f>IFERROR(MID(VLOOKUP($B64,Seqs!$A:$B,2,0),AO64,1),"")</f>
        <v>K</v>
      </c>
      <c r="AO64" s="3">
        <v>267</v>
      </c>
      <c r="AP64" s="3" t="str">
        <f>IFERROR(MID(VLOOKUP($B64,Seqs!$A:$B,2,0),AQ64,1),"")</f>
        <v>Q</v>
      </c>
      <c r="AQ64" s="3">
        <v>299</v>
      </c>
      <c r="AR64" s="3" t="str">
        <f>IFERROR(MID(VLOOKUP($B64,Seqs!$A:$B,2,0),AS64,1),"")</f>
        <v>R</v>
      </c>
      <c r="AS64" s="3">
        <v>304</v>
      </c>
      <c r="AT64" s="3" t="str">
        <f>IFERROR(MID(VLOOKUP($B64,Seqs!$A:$B,2,0),AU64,1),"")</f>
        <v>R</v>
      </c>
      <c r="AU64" s="3">
        <v>328</v>
      </c>
      <c r="AV64" s="3" t="str">
        <f>IFERROR(MID(VLOOKUP($B64,Seqs!$A:$B,2,0),AW64,1),"")</f>
        <v>S</v>
      </c>
      <c r="AW64" s="3">
        <v>329</v>
      </c>
      <c r="AX64" s="3" t="str">
        <f>IFERROR(MID(VLOOKUP($B64,Seqs!$A:$B,2,0),AY64,1),"")</f>
        <v>C</v>
      </c>
      <c r="AY64" s="3">
        <v>341</v>
      </c>
      <c r="AZ64" s="79" t="str">
        <f>VLOOKUP(B64,Classification!A:D,2,0)</f>
        <v>A</v>
      </c>
      <c r="BA64" s="97" t="str">
        <f>VLOOKUP(B64,Classification!A:D,4,0)</f>
        <v>Adrenoceptors</v>
      </c>
      <c r="BB64" s="27" t="b">
        <f t="shared" si="195"/>
        <v>1</v>
      </c>
      <c r="BC64" s="23">
        <f t="shared" si="196"/>
        <v>241</v>
      </c>
      <c r="BD64" s="4" t="s">
        <v>23</v>
      </c>
      <c r="BE64" s="3" t="s">
        <v>1381</v>
      </c>
      <c r="BF64" s="50" t="s">
        <v>1384</v>
      </c>
      <c r="BG64" s="50" t="s">
        <v>1384</v>
      </c>
      <c r="BH64" s="1"/>
      <c r="BI64" s="72" t="s">
        <v>1293</v>
      </c>
      <c r="BJ64" s="58" t="s">
        <v>1293</v>
      </c>
      <c r="BK64" s="58" t="s">
        <v>1293</v>
      </c>
      <c r="BL64" s="58" t="s">
        <v>1293</v>
      </c>
      <c r="BM64" s="58" t="s">
        <v>1293</v>
      </c>
      <c r="BN64" s="58" t="s">
        <v>1293</v>
      </c>
      <c r="BO64" s="58" t="s">
        <v>1293</v>
      </c>
      <c r="BP64" s="58" t="s">
        <v>1293</v>
      </c>
      <c r="BQ64" s="58" t="s">
        <v>1293</v>
      </c>
      <c r="BR64" s="58" t="s">
        <v>1293</v>
      </c>
      <c r="BS64" s="58" t="s">
        <v>1293</v>
      </c>
      <c r="BT64" s="58" t="s">
        <v>1293</v>
      </c>
      <c r="BU64" s="72">
        <f t="shared" si="197"/>
        <v>32</v>
      </c>
      <c r="BV64" s="73">
        <f t="shared" si="198"/>
        <v>62</v>
      </c>
      <c r="BW64" s="74">
        <f t="shared" si="199"/>
        <v>66</v>
      </c>
      <c r="BX64" s="73">
        <f t="shared" si="200"/>
        <v>98</v>
      </c>
      <c r="BY64" s="74">
        <f t="shared" si="201"/>
        <v>102</v>
      </c>
      <c r="BZ64" s="73" t="str">
        <f t="shared" si="202"/>
        <v>-</v>
      </c>
      <c r="CA64" s="74">
        <f t="shared" si="203"/>
        <v>146</v>
      </c>
      <c r="CB64" s="73">
        <f t="shared" si="204"/>
        <v>191</v>
      </c>
      <c r="CC64" s="74">
        <f t="shared" si="205"/>
        <v>196</v>
      </c>
      <c r="CD64" s="73">
        <f t="shared" si="206"/>
        <v>267</v>
      </c>
      <c r="CE64" s="74">
        <f t="shared" si="207"/>
        <v>304</v>
      </c>
      <c r="CF64" s="73">
        <f t="shared" si="208"/>
        <v>329</v>
      </c>
      <c r="CG64" s="72">
        <f t="shared" si="209"/>
        <v>61</v>
      </c>
      <c r="CH64" s="73">
        <f t="shared" si="210"/>
        <v>65</v>
      </c>
      <c r="CI64" s="74">
        <f t="shared" si="211"/>
        <v>96</v>
      </c>
      <c r="CJ64" s="74">
        <f t="shared" si="212"/>
        <v>101</v>
      </c>
      <c r="CK64" s="74">
        <f t="shared" si="213"/>
        <v>137</v>
      </c>
      <c r="CL64" s="74" t="str">
        <f t="shared" si="214"/>
        <v>-</v>
      </c>
      <c r="CM64" s="74">
        <f t="shared" si="215"/>
        <v>172</v>
      </c>
      <c r="CN64" s="74">
        <f t="shared" si="216"/>
        <v>193</v>
      </c>
      <c r="CO64" s="74">
        <f t="shared" si="217"/>
        <v>229</v>
      </c>
      <c r="CP64" s="74">
        <f t="shared" si="218"/>
        <v>299</v>
      </c>
      <c r="CQ64" s="74">
        <f t="shared" si="219"/>
        <v>328</v>
      </c>
      <c r="CR64" s="74">
        <f t="shared" si="220"/>
        <v>341</v>
      </c>
      <c r="CS64" s="23">
        <f t="shared" si="221"/>
        <v>1</v>
      </c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</row>
    <row r="65" spans="1:1028" x14ac:dyDescent="0.2">
      <c r="A65" s="3" t="str">
        <f t="shared" si="194"/>
        <v>adrb2_human_3NY8</v>
      </c>
      <c r="B65" s="3" t="s">
        <v>126</v>
      </c>
      <c r="C65" s="3" t="s">
        <v>1339</v>
      </c>
      <c r="D65" s="3" t="str">
        <f>IFERROR(MID(VLOOKUP($B65,Seqs!$A:$B,2,0),E65,1),"")</f>
        <v>W</v>
      </c>
      <c r="E65" s="3">
        <v>32</v>
      </c>
      <c r="F65" s="3" t="str">
        <f>IFERROR(MID(VLOOKUP($B65,Seqs!$A:$B,2,0),G65,1),"")</f>
        <v>F</v>
      </c>
      <c r="G65" s="3">
        <v>61</v>
      </c>
      <c r="H65" s="3" t="str">
        <f>IFERROR(MID(VLOOKUP($B65,Seqs!$A:$B,2,0),I65,1),"")</f>
        <v>E</v>
      </c>
      <c r="I65" s="23">
        <v>62</v>
      </c>
      <c r="J65" s="3" t="str">
        <f>IFERROR(MID(VLOOKUP($B65,Seqs!$A:$B,2,0),K65,1),"")</f>
        <v>Q</v>
      </c>
      <c r="K65" s="23">
        <v>65</v>
      </c>
      <c r="L65" s="3" t="str">
        <f>IFERROR(MID(VLOOKUP($B65,Seqs!$A:$B,2,0),M65,1),"")</f>
        <v>T</v>
      </c>
      <c r="M65" s="3">
        <v>66</v>
      </c>
      <c r="N65" s="3" t="str">
        <f>IFERROR(MID(VLOOKUP($B65,Seqs!$A:$B,2,0),O65,1),"")</f>
        <v>M</v>
      </c>
      <c r="O65" s="3">
        <v>96</v>
      </c>
      <c r="P65" s="3" t="str">
        <f>IFERROR(MID(VLOOKUP($B65,Seqs!$A:$B,2,0),Q65,1),"")</f>
        <v>M</v>
      </c>
      <c r="Q65" s="3">
        <v>98</v>
      </c>
      <c r="R65" s="3" t="str">
        <f>IFERROR(MID(VLOOKUP($B65,Seqs!$A:$B,2,0),S65,1),"")</f>
        <v>F</v>
      </c>
      <c r="S65" s="3">
        <v>101</v>
      </c>
      <c r="T65" s="3" t="str">
        <f>IFERROR(MID(VLOOKUP($B65,Seqs!$A:$B,2,0),U65,1),"")</f>
        <v>G</v>
      </c>
      <c r="U65" s="3">
        <v>102</v>
      </c>
      <c r="V65" s="3" t="str">
        <f>IFERROR(MID(VLOOKUP($B65,Seqs!$A:$B,2,0),W65,1),"")</f>
        <v>S</v>
      </c>
      <c r="W65" s="3">
        <v>137</v>
      </c>
      <c r="X65" s="3" t="str">
        <f>IFERROR(MID(VLOOKUP($B65,Seqs!$A:$B,2,0),Y65,1),"")</f>
        <v/>
      </c>
      <c r="Y65" s="3" t="s">
        <v>23</v>
      </c>
      <c r="Z65" s="3" t="str">
        <f>IFERROR(MID(VLOOKUP($B65,Seqs!$A:$B,2,0),AA65,1),"")</f>
        <v/>
      </c>
      <c r="AA65" s="3" t="s">
        <v>23</v>
      </c>
      <c r="AB65" s="3" t="str">
        <f>IFERROR(MID(VLOOKUP($B65,Seqs!$A:$B,2,0),AC65,1),"")</f>
        <v>T</v>
      </c>
      <c r="AC65" s="9">
        <v>146</v>
      </c>
      <c r="AD65" s="3" t="str">
        <f>IFERROR(MID(VLOOKUP($B65,Seqs!$A:$B,2,0),AE65,1),"")</f>
        <v>H</v>
      </c>
      <c r="AE65" s="3">
        <v>172</v>
      </c>
      <c r="AF65" s="3" t="str">
        <f>IFERROR(MID(VLOOKUP($B65,Seqs!$A:$B,2,0),AG65,1),"")</f>
        <v>C</v>
      </c>
      <c r="AG65" s="3">
        <v>191</v>
      </c>
      <c r="AH65" s="3" t="str">
        <f>IFERROR(MID(VLOOKUP($B65,Seqs!$A:$B,2,0),AI65,1),"")</f>
        <v>F</v>
      </c>
      <c r="AI65" s="3">
        <v>193</v>
      </c>
      <c r="AJ65" s="3" t="str">
        <f>IFERROR(MID(VLOOKUP($B65,Seqs!$A:$B,2,0),AK65,1),"")</f>
        <v>N</v>
      </c>
      <c r="AK65" s="3">
        <v>196</v>
      </c>
      <c r="AL65" s="3" t="str">
        <f>IFERROR(MID(VLOOKUP($B65,Seqs!$A:$B,2,0),AM65,1),"")</f>
        <v>Q</v>
      </c>
      <c r="AM65" s="3">
        <v>229</v>
      </c>
      <c r="AN65" s="3" t="str">
        <f>IFERROR(MID(VLOOKUP($B65,Seqs!$A:$B,2,0),AO65,1),"")</f>
        <v>K</v>
      </c>
      <c r="AO65" s="3">
        <v>267</v>
      </c>
      <c r="AP65" s="3" t="str">
        <f>IFERROR(MID(VLOOKUP($B65,Seqs!$A:$B,2,0),AQ65,1),"")</f>
        <v>Q</v>
      </c>
      <c r="AQ65" s="3">
        <v>299</v>
      </c>
      <c r="AR65" s="3" t="str">
        <f>IFERROR(MID(VLOOKUP($B65,Seqs!$A:$B,2,0),AS65,1),"")</f>
        <v>R</v>
      </c>
      <c r="AS65" s="3">
        <v>304</v>
      </c>
      <c r="AT65" s="3" t="str">
        <f>IFERROR(MID(VLOOKUP($B65,Seqs!$A:$B,2,0),AU65,1),"")</f>
        <v>R</v>
      </c>
      <c r="AU65" s="3">
        <v>328</v>
      </c>
      <c r="AV65" s="3" t="str">
        <f>IFERROR(MID(VLOOKUP($B65,Seqs!$A:$B,2,0),AW65,1),"")</f>
        <v>S</v>
      </c>
      <c r="AW65" s="3">
        <v>329</v>
      </c>
      <c r="AX65" s="3" t="str">
        <f>IFERROR(MID(VLOOKUP($B65,Seqs!$A:$B,2,0),AY65,1),"")</f>
        <v>C</v>
      </c>
      <c r="AY65" s="3">
        <v>341</v>
      </c>
      <c r="AZ65" s="79" t="str">
        <f>VLOOKUP(B65,Classification!A:D,2,0)</f>
        <v>A</v>
      </c>
      <c r="BA65" s="97" t="str">
        <f>VLOOKUP(B65,Classification!A:D,4,0)</f>
        <v>Adrenoceptors</v>
      </c>
      <c r="BB65" s="27" t="b">
        <f t="shared" si="195"/>
        <v>1</v>
      </c>
      <c r="BC65" s="23">
        <f t="shared" si="196"/>
        <v>241</v>
      </c>
      <c r="BD65" s="4" t="s">
        <v>23</v>
      </c>
      <c r="BE65" s="3" t="s">
        <v>1381</v>
      </c>
      <c r="BF65" s="50" t="s">
        <v>1384</v>
      </c>
      <c r="BG65" s="50" t="s">
        <v>1384</v>
      </c>
      <c r="BH65" s="1"/>
      <c r="BI65" s="72" t="s">
        <v>1293</v>
      </c>
      <c r="BJ65" s="58" t="s">
        <v>1293</v>
      </c>
      <c r="BK65" s="58" t="s">
        <v>1293</v>
      </c>
      <c r="BL65" s="58" t="s">
        <v>1293</v>
      </c>
      <c r="BM65" s="58" t="s">
        <v>1293</v>
      </c>
      <c r="BN65" s="58" t="s">
        <v>1293</v>
      </c>
      <c r="BO65" s="58" t="s">
        <v>1293</v>
      </c>
      <c r="BP65" s="58" t="s">
        <v>1293</v>
      </c>
      <c r="BQ65" s="58" t="s">
        <v>1293</v>
      </c>
      <c r="BR65" s="58" t="s">
        <v>1293</v>
      </c>
      <c r="BS65" s="58" t="s">
        <v>1293</v>
      </c>
      <c r="BT65" s="58" t="s">
        <v>1293</v>
      </c>
      <c r="BU65" s="72">
        <f t="shared" si="197"/>
        <v>32</v>
      </c>
      <c r="BV65" s="73">
        <f t="shared" si="198"/>
        <v>62</v>
      </c>
      <c r="BW65" s="74">
        <f t="shared" si="199"/>
        <v>66</v>
      </c>
      <c r="BX65" s="73">
        <f t="shared" si="200"/>
        <v>98</v>
      </c>
      <c r="BY65" s="74">
        <f t="shared" si="201"/>
        <v>102</v>
      </c>
      <c r="BZ65" s="73" t="str">
        <f t="shared" si="202"/>
        <v>-</v>
      </c>
      <c r="CA65" s="74">
        <f t="shared" si="203"/>
        <v>146</v>
      </c>
      <c r="CB65" s="73">
        <f t="shared" si="204"/>
        <v>191</v>
      </c>
      <c r="CC65" s="74">
        <f t="shared" si="205"/>
        <v>196</v>
      </c>
      <c r="CD65" s="73">
        <f t="shared" si="206"/>
        <v>267</v>
      </c>
      <c r="CE65" s="74">
        <f t="shared" si="207"/>
        <v>304</v>
      </c>
      <c r="CF65" s="73">
        <f t="shared" si="208"/>
        <v>329</v>
      </c>
      <c r="CG65" s="72">
        <f t="shared" si="209"/>
        <v>61</v>
      </c>
      <c r="CH65" s="73">
        <f t="shared" si="210"/>
        <v>65</v>
      </c>
      <c r="CI65" s="74">
        <f t="shared" si="211"/>
        <v>96</v>
      </c>
      <c r="CJ65" s="74">
        <f t="shared" si="212"/>
        <v>101</v>
      </c>
      <c r="CK65" s="74">
        <f t="shared" si="213"/>
        <v>137</v>
      </c>
      <c r="CL65" s="74" t="str">
        <f t="shared" si="214"/>
        <v>-</v>
      </c>
      <c r="CM65" s="74">
        <f t="shared" si="215"/>
        <v>172</v>
      </c>
      <c r="CN65" s="74">
        <f t="shared" si="216"/>
        <v>193</v>
      </c>
      <c r="CO65" s="74">
        <f t="shared" si="217"/>
        <v>229</v>
      </c>
      <c r="CP65" s="74">
        <f t="shared" si="218"/>
        <v>299</v>
      </c>
      <c r="CQ65" s="74">
        <f t="shared" si="219"/>
        <v>328</v>
      </c>
      <c r="CR65" s="74">
        <f t="shared" si="220"/>
        <v>341</v>
      </c>
      <c r="CS65" s="23">
        <f t="shared" si="221"/>
        <v>1</v>
      </c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</row>
    <row r="66" spans="1:1028" x14ac:dyDescent="0.2">
      <c r="A66" s="3" t="str">
        <f t="shared" si="194"/>
        <v>adrb2_human_3NY9</v>
      </c>
      <c r="B66" s="3" t="s">
        <v>126</v>
      </c>
      <c r="C66" s="3" t="s">
        <v>1030</v>
      </c>
      <c r="D66" s="3" t="str">
        <f>IFERROR(MID(VLOOKUP($B66,Seqs!$A:$B,2,0),E66,1),"")</f>
        <v>W</v>
      </c>
      <c r="E66" s="3">
        <v>32</v>
      </c>
      <c r="F66" s="3" t="str">
        <f>IFERROR(MID(VLOOKUP($B66,Seqs!$A:$B,2,0),G66,1),"")</f>
        <v>F</v>
      </c>
      <c r="G66" s="3">
        <v>61</v>
      </c>
      <c r="H66" s="3" t="str">
        <f>IFERROR(MID(VLOOKUP($B66,Seqs!$A:$B,2,0),I66,1),"")</f>
        <v>E</v>
      </c>
      <c r="I66" s="23">
        <v>62</v>
      </c>
      <c r="J66" s="3" t="str">
        <f>IFERROR(MID(VLOOKUP($B66,Seqs!$A:$B,2,0),K66,1),"")</f>
        <v>Q</v>
      </c>
      <c r="K66" s="23">
        <v>65</v>
      </c>
      <c r="L66" s="3" t="str">
        <f>IFERROR(MID(VLOOKUP($B66,Seqs!$A:$B,2,0),M66,1),"")</f>
        <v>T</v>
      </c>
      <c r="M66" s="3">
        <v>66</v>
      </c>
      <c r="N66" s="3" t="str">
        <f>IFERROR(MID(VLOOKUP($B66,Seqs!$A:$B,2,0),O66,1),"")</f>
        <v>M</v>
      </c>
      <c r="O66" s="3">
        <v>96</v>
      </c>
      <c r="P66" s="3" t="str">
        <f>IFERROR(MID(VLOOKUP($B66,Seqs!$A:$B,2,0),Q66,1),"")</f>
        <v>M</v>
      </c>
      <c r="Q66" s="3">
        <v>98</v>
      </c>
      <c r="R66" s="3" t="str">
        <f>IFERROR(MID(VLOOKUP($B66,Seqs!$A:$B,2,0),S66,1),"")</f>
        <v>F</v>
      </c>
      <c r="S66" s="3">
        <v>101</v>
      </c>
      <c r="T66" s="3" t="str">
        <f>IFERROR(MID(VLOOKUP($B66,Seqs!$A:$B,2,0),U66,1),"")</f>
        <v>G</v>
      </c>
      <c r="U66" s="3">
        <v>102</v>
      </c>
      <c r="V66" s="3" t="str">
        <f>IFERROR(MID(VLOOKUP($B66,Seqs!$A:$B,2,0),W66,1),"")</f>
        <v>S</v>
      </c>
      <c r="W66" s="3">
        <v>137</v>
      </c>
      <c r="X66" s="3" t="str">
        <f>IFERROR(MID(VLOOKUP($B66,Seqs!$A:$B,2,0),Y66,1),"")</f>
        <v/>
      </c>
      <c r="Y66" s="3" t="s">
        <v>23</v>
      </c>
      <c r="Z66" s="3" t="str">
        <f>IFERROR(MID(VLOOKUP($B66,Seqs!$A:$B,2,0),AA66,1),"")</f>
        <v/>
      </c>
      <c r="AA66" s="3" t="s">
        <v>23</v>
      </c>
      <c r="AB66" s="3" t="str">
        <f>IFERROR(MID(VLOOKUP($B66,Seqs!$A:$B,2,0),AC66,1),"")</f>
        <v>T</v>
      </c>
      <c r="AC66" s="9">
        <v>146</v>
      </c>
      <c r="AD66" s="3" t="str">
        <f>IFERROR(MID(VLOOKUP($B66,Seqs!$A:$B,2,0),AE66,1),"")</f>
        <v>H</v>
      </c>
      <c r="AE66" s="3">
        <v>172</v>
      </c>
      <c r="AF66" s="3" t="str">
        <f>IFERROR(MID(VLOOKUP($B66,Seqs!$A:$B,2,0),AG66,1),"")</f>
        <v>C</v>
      </c>
      <c r="AG66" s="3">
        <v>191</v>
      </c>
      <c r="AH66" s="3" t="str">
        <f>IFERROR(MID(VLOOKUP($B66,Seqs!$A:$B,2,0),AI66,1),"")</f>
        <v>F</v>
      </c>
      <c r="AI66" s="3">
        <v>193</v>
      </c>
      <c r="AJ66" s="3" t="str">
        <f>IFERROR(MID(VLOOKUP($B66,Seqs!$A:$B,2,0),AK66,1),"")</f>
        <v>N</v>
      </c>
      <c r="AK66" s="3">
        <v>196</v>
      </c>
      <c r="AL66" s="3" t="str">
        <f>IFERROR(MID(VLOOKUP($B66,Seqs!$A:$B,2,0),AM66,1),"")</f>
        <v>Q</v>
      </c>
      <c r="AM66" s="3">
        <v>229</v>
      </c>
      <c r="AN66" s="3" t="str">
        <f>IFERROR(MID(VLOOKUP($B66,Seqs!$A:$B,2,0),AO66,1),"")</f>
        <v>K</v>
      </c>
      <c r="AO66" s="3">
        <v>267</v>
      </c>
      <c r="AP66" s="3" t="str">
        <f>IFERROR(MID(VLOOKUP($B66,Seqs!$A:$B,2,0),AQ66,1),"")</f>
        <v>Q</v>
      </c>
      <c r="AQ66" s="3">
        <v>299</v>
      </c>
      <c r="AR66" s="3" t="str">
        <f>IFERROR(MID(VLOOKUP($B66,Seqs!$A:$B,2,0),AS66,1),"")</f>
        <v>R</v>
      </c>
      <c r="AS66" s="3">
        <v>304</v>
      </c>
      <c r="AT66" s="3" t="str">
        <f>IFERROR(MID(VLOOKUP($B66,Seqs!$A:$B,2,0),AU66,1),"")</f>
        <v>R</v>
      </c>
      <c r="AU66" s="3">
        <v>328</v>
      </c>
      <c r="AV66" s="3" t="str">
        <f>IFERROR(MID(VLOOKUP($B66,Seqs!$A:$B,2,0),AW66,1),"")</f>
        <v>S</v>
      </c>
      <c r="AW66" s="3">
        <v>329</v>
      </c>
      <c r="AX66" s="3" t="str">
        <f>IFERROR(MID(VLOOKUP($B66,Seqs!$A:$B,2,0),AY66,1),"")</f>
        <v>C</v>
      </c>
      <c r="AY66" s="3">
        <v>341</v>
      </c>
      <c r="AZ66" s="79" t="str">
        <f>VLOOKUP(B66,Classification!A:D,2,0)</f>
        <v>A</v>
      </c>
      <c r="BA66" s="97" t="str">
        <f>VLOOKUP(B66,Classification!A:D,4,0)</f>
        <v>Adrenoceptors</v>
      </c>
      <c r="BB66" s="27" t="b">
        <f t="shared" si="195"/>
        <v>1</v>
      </c>
      <c r="BC66" s="23">
        <f t="shared" si="196"/>
        <v>241</v>
      </c>
      <c r="BD66" s="4" t="s">
        <v>23</v>
      </c>
      <c r="BE66" s="3" t="s">
        <v>1381</v>
      </c>
      <c r="BF66" s="50" t="s">
        <v>1384</v>
      </c>
      <c r="BG66" s="50" t="s">
        <v>1384</v>
      </c>
      <c r="BH66" s="1"/>
      <c r="BI66" s="72" t="s">
        <v>1293</v>
      </c>
      <c r="BJ66" s="58" t="s">
        <v>1293</v>
      </c>
      <c r="BK66" s="58" t="s">
        <v>1293</v>
      </c>
      <c r="BL66" s="58" t="s">
        <v>1293</v>
      </c>
      <c r="BM66" s="58" t="s">
        <v>1293</v>
      </c>
      <c r="BN66" s="58" t="s">
        <v>1293</v>
      </c>
      <c r="BO66" s="58" t="s">
        <v>1293</v>
      </c>
      <c r="BP66" s="58" t="s">
        <v>1293</v>
      </c>
      <c r="BQ66" s="58" t="s">
        <v>1293</v>
      </c>
      <c r="BR66" s="58" t="s">
        <v>1293</v>
      </c>
      <c r="BS66" s="58" t="s">
        <v>1293</v>
      </c>
      <c r="BT66" s="58" t="s">
        <v>1293</v>
      </c>
      <c r="BU66" s="72">
        <f t="shared" si="197"/>
        <v>32</v>
      </c>
      <c r="BV66" s="73">
        <f t="shared" si="198"/>
        <v>62</v>
      </c>
      <c r="BW66" s="74">
        <f t="shared" si="199"/>
        <v>66</v>
      </c>
      <c r="BX66" s="73">
        <f t="shared" si="200"/>
        <v>98</v>
      </c>
      <c r="BY66" s="74">
        <f t="shared" si="201"/>
        <v>102</v>
      </c>
      <c r="BZ66" s="73" t="str">
        <f t="shared" si="202"/>
        <v>-</v>
      </c>
      <c r="CA66" s="74">
        <f t="shared" si="203"/>
        <v>146</v>
      </c>
      <c r="CB66" s="73">
        <f t="shared" si="204"/>
        <v>191</v>
      </c>
      <c r="CC66" s="74">
        <f t="shared" si="205"/>
        <v>196</v>
      </c>
      <c r="CD66" s="73">
        <f t="shared" si="206"/>
        <v>267</v>
      </c>
      <c r="CE66" s="74">
        <f t="shared" si="207"/>
        <v>304</v>
      </c>
      <c r="CF66" s="73">
        <f t="shared" si="208"/>
        <v>329</v>
      </c>
      <c r="CG66" s="72">
        <f t="shared" si="209"/>
        <v>61</v>
      </c>
      <c r="CH66" s="73">
        <f t="shared" si="210"/>
        <v>65</v>
      </c>
      <c r="CI66" s="74">
        <f t="shared" si="211"/>
        <v>96</v>
      </c>
      <c r="CJ66" s="74">
        <f t="shared" si="212"/>
        <v>101</v>
      </c>
      <c r="CK66" s="74">
        <f t="shared" si="213"/>
        <v>137</v>
      </c>
      <c r="CL66" s="74" t="str">
        <f t="shared" si="214"/>
        <v>-</v>
      </c>
      <c r="CM66" s="74">
        <f t="shared" si="215"/>
        <v>172</v>
      </c>
      <c r="CN66" s="74">
        <f t="shared" si="216"/>
        <v>193</v>
      </c>
      <c r="CO66" s="74">
        <f t="shared" si="217"/>
        <v>229</v>
      </c>
      <c r="CP66" s="74">
        <f t="shared" si="218"/>
        <v>299</v>
      </c>
      <c r="CQ66" s="74">
        <f t="shared" si="219"/>
        <v>328</v>
      </c>
      <c r="CR66" s="74">
        <f t="shared" si="220"/>
        <v>341</v>
      </c>
      <c r="CS66" s="23">
        <f t="shared" si="221"/>
        <v>1</v>
      </c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</row>
    <row r="67" spans="1:1028" x14ac:dyDescent="0.2">
      <c r="A67" s="3" t="str">
        <f t="shared" si="194"/>
        <v>adrb2_human_3NYA</v>
      </c>
      <c r="B67" s="3" t="s">
        <v>126</v>
      </c>
      <c r="C67" s="3" t="s">
        <v>1340</v>
      </c>
      <c r="D67" s="3" t="str">
        <f>IFERROR(MID(VLOOKUP($B67,Seqs!$A:$B,2,0),E67,1),"")</f>
        <v>W</v>
      </c>
      <c r="E67" s="3">
        <v>32</v>
      </c>
      <c r="F67" s="3" t="str">
        <f>IFERROR(MID(VLOOKUP($B67,Seqs!$A:$B,2,0),G67,1),"")</f>
        <v>F</v>
      </c>
      <c r="G67" s="3">
        <v>61</v>
      </c>
      <c r="H67" s="3" t="str">
        <f>IFERROR(MID(VLOOKUP($B67,Seqs!$A:$B,2,0),I67,1),"")</f>
        <v>E</v>
      </c>
      <c r="I67" s="23">
        <v>62</v>
      </c>
      <c r="J67" s="3" t="str">
        <f>IFERROR(MID(VLOOKUP($B67,Seqs!$A:$B,2,0),K67,1),"")</f>
        <v>Q</v>
      </c>
      <c r="K67" s="23">
        <v>65</v>
      </c>
      <c r="L67" s="3" t="str">
        <f>IFERROR(MID(VLOOKUP($B67,Seqs!$A:$B,2,0),M67,1),"")</f>
        <v>T</v>
      </c>
      <c r="M67" s="3">
        <v>66</v>
      </c>
      <c r="N67" s="3" t="str">
        <f>IFERROR(MID(VLOOKUP($B67,Seqs!$A:$B,2,0),O67,1),"")</f>
        <v>M</v>
      </c>
      <c r="O67" s="3">
        <v>96</v>
      </c>
      <c r="P67" s="3" t="str">
        <f>IFERROR(MID(VLOOKUP($B67,Seqs!$A:$B,2,0),Q67,1),"")</f>
        <v>M</v>
      </c>
      <c r="Q67" s="3">
        <v>98</v>
      </c>
      <c r="R67" s="3" t="str">
        <f>IFERROR(MID(VLOOKUP($B67,Seqs!$A:$B,2,0),S67,1),"")</f>
        <v>F</v>
      </c>
      <c r="S67" s="3">
        <v>101</v>
      </c>
      <c r="T67" s="3" t="str">
        <f>IFERROR(MID(VLOOKUP($B67,Seqs!$A:$B,2,0),U67,1),"")</f>
        <v>G</v>
      </c>
      <c r="U67" s="3">
        <v>102</v>
      </c>
      <c r="V67" s="3" t="str">
        <f>IFERROR(MID(VLOOKUP($B67,Seqs!$A:$B,2,0),W67,1),"")</f>
        <v>S</v>
      </c>
      <c r="W67" s="3">
        <v>137</v>
      </c>
      <c r="X67" s="3" t="str">
        <f>IFERROR(MID(VLOOKUP($B67,Seqs!$A:$B,2,0),Y67,1),"")</f>
        <v/>
      </c>
      <c r="Y67" s="3" t="s">
        <v>23</v>
      </c>
      <c r="Z67" s="3" t="str">
        <f>IFERROR(MID(VLOOKUP($B67,Seqs!$A:$B,2,0),AA67,1),"")</f>
        <v/>
      </c>
      <c r="AA67" s="3" t="s">
        <v>23</v>
      </c>
      <c r="AB67" s="3" t="str">
        <f>IFERROR(MID(VLOOKUP($B67,Seqs!$A:$B,2,0),AC67,1),"")</f>
        <v>T</v>
      </c>
      <c r="AC67" s="9">
        <v>146</v>
      </c>
      <c r="AD67" s="3" t="str">
        <f>IFERROR(MID(VLOOKUP($B67,Seqs!$A:$B,2,0),AE67,1),"")</f>
        <v>H</v>
      </c>
      <c r="AE67" s="3">
        <v>172</v>
      </c>
      <c r="AF67" s="3" t="str">
        <f>IFERROR(MID(VLOOKUP($B67,Seqs!$A:$B,2,0),AG67,1),"")</f>
        <v>C</v>
      </c>
      <c r="AG67" s="3">
        <v>191</v>
      </c>
      <c r="AH67" s="3" t="str">
        <f>IFERROR(MID(VLOOKUP($B67,Seqs!$A:$B,2,0),AI67,1),"")</f>
        <v>F</v>
      </c>
      <c r="AI67" s="3">
        <v>193</v>
      </c>
      <c r="AJ67" s="3" t="str">
        <f>IFERROR(MID(VLOOKUP($B67,Seqs!$A:$B,2,0),AK67,1),"")</f>
        <v>N</v>
      </c>
      <c r="AK67" s="3">
        <v>196</v>
      </c>
      <c r="AL67" s="3" t="str">
        <f>IFERROR(MID(VLOOKUP($B67,Seqs!$A:$B,2,0),AM67,1),"")</f>
        <v>Q</v>
      </c>
      <c r="AM67" s="3">
        <v>229</v>
      </c>
      <c r="AN67" s="3" t="str">
        <f>IFERROR(MID(VLOOKUP($B67,Seqs!$A:$B,2,0),AO67,1),"")</f>
        <v>K</v>
      </c>
      <c r="AO67" s="3">
        <v>267</v>
      </c>
      <c r="AP67" s="3" t="str">
        <f>IFERROR(MID(VLOOKUP($B67,Seqs!$A:$B,2,0),AQ67,1),"")</f>
        <v>Q</v>
      </c>
      <c r="AQ67" s="3">
        <v>299</v>
      </c>
      <c r="AR67" s="3" t="str">
        <f>IFERROR(MID(VLOOKUP($B67,Seqs!$A:$B,2,0),AS67,1),"")</f>
        <v>R</v>
      </c>
      <c r="AS67" s="3">
        <v>304</v>
      </c>
      <c r="AT67" s="3" t="str">
        <f>IFERROR(MID(VLOOKUP($B67,Seqs!$A:$B,2,0),AU67,1),"")</f>
        <v>R</v>
      </c>
      <c r="AU67" s="3">
        <v>328</v>
      </c>
      <c r="AV67" s="3" t="str">
        <f>IFERROR(MID(VLOOKUP($B67,Seqs!$A:$B,2,0),AW67,1),"")</f>
        <v>S</v>
      </c>
      <c r="AW67" s="3">
        <v>329</v>
      </c>
      <c r="AX67" s="3" t="str">
        <f>IFERROR(MID(VLOOKUP($B67,Seqs!$A:$B,2,0),AY67,1),"")</f>
        <v>C</v>
      </c>
      <c r="AY67" s="3">
        <v>341</v>
      </c>
      <c r="AZ67" s="79" t="str">
        <f>VLOOKUP(B67,Classification!A:D,2,0)</f>
        <v>A</v>
      </c>
      <c r="BA67" s="97" t="str">
        <f>VLOOKUP(B67,Classification!A:D,4,0)</f>
        <v>Adrenoceptors</v>
      </c>
      <c r="BB67" s="27" t="b">
        <f t="shared" si="195"/>
        <v>1</v>
      </c>
      <c r="BC67" s="23">
        <f t="shared" si="196"/>
        <v>241</v>
      </c>
      <c r="BD67" s="4" t="s">
        <v>23</v>
      </c>
      <c r="BE67" s="3" t="s">
        <v>1381</v>
      </c>
      <c r="BF67" s="50" t="s">
        <v>1384</v>
      </c>
      <c r="BG67" s="50" t="s">
        <v>1384</v>
      </c>
      <c r="BH67" s="1"/>
      <c r="BI67" s="72" t="s">
        <v>1293</v>
      </c>
      <c r="BJ67" s="58" t="s">
        <v>1293</v>
      </c>
      <c r="BK67" s="58" t="s">
        <v>1293</v>
      </c>
      <c r="BL67" s="58" t="s">
        <v>1293</v>
      </c>
      <c r="BM67" s="58" t="s">
        <v>1293</v>
      </c>
      <c r="BN67" s="58" t="s">
        <v>1293</v>
      </c>
      <c r="BO67" s="58" t="s">
        <v>1293</v>
      </c>
      <c r="BP67" s="58" t="s">
        <v>1293</v>
      </c>
      <c r="BQ67" s="58" t="s">
        <v>1293</v>
      </c>
      <c r="BR67" s="58" t="s">
        <v>1293</v>
      </c>
      <c r="BS67" s="58" t="s">
        <v>1293</v>
      </c>
      <c r="BT67" s="58" t="s">
        <v>1293</v>
      </c>
      <c r="BU67" s="72">
        <f t="shared" si="197"/>
        <v>32</v>
      </c>
      <c r="BV67" s="73">
        <f t="shared" si="198"/>
        <v>62</v>
      </c>
      <c r="BW67" s="74">
        <f t="shared" si="199"/>
        <v>66</v>
      </c>
      <c r="BX67" s="73">
        <f t="shared" si="200"/>
        <v>98</v>
      </c>
      <c r="BY67" s="74">
        <f t="shared" si="201"/>
        <v>102</v>
      </c>
      <c r="BZ67" s="73" t="str">
        <f t="shared" si="202"/>
        <v>-</v>
      </c>
      <c r="CA67" s="74">
        <f t="shared" si="203"/>
        <v>146</v>
      </c>
      <c r="CB67" s="73">
        <f t="shared" si="204"/>
        <v>191</v>
      </c>
      <c r="CC67" s="74">
        <f t="shared" si="205"/>
        <v>196</v>
      </c>
      <c r="CD67" s="73">
        <f t="shared" si="206"/>
        <v>267</v>
      </c>
      <c r="CE67" s="74">
        <f t="shared" si="207"/>
        <v>304</v>
      </c>
      <c r="CF67" s="73">
        <f t="shared" si="208"/>
        <v>329</v>
      </c>
      <c r="CG67" s="72">
        <f t="shared" si="209"/>
        <v>61</v>
      </c>
      <c r="CH67" s="73">
        <f t="shared" si="210"/>
        <v>65</v>
      </c>
      <c r="CI67" s="74">
        <f t="shared" si="211"/>
        <v>96</v>
      </c>
      <c r="CJ67" s="74">
        <f t="shared" si="212"/>
        <v>101</v>
      </c>
      <c r="CK67" s="74">
        <f t="shared" si="213"/>
        <v>137</v>
      </c>
      <c r="CL67" s="74" t="str">
        <f t="shared" si="214"/>
        <v>-</v>
      </c>
      <c r="CM67" s="74">
        <f t="shared" si="215"/>
        <v>172</v>
      </c>
      <c r="CN67" s="74">
        <f t="shared" si="216"/>
        <v>193</v>
      </c>
      <c r="CO67" s="74">
        <f t="shared" si="217"/>
        <v>229</v>
      </c>
      <c r="CP67" s="74">
        <f t="shared" si="218"/>
        <v>299</v>
      </c>
      <c r="CQ67" s="74">
        <f t="shared" si="219"/>
        <v>328</v>
      </c>
      <c r="CR67" s="74">
        <f t="shared" si="220"/>
        <v>341</v>
      </c>
      <c r="CS67" s="23">
        <f t="shared" si="221"/>
        <v>1</v>
      </c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</row>
    <row r="68" spans="1:1028" x14ac:dyDescent="0.2">
      <c r="A68" s="3" t="str">
        <f t="shared" si="194"/>
        <v>adrb2_human_3P0G</v>
      </c>
      <c r="B68" s="3" t="s">
        <v>126</v>
      </c>
      <c r="C68" s="3" t="s">
        <v>66</v>
      </c>
      <c r="D68" s="3" t="str">
        <f>IFERROR(MID(VLOOKUP($B68,Seqs!$A:$B,2,0),E68,1),"")</f>
        <v>Q</v>
      </c>
      <c r="E68" s="3">
        <v>26</v>
      </c>
      <c r="F68" s="3" t="str">
        <f>IFERROR(MID(VLOOKUP($B68,Seqs!$A:$B,2,0),G68,1),"")</f>
        <v>F</v>
      </c>
      <c r="G68" s="3">
        <v>61</v>
      </c>
      <c r="H68" s="3" t="str">
        <f>IFERROR(MID(VLOOKUP($B68,Seqs!$A:$B,2,0),I68,1),"")</f>
        <v>E</v>
      </c>
      <c r="I68" s="23">
        <v>62</v>
      </c>
      <c r="J68" s="3" t="str">
        <f>IFERROR(MID(VLOOKUP($B68,Seqs!$A:$B,2,0),K68,1),"")</f>
        <v>Q</v>
      </c>
      <c r="K68" s="23">
        <v>65</v>
      </c>
      <c r="L68" s="3" t="str">
        <f>IFERROR(MID(VLOOKUP($B68,Seqs!$A:$B,2,0),M68,1),"")</f>
        <v>T</v>
      </c>
      <c r="M68" s="3">
        <v>66</v>
      </c>
      <c r="N68" s="3" t="str">
        <f>IFERROR(MID(VLOOKUP($B68,Seqs!$A:$B,2,0),O68,1),"")</f>
        <v>M</v>
      </c>
      <c r="O68" s="3">
        <v>96</v>
      </c>
      <c r="P68" s="3" t="str">
        <f>IFERROR(MID(VLOOKUP($B68,Seqs!$A:$B,2,0),Q68,1),"")</f>
        <v>M</v>
      </c>
      <c r="Q68" s="3">
        <v>98</v>
      </c>
      <c r="R68" s="3" t="str">
        <f>IFERROR(MID(VLOOKUP($B68,Seqs!$A:$B,2,0),S68,1),"")</f>
        <v>F</v>
      </c>
      <c r="S68" s="3">
        <v>101</v>
      </c>
      <c r="T68" s="3" t="str">
        <f>IFERROR(MID(VLOOKUP($B68,Seqs!$A:$B,2,0),U68,1),"")</f>
        <v>G</v>
      </c>
      <c r="U68" s="3">
        <v>102</v>
      </c>
      <c r="V68" s="3" t="str">
        <f>IFERROR(MID(VLOOKUP($B68,Seqs!$A:$B,2,0),W68,1),"")</f>
        <v>S</v>
      </c>
      <c r="W68" s="3">
        <v>137</v>
      </c>
      <c r="X68" s="3" t="str">
        <f>IFERROR(MID(VLOOKUP($B68,Seqs!$A:$B,2,0),Y68,1),"")</f>
        <v>P</v>
      </c>
      <c r="Y68" s="3">
        <v>138</v>
      </c>
      <c r="Z68" s="3" t="str">
        <f>IFERROR(MID(VLOOKUP($B68,Seqs!$A:$B,2,0),AA68,1),"")</f>
        <v>L</v>
      </c>
      <c r="AA68" s="3">
        <v>145</v>
      </c>
      <c r="AB68" s="3" t="str">
        <f>IFERROR(MID(VLOOKUP($B68,Seqs!$A:$B,2,0),AC68,1),"")</f>
        <v>T</v>
      </c>
      <c r="AC68" s="9">
        <v>146</v>
      </c>
      <c r="AD68" s="3" t="str">
        <f>IFERROR(MID(VLOOKUP($B68,Seqs!$A:$B,2,0),AE68,1),"")</f>
        <v>H</v>
      </c>
      <c r="AE68" s="3">
        <v>172</v>
      </c>
      <c r="AF68" s="3" t="str">
        <f>IFERROR(MID(VLOOKUP($B68,Seqs!$A:$B,2,0),AG68,1),"")</f>
        <v>C</v>
      </c>
      <c r="AG68" s="3">
        <v>191</v>
      </c>
      <c r="AH68" s="3" t="str">
        <f>IFERROR(MID(VLOOKUP($B68,Seqs!$A:$B,2,0),AI68,1),"")</f>
        <v>F</v>
      </c>
      <c r="AI68" s="3">
        <v>193</v>
      </c>
      <c r="AJ68" s="3" t="str">
        <f>IFERROR(MID(VLOOKUP($B68,Seqs!$A:$B,2,0),AK68,1),"")</f>
        <v>N</v>
      </c>
      <c r="AK68" s="3">
        <v>196</v>
      </c>
      <c r="AL68" s="3" t="str">
        <f>IFERROR(MID(VLOOKUP($B68,Seqs!$A:$B,2,0),AM68,1),"")</f>
        <v>A</v>
      </c>
      <c r="AM68" s="3">
        <v>226</v>
      </c>
      <c r="AN68" s="3" t="str">
        <f>IFERROR(MID(VLOOKUP($B68,Seqs!$A:$B,2,0),AO68,1),"")</f>
        <v>H</v>
      </c>
      <c r="AO68" s="3">
        <v>269</v>
      </c>
      <c r="AP68" s="3" t="str">
        <f>IFERROR(MID(VLOOKUP($B68,Seqs!$A:$B,2,0),AQ68,1),"")</f>
        <v>Q</v>
      </c>
      <c r="AQ68" s="3">
        <v>299</v>
      </c>
      <c r="AR68" s="3" t="str">
        <f>IFERROR(MID(VLOOKUP($B68,Seqs!$A:$B,2,0),AS68,1),"")</f>
        <v>R</v>
      </c>
      <c r="AS68" s="3">
        <v>304</v>
      </c>
      <c r="AT68" s="3" t="str">
        <f>IFERROR(MID(VLOOKUP($B68,Seqs!$A:$B,2,0),AU68,1),"")</f>
        <v>R</v>
      </c>
      <c r="AU68" s="3">
        <v>328</v>
      </c>
      <c r="AV68" s="3" t="str">
        <f>IFERROR(MID(VLOOKUP($B68,Seqs!$A:$B,2,0),AW68,1),"")</f>
        <v>S</v>
      </c>
      <c r="AW68" s="3">
        <v>329</v>
      </c>
      <c r="AX68" s="3" t="str">
        <f>IFERROR(MID(VLOOKUP($B68,Seqs!$A:$B,2,0),AY68,1),"")</f>
        <v>C</v>
      </c>
      <c r="AY68" s="3">
        <v>341</v>
      </c>
      <c r="AZ68" s="79" t="str">
        <f>VLOOKUP(B68,Classification!A:D,2,0)</f>
        <v>A</v>
      </c>
      <c r="BA68" s="97" t="str">
        <f>VLOOKUP(B68,Classification!A:D,4,0)</f>
        <v>Adrenoceptors</v>
      </c>
      <c r="BB68" s="27" t="b">
        <f t="shared" si="195"/>
        <v>1</v>
      </c>
      <c r="BC68" s="23">
        <f t="shared" si="196"/>
        <v>249</v>
      </c>
      <c r="BD68" s="4" t="s">
        <v>23</v>
      </c>
      <c r="BE68" s="3" t="s">
        <v>1297</v>
      </c>
      <c r="BF68" s="50" t="s">
        <v>1384</v>
      </c>
      <c r="BG68" s="50" t="s">
        <v>1384</v>
      </c>
      <c r="BH68" s="1"/>
      <c r="BI68" s="72" t="s">
        <v>1293</v>
      </c>
      <c r="BJ68" s="58" t="s">
        <v>1293</v>
      </c>
      <c r="BK68" s="58" t="s">
        <v>1293</v>
      </c>
      <c r="BL68" s="58" t="s">
        <v>1293</v>
      </c>
      <c r="BM68" s="58" t="s">
        <v>1293</v>
      </c>
      <c r="BN68" s="58" t="s">
        <v>1293</v>
      </c>
      <c r="BO68" s="58" t="s">
        <v>1293</v>
      </c>
      <c r="BP68" s="58" t="s">
        <v>1293</v>
      </c>
      <c r="BQ68" s="58" t="s">
        <v>1293</v>
      </c>
      <c r="BR68" s="58" t="s">
        <v>1293</v>
      </c>
      <c r="BS68" s="58" t="s">
        <v>1293</v>
      </c>
      <c r="BT68" s="58" t="s">
        <v>1293</v>
      </c>
      <c r="BU68" s="72">
        <f t="shared" si="197"/>
        <v>26</v>
      </c>
      <c r="BV68" s="73">
        <f t="shared" si="198"/>
        <v>62</v>
      </c>
      <c r="BW68" s="74">
        <f t="shared" si="199"/>
        <v>66</v>
      </c>
      <c r="BX68" s="73">
        <f t="shared" si="200"/>
        <v>98</v>
      </c>
      <c r="BY68" s="74">
        <f t="shared" si="201"/>
        <v>102</v>
      </c>
      <c r="BZ68" s="73">
        <f t="shared" si="202"/>
        <v>138</v>
      </c>
      <c r="CA68" s="74">
        <f t="shared" si="203"/>
        <v>146</v>
      </c>
      <c r="CB68" s="73">
        <f t="shared" si="204"/>
        <v>191</v>
      </c>
      <c r="CC68" s="74">
        <f t="shared" si="205"/>
        <v>196</v>
      </c>
      <c r="CD68" s="73">
        <f t="shared" si="206"/>
        <v>269</v>
      </c>
      <c r="CE68" s="74">
        <f t="shared" si="207"/>
        <v>304</v>
      </c>
      <c r="CF68" s="73">
        <f t="shared" si="208"/>
        <v>329</v>
      </c>
      <c r="CG68" s="72">
        <f t="shared" si="209"/>
        <v>61</v>
      </c>
      <c r="CH68" s="73">
        <f t="shared" si="210"/>
        <v>65</v>
      </c>
      <c r="CI68" s="74">
        <f t="shared" si="211"/>
        <v>96</v>
      </c>
      <c r="CJ68" s="74">
        <f t="shared" si="212"/>
        <v>101</v>
      </c>
      <c r="CK68" s="74">
        <f t="shared" si="213"/>
        <v>137</v>
      </c>
      <c r="CL68" s="74">
        <f t="shared" si="214"/>
        <v>145</v>
      </c>
      <c r="CM68" s="74">
        <f t="shared" si="215"/>
        <v>172</v>
      </c>
      <c r="CN68" s="74">
        <f t="shared" si="216"/>
        <v>193</v>
      </c>
      <c r="CO68" s="74">
        <f t="shared" si="217"/>
        <v>226</v>
      </c>
      <c r="CP68" s="74">
        <f t="shared" si="218"/>
        <v>299</v>
      </c>
      <c r="CQ68" s="74">
        <f t="shared" si="219"/>
        <v>328</v>
      </c>
      <c r="CR68" s="74">
        <f t="shared" si="220"/>
        <v>341</v>
      </c>
      <c r="CS68" s="23">
        <f t="shared" si="221"/>
        <v>1</v>
      </c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</row>
    <row r="69" spans="1:1028" x14ac:dyDescent="0.2">
      <c r="A69" s="3" t="str">
        <f t="shared" si="194"/>
        <v>adrb2_human_3PDS</v>
      </c>
      <c r="B69" s="3" t="s">
        <v>126</v>
      </c>
      <c r="C69" s="3" t="s">
        <v>1341</v>
      </c>
      <c r="D69" s="3" t="str">
        <f>IFERROR(MID(VLOOKUP($B69,Seqs!$A:$B,2,0),E69,1),"")</f>
        <v>D</v>
      </c>
      <c r="E69" s="3">
        <v>29</v>
      </c>
      <c r="F69" s="3" t="str">
        <f>IFERROR(MID(VLOOKUP($B69,Seqs!$A:$B,2,0),G69,1),"")</f>
        <v>F</v>
      </c>
      <c r="G69" s="3">
        <v>61</v>
      </c>
      <c r="H69" s="3" t="str">
        <f>IFERROR(MID(VLOOKUP($B69,Seqs!$A:$B,2,0),I69,1),"")</f>
        <v>E</v>
      </c>
      <c r="I69" s="23">
        <v>62</v>
      </c>
      <c r="J69" s="3" t="str">
        <f>IFERROR(MID(VLOOKUP($B69,Seqs!$A:$B,2,0),K69,1),"")</f>
        <v>Q</v>
      </c>
      <c r="K69" s="23">
        <v>65</v>
      </c>
      <c r="L69" s="3" t="str">
        <f>IFERROR(MID(VLOOKUP($B69,Seqs!$A:$B,2,0),M69,1),"")</f>
        <v>T</v>
      </c>
      <c r="M69" s="3">
        <v>66</v>
      </c>
      <c r="N69" s="3" t="str">
        <f>IFERROR(MID(VLOOKUP($B69,Seqs!$A:$B,2,0),O69,1),"")</f>
        <v>M</v>
      </c>
      <c r="O69" s="3">
        <v>96</v>
      </c>
      <c r="P69" s="3" t="str">
        <f>IFERROR(MID(VLOOKUP($B69,Seqs!$A:$B,2,0),Q69,1),"")</f>
        <v>M</v>
      </c>
      <c r="Q69" s="3">
        <v>98</v>
      </c>
      <c r="R69" s="3" t="str">
        <f>IFERROR(MID(VLOOKUP($B69,Seqs!$A:$B,2,0),S69,1),"")</f>
        <v>F</v>
      </c>
      <c r="S69" s="3">
        <v>101</v>
      </c>
      <c r="T69" s="3" t="str">
        <f>IFERROR(MID(VLOOKUP($B69,Seqs!$A:$B,2,0),U69,1),"")</f>
        <v>G</v>
      </c>
      <c r="U69" s="3">
        <v>102</v>
      </c>
      <c r="V69" s="3" t="str">
        <f>IFERROR(MID(VLOOKUP($B69,Seqs!$A:$B,2,0),W69,1),"")</f>
        <v>S</v>
      </c>
      <c r="W69" s="3">
        <v>137</v>
      </c>
      <c r="X69" s="3" t="str">
        <f>IFERROR(MID(VLOOKUP($B69,Seqs!$A:$B,2,0),Y69,1),"")</f>
        <v/>
      </c>
      <c r="Y69" s="3" t="s">
        <v>23</v>
      </c>
      <c r="Z69" s="3" t="str">
        <f>IFERROR(MID(VLOOKUP($B69,Seqs!$A:$B,2,0),AA69,1),"")</f>
        <v/>
      </c>
      <c r="AA69" s="3" t="s">
        <v>23</v>
      </c>
      <c r="AB69" s="3" t="str">
        <f>IFERROR(MID(VLOOKUP($B69,Seqs!$A:$B,2,0),AC69,1),"")</f>
        <v>T</v>
      </c>
      <c r="AC69" s="9">
        <v>146</v>
      </c>
      <c r="AD69" s="3" t="str">
        <f>IFERROR(MID(VLOOKUP($B69,Seqs!$A:$B,2,0),AE69,1),"")</f>
        <v>H</v>
      </c>
      <c r="AE69" s="3">
        <v>172</v>
      </c>
      <c r="AF69" s="3" t="str">
        <f>IFERROR(MID(VLOOKUP($B69,Seqs!$A:$B,2,0),AG69,1),"")</f>
        <v>C</v>
      </c>
      <c r="AG69" s="3">
        <v>191</v>
      </c>
      <c r="AH69" s="3" t="str">
        <f>IFERROR(MID(VLOOKUP($B69,Seqs!$A:$B,2,0),AI69,1),"")</f>
        <v>F</v>
      </c>
      <c r="AI69" s="3">
        <v>193</v>
      </c>
      <c r="AJ69" s="3" t="str">
        <f>IFERROR(MID(VLOOKUP($B69,Seqs!$A:$B,2,0),AK69,1),"")</f>
        <v>N</v>
      </c>
      <c r="AK69" s="3">
        <v>196</v>
      </c>
      <c r="AL69" s="3" t="str">
        <f>IFERROR(MID(VLOOKUP($B69,Seqs!$A:$B,2,0),AM69,1),"")</f>
        <v>Q</v>
      </c>
      <c r="AM69" s="3">
        <v>229</v>
      </c>
      <c r="AN69" s="3" t="str">
        <f>IFERROR(MID(VLOOKUP($B69,Seqs!$A:$B,2,0),AO69,1),"")</f>
        <v>L</v>
      </c>
      <c r="AO69" s="3">
        <v>266</v>
      </c>
      <c r="AP69" s="3" t="str">
        <f>IFERROR(MID(VLOOKUP($B69,Seqs!$A:$B,2,0),AQ69,1),"")</f>
        <v>Q</v>
      </c>
      <c r="AQ69" s="3">
        <v>299</v>
      </c>
      <c r="AR69" s="3" t="str">
        <f>IFERROR(MID(VLOOKUP($B69,Seqs!$A:$B,2,0),AS69,1),"")</f>
        <v>R</v>
      </c>
      <c r="AS69" s="3">
        <v>304</v>
      </c>
      <c r="AT69" s="3" t="str">
        <f>IFERROR(MID(VLOOKUP($B69,Seqs!$A:$B,2,0),AU69,1),"")</f>
        <v>R</v>
      </c>
      <c r="AU69" s="3">
        <v>328</v>
      </c>
      <c r="AV69" s="3" t="str">
        <f>IFERROR(MID(VLOOKUP($B69,Seqs!$A:$B,2,0),AW69,1),"")</f>
        <v>S</v>
      </c>
      <c r="AW69" s="3">
        <v>329</v>
      </c>
      <c r="AX69" s="3" t="str">
        <f>IFERROR(MID(VLOOKUP($B69,Seqs!$A:$B,2,0),AY69,1),"")</f>
        <v>C</v>
      </c>
      <c r="AY69" s="3">
        <v>341</v>
      </c>
      <c r="AZ69" s="79" t="str">
        <f>VLOOKUP(B69,Classification!A:D,2,0)</f>
        <v>A</v>
      </c>
      <c r="BA69" s="97" t="str">
        <f>VLOOKUP(B69,Classification!A:D,4,0)</f>
        <v>Adrenoceptors</v>
      </c>
      <c r="BB69" s="27" t="b">
        <f t="shared" si="195"/>
        <v>1</v>
      </c>
      <c r="BC69" s="23">
        <f t="shared" si="196"/>
        <v>245</v>
      </c>
      <c r="BD69" s="5" t="s">
        <v>23</v>
      </c>
      <c r="BE69" s="3" t="s">
        <v>1381</v>
      </c>
      <c r="BF69" s="50" t="s">
        <v>1384</v>
      </c>
      <c r="BG69" s="50" t="s">
        <v>1384</v>
      </c>
      <c r="BH69" s="1"/>
      <c r="BI69" s="72" t="s">
        <v>1293</v>
      </c>
      <c r="BJ69" s="58" t="s">
        <v>1293</v>
      </c>
      <c r="BK69" s="58" t="s">
        <v>1293</v>
      </c>
      <c r="BL69" s="58" t="s">
        <v>1293</v>
      </c>
      <c r="BM69" s="58" t="s">
        <v>1293</v>
      </c>
      <c r="BN69" s="58" t="s">
        <v>1293</v>
      </c>
      <c r="BO69" s="58" t="s">
        <v>1293</v>
      </c>
      <c r="BP69" s="58" t="s">
        <v>1293</v>
      </c>
      <c r="BQ69" s="58" t="s">
        <v>1293</v>
      </c>
      <c r="BR69" s="58" t="s">
        <v>1293</v>
      </c>
      <c r="BS69" s="58" t="s">
        <v>1293</v>
      </c>
      <c r="BT69" s="58" t="s">
        <v>1293</v>
      </c>
      <c r="BU69" s="72">
        <f t="shared" si="197"/>
        <v>29</v>
      </c>
      <c r="BV69" s="73">
        <f t="shared" si="198"/>
        <v>62</v>
      </c>
      <c r="BW69" s="74">
        <f t="shared" si="199"/>
        <v>66</v>
      </c>
      <c r="BX69" s="73">
        <f t="shared" si="200"/>
        <v>98</v>
      </c>
      <c r="BY69" s="74">
        <f t="shared" si="201"/>
        <v>102</v>
      </c>
      <c r="BZ69" s="73" t="str">
        <f t="shared" si="202"/>
        <v>-</v>
      </c>
      <c r="CA69" s="74">
        <f t="shared" si="203"/>
        <v>146</v>
      </c>
      <c r="CB69" s="73">
        <f t="shared" si="204"/>
        <v>191</v>
      </c>
      <c r="CC69" s="74">
        <f t="shared" si="205"/>
        <v>196</v>
      </c>
      <c r="CD69" s="73">
        <f t="shared" si="206"/>
        <v>266</v>
      </c>
      <c r="CE69" s="74">
        <f t="shared" si="207"/>
        <v>304</v>
      </c>
      <c r="CF69" s="73">
        <f t="shared" si="208"/>
        <v>329</v>
      </c>
      <c r="CG69" s="72">
        <f t="shared" si="209"/>
        <v>61</v>
      </c>
      <c r="CH69" s="73">
        <f t="shared" si="210"/>
        <v>65</v>
      </c>
      <c r="CI69" s="74">
        <f t="shared" si="211"/>
        <v>96</v>
      </c>
      <c r="CJ69" s="74">
        <f t="shared" si="212"/>
        <v>101</v>
      </c>
      <c r="CK69" s="74">
        <f t="shared" si="213"/>
        <v>137</v>
      </c>
      <c r="CL69" s="74" t="str">
        <f t="shared" si="214"/>
        <v>-</v>
      </c>
      <c r="CM69" s="74">
        <f t="shared" si="215"/>
        <v>172</v>
      </c>
      <c r="CN69" s="74">
        <f t="shared" si="216"/>
        <v>193</v>
      </c>
      <c r="CO69" s="74">
        <f t="shared" si="217"/>
        <v>229</v>
      </c>
      <c r="CP69" s="74">
        <f t="shared" si="218"/>
        <v>299</v>
      </c>
      <c r="CQ69" s="74">
        <f t="shared" si="219"/>
        <v>328</v>
      </c>
      <c r="CR69" s="74">
        <f t="shared" si="220"/>
        <v>341</v>
      </c>
      <c r="CS69" s="23">
        <f t="shared" si="221"/>
        <v>1</v>
      </c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</row>
    <row r="70" spans="1:1028" ht="17" customHeight="1" x14ac:dyDescent="0.2">
      <c r="A70" s="3" t="str">
        <f t="shared" si="194"/>
        <v>adrb2_human_3SN6</v>
      </c>
      <c r="B70" s="3" t="s">
        <v>126</v>
      </c>
      <c r="C70" s="3" t="s">
        <v>85</v>
      </c>
      <c r="D70" s="3" t="str">
        <f>IFERROR(MID(VLOOKUP($B70,Seqs!$A:$B,2,0),E70,1),"")</f>
        <v>D</v>
      </c>
      <c r="E70" s="3">
        <v>29</v>
      </c>
      <c r="F70" s="3" t="str">
        <f>IFERROR(MID(VLOOKUP($B70,Seqs!$A:$B,2,0),G70,1),"")</f>
        <v>F</v>
      </c>
      <c r="G70" s="3">
        <v>61</v>
      </c>
      <c r="H70" s="3" t="str">
        <f>IFERROR(MID(VLOOKUP($B70,Seqs!$A:$B,2,0),I70,1),"")</f>
        <v>E</v>
      </c>
      <c r="I70" s="23">
        <v>62</v>
      </c>
      <c r="J70" s="3" t="str">
        <f>IFERROR(MID(VLOOKUP($B70,Seqs!$A:$B,2,0),K70,1),"")</f>
        <v>Q</v>
      </c>
      <c r="K70" s="23">
        <v>65</v>
      </c>
      <c r="L70" s="3" t="str">
        <f>IFERROR(MID(VLOOKUP($B70,Seqs!$A:$B,2,0),M70,1),"")</f>
        <v>T</v>
      </c>
      <c r="M70" s="3">
        <v>66</v>
      </c>
      <c r="N70" s="3" t="str">
        <f>IFERROR(MID(VLOOKUP($B70,Seqs!$A:$B,2,0),O70,1),"")</f>
        <v>M</v>
      </c>
      <c r="O70" s="3">
        <v>96</v>
      </c>
      <c r="P70" s="3" t="str">
        <f>IFERROR(MID(VLOOKUP($B70,Seqs!$A:$B,2,0),Q70,1),"")</f>
        <v>M</v>
      </c>
      <c r="Q70" s="3">
        <v>98</v>
      </c>
      <c r="R70" s="3" t="str">
        <f>IFERROR(MID(VLOOKUP($B70,Seqs!$A:$B,2,0),S70,1),"")</f>
        <v>F</v>
      </c>
      <c r="S70" s="3">
        <v>101</v>
      </c>
      <c r="T70" s="3" t="str">
        <f>IFERROR(MID(VLOOKUP($B70,Seqs!$A:$B,2,0),U70,1),"")</f>
        <v>G</v>
      </c>
      <c r="U70" s="3">
        <v>102</v>
      </c>
      <c r="V70" s="3" t="str">
        <f>IFERROR(MID(VLOOKUP($B70,Seqs!$A:$B,2,0),W70,1),"")</f>
        <v>S</v>
      </c>
      <c r="W70" s="3">
        <v>137</v>
      </c>
      <c r="X70" s="3" t="str">
        <f>IFERROR(MID(VLOOKUP($B70,Seqs!$A:$B,2,0),Y70,1),"")</f>
        <v>P</v>
      </c>
      <c r="Y70" s="3">
        <v>138</v>
      </c>
      <c r="Z70" s="3" t="str">
        <f>IFERROR(MID(VLOOKUP($B70,Seqs!$A:$B,2,0),AA70,1),"")</f>
        <v>L</v>
      </c>
      <c r="AA70" s="3">
        <v>145</v>
      </c>
      <c r="AB70" s="3" t="str">
        <f>IFERROR(MID(VLOOKUP($B70,Seqs!$A:$B,2,0),AC70,1),"")</f>
        <v>T</v>
      </c>
      <c r="AC70" s="9">
        <v>146</v>
      </c>
      <c r="AD70" s="3" t="str">
        <f>IFERROR(MID(VLOOKUP($B70,Seqs!$A:$B,2,0),AE70,1),"")</f>
        <v>H</v>
      </c>
      <c r="AE70" s="3">
        <v>172</v>
      </c>
      <c r="AF70" s="3" t="str">
        <f>IFERROR(MID(VLOOKUP($B70,Seqs!$A:$B,2,0),AG70,1),"")</f>
        <v>C</v>
      </c>
      <c r="AG70" s="3">
        <v>191</v>
      </c>
      <c r="AH70" s="3" t="str">
        <f>IFERROR(MID(VLOOKUP($B70,Seqs!$A:$B,2,0),AI70,1),"")</f>
        <v>F</v>
      </c>
      <c r="AI70" s="3">
        <v>193</v>
      </c>
      <c r="AJ70" s="3" t="str">
        <f>IFERROR(MID(VLOOKUP($B70,Seqs!$A:$B,2,0),AK70,1),"")</f>
        <v>N</v>
      </c>
      <c r="AK70" s="3">
        <v>196</v>
      </c>
      <c r="AL70" s="3" t="str">
        <f>IFERROR(MID(VLOOKUP($B70,Seqs!$A:$B,2,0),AM70,1),"")</f>
        <v>E</v>
      </c>
      <c r="AM70" s="3">
        <v>237</v>
      </c>
      <c r="AN70" s="3" t="str">
        <f>IFERROR(MID(VLOOKUP($B70,Seqs!$A:$B,2,0),AO70,1),"")</f>
        <v>C</v>
      </c>
      <c r="AO70" s="3">
        <v>265</v>
      </c>
      <c r="AP70" s="3" t="str">
        <f>IFERROR(MID(VLOOKUP($B70,Seqs!$A:$B,2,0),AQ70,1),"")</f>
        <v>Q</v>
      </c>
      <c r="AQ70" s="3">
        <v>299</v>
      </c>
      <c r="AR70" s="3" t="str">
        <f>IFERROR(MID(VLOOKUP($B70,Seqs!$A:$B,2,0),AS70,1),"")</f>
        <v>R</v>
      </c>
      <c r="AS70" s="3">
        <v>304</v>
      </c>
      <c r="AT70" s="3" t="str">
        <f>IFERROR(MID(VLOOKUP($B70,Seqs!$A:$B,2,0),AU70,1),"")</f>
        <v>R</v>
      </c>
      <c r="AU70" s="3">
        <v>328</v>
      </c>
      <c r="AV70" s="3" t="str">
        <f>IFERROR(MID(VLOOKUP($B70,Seqs!$A:$B,2,0),AW70,1),"")</f>
        <v>S</v>
      </c>
      <c r="AW70" s="3">
        <v>329</v>
      </c>
      <c r="AX70" s="3" t="str">
        <f>IFERROR(MID(VLOOKUP($B70,Seqs!$A:$B,2,0),AY70,1),"")</f>
        <v>C</v>
      </c>
      <c r="AY70" s="3">
        <v>341</v>
      </c>
      <c r="AZ70" s="79" t="str">
        <f>VLOOKUP(B70,Classification!A:D,2,0)</f>
        <v>A</v>
      </c>
      <c r="BA70" s="97" t="str">
        <f>VLOOKUP(B70,Classification!A:D,4,0)</f>
        <v>Adrenoceptors</v>
      </c>
      <c r="BB70" s="27" t="b">
        <f t="shared" si="195"/>
        <v>1</v>
      </c>
      <c r="BC70" s="23">
        <f t="shared" si="196"/>
        <v>261</v>
      </c>
      <c r="BD70" s="4" t="s">
        <v>1382</v>
      </c>
      <c r="BE70" s="3" t="s">
        <v>1297</v>
      </c>
      <c r="BF70" s="50" t="s">
        <v>1384</v>
      </c>
      <c r="BG70" s="50" t="s">
        <v>1384</v>
      </c>
      <c r="BH70" s="1"/>
      <c r="BI70" s="72" t="s">
        <v>1293</v>
      </c>
      <c r="BJ70" s="58" t="s">
        <v>1293</v>
      </c>
      <c r="BK70" s="58" t="s">
        <v>1293</v>
      </c>
      <c r="BL70" s="58" t="s">
        <v>1293</v>
      </c>
      <c r="BM70" s="58" t="s">
        <v>1293</v>
      </c>
      <c r="BN70" s="58" t="s">
        <v>1293</v>
      </c>
      <c r="BO70" s="58" t="s">
        <v>1293</v>
      </c>
      <c r="BP70" s="58" t="s">
        <v>1293</v>
      </c>
      <c r="BQ70" s="58" t="s">
        <v>1293</v>
      </c>
      <c r="BR70" s="58" t="s">
        <v>1293</v>
      </c>
      <c r="BS70" s="58" t="s">
        <v>1293</v>
      </c>
      <c r="BT70" s="58" t="s">
        <v>1293</v>
      </c>
      <c r="BU70" s="72">
        <f t="shared" si="197"/>
        <v>29</v>
      </c>
      <c r="BV70" s="73">
        <f t="shared" si="198"/>
        <v>62</v>
      </c>
      <c r="BW70" s="74">
        <f t="shared" si="199"/>
        <v>66</v>
      </c>
      <c r="BX70" s="73">
        <f t="shared" si="200"/>
        <v>98</v>
      </c>
      <c r="BY70" s="74">
        <f t="shared" si="201"/>
        <v>102</v>
      </c>
      <c r="BZ70" s="73">
        <f t="shared" si="202"/>
        <v>138</v>
      </c>
      <c r="CA70" s="74">
        <f t="shared" si="203"/>
        <v>146</v>
      </c>
      <c r="CB70" s="73">
        <f t="shared" si="204"/>
        <v>191</v>
      </c>
      <c r="CC70" s="74">
        <f t="shared" si="205"/>
        <v>196</v>
      </c>
      <c r="CD70" s="73">
        <f t="shared" si="206"/>
        <v>265</v>
      </c>
      <c r="CE70" s="74">
        <f t="shared" si="207"/>
        <v>304</v>
      </c>
      <c r="CF70" s="73">
        <f t="shared" si="208"/>
        <v>329</v>
      </c>
      <c r="CG70" s="72">
        <f t="shared" si="209"/>
        <v>61</v>
      </c>
      <c r="CH70" s="73">
        <f t="shared" si="210"/>
        <v>65</v>
      </c>
      <c r="CI70" s="74">
        <f t="shared" si="211"/>
        <v>96</v>
      </c>
      <c r="CJ70" s="74">
        <f t="shared" si="212"/>
        <v>101</v>
      </c>
      <c r="CK70" s="74">
        <f t="shared" si="213"/>
        <v>137</v>
      </c>
      <c r="CL70" s="74">
        <f t="shared" si="214"/>
        <v>145</v>
      </c>
      <c r="CM70" s="74">
        <f t="shared" si="215"/>
        <v>172</v>
      </c>
      <c r="CN70" s="74">
        <f t="shared" si="216"/>
        <v>193</v>
      </c>
      <c r="CO70" s="74">
        <f t="shared" si="217"/>
        <v>237</v>
      </c>
      <c r="CP70" s="74">
        <f t="shared" si="218"/>
        <v>299</v>
      </c>
      <c r="CQ70" s="74">
        <f t="shared" si="219"/>
        <v>328</v>
      </c>
      <c r="CR70" s="74">
        <f t="shared" si="220"/>
        <v>341</v>
      </c>
      <c r="CS70" s="23">
        <f t="shared" si="221"/>
        <v>1</v>
      </c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</row>
    <row r="71" spans="1:1028" x14ac:dyDescent="0.2">
      <c r="A71" s="3" t="str">
        <f t="shared" ref="A71:A114" si="222">CONCATENATE(B71,"_",C71)</f>
        <v>adrb2_human_4LDE</v>
      </c>
      <c r="B71" s="3" t="s">
        <v>126</v>
      </c>
      <c r="C71" s="3" t="s">
        <v>77</v>
      </c>
      <c r="D71" s="3" t="str">
        <f>IFERROR(MID(VLOOKUP($B71,Seqs!$A:$B,2,0),E71,1),"")</f>
        <v>D</v>
      </c>
      <c r="E71" s="3">
        <v>29</v>
      </c>
      <c r="F71" s="3" t="str">
        <f>IFERROR(MID(VLOOKUP($B71,Seqs!$A:$B,2,0),G71,1),"")</f>
        <v>F</v>
      </c>
      <c r="G71" s="3">
        <v>61</v>
      </c>
      <c r="H71" s="3" t="str">
        <f>IFERROR(MID(VLOOKUP($B71,Seqs!$A:$B,2,0),I71,1),"")</f>
        <v>E</v>
      </c>
      <c r="I71" s="23">
        <v>62</v>
      </c>
      <c r="J71" s="3" t="str">
        <f>IFERROR(MID(VLOOKUP($B71,Seqs!$A:$B,2,0),K71,1),"")</f>
        <v>Q</v>
      </c>
      <c r="K71" s="23">
        <v>65</v>
      </c>
      <c r="L71" s="3" t="str">
        <f>IFERROR(MID(VLOOKUP($B71,Seqs!$A:$B,2,0),M71,1),"")</f>
        <v>T</v>
      </c>
      <c r="M71" s="3">
        <v>66</v>
      </c>
      <c r="N71" s="3" t="str">
        <f>IFERROR(MID(VLOOKUP($B71,Seqs!$A:$B,2,0),O71,1),"")</f>
        <v>M</v>
      </c>
      <c r="O71" s="3">
        <v>96</v>
      </c>
      <c r="P71" s="3" t="str">
        <f>IFERROR(MID(VLOOKUP($B71,Seqs!$A:$B,2,0),Q71,1),"")</f>
        <v>M</v>
      </c>
      <c r="Q71" s="3">
        <v>98</v>
      </c>
      <c r="R71" s="3" t="str">
        <f>IFERROR(MID(VLOOKUP($B71,Seqs!$A:$B,2,0),S71,1),"")</f>
        <v>F</v>
      </c>
      <c r="S71" s="3">
        <v>101</v>
      </c>
      <c r="T71" s="3" t="str">
        <f>IFERROR(MID(VLOOKUP($B71,Seqs!$A:$B,2,0),U71,1),"")</f>
        <v>G</v>
      </c>
      <c r="U71" s="3">
        <v>102</v>
      </c>
      <c r="V71" s="3" t="str">
        <f>IFERROR(MID(VLOOKUP($B71,Seqs!$A:$B,2,0),W71,1),"")</f>
        <v>S</v>
      </c>
      <c r="W71" s="3">
        <v>137</v>
      </c>
      <c r="X71" s="3" t="str">
        <f>IFERROR(MID(VLOOKUP($B71,Seqs!$A:$B,2,0),Y71,1),"")</f>
        <v>P</v>
      </c>
      <c r="Y71" s="3">
        <v>138</v>
      </c>
      <c r="Z71" s="3" t="str">
        <f>IFERROR(MID(VLOOKUP($B71,Seqs!$A:$B,2,0),AA71,1),"")</f>
        <v>L</v>
      </c>
      <c r="AA71" s="3">
        <v>145</v>
      </c>
      <c r="AB71" s="3" t="str">
        <f>IFERROR(MID(VLOOKUP($B71,Seqs!$A:$B,2,0),AC71,1),"")</f>
        <v>T</v>
      </c>
      <c r="AC71" s="9">
        <v>146</v>
      </c>
      <c r="AD71" s="3" t="str">
        <f>IFERROR(MID(VLOOKUP($B71,Seqs!$A:$B,2,0),AE71,1),"")</f>
        <v>H</v>
      </c>
      <c r="AE71" s="3">
        <v>172</v>
      </c>
      <c r="AF71" s="3" t="str">
        <f>IFERROR(MID(VLOOKUP($B71,Seqs!$A:$B,2,0),AG71,1),"")</f>
        <v>C</v>
      </c>
      <c r="AG71" s="3">
        <v>191</v>
      </c>
      <c r="AH71" s="3" t="str">
        <f>IFERROR(MID(VLOOKUP($B71,Seqs!$A:$B,2,0),AI71,1),"")</f>
        <v>F</v>
      </c>
      <c r="AI71" s="3">
        <v>193</v>
      </c>
      <c r="AJ71" s="3" t="str">
        <f>IFERROR(MID(VLOOKUP($B71,Seqs!$A:$B,2,0),AK71,1),"")</f>
        <v>N</v>
      </c>
      <c r="AK71" s="3">
        <v>196</v>
      </c>
      <c r="AL71" s="3" t="str">
        <f>IFERROR(MID(VLOOKUP($B71,Seqs!$A:$B,2,0),AM71,1),"")</f>
        <v>E</v>
      </c>
      <c r="AM71" s="3">
        <v>225</v>
      </c>
      <c r="AN71" s="3" t="str">
        <f>IFERROR(MID(VLOOKUP($B71,Seqs!$A:$B,2,0),AO71,1),"")</f>
        <v>L</v>
      </c>
      <c r="AO71" s="3">
        <v>266</v>
      </c>
      <c r="AP71" s="3" t="str">
        <f>IFERROR(MID(VLOOKUP($B71,Seqs!$A:$B,2,0),AQ71,1),"")</f>
        <v>Q</v>
      </c>
      <c r="AQ71" s="3">
        <v>299</v>
      </c>
      <c r="AR71" s="3" t="str">
        <f>IFERROR(MID(VLOOKUP($B71,Seqs!$A:$B,2,0),AS71,1),"")</f>
        <v>R</v>
      </c>
      <c r="AS71" s="3">
        <v>304</v>
      </c>
      <c r="AT71" s="3" t="str">
        <f>IFERROR(MID(VLOOKUP($B71,Seqs!$A:$B,2,0),AU71,1),"")</f>
        <v>R</v>
      </c>
      <c r="AU71" s="3">
        <v>328</v>
      </c>
      <c r="AV71" s="3" t="str">
        <f>IFERROR(MID(VLOOKUP($B71,Seqs!$A:$B,2,0),AW71,1),"")</f>
        <v>S</v>
      </c>
      <c r="AW71" s="3">
        <v>329</v>
      </c>
      <c r="AX71" s="3" t="str">
        <f>IFERROR(MID(VLOOKUP($B71,Seqs!$A:$B,2,0),AY71,1),"")</f>
        <v>C</v>
      </c>
      <c r="AY71" s="3">
        <v>341</v>
      </c>
      <c r="AZ71" s="79" t="str">
        <f>VLOOKUP(B71,Classification!A:D,2,0)</f>
        <v>A</v>
      </c>
      <c r="BA71" s="97" t="str">
        <f>VLOOKUP(B71,Classification!A:D,4,0)</f>
        <v>Adrenoceptors</v>
      </c>
      <c r="BB71" s="27" t="b">
        <f t="shared" ref="BB71:BB114" si="223">AND(E71&lt;G71,OR(G71&lt;I71,I71="-"),OR(I71&lt;K71,I71="-"),OR(K71&lt;M71,K71="-"),M71&lt;O71,OR(O71&lt;Q71,Q71="-"),OR(Q71&lt;S71,Q71="-"),OR(S71&lt;U71,S71="-"),U71&lt;W71,OR(W71&lt;Y71,Y71="-"),OR(Y71&lt;AA71,Y71="-"),OR(AA71&lt;AC71,AA71="-"),AC71&lt;AE71,OR(AE71&lt;AG71,AG71="-"),OR(AG71&lt;AI71,AG71="-"),OR(AI71&lt;AK71,AI71="-"),AK71&lt;AM71,AM71&lt;AO71,AO71&lt;AQ71,AQ71&lt;AS71,AS71&lt;AU71,OR(AU71&lt;AW71,AW71="-"),OR(AW71&lt;AY71,AW71="-"))</f>
        <v>1</v>
      </c>
      <c r="BC71" s="23">
        <f t="shared" si="196"/>
        <v>248</v>
      </c>
      <c r="BD71" s="4" t="s">
        <v>23</v>
      </c>
      <c r="BE71" s="3" t="s">
        <v>1297</v>
      </c>
      <c r="BF71" s="50" t="s">
        <v>1384</v>
      </c>
      <c r="BG71" s="50" t="s">
        <v>1384</v>
      </c>
      <c r="BH71" s="1"/>
      <c r="BI71" s="72" t="s">
        <v>1293</v>
      </c>
      <c r="BJ71" s="58" t="s">
        <v>1293</v>
      </c>
      <c r="BK71" s="58" t="s">
        <v>1293</v>
      </c>
      <c r="BL71" s="58" t="s">
        <v>1293</v>
      </c>
      <c r="BM71" s="58" t="s">
        <v>1293</v>
      </c>
      <c r="BN71" s="58" t="s">
        <v>1293</v>
      </c>
      <c r="BO71" s="58" t="s">
        <v>1293</v>
      </c>
      <c r="BP71" s="58" t="s">
        <v>1293</v>
      </c>
      <c r="BQ71" s="58" t="s">
        <v>1293</v>
      </c>
      <c r="BR71" s="58" t="s">
        <v>1293</v>
      </c>
      <c r="BS71" s="58" t="s">
        <v>1293</v>
      </c>
      <c r="BT71" s="58" t="s">
        <v>1293</v>
      </c>
      <c r="BU71" s="72">
        <f t="shared" si="197"/>
        <v>29</v>
      </c>
      <c r="BV71" s="73">
        <f t="shared" si="198"/>
        <v>62</v>
      </c>
      <c r="BW71" s="74">
        <f t="shared" si="199"/>
        <v>66</v>
      </c>
      <c r="BX71" s="73">
        <f t="shared" si="200"/>
        <v>98</v>
      </c>
      <c r="BY71" s="74">
        <f t="shared" si="201"/>
        <v>102</v>
      </c>
      <c r="BZ71" s="73">
        <f t="shared" si="202"/>
        <v>138</v>
      </c>
      <c r="CA71" s="74">
        <f t="shared" si="203"/>
        <v>146</v>
      </c>
      <c r="CB71" s="73">
        <f t="shared" si="204"/>
        <v>191</v>
      </c>
      <c r="CC71" s="74">
        <f t="shared" si="205"/>
        <v>196</v>
      </c>
      <c r="CD71" s="73">
        <f t="shared" si="206"/>
        <v>266</v>
      </c>
      <c r="CE71" s="74">
        <f t="shared" si="207"/>
        <v>304</v>
      </c>
      <c r="CF71" s="73">
        <f t="shared" si="208"/>
        <v>329</v>
      </c>
      <c r="CG71" s="72">
        <f t="shared" si="209"/>
        <v>61</v>
      </c>
      <c r="CH71" s="73">
        <f t="shared" si="210"/>
        <v>65</v>
      </c>
      <c r="CI71" s="74">
        <f t="shared" si="211"/>
        <v>96</v>
      </c>
      <c r="CJ71" s="74">
        <f t="shared" si="212"/>
        <v>101</v>
      </c>
      <c r="CK71" s="74">
        <f t="shared" si="213"/>
        <v>137</v>
      </c>
      <c r="CL71" s="74">
        <f t="shared" si="214"/>
        <v>145</v>
      </c>
      <c r="CM71" s="74">
        <f t="shared" si="215"/>
        <v>172</v>
      </c>
      <c r="CN71" s="74">
        <f t="shared" si="216"/>
        <v>193</v>
      </c>
      <c r="CO71" s="74">
        <f t="shared" si="217"/>
        <v>225</v>
      </c>
      <c r="CP71" s="74">
        <f t="shared" si="218"/>
        <v>299</v>
      </c>
      <c r="CQ71" s="74">
        <f t="shared" si="219"/>
        <v>328</v>
      </c>
      <c r="CR71" s="74">
        <f t="shared" si="220"/>
        <v>341</v>
      </c>
      <c r="CS71" s="23">
        <f t="shared" si="221"/>
        <v>1</v>
      </c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</row>
    <row r="72" spans="1:1028" x14ac:dyDescent="0.2">
      <c r="A72" s="3" t="str">
        <f t="shared" si="222"/>
        <v>adrb2_human_4LDL</v>
      </c>
      <c r="B72" s="3" t="s">
        <v>126</v>
      </c>
      <c r="C72" s="3" t="s">
        <v>1045</v>
      </c>
      <c r="D72" s="3" t="str">
        <f>IFERROR(MID(VLOOKUP($B72,Seqs!$A:$B,2,0),E72,1),"")</f>
        <v>D</v>
      </c>
      <c r="E72" s="3">
        <v>29</v>
      </c>
      <c r="F72" s="3" t="str">
        <f>IFERROR(MID(VLOOKUP($B72,Seqs!$A:$B,2,0),G72,1),"")</f>
        <v>F</v>
      </c>
      <c r="G72" s="3">
        <v>61</v>
      </c>
      <c r="H72" s="3" t="str">
        <f>IFERROR(MID(VLOOKUP($B72,Seqs!$A:$B,2,0),I72,1),"")</f>
        <v>E</v>
      </c>
      <c r="I72" s="23">
        <v>62</v>
      </c>
      <c r="J72" s="3" t="str">
        <f>IFERROR(MID(VLOOKUP($B72,Seqs!$A:$B,2,0),K72,1),"")</f>
        <v>Q</v>
      </c>
      <c r="K72" s="23">
        <v>65</v>
      </c>
      <c r="L72" s="3" t="str">
        <f>IFERROR(MID(VLOOKUP($B72,Seqs!$A:$B,2,0),M72,1),"")</f>
        <v>T</v>
      </c>
      <c r="M72" s="3">
        <v>66</v>
      </c>
      <c r="N72" s="3" t="str">
        <f>IFERROR(MID(VLOOKUP($B72,Seqs!$A:$B,2,0),O72,1),"")</f>
        <v>M</v>
      </c>
      <c r="O72" s="3">
        <v>96</v>
      </c>
      <c r="P72" s="3" t="str">
        <f>IFERROR(MID(VLOOKUP($B72,Seqs!$A:$B,2,0),Q72,1),"")</f>
        <v>M</v>
      </c>
      <c r="Q72" s="3">
        <v>98</v>
      </c>
      <c r="R72" s="3" t="str">
        <f>IFERROR(MID(VLOOKUP($B72,Seqs!$A:$B,2,0),S72,1),"")</f>
        <v>F</v>
      </c>
      <c r="S72" s="3">
        <v>101</v>
      </c>
      <c r="T72" s="3" t="str">
        <f>IFERROR(MID(VLOOKUP($B72,Seqs!$A:$B,2,0),U72,1),"")</f>
        <v>G</v>
      </c>
      <c r="U72" s="3">
        <v>102</v>
      </c>
      <c r="V72" s="3" t="str">
        <f>IFERROR(MID(VLOOKUP($B72,Seqs!$A:$B,2,0),W72,1),"")</f>
        <v>S</v>
      </c>
      <c r="W72" s="3">
        <v>137</v>
      </c>
      <c r="X72" s="3" t="str">
        <f>IFERROR(MID(VLOOKUP($B72,Seqs!$A:$B,2,0),Y72,1),"")</f>
        <v>P</v>
      </c>
      <c r="Y72" s="3">
        <v>138</v>
      </c>
      <c r="Z72" s="3" t="str">
        <f>IFERROR(MID(VLOOKUP($B72,Seqs!$A:$B,2,0),AA72,1),"")</f>
        <v>L</v>
      </c>
      <c r="AA72" s="3">
        <v>145</v>
      </c>
      <c r="AB72" s="3" t="str">
        <f>IFERROR(MID(VLOOKUP($B72,Seqs!$A:$B,2,0),AC72,1),"")</f>
        <v>T</v>
      </c>
      <c r="AC72" s="9">
        <v>146</v>
      </c>
      <c r="AD72" s="3" t="str">
        <f>IFERROR(MID(VLOOKUP($B72,Seqs!$A:$B,2,0),AE72,1),"")</f>
        <v>H</v>
      </c>
      <c r="AE72" s="3">
        <v>172</v>
      </c>
      <c r="AF72" s="3" t="str">
        <f>IFERROR(MID(VLOOKUP($B72,Seqs!$A:$B,2,0),AG72,1),"")</f>
        <v>C</v>
      </c>
      <c r="AG72" s="3">
        <v>191</v>
      </c>
      <c r="AH72" s="3" t="str">
        <f>IFERROR(MID(VLOOKUP($B72,Seqs!$A:$B,2,0),AI72,1),"")</f>
        <v>F</v>
      </c>
      <c r="AI72" s="3">
        <v>193</v>
      </c>
      <c r="AJ72" s="3" t="str">
        <f>IFERROR(MID(VLOOKUP($B72,Seqs!$A:$B,2,0),AK72,1),"")</f>
        <v>N</v>
      </c>
      <c r="AK72" s="3">
        <v>196</v>
      </c>
      <c r="AL72" s="3" t="str">
        <f>IFERROR(MID(VLOOKUP($B72,Seqs!$A:$B,2,0),AM72,1),"")</f>
        <v>E</v>
      </c>
      <c r="AM72" s="3">
        <v>225</v>
      </c>
      <c r="AN72" s="3" t="str">
        <f>IFERROR(MID(VLOOKUP($B72,Seqs!$A:$B,2,0),AO72,1),"")</f>
        <v>L</v>
      </c>
      <c r="AO72" s="3">
        <v>266</v>
      </c>
      <c r="AP72" s="3" t="str">
        <f>IFERROR(MID(VLOOKUP($B72,Seqs!$A:$B,2,0),AQ72,1),"")</f>
        <v>Q</v>
      </c>
      <c r="AQ72" s="3">
        <v>299</v>
      </c>
      <c r="AR72" s="3" t="str">
        <f>IFERROR(MID(VLOOKUP($B72,Seqs!$A:$B,2,0),AS72,1),"")</f>
        <v>R</v>
      </c>
      <c r="AS72" s="3">
        <v>304</v>
      </c>
      <c r="AT72" s="3" t="str">
        <f>IFERROR(MID(VLOOKUP($B72,Seqs!$A:$B,2,0),AU72,1),"")</f>
        <v>R</v>
      </c>
      <c r="AU72" s="3">
        <v>328</v>
      </c>
      <c r="AV72" s="3" t="str">
        <f>IFERROR(MID(VLOOKUP($B72,Seqs!$A:$B,2,0),AW72,1),"")</f>
        <v>S</v>
      </c>
      <c r="AW72" s="3">
        <v>329</v>
      </c>
      <c r="AX72" s="3" t="str">
        <f>IFERROR(MID(VLOOKUP($B72,Seqs!$A:$B,2,0),AY72,1),"")</f>
        <v>C</v>
      </c>
      <c r="AY72" s="3">
        <v>341</v>
      </c>
      <c r="AZ72" s="79" t="str">
        <f>VLOOKUP(B72,Classification!A:D,2,0)</f>
        <v>A</v>
      </c>
      <c r="BA72" s="97" t="str">
        <f>VLOOKUP(B72,Classification!A:D,4,0)</f>
        <v>Adrenoceptors</v>
      </c>
      <c r="BB72" s="27" t="b">
        <f t="shared" si="223"/>
        <v>1</v>
      </c>
      <c r="BC72" s="23">
        <f t="shared" si="196"/>
        <v>248</v>
      </c>
      <c r="BD72" s="4" t="s">
        <v>23</v>
      </c>
      <c r="BE72" s="3" t="s">
        <v>1297</v>
      </c>
      <c r="BF72" s="50" t="s">
        <v>1384</v>
      </c>
      <c r="BG72" s="50" t="s">
        <v>1384</v>
      </c>
      <c r="BH72" s="1"/>
      <c r="BI72" s="72" t="s">
        <v>1293</v>
      </c>
      <c r="BJ72" s="58" t="s">
        <v>1293</v>
      </c>
      <c r="BK72" s="58" t="s">
        <v>1293</v>
      </c>
      <c r="BL72" s="58" t="s">
        <v>1293</v>
      </c>
      <c r="BM72" s="58" t="s">
        <v>1293</v>
      </c>
      <c r="BN72" s="58" t="s">
        <v>1293</v>
      </c>
      <c r="BO72" s="58" t="s">
        <v>1293</v>
      </c>
      <c r="BP72" s="58" t="s">
        <v>1293</v>
      </c>
      <c r="BQ72" s="58" t="s">
        <v>1293</v>
      </c>
      <c r="BR72" s="58" t="s">
        <v>1293</v>
      </c>
      <c r="BS72" s="58" t="s">
        <v>1293</v>
      </c>
      <c r="BT72" s="58" t="s">
        <v>1293</v>
      </c>
      <c r="BU72" s="72">
        <f t="shared" si="197"/>
        <v>29</v>
      </c>
      <c r="BV72" s="73">
        <f t="shared" si="198"/>
        <v>62</v>
      </c>
      <c r="BW72" s="74">
        <f t="shared" si="199"/>
        <v>66</v>
      </c>
      <c r="BX72" s="73">
        <f t="shared" si="200"/>
        <v>98</v>
      </c>
      <c r="BY72" s="74">
        <f t="shared" si="201"/>
        <v>102</v>
      </c>
      <c r="BZ72" s="73">
        <f t="shared" si="202"/>
        <v>138</v>
      </c>
      <c r="CA72" s="74">
        <f t="shared" si="203"/>
        <v>146</v>
      </c>
      <c r="CB72" s="73">
        <f t="shared" si="204"/>
        <v>191</v>
      </c>
      <c r="CC72" s="74">
        <f t="shared" si="205"/>
        <v>196</v>
      </c>
      <c r="CD72" s="73">
        <f t="shared" si="206"/>
        <v>266</v>
      </c>
      <c r="CE72" s="74">
        <f t="shared" si="207"/>
        <v>304</v>
      </c>
      <c r="CF72" s="73">
        <f t="shared" si="208"/>
        <v>329</v>
      </c>
      <c r="CG72" s="72">
        <f t="shared" si="209"/>
        <v>61</v>
      </c>
      <c r="CH72" s="73">
        <f t="shared" si="210"/>
        <v>65</v>
      </c>
      <c r="CI72" s="74">
        <f t="shared" si="211"/>
        <v>96</v>
      </c>
      <c r="CJ72" s="74">
        <f t="shared" si="212"/>
        <v>101</v>
      </c>
      <c r="CK72" s="74">
        <f t="shared" si="213"/>
        <v>137</v>
      </c>
      <c r="CL72" s="74">
        <f t="shared" si="214"/>
        <v>145</v>
      </c>
      <c r="CM72" s="74">
        <f t="shared" si="215"/>
        <v>172</v>
      </c>
      <c r="CN72" s="74">
        <f t="shared" si="216"/>
        <v>193</v>
      </c>
      <c r="CO72" s="74">
        <f t="shared" si="217"/>
        <v>225</v>
      </c>
      <c r="CP72" s="74">
        <f t="shared" si="218"/>
        <v>299</v>
      </c>
      <c r="CQ72" s="74">
        <f t="shared" si="219"/>
        <v>328</v>
      </c>
      <c r="CR72" s="74">
        <f t="shared" si="220"/>
        <v>341</v>
      </c>
      <c r="CS72" s="23">
        <f t="shared" si="221"/>
        <v>1</v>
      </c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</row>
    <row r="73" spans="1:1028" ht="17" customHeight="1" x14ac:dyDescent="0.2">
      <c r="A73" s="3" t="str">
        <f t="shared" si="222"/>
        <v>adrb2_human_4LDO</v>
      </c>
      <c r="B73" s="3" t="s">
        <v>126</v>
      </c>
      <c r="C73" s="3" t="s">
        <v>1046</v>
      </c>
      <c r="D73" s="3" t="str">
        <f>IFERROR(MID(VLOOKUP($B73,Seqs!$A:$B,2,0),E73,1),"")</f>
        <v>D</v>
      </c>
      <c r="E73" s="3">
        <v>29</v>
      </c>
      <c r="F73" s="3" t="str">
        <f>IFERROR(MID(VLOOKUP($B73,Seqs!$A:$B,2,0),G73,1),"")</f>
        <v>F</v>
      </c>
      <c r="G73" s="3">
        <v>61</v>
      </c>
      <c r="H73" s="3" t="str">
        <f>IFERROR(MID(VLOOKUP($B73,Seqs!$A:$B,2,0),I73,1),"")</f>
        <v>E</v>
      </c>
      <c r="I73" s="23">
        <v>62</v>
      </c>
      <c r="J73" s="3" t="str">
        <f>IFERROR(MID(VLOOKUP($B73,Seqs!$A:$B,2,0),K73,1),"")</f>
        <v>Q</v>
      </c>
      <c r="K73" s="23">
        <v>65</v>
      </c>
      <c r="L73" s="3" t="str">
        <f>IFERROR(MID(VLOOKUP($B73,Seqs!$A:$B,2,0),M73,1),"")</f>
        <v>T</v>
      </c>
      <c r="M73" s="3">
        <v>66</v>
      </c>
      <c r="N73" s="3" t="str">
        <f>IFERROR(MID(VLOOKUP($B73,Seqs!$A:$B,2,0),O73,1),"")</f>
        <v>M</v>
      </c>
      <c r="O73" s="3">
        <v>96</v>
      </c>
      <c r="P73" s="3" t="str">
        <f>IFERROR(MID(VLOOKUP($B73,Seqs!$A:$B,2,0),Q73,1),"")</f>
        <v>M</v>
      </c>
      <c r="Q73" s="3">
        <v>98</v>
      </c>
      <c r="R73" s="3" t="str">
        <f>IFERROR(MID(VLOOKUP($B73,Seqs!$A:$B,2,0),S73,1),"")</f>
        <v>F</v>
      </c>
      <c r="S73" s="3">
        <v>101</v>
      </c>
      <c r="T73" s="3" t="str">
        <f>IFERROR(MID(VLOOKUP($B73,Seqs!$A:$B,2,0),U73,1),"")</f>
        <v>G</v>
      </c>
      <c r="U73" s="3">
        <v>102</v>
      </c>
      <c r="V73" s="3" t="str">
        <f>IFERROR(MID(VLOOKUP($B73,Seqs!$A:$B,2,0),W73,1),"")</f>
        <v>S</v>
      </c>
      <c r="W73" s="3">
        <v>137</v>
      </c>
      <c r="X73" s="3" t="str">
        <f>IFERROR(MID(VLOOKUP($B73,Seqs!$A:$B,2,0),Y73,1),"")</f>
        <v>P</v>
      </c>
      <c r="Y73" s="3">
        <v>138</v>
      </c>
      <c r="Z73" s="3" t="str">
        <f>IFERROR(MID(VLOOKUP($B73,Seqs!$A:$B,2,0),AA73,1),"")</f>
        <v>L</v>
      </c>
      <c r="AA73" s="3">
        <v>145</v>
      </c>
      <c r="AB73" s="3" t="str">
        <f>IFERROR(MID(VLOOKUP($B73,Seqs!$A:$B,2,0),AC73,1),"")</f>
        <v>T</v>
      </c>
      <c r="AC73" s="9">
        <v>146</v>
      </c>
      <c r="AD73" s="3" t="str">
        <f>IFERROR(MID(VLOOKUP($B73,Seqs!$A:$B,2,0),AE73,1),"")</f>
        <v>H</v>
      </c>
      <c r="AE73" s="3">
        <v>172</v>
      </c>
      <c r="AF73" s="3" t="str">
        <f>IFERROR(MID(VLOOKUP($B73,Seqs!$A:$B,2,0),AG73,1),"")</f>
        <v>C</v>
      </c>
      <c r="AG73" s="3">
        <v>191</v>
      </c>
      <c r="AH73" s="3" t="str">
        <f>IFERROR(MID(VLOOKUP($B73,Seqs!$A:$B,2,0),AI73,1),"")</f>
        <v>F</v>
      </c>
      <c r="AI73" s="3">
        <v>193</v>
      </c>
      <c r="AJ73" s="3" t="str">
        <f>IFERROR(MID(VLOOKUP($B73,Seqs!$A:$B,2,0),AK73,1),"")</f>
        <v>N</v>
      </c>
      <c r="AK73" s="3">
        <v>196</v>
      </c>
      <c r="AL73" s="3" t="str">
        <f>IFERROR(MID(VLOOKUP($B73,Seqs!$A:$B,2,0),AM73,1),"")</f>
        <v>E</v>
      </c>
      <c r="AM73" s="3">
        <v>225</v>
      </c>
      <c r="AN73" s="3" t="str">
        <f>IFERROR(MID(VLOOKUP($B73,Seqs!$A:$B,2,0),AO73,1),"")</f>
        <v>L</v>
      </c>
      <c r="AO73" s="3">
        <v>266</v>
      </c>
      <c r="AP73" s="3" t="str">
        <f>IFERROR(MID(VLOOKUP($B73,Seqs!$A:$B,2,0),AQ73,1),"")</f>
        <v>Q</v>
      </c>
      <c r="AQ73" s="3">
        <v>299</v>
      </c>
      <c r="AR73" s="3" t="str">
        <f>IFERROR(MID(VLOOKUP($B73,Seqs!$A:$B,2,0),AS73,1),"")</f>
        <v>R</v>
      </c>
      <c r="AS73" s="3">
        <v>304</v>
      </c>
      <c r="AT73" s="3" t="str">
        <f>IFERROR(MID(VLOOKUP($B73,Seqs!$A:$B,2,0),AU73,1),"")</f>
        <v>R</v>
      </c>
      <c r="AU73" s="3">
        <v>328</v>
      </c>
      <c r="AV73" s="3" t="str">
        <f>IFERROR(MID(VLOOKUP($B73,Seqs!$A:$B,2,0),AW73,1),"")</f>
        <v>S</v>
      </c>
      <c r="AW73" s="3">
        <v>329</v>
      </c>
      <c r="AX73" s="3" t="str">
        <f>IFERROR(MID(VLOOKUP($B73,Seqs!$A:$B,2,0),AY73,1),"")</f>
        <v>C</v>
      </c>
      <c r="AY73" s="3">
        <v>341</v>
      </c>
      <c r="AZ73" s="79" t="str">
        <f>VLOOKUP(B73,Classification!A:D,2,0)</f>
        <v>A</v>
      </c>
      <c r="BA73" s="97" t="str">
        <f>VLOOKUP(B73,Classification!A:D,4,0)</f>
        <v>Adrenoceptors</v>
      </c>
      <c r="BB73" s="27" t="b">
        <f t="shared" si="223"/>
        <v>1</v>
      </c>
      <c r="BC73" s="23">
        <f t="shared" si="196"/>
        <v>248</v>
      </c>
      <c r="BD73" s="4" t="s">
        <v>23</v>
      </c>
      <c r="BE73" s="3" t="s">
        <v>1297</v>
      </c>
      <c r="BF73" s="50" t="s">
        <v>1384</v>
      </c>
      <c r="BG73" s="50" t="s">
        <v>1384</v>
      </c>
      <c r="BH73" s="1"/>
      <c r="BI73" s="72" t="s">
        <v>1293</v>
      </c>
      <c r="BJ73" s="58" t="s">
        <v>1293</v>
      </c>
      <c r="BK73" s="58" t="s">
        <v>1293</v>
      </c>
      <c r="BL73" s="58" t="s">
        <v>1293</v>
      </c>
      <c r="BM73" s="58" t="s">
        <v>1293</v>
      </c>
      <c r="BN73" s="58" t="s">
        <v>1293</v>
      </c>
      <c r="BO73" s="58" t="s">
        <v>1293</v>
      </c>
      <c r="BP73" s="58" t="s">
        <v>1293</v>
      </c>
      <c r="BQ73" s="58" t="s">
        <v>1293</v>
      </c>
      <c r="BR73" s="58" t="s">
        <v>1293</v>
      </c>
      <c r="BS73" s="58" t="s">
        <v>1293</v>
      </c>
      <c r="BT73" s="58" t="s">
        <v>1293</v>
      </c>
      <c r="BU73" s="72">
        <f t="shared" si="197"/>
        <v>29</v>
      </c>
      <c r="BV73" s="73">
        <f t="shared" si="198"/>
        <v>62</v>
      </c>
      <c r="BW73" s="74">
        <f t="shared" si="199"/>
        <v>66</v>
      </c>
      <c r="BX73" s="73">
        <f t="shared" si="200"/>
        <v>98</v>
      </c>
      <c r="BY73" s="74">
        <f t="shared" si="201"/>
        <v>102</v>
      </c>
      <c r="BZ73" s="73">
        <f t="shared" si="202"/>
        <v>138</v>
      </c>
      <c r="CA73" s="74">
        <f t="shared" si="203"/>
        <v>146</v>
      </c>
      <c r="CB73" s="73">
        <f t="shared" si="204"/>
        <v>191</v>
      </c>
      <c r="CC73" s="74">
        <f t="shared" si="205"/>
        <v>196</v>
      </c>
      <c r="CD73" s="73">
        <f t="shared" si="206"/>
        <v>266</v>
      </c>
      <c r="CE73" s="74">
        <f t="shared" si="207"/>
        <v>304</v>
      </c>
      <c r="CF73" s="73">
        <f t="shared" si="208"/>
        <v>329</v>
      </c>
      <c r="CG73" s="72">
        <f t="shared" si="209"/>
        <v>61</v>
      </c>
      <c r="CH73" s="73">
        <f t="shared" si="210"/>
        <v>65</v>
      </c>
      <c r="CI73" s="74">
        <f t="shared" si="211"/>
        <v>96</v>
      </c>
      <c r="CJ73" s="74">
        <f t="shared" si="212"/>
        <v>101</v>
      </c>
      <c r="CK73" s="74">
        <f t="shared" si="213"/>
        <v>137</v>
      </c>
      <c r="CL73" s="74">
        <f t="shared" si="214"/>
        <v>145</v>
      </c>
      <c r="CM73" s="74">
        <f t="shared" si="215"/>
        <v>172</v>
      </c>
      <c r="CN73" s="74">
        <f t="shared" si="216"/>
        <v>193</v>
      </c>
      <c r="CO73" s="74">
        <f t="shared" si="217"/>
        <v>225</v>
      </c>
      <c r="CP73" s="74">
        <f t="shared" si="218"/>
        <v>299</v>
      </c>
      <c r="CQ73" s="74">
        <f t="shared" si="219"/>
        <v>328</v>
      </c>
      <c r="CR73" s="74">
        <f t="shared" si="220"/>
        <v>341</v>
      </c>
      <c r="CS73" s="23">
        <f t="shared" si="221"/>
        <v>1</v>
      </c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</row>
    <row r="74" spans="1:1028" x14ac:dyDescent="0.2">
      <c r="A74" s="3" t="str">
        <f t="shared" si="222"/>
        <v>adrb2_human_4QKX</v>
      </c>
      <c r="B74" s="3" t="s">
        <v>126</v>
      </c>
      <c r="C74" s="3" t="s">
        <v>78</v>
      </c>
      <c r="D74" s="3" t="str">
        <f>IFERROR(MID(VLOOKUP($B74,Seqs!$A:$B,2,0),E74,1),"")</f>
        <v>D</v>
      </c>
      <c r="E74" s="3">
        <v>29</v>
      </c>
      <c r="F74" s="3" t="str">
        <f>IFERROR(MID(VLOOKUP($B74,Seqs!$A:$B,2,0),G74,1),"")</f>
        <v>F</v>
      </c>
      <c r="G74" s="3">
        <v>61</v>
      </c>
      <c r="H74" s="3" t="str">
        <f>IFERROR(MID(VLOOKUP($B74,Seqs!$A:$B,2,0),I74,1),"")</f>
        <v>E</v>
      </c>
      <c r="I74" s="23">
        <v>62</v>
      </c>
      <c r="J74" s="3" t="str">
        <f>IFERROR(MID(VLOOKUP($B74,Seqs!$A:$B,2,0),K74,1),"")</f>
        <v>Q</v>
      </c>
      <c r="K74" s="23">
        <v>65</v>
      </c>
      <c r="L74" s="3" t="str">
        <f>IFERROR(MID(VLOOKUP($B74,Seqs!$A:$B,2,0),M74,1),"")</f>
        <v>T</v>
      </c>
      <c r="M74" s="3">
        <v>66</v>
      </c>
      <c r="N74" s="3" t="str">
        <f>IFERROR(MID(VLOOKUP($B74,Seqs!$A:$B,2,0),O74,1),"")</f>
        <v>M</v>
      </c>
      <c r="O74" s="3">
        <v>96</v>
      </c>
      <c r="P74" s="3" t="str">
        <f>IFERROR(MID(VLOOKUP($B74,Seqs!$A:$B,2,0),Q74,1),"")</f>
        <v>M</v>
      </c>
      <c r="Q74" s="3">
        <v>98</v>
      </c>
      <c r="R74" s="3" t="str">
        <f>IFERROR(MID(VLOOKUP($B74,Seqs!$A:$B,2,0),S74,1),"")</f>
        <v>F</v>
      </c>
      <c r="S74" s="3">
        <v>101</v>
      </c>
      <c r="T74" s="3" t="str">
        <f>IFERROR(MID(VLOOKUP($B74,Seqs!$A:$B,2,0),U74,1),"")</f>
        <v>G</v>
      </c>
      <c r="U74" s="3">
        <v>102</v>
      </c>
      <c r="V74" s="3" t="str">
        <f>IFERROR(MID(VLOOKUP($B74,Seqs!$A:$B,2,0),W74,1),"")</f>
        <v>S</v>
      </c>
      <c r="W74" s="3">
        <v>137</v>
      </c>
      <c r="X74" s="3" t="str">
        <f>IFERROR(MID(VLOOKUP($B74,Seqs!$A:$B,2,0),Y74,1),"")</f>
        <v>P</v>
      </c>
      <c r="Y74" s="3">
        <v>138</v>
      </c>
      <c r="Z74" s="3" t="str">
        <f>IFERROR(MID(VLOOKUP($B74,Seqs!$A:$B,2,0),AA74,1),"")</f>
        <v>L</v>
      </c>
      <c r="AA74" s="3">
        <v>145</v>
      </c>
      <c r="AB74" s="3" t="str">
        <f>IFERROR(MID(VLOOKUP($B74,Seqs!$A:$B,2,0),AC74,1),"")</f>
        <v>T</v>
      </c>
      <c r="AC74" s="9">
        <v>146</v>
      </c>
      <c r="AD74" s="3" t="str">
        <f>IFERROR(MID(VLOOKUP($B74,Seqs!$A:$B,2,0),AE74,1),"")</f>
        <v>H</v>
      </c>
      <c r="AE74" s="3">
        <v>172</v>
      </c>
      <c r="AF74" s="3" t="str">
        <f>IFERROR(MID(VLOOKUP($B74,Seqs!$A:$B,2,0),AG74,1),"")</f>
        <v>C</v>
      </c>
      <c r="AG74" s="3">
        <v>191</v>
      </c>
      <c r="AH74" s="3" t="str">
        <f>IFERROR(MID(VLOOKUP($B74,Seqs!$A:$B,2,0),AI74,1),"")</f>
        <v>F</v>
      </c>
      <c r="AI74" s="3">
        <v>193</v>
      </c>
      <c r="AJ74" s="3" t="str">
        <f>IFERROR(MID(VLOOKUP($B74,Seqs!$A:$B,2,0),AK74,1),"")</f>
        <v>N</v>
      </c>
      <c r="AK74" s="3">
        <v>196</v>
      </c>
      <c r="AL74" s="3" t="str">
        <f>IFERROR(MID(VLOOKUP($B74,Seqs!$A:$B,2,0),AM74,1),"")</f>
        <v>E</v>
      </c>
      <c r="AM74" s="3">
        <v>225</v>
      </c>
      <c r="AN74" s="3" t="str">
        <f>IFERROR(MID(VLOOKUP($B74,Seqs!$A:$B,2,0),AO74,1),"")</f>
        <v>L</v>
      </c>
      <c r="AO74" s="3">
        <v>266</v>
      </c>
      <c r="AP74" s="3" t="str">
        <f>IFERROR(MID(VLOOKUP($B74,Seqs!$A:$B,2,0),AQ74,1),"")</f>
        <v>Q</v>
      </c>
      <c r="AQ74" s="3">
        <v>299</v>
      </c>
      <c r="AR74" s="3" t="str">
        <f>IFERROR(MID(VLOOKUP($B74,Seqs!$A:$B,2,0),AS74,1),"")</f>
        <v>R</v>
      </c>
      <c r="AS74" s="3">
        <v>304</v>
      </c>
      <c r="AT74" s="3" t="str">
        <f>IFERROR(MID(VLOOKUP($B74,Seqs!$A:$B,2,0),AU74,1),"")</f>
        <v>R</v>
      </c>
      <c r="AU74" s="3">
        <v>328</v>
      </c>
      <c r="AV74" s="3" t="str">
        <f>IFERROR(MID(VLOOKUP($B74,Seqs!$A:$B,2,0),AW74,1),"")</f>
        <v>S</v>
      </c>
      <c r="AW74" s="3">
        <v>329</v>
      </c>
      <c r="AX74" s="3" t="str">
        <f>IFERROR(MID(VLOOKUP($B74,Seqs!$A:$B,2,0),AY74,1),"")</f>
        <v>C</v>
      </c>
      <c r="AY74" s="3">
        <v>341</v>
      </c>
      <c r="AZ74" s="79" t="str">
        <f>VLOOKUP(B74,Classification!A:D,2,0)</f>
        <v>A</v>
      </c>
      <c r="BA74" s="97" t="str">
        <f>VLOOKUP(B74,Classification!A:D,4,0)</f>
        <v>Adrenoceptors</v>
      </c>
      <c r="BB74" s="27" t="b">
        <f t="shared" si="223"/>
        <v>1</v>
      </c>
      <c r="BC74" s="23">
        <f t="shared" si="196"/>
        <v>248</v>
      </c>
      <c r="BD74" s="4" t="s">
        <v>23</v>
      </c>
      <c r="BE74" s="3" t="s">
        <v>1297</v>
      </c>
      <c r="BF74" s="50" t="s">
        <v>1384</v>
      </c>
      <c r="BG74" s="50" t="s">
        <v>1384</v>
      </c>
      <c r="BH74" s="1"/>
      <c r="BI74" s="72" t="s">
        <v>1293</v>
      </c>
      <c r="BJ74" s="58" t="s">
        <v>1293</v>
      </c>
      <c r="BK74" s="58" t="s">
        <v>1293</v>
      </c>
      <c r="BL74" s="58" t="s">
        <v>1293</v>
      </c>
      <c r="BM74" s="58" t="s">
        <v>1293</v>
      </c>
      <c r="BN74" s="58" t="s">
        <v>1293</v>
      </c>
      <c r="BO74" s="58" t="s">
        <v>1293</v>
      </c>
      <c r="BP74" s="58" t="s">
        <v>1293</v>
      </c>
      <c r="BQ74" s="58" t="s">
        <v>1293</v>
      </c>
      <c r="BR74" s="58" t="s">
        <v>1293</v>
      </c>
      <c r="BS74" s="58" t="s">
        <v>1293</v>
      </c>
      <c r="BT74" s="58" t="s">
        <v>1293</v>
      </c>
      <c r="BU74" s="72">
        <f t="shared" si="197"/>
        <v>29</v>
      </c>
      <c r="BV74" s="73">
        <f t="shared" si="198"/>
        <v>62</v>
      </c>
      <c r="BW74" s="74">
        <f t="shared" si="199"/>
        <v>66</v>
      </c>
      <c r="BX74" s="73">
        <f t="shared" si="200"/>
        <v>98</v>
      </c>
      <c r="BY74" s="74">
        <f t="shared" si="201"/>
        <v>102</v>
      </c>
      <c r="BZ74" s="73">
        <f t="shared" si="202"/>
        <v>138</v>
      </c>
      <c r="CA74" s="74">
        <f t="shared" si="203"/>
        <v>146</v>
      </c>
      <c r="CB74" s="73">
        <f t="shared" si="204"/>
        <v>191</v>
      </c>
      <c r="CC74" s="74">
        <f t="shared" si="205"/>
        <v>196</v>
      </c>
      <c r="CD74" s="73">
        <f t="shared" si="206"/>
        <v>266</v>
      </c>
      <c r="CE74" s="74">
        <f t="shared" si="207"/>
        <v>304</v>
      </c>
      <c r="CF74" s="73">
        <f t="shared" si="208"/>
        <v>329</v>
      </c>
      <c r="CG74" s="72">
        <f t="shared" si="209"/>
        <v>61</v>
      </c>
      <c r="CH74" s="73">
        <f t="shared" si="210"/>
        <v>65</v>
      </c>
      <c r="CI74" s="74">
        <f t="shared" si="211"/>
        <v>96</v>
      </c>
      <c r="CJ74" s="74">
        <f t="shared" si="212"/>
        <v>101</v>
      </c>
      <c r="CK74" s="74">
        <f t="shared" si="213"/>
        <v>137</v>
      </c>
      <c r="CL74" s="74">
        <f t="shared" si="214"/>
        <v>145</v>
      </c>
      <c r="CM74" s="74">
        <f t="shared" si="215"/>
        <v>172</v>
      </c>
      <c r="CN74" s="74">
        <f t="shared" si="216"/>
        <v>193</v>
      </c>
      <c r="CO74" s="74">
        <f t="shared" si="217"/>
        <v>225</v>
      </c>
      <c r="CP74" s="74">
        <f t="shared" si="218"/>
        <v>299</v>
      </c>
      <c r="CQ74" s="74">
        <f t="shared" si="219"/>
        <v>328</v>
      </c>
      <c r="CR74" s="74">
        <f t="shared" si="220"/>
        <v>341</v>
      </c>
      <c r="CS74" s="23">
        <f t="shared" si="221"/>
        <v>1</v>
      </c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</row>
    <row r="75" spans="1:1028" x14ac:dyDescent="0.2">
      <c r="A75" s="3" t="str">
        <f t="shared" si="222"/>
        <v>adrb2_human_5D6L</v>
      </c>
      <c r="B75" s="3" t="s">
        <v>126</v>
      </c>
      <c r="C75" s="3" t="s">
        <v>1349</v>
      </c>
      <c r="D75" s="3" t="str">
        <f>IFERROR(MID(VLOOKUP($B75,Seqs!$A:$B,2,0),E75,1),"")</f>
        <v>D</v>
      </c>
      <c r="E75" s="3">
        <v>29</v>
      </c>
      <c r="F75" s="3" t="str">
        <f>IFERROR(MID(VLOOKUP($B75,Seqs!$A:$B,2,0),G75,1),"")</f>
        <v>F</v>
      </c>
      <c r="G75" s="3">
        <v>61</v>
      </c>
      <c r="H75" s="3" t="str">
        <f>IFERROR(MID(VLOOKUP($B75,Seqs!$A:$B,2,0),I75,1),"")</f>
        <v>E</v>
      </c>
      <c r="I75" s="23">
        <v>62</v>
      </c>
      <c r="J75" s="3" t="str">
        <f>IFERROR(MID(VLOOKUP($B75,Seqs!$A:$B,2,0),K75,1),"")</f>
        <v>Q</v>
      </c>
      <c r="K75" s="23">
        <v>65</v>
      </c>
      <c r="L75" s="3" t="str">
        <f>IFERROR(MID(VLOOKUP($B75,Seqs!$A:$B,2,0),M75,1),"")</f>
        <v>T</v>
      </c>
      <c r="M75" s="3">
        <v>66</v>
      </c>
      <c r="N75" s="3" t="str">
        <f>IFERROR(MID(VLOOKUP($B75,Seqs!$A:$B,2,0),O75,1),"")</f>
        <v>M</v>
      </c>
      <c r="O75" s="3">
        <v>96</v>
      </c>
      <c r="P75" s="3" t="str">
        <f>IFERROR(MID(VLOOKUP($B75,Seqs!$A:$B,2,0),Q75,1),"")</f>
        <v>M</v>
      </c>
      <c r="Q75" s="3">
        <v>98</v>
      </c>
      <c r="R75" s="3" t="str">
        <f>IFERROR(MID(VLOOKUP($B75,Seqs!$A:$B,2,0),S75,1),"")</f>
        <v>F</v>
      </c>
      <c r="S75" s="3">
        <v>101</v>
      </c>
      <c r="T75" s="3" t="str">
        <f>IFERROR(MID(VLOOKUP($B75,Seqs!$A:$B,2,0),U75,1),"")</f>
        <v>G</v>
      </c>
      <c r="U75" s="3">
        <v>102</v>
      </c>
      <c r="V75" s="3" t="str">
        <f>IFERROR(MID(VLOOKUP($B75,Seqs!$A:$B,2,0),W75,1),"")</f>
        <v>S</v>
      </c>
      <c r="W75" s="3">
        <v>137</v>
      </c>
      <c r="X75" s="3" t="str">
        <f>IFERROR(MID(VLOOKUP($B75,Seqs!$A:$B,2,0),Y75,1),"")</f>
        <v/>
      </c>
      <c r="Y75" s="3" t="s">
        <v>23</v>
      </c>
      <c r="Z75" s="3" t="str">
        <f>IFERROR(MID(VLOOKUP($B75,Seqs!$A:$B,2,0),AA75,1),"")</f>
        <v/>
      </c>
      <c r="AA75" s="3" t="s">
        <v>23</v>
      </c>
      <c r="AB75" s="3" t="str">
        <f>IFERROR(MID(VLOOKUP($B75,Seqs!$A:$B,2,0),AC75,1),"")</f>
        <v>T</v>
      </c>
      <c r="AC75" s="9">
        <v>146</v>
      </c>
      <c r="AD75" s="3" t="str">
        <f>IFERROR(MID(VLOOKUP($B75,Seqs!$A:$B,2,0),AE75,1),"")</f>
        <v>H</v>
      </c>
      <c r="AE75" s="3">
        <v>172</v>
      </c>
      <c r="AF75" s="3" t="str">
        <f>IFERROR(MID(VLOOKUP($B75,Seqs!$A:$B,2,0),AG75,1),"")</f>
        <v>C</v>
      </c>
      <c r="AG75" s="3">
        <v>191</v>
      </c>
      <c r="AH75" s="3" t="str">
        <f>IFERROR(MID(VLOOKUP($B75,Seqs!$A:$B,2,0),AI75,1),"")</f>
        <v>F</v>
      </c>
      <c r="AI75" s="3">
        <v>193</v>
      </c>
      <c r="AJ75" s="3" t="str">
        <f>IFERROR(MID(VLOOKUP($B75,Seqs!$A:$B,2,0),AK75,1),"")</f>
        <v>N</v>
      </c>
      <c r="AK75" s="3">
        <v>196</v>
      </c>
      <c r="AL75" s="3" t="str">
        <f>IFERROR(MID(VLOOKUP($B75,Seqs!$A:$B,2,0),AM75,1),"")</f>
        <v>Q</v>
      </c>
      <c r="AM75" s="3">
        <v>229</v>
      </c>
      <c r="AN75" s="3" t="str">
        <f>IFERROR(MID(VLOOKUP($B75,Seqs!$A:$B,2,0),AO75,1),"")</f>
        <v>K</v>
      </c>
      <c r="AO75" s="3">
        <v>267</v>
      </c>
      <c r="AP75" s="3" t="str">
        <f>IFERROR(MID(VLOOKUP($B75,Seqs!$A:$B,2,0),AQ75,1),"")</f>
        <v>Q</v>
      </c>
      <c r="AQ75" s="3">
        <v>299</v>
      </c>
      <c r="AR75" s="3" t="str">
        <f>IFERROR(MID(VLOOKUP($B75,Seqs!$A:$B,2,0),AS75,1),"")</f>
        <v>R</v>
      </c>
      <c r="AS75" s="3">
        <v>304</v>
      </c>
      <c r="AT75" s="3" t="str">
        <f>IFERROR(MID(VLOOKUP($B75,Seqs!$A:$B,2,0),AU75,1),"")</f>
        <v>R</v>
      </c>
      <c r="AU75" s="3">
        <v>328</v>
      </c>
      <c r="AV75" s="3" t="str">
        <f>IFERROR(MID(VLOOKUP($B75,Seqs!$A:$B,2,0),AW75,1),"")</f>
        <v>S</v>
      </c>
      <c r="AW75" s="3">
        <v>329</v>
      </c>
      <c r="AX75" s="3" t="str">
        <f>IFERROR(MID(VLOOKUP($B75,Seqs!$A:$B,2,0),AY75,1),"")</f>
        <v>C</v>
      </c>
      <c r="AY75" s="3">
        <v>341</v>
      </c>
      <c r="AZ75" s="79" t="str">
        <f>VLOOKUP(B75,Classification!A:D,2,0)</f>
        <v>A</v>
      </c>
      <c r="BA75" s="97" t="str">
        <f>VLOOKUP(B75,Classification!A:D,4,0)</f>
        <v>Adrenoceptors</v>
      </c>
      <c r="BB75" s="27" t="b">
        <f t="shared" si="223"/>
        <v>1</v>
      </c>
      <c r="BC75" s="23">
        <f t="shared" si="196"/>
        <v>244</v>
      </c>
      <c r="BD75" s="4" t="s">
        <v>23</v>
      </c>
      <c r="BE75" s="3" t="s">
        <v>1381</v>
      </c>
      <c r="BF75" s="50" t="s">
        <v>1</v>
      </c>
      <c r="BG75" s="50" t="s">
        <v>1384</v>
      </c>
      <c r="BH75" s="1"/>
      <c r="BI75" s="72" t="s">
        <v>1293</v>
      </c>
      <c r="BJ75" s="58" t="s">
        <v>1293</v>
      </c>
      <c r="BK75" s="58" t="s">
        <v>1293</v>
      </c>
      <c r="BL75" s="58" t="s">
        <v>1293</v>
      </c>
      <c r="BM75" s="58" t="s">
        <v>1293</v>
      </c>
      <c r="BN75" s="58" t="s">
        <v>1293</v>
      </c>
      <c r="BO75" s="58" t="s">
        <v>1293</v>
      </c>
      <c r="BP75" s="58" t="s">
        <v>1293</v>
      </c>
      <c r="BQ75" s="58" t="s">
        <v>1293</v>
      </c>
      <c r="BR75" s="58" t="s">
        <v>1293</v>
      </c>
      <c r="BS75" s="58" t="s">
        <v>1293</v>
      </c>
      <c r="BT75" s="58" t="s">
        <v>1293</v>
      </c>
      <c r="BU75" s="72">
        <f t="shared" si="197"/>
        <v>29</v>
      </c>
      <c r="BV75" s="73">
        <f t="shared" si="198"/>
        <v>62</v>
      </c>
      <c r="BW75" s="74">
        <f t="shared" si="199"/>
        <v>66</v>
      </c>
      <c r="BX75" s="73">
        <f t="shared" si="200"/>
        <v>98</v>
      </c>
      <c r="BY75" s="74">
        <f t="shared" si="201"/>
        <v>102</v>
      </c>
      <c r="BZ75" s="73" t="str">
        <f t="shared" si="202"/>
        <v>-</v>
      </c>
      <c r="CA75" s="74">
        <f t="shared" si="203"/>
        <v>146</v>
      </c>
      <c r="CB75" s="73">
        <f t="shared" si="204"/>
        <v>191</v>
      </c>
      <c r="CC75" s="74">
        <f t="shared" si="205"/>
        <v>196</v>
      </c>
      <c r="CD75" s="73">
        <f t="shared" si="206"/>
        <v>267</v>
      </c>
      <c r="CE75" s="74">
        <f t="shared" si="207"/>
        <v>304</v>
      </c>
      <c r="CF75" s="73">
        <f t="shared" si="208"/>
        <v>329</v>
      </c>
      <c r="CG75" s="72">
        <f t="shared" si="209"/>
        <v>61</v>
      </c>
      <c r="CH75" s="73">
        <f t="shared" si="210"/>
        <v>65</v>
      </c>
      <c r="CI75" s="74">
        <f t="shared" si="211"/>
        <v>96</v>
      </c>
      <c r="CJ75" s="74">
        <f t="shared" si="212"/>
        <v>101</v>
      </c>
      <c r="CK75" s="74">
        <f t="shared" si="213"/>
        <v>137</v>
      </c>
      <c r="CL75" s="74" t="str">
        <f t="shared" si="214"/>
        <v>-</v>
      </c>
      <c r="CM75" s="74">
        <f t="shared" si="215"/>
        <v>172</v>
      </c>
      <c r="CN75" s="74">
        <f t="shared" si="216"/>
        <v>193</v>
      </c>
      <c r="CO75" s="74">
        <f t="shared" si="217"/>
        <v>229</v>
      </c>
      <c r="CP75" s="74">
        <f t="shared" si="218"/>
        <v>299</v>
      </c>
      <c r="CQ75" s="74">
        <f t="shared" si="219"/>
        <v>328</v>
      </c>
      <c r="CR75" s="74">
        <f t="shared" si="220"/>
        <v>341</v>
      </c>
      <c r="CS75" s="23">
        <f t="shared" si="221"/>
        <v>1</v>
      </c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</row>
    <row r="76" spans="1:1028" x14ac:dyDescent="0.2">
      <c r="A76" s="3" t="str">
        <f t="shared" si="222"/>
        <v>adrb2_human_5JQH</v>
      </c>
      <c r="B76" s="3" t="s">
        <v>126</v>
      </c>
      <c r="C76" s="3" t="s">
        <v>1350</v>
      </c>
      <c r="D76" s="3" t="str">
        <f>IFERROR(MID(VLOOKUP($B76,Seqs!$A:$B,2,0),E76,1),"")</f>
        <v>D</v>
      </c>
      <c r="E76" s="3">
        <v>23</v>
      </c>
      <c r="F76" s="3" t="str">
        <f>IFERROR(MID(VLOOKUP($B76,Seqs!$A:$B,2,0),G76,1),"")</f>
        <v>F</v>
      </c>
      <c r="G76" s="3">
        <v>61</v>
      </c>
      <c r="H76" s="3" t="str">
        <f>IFERROR(MID(VLOOKUP($B76,Seqs!$A:$B,2,0),I76,1),"")</f>
        <v>E</v>
      </c>
      <c r="I76" s="23">
        <v>62</v>
      </c>
      <c r="J76" s="3" t="str">
        <f>IFERROR(MID(VLOOKUP($B76,Seqs!$A:$B,2,0),K76,1),"")</f>
        <v>Q</v>
      </c>
      <c r="K76" s="23">
        <v>65</v>
      </c>
      <c r="L76" s="3" t="str">
        <f>IFERROR(MID(VLOOKUP($B76,Seqs!$A:$B,2,0),M76,1),"")</f>
        <v>T</v>
      </c>
      <c r="M76" s="3">
        <v>66</v>
      </c>
      <c r="N76" s="3" t="str">
        <f>IFERROR(MID(VLOOKUP($B76,Seqs!$A:$B,2,0),O76,1),"")</f>
        <v>M</v>
      </c>
      <c r="O76" s="3">
        <v>96</v>
      </c>
      <c r="P76" s="3" t="str">
        <f>IFERROR(MID(VLOOKUP($B76,Seqs!$A:$B,2,0),Q76,1),"")</f>
        <v>M</v>
      </c>
      <c r="Q76" s="3">
        <v>98</v>
      </c>
      <c r="R76" s="3" t="str">
        <f>IFERROR(MID(VLOOKUP($B76,Seqs!$A:$B,2,0),S76,1),"")</f>
        <v>F</v>
      </c>
      <c r="S76" s="3">
        <v>101</v>
      </c>
      <c r="T76" s="3" t="str">
        <f>IFERROR(MID(VLOOKUP($B76,Seqs!$A:$B,2,0),U76,1),"")</f>
        <v>G</v>
      </c>
      <c r="U76" s="3">
        <v>102</v>
      </c>
      <c r="V76" s="3" t="str">
        <f>IFERROR(MID(VLOOKUP($B76,Seqs!$A:$B,2,0),W76,1),"")</f>
        <v>S</v>
      </c>
      <c r="W76" s="3">
        <v>137</v>
      </c>
      <c r="X76" s="3" t="str">
        <f>IFERROR(MID(VLOOKUP($B76,Seqs!$A:$B,2,0),Y76,1),"")</f>
        <v/>
      </c>
      <c r="Y76" s="3" t="s">
        <v>23</v>
      </c>
      <c r="Z76" s="3" t="str">
        <f>IFERROR(MID(VLOOKUP($B76,Seqs!$A:$B,2,0),AA76,1),"")</f>
        <v/>
      </c>
      <c r="AA76" s="3" t="s">
        <v>23</v>
      </c>
      <c r="AB76" s="3" t="str">
        <f>IFERROR(MID(VLOOKUP($B76,Seqs!$A:$B,2,0),AC76,1),"")</f>
        <v>T</v>
      </c>
      <c r="AC76" s="9">
        <v>146</v>
      </c>
      <c r="AD76" s="3" t="str">
        <f>IFERROR(MID(VLOOKUP($B76,Seqs!$A:$B,2,0),AE76,1),"")</f>
        <v>H</v>
      </c>
      <c r="AE76" s="3">
        <v>172</v>
      </c>
      <c r="AF76" s="3" t="str">
        <f>IFERROR(MID(VLOOKUP($B76,Seqs!$A:$B,2,0),AG76,1),"")</f>
        <v>C</v>
      </c>
      <c r="AG76" s="3">
        <v>191</v>
      </c>
      <c r="AH76" s="3" t="str">
        <f>IFERROR(MID(VLOOKUP($B76,Seqs!$A:$B,2,0),AI76,1),"")</f>
        <v>F</v>
      </c>
      <c r="AI76" s="3">
        <v>193</v>
      </c>
      <c r="AJ76" s="3" t="str">
        <f>IFERROR(MID(VLOOKUP($B76,Seqs!$A:$B,2,0),AK76,1),"")</f>
        <v>N</v>
      </c>
      <c r="AK76" s="3">
        <v>196</v>
      </c>
      <c r="AL76" s="3" t="str">
        <f>IFERROR(MID(VLOOKUP($B76,Seqs!$A:$B,2,0),AM76,1),"")</f>
        <v>L</v>
      </c>
      <c r="AM76" s="3">
        <v>230</v>
      </c>
      <c r="AN76" s="3" t="str">
        <f>IFERROR(MID(VLOOKUP($B76,Seqs!$A:$B,2,0),AO76,1),"")</f>
        <v>A</v>
      </c>
      <c r="AO76" s="3">
        <v>271</v>
      </c>
      <c r="AP76" s="3" t="str">
        <f>IFERROR(MID(VLOOKUP($B76,Seqs!$A:$B,2,0),AQ76,1),"")</f>
        <v>Q</v>
      </c>
      <c r="AQ76" s="3">
        <v>299</v>
      </c>
      <c r="AR76" s="3" t="str">
        <f>IFERROR(MID(VLOOKUP($B76,Seqs!$A:$B,2,0),AS76,1),"")</f>
        <v>R</v>
      </c>
      <c r="AS76" s="3">
        <v>304</v>
      </c>
      <c r="AT76" s="3" t="str">
        <f>IFERROR(MID(VLOOKUP($B76,Seqs!$A:$B,2,0),AU76,1),"")</f>
        <v>R</v>
      </c>
      <c r="AU76" s="3">
        <v>328</v>
      </c>
      <c r="AV76" s="3" t="str">
        <f>IFERROR(MID(VLOOKUP($B76,Seqs!$A:$B,2,0),AW76,1),"")</f>
        <v>S</v>
      </c>
      <c r="AW76" s="3">
        <v>329</v>
      </c>
      <c r="AX76" s="3" t="str">
        <f>IFERROR(MID(VLOOKUP($B76,Seqs!$A:$B,2,0),AY76,1),"")</f>
        <v>C</v>
      </c>
      <c r="AY76" s="3">
        <v>341</v>
      </c>
      <c r="AZ76" s="79" t="str">
        <f>VLOOKUP(B76,Classification!A:D,2,0)</f>
        <v>A</v>
      </c>
      <c r="BA76" s="97" t="str">
        <f>VLOOKUP(B76,Classification!A:D,4,0)</f>
        <v>Adrenoceptors</v>
      </c>
      <c r="BB76" s="27" t="b">
        <f t="shared" si="223"/>
        <v>1</v>
      </c>
      <c r="BC76" s="23">
        <f t="shared" si="196"/>
        <v>247</v>
      </c>
      <c r="BD76" s="16" t="s">
        <v>1383</v>
      </c>
      <c r="BE76" s="3" t="s">
        <v>1381</v>
      </c>
      <c r="BF76" s="50" t="s">
        <v>1287</v>
      </c>
      <c r="BG76" s="50" t="s">
        <v>1384</v>
      </c>
      <c r="BH76" s="1"/>
      <c r="BI76" s="72" t="s">
        <v>1293</v>
      </c>
      <c r="BJ76" s="58" t="s">
        <v>1293</v>
      </c>
      <c r="BK76" s="58" t="s">
        <v>1293</v>
      </c>
      <c r="BL76" s="58" t="s">
        <v>1293</v>
      </c>
      <c r="BM76" s="58" t="s">
        <v>1293</v>
      </c>
      <c r="BN76" s="58" t="s">
        <v>1293</v>
      </c>
      <c r="BO76" s="58" t="s">
        <v>1293</v>
      </c>
      <c r="BP76" s="58" t="s">
        <v>1293</v>
      </c>
      <c r="BQ76" s="58" t="s">
        <v>1293</v>
      </c>
      <c r="BR76" s="58" t="s">
        <v>1293</v>
      </c>
      <c r="BS76" s="58" t="s">
        <v>1293</v>
      </c>
      <c r="BT76" s="58" t="s">
        <v>1293</v>
      </c>
      <c r="BU76" s="72">
        <f t="shared" si="197"/>
        <v>23</v>
      </c>
      <c r="BV76" s="73">
        <f t="shared" si="198"/>
        <v>62</v>
      </c>
      <c r="BW76" s="74">
        <f t="shared" si="199"/>
        <v>66</v>
      </c>
      <c r="BX76" s="73">
        <f t="shared" si="200"/>
        <v>98</v>
      </c>
      <c r="BY76" s="74">
        <f t="shared" si="201"/>
        <v>102</v>
      </c>
      <c r="BZ76" s="73" t="str">
        <f t="shared" si="202"/>
        <v>-</v>
      </c>
      <c r="CA76" s="74">
        <f t="shared" si="203"/>
        <v>146</v>
      </c>
      <c r="CB76" s="73">
        <f t="shared" si="204"/>
        <v>191</v>
      </c>
      <c r="CC76" s="74">
        <f t="shared" si="205"/>
        <v>196</v>
      </c>
      <c r="CD76" s="73">
        <f t="shared" si="206"/>
        <v>271</v>
      </c>
      <c r="CE76" s="74">
        <f t="shared" si="207"/>
        <v>304</v>
      </c>
      <c r="CF76" s="73">
        <f t="shared" si="208"/>
        <v>329</v>
      </c>
      <c r="CG76" s="72">
        <f t="shared" si="209"/>
        <v>61</v>
      </c>
      <c r="CH76" s="73">
        <f t="shared" si="210"/>
        <v>65</v>
      </c>
      <c r="CI76" s="74">
        <f t="shared" si="211"/>
        <v>96</v>
      </c>
      <c r="CJ76" s="74">
        <f t="shared" si="212"/>
        <v>101</v>
      </c>
      <c r="CK76" s="74">
        <f t="shared" si="213"/>
        <v>137</v>
      </c>
      <c r="CL76" s="74" t="str">
        <f t="shared" si="214"/>
        <v>-</v>
      </c>
      <c r="CM76" s="74">
        <f t="shared" si="215"/>
        <v>172</v>
      </c>
      <c r="CN76" s="74">
        <f t="shared" si="216"/>
        <v>193</v>
      </c>
      <c r="CO76" s="74">
        <f t="shared" si="217"/>
        <v>230</v>
      </c>
      <c r="CP76" s="74">
        <f t="shared" si="218"/>
        <v>299</v>
      </c>
      <c r="CQ76" s="74">
        <f t="shared" si="219"/>
        <v>328</v>
      </c>
      <c r="CR76" s="74">
        <f t="shared" si="220"/>
        <v>341</v>
      </c>
      <c r="CS76" s="23">
        <f t="shared" si="221"/>
        <v>1</v>
      </c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</row>
    <row r="77" spans="1:1028" x14ac:dyDescent="0.2">
      <c r="A77" s="3" t="str">
        <f t="shared" si="222"/>
        <v>agtr1_human__wt</v>
      </c>
      <c r="B77" s="3" t="s">
        <v>158</v>
      </c>
      <c r="C77" s="3" t="s">
        <v>100</v>
      </c>
      <c r="D77" s="3" t="str">
        <f>IFERROR(MID(VLOOKUP($B77,Seqs!$A:$B,2,0),E77,1),"")</f>
        <v>Y</v>
      </c>
      <c r="E77" s="3">
        <v>26</v>
      </c>
      <c r="F77" s="3" t="str">
        <f>IFERROR(MID(VLOOKUP($B77,Seqs!$A:$B,2,0),G77,1),"")</f>
        <v>Y</v>
      </c>
      <c r="G77" s="3">
        <v>56</v>
      </c>
      <c r="H77" s="3" t="str">
        <f>IFERROR(MID(VLOOKUP($B77,Seqs!$A:$B,2,0),I77,1),"")</f>
        <v>M</v>
      </c>
      <c r="I77" s="23">
        <v>57</v>
      </c>
      <c r="J77" s="3" t="str">
        <f>IFERROR(MID(VLOOKUP($B77,Seqs!$A:$B,2,0),K77,1),"")</f>
        <v>K</v>
      </c>
      <c r="K77" s="23">
        <v>60</v>
      </c>
      <c r="L77" s="3" t="str">
        <f>IFERROR(MID(VLOOKUP($B77,Seqs!$A:$B,2,0),M77,1),"")</f>
        <v>T</v>
      </c>
      <c r="M77" s="3">
        <v>61</v>
      </c>
      <c r="N77" s="3" t="str">
        <f>IFERROR(MID(VLOOKUP($B77,Seqs!$A:$B,2,0),O77,1),"")</f>
        <v>M</v>
      </c>
      <c r="O77" s="3">
        <v>90</v>
      </c>
      <c r="P77" s="3" t="str">
        <f>IFERROR(MID(VLOOKUP($B77,Seqs!$A:$B,2,0),Q77,1),"")</f>
        <v>R</v>
      </c>
      <c r="Q77" s="3">
        <v>93</v>
      </c>
      <c r="R77" s="3" t="str">
        <f>IFERROR(MID(VLOOKUP($B77,Seqs!$A:$B,2,0),S77,1),"")</f>
        <v>F</v>
      </c>
      <c r="S77" s="3">
        <v>96</v>
      </c>
      <c r="T77" s="3" t="str">
        <f>IFERROR(MID(VLOOKUP($B77,Seqs!$A:$B,2,0),U77,1),"")</f>
        <v>G</v>
      </c>
      <c r="U77" s="3">
        <v>97</v>
      </c>
      <c r="V77" s="3" t="str">
        <f>IFERROR(MID(VLOOKUP($B77,Seqs!$A:$B,2,0),W77,1),"")</f>
        <v>H</v>
      </c>
      <c r="W77" s="3">
        <v>132</v>
      </c>
      <c r="X77" s="3" t="str">
        <f>IFERROR(MID(VLOOKUP($B77,Seqs!$A:$B,2,0),Y77,1),"")</f>
        <v>P</v>
      </c>
      <c r="Y77" s="3">
        <v>133</v>
      </c>
      <c r="Z77" s="3" t="str">
        <f>IFERROR(MID(VLOOKUP($B77,Seqs!$A:$B,2,0),AA77,1),"")</f>
        <v>R</v>
      </c>
      <c r="AA77" s="3">
        <v>140</v>
      </c>
      <c r="AB77" s="3" t="str">
        <f>IFERROR(MID(VLOOKUP($B77,Seqs!$A:$B,2,0),AC77,1),"")</f>
        <v>T</v>
      </c>
      <c r="AC77" s="9">
        <v>141</v>
      </c>
      <c r="AD77" s="3" t="str">
        <f>IFERROR(MID(VLOOKUP($B77,Seqs!$A:$B,2,0),AE77,1),"")</f>
        <v>R</v>
      </c>
      <c r="AE77" s="3">
        <v>167</v>
      </c>
      <c r="AF77" s="3" t="str">
        <f>IFERROR(MID(VLOOKUP($B77,Seqs!$A:$B,2,0),AG77,1),"")</f>
        <v>C</v>
      </c>
      <c r="AG77" s="3">
        <v>180</v>
      </c>
      <c r="AH77" s="3" t="str">
        <f>IFERROR(MID(VLOOKUP($B77,Seqs!$A:$B,2,0),AI77,1),"")</f>
        <v>F</v>
      </c>
      <c r="AI77" s="3">
        <v>182</v>
      </c>
      <c r="AJ77" s="3" t="str">
        <f>IFERROR(MID(VLOOKUP($B77,Seqs!$A:$B,2,0),AK77,1),"")</f>
        <v>L</v>
      </c>
      <c r="AK77" s="3">
        <v>191</v>
      </c>
      <c r="AL77" s="3" t="str">
        <f>IFERROR(MID(VLOOKUP($B77,Seqs!$A:$B,2,0),AM77,1),"")</f>
        <v>A</v>
      </c>
      <c r="AM77" s="3">
        <v>225</v>
      </c>
      <c r="AN77" s="3" t="str">
        <f>IFERROR(MID(VLOOKUP($B77,Seqs!$A:$B,2,0),AO77,1),"")</f>
        <v>P</v>
      </c>
      <c r="AO77" s="3">
        <v>233</v>
      </c>
      <c r="AP77" s="3" t="str">
        <f>IFERROR(MID(VLOOKUP($B77,Seqs!$A:$B,2,0),AQ77,1),"")</f>
        <v>G</v>
      </c>
      <c r="AQ77" s="3">
        <v>269</v>
      </c>
      <c r="AR77" s="3" t="str">
        <f>IFERROR(MID(VLOOKUP($B77,Seqs!$A:$B,2,0),AS77,1),"")</f>
        <v>D</v>
      </c>
      <c r="AS77" s="3">
        <v>273</v>
      </c>
      <c r="AT77" s="3" t="str">
        <f>IFERROR(MID(VLOOKUP($B77,Seqs!$A:$B,2,0),AU77,1),"")</f>
        <v>L</v>
      </c>
      <c r="AU77" s="3">
        <v>305</v>
      </c>
      <c r="AV77" s="3" t="str">
        <f>IFERROR(MID(VLOOKUP($B77,Seqs!$A:$B,2,0),AW77,1),"")</f>
        <v>G</v>
      </c>
      <c r="AW77" s="3">
        <v>306</v>
      </c>
      <c r="AX77" s="3" t="str">
        <f>IFERROR(MID(VLOOKUP($B77,Seqs!$A:$B,2,0),AY77,1),"")</f>
        <v>I</v>
      </c>
      <c r="AY77" s="3">
        <v>320</v>
      </c>
      <c r="AZ77" s="79" t="str">
        <f>VLOOKUP(B77,Classification!A:D,2,0)</f>
        <v>A</v>
      </c>
      <c r="BA77" s="97" t="str">
        <f>VLOOKUP(B77,Classification!A:D,4,0)</f>
        <v>Angiotensin</v>
      </c>
      <c r="BB77" s="27" t="b">
        <f t="shared" si="223"/>
        <v>1</v>
      </c>
      <c r="BC77" s="23">
        <f t="shared" si="196"/>
        <v>263</v>
      </c>
      <c r="BD77" s="57" t="s">
        <v>1379</v>
      </c>
      <c r="BE77" s="3" t="s">
        <v>1381</v>
      </c>
      <c r="BF77" s="50" t="s">
        <v>1379</v>
      </c>
      <c r="BG77" s="50" t="s">
        <v>1384</v>
      </c>
      <c r="BH77" s="1"/>
      <c r="BI77" s="72" t="s">
        <v>1293</v>
      </c>
      <c r="BJ77" s="58" t="s">
        <v>1293</v>
      </c>
      <c r="BK77" s="58" t="s">
        <v>1293</v>
      </c>
      <c r="BL77" s="58" t="s">
        <v>1293</v>
      </c>
      <c r="BM77" s="58" t="s">
        <v>1293</v>
      </c>
      <c r="BN77" s="58" t="s">
        <v>1293</v>
      </c>
      <c r="BO77" s="58" t="s">
        <v>1293</v>
      </c>
      <c r="BP77" s="58" t="s">
        <v>1293</v>
      </c>
      <c r="BQ77" s="58" t="s">
        <v>1293</v>
      </c>
      <c r="BR77" s="58" t="s">
        <v>1293</v>
      </c>
      <c r="BS77" s="58" t="s">
        <v>1293</v>
      </c>
      <c r="BT77" s="58" t="s">
        <v>1293</v>
      </c>
      <c r="BU77" s="72">
        <f t="shared" si="197"/>
        <v>26</v>
      </c>
      <c r="BV77" s="73">
        <f t="shared" si="198"/>
        <v>57</v>
      </c>
      <c r="BW77" s="74">
        <f t="shared" si="199"/>
        <v>61</v>
      </c>
      <c r="BX77" s="73">
        <f t="shared" si="200"/>
        <v>93</v>
      </c>
      <c r="BY77" s="74">
        <f t="shared" si="201"/>
        <v>97</v>
      </c>
      <c r="BZ77" s="73">
        <f t="shared" si="202"/>
        <v>133</v>
      </c>
      <c r="CA77" s="74">
        <f t="shared" si="203"/>
        <v>141</v>
      </c>
      <c r="CB77" s="73">
        <f t="shared" si="204"/>
        <v>180</v>
      </c>
      <c r="CC77" s="74">
        <f t="shared" si="205"/>
        <v>191</v>
      </c>
      <c r="CD77" s="73">
        <f t="shared" si="206"/>
        <v>233</v>
      </c>
      <c r="CE77" s="74">
        <f t="shared" si="207"/>
        <v>273</v>
      </c>
      <c r="CF77" s="73">
        <f t="shared" si="208"/>
        <v>306</v>
      </c>
      <c r="CG77" s="72">
        <f t="shared" si="209"/>
        <v>56</v>
      </c>
      <c r="CH77" s="73">
        <f t="shared" si="210"/>
        <v>60</v>
      </c>
      <c r="CI77" s="74">
        <f t="shared" si="211"/>
        <v>90</v>
      </c>
      <c r="CJ77" s="74">
        <f t="shared" si="212"/>
        <v>96</v>
      </c>
      <c r="CK77" s="74">
        <f t="shared" si="213"/>
        <v>132</v>
      </c>
      <c r="CL77" s="74">
        <f t="shared" si="214"/>
        <v>140</v>
      </c>
      <c r="CM77" s="74">
        <f t="shared" si="215"/>
        <v>167</v>
      </c>
      <c r="CN77" s="74">
        <f t="shared" si="216"/>
        <v>182</v>
      </c>
      <c r="CO77" s="74">
        <f t="shared" si="217"/>
        <v>225</v>
      </c>
      <c r="CP77" s="74">
        <f t="shared" si="218"/>
        <v>269</v>
      </c>
      <c r="CQ77" s="74">
        <f t="shared" si="219"/>
        <v>305</v>
      </c>
      <c r="CR77" s="74">
        <f t="shared" si="220"/>
        <v>320</v>
      </c>
      <c r="CS77" s="23">
        <f t="shared" si="221"/>
        <v>1</v>
      </c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</row>
    <row r="78" spans="1:1028" x14ac:dyDescent="0.2">
      <c r="A78" s="3" t="str">
        <f t="shared" si="222"/>
        <v>agtr1_human_4YAY</v>
      </c>
      <c r="B78" s="3" t="s">
        <v>158</v>
      </c>
      <c r="C78" s="3" t="s">
        <v>69</v>
      </c>
      <c r="D78" s="3" t="str">
        <f>IFERROR(MID(VLOOKUP($B78,Seqs!$A:$B,2,0),E78,1),"")</f>
        <v>Y</v>
      </c>
      <c r="E78" s="3">
        <v>26</v>
      </c>
      <c r="F78" s="3" t="str">
        <f>IFERROR(MID(VLOOKUP($B78,Seqs!$A:$B,2,0),G78,1),"")</f>
        <v>Y</v>
      </c>
      <c r="G78" s="3">
        <v>56</v>
      </c>
      <c r="H78" s="3" t="str">
        <f>IFERROR(MID(VLOOKUP($B78,Seqs!$A:$B,2,0),I78,1),"")</f>
        <v>M</v>
      </c>
      <c r="I78" s="23">
        <v>57</v>
      </c>
      <c r="J78" s="3" t="str">
        <f>IFERROR(MID(VLOOKUP($B78,Seqs!$A:$B,2,0),K78,1),"")</f>
        <v>K</v>
      </c>
      <c r="K78" s="23">
        <v>60</v>
      </c>
      <c r="L78" s="3" t="str">
        <f>IFERROR(MID(VLOOKUP($B78,Seqs!$A:$B,2,0),M78,1),"")</f>
        <v>T</v>
      </c>
      <c r="M78" s="3">
        <v>61</v>
      </c>
      <c r="N78" s="3" t="str">
        <f>IFERROR(MID(VLOOKUP($B78,Seqs!$A:$B,2,0),O78,1),"")</f>
        <v>M</v>
      </c>
      <c r="O78" s="3">
        <v>90</v>
      </c>
      <c r="P78" s="3" t="str">
        <f>IFERROR(MID(VLOOKUP($B78,Seqs!$A:$B,2,0),Q78,1),"")</f>
        <v>R</v>
      </c>
      <c r="Q78" s="3">
        <v>93</v>
      </c>
      <c r="R78" s="3" t="str">
        <f>IFERROR(MID(VLOOKUP($B78,Seqs!$A:$B,2,0),S78,1),"")</f>
        <v>F</v>
      </c>
      <c r="S78" s="3">
        <v>96</v>
      </c>
      <c r="T78" s="3" t="str">
        <f>IFERROR(MID(VLOOKUP($B78,Seqs!$A:$B,2,0),U78,1),"")</f>
        <v>G</v>
      </c>
      <c r="U78" s="3">
        <v>97</v>
      </c>
      <c r="V78" s="3" t="str">
        <f>IFERROR(MID(VLOOKUP($B78,Seqs!$A:$B,2,0),W78,1),"")</f>
        <v>H</v>
      </c>
      <c r="W78" s="3">
        <v>132</v>
      </c>
      <c r="X78" s="3" t="str">
        <f>IFERROR(MID(VLOOKUP($B78,Seqs!$A:$B,2,0),Y78,1),"")</f>
        <v/>
      </c>
      <c r="Y78" s="3" t="s">
        <v>23</v>
      </c>
      <c r="Z78" s="3" t="str">
        <f>IFERROR(MID(VLOOKUP($B78,Seqs!$A:$B,2,0),AA78,1),"")</f>
        <v/>
      </c>
      <c r="AA78" s="3" t="s">
        <v>23</v>
      </c>
      <c r="AB78" s="3" t="str">
        <f>IFERROR(MID(VLOOKUP($B78,Seqs!$A:$B,2,0),AC78,1),"")</f>
        <v>R</v>
      </c>
      <c r="AC78" s="9">
        <v>137</v>
      </c>
      <c r="AD78" s="3" t="str">
        <f>IFERROR(MID(VLOOKUP($B78,Seqs!$A:$B,2,0),AE78,1),"")</f>
        <v>R</v>
      </c>
      <c r="AE78" s="3">
        <v>167</v>
      </c>
      <c r="AF78" s="3" t="str">
        <f>IFERROR(MID(VLOOKUP($B78,Seqs!$A:$B,2,0),AG78,1),"")</f>
        <v>C</v>
      </c>
      <c r="AG78" s="3">
        <v>180</v>
      </c>
      <c r="AH78" s="3" t="str">
        <f>IFERROR(MID(VLOOKUP($B78,Seqs!$A:$B,2,0),AI78,1),"")</f>
        <v>F</v>
      </c>
      <c r="AI78" s="3">
        <v>182</v>
      </c>
      <c r="AJ78" s="3" t="str">
        <f>IFERROR(MID(VLOOKUP($B78,Seqs!$A:$B,2,0),AK78,1),"")</f>
        <v>L</v>
      </c>
      <c r="AK78" s="3">
        <v>191</v>
      </c>
      <c r="AL78" s="3" t="str">
        <f>IFERROR(MID(VLOOKUP($B78,Seqs!$A:$B,2,0),AM78,1),"")</f>
        <v>L</v>
      </c>
      <c r="AM78" s="3">
        <v>222</v>
      </c>
      <c r="AN78" s="3" t="str">
        <f>IFERROR(MID(VLOOKUP($B78,Seqs!$A:$B,2,0),AO78,1),"")</f>
        <v>N</v>
      </c>
      <c r="AO78" s="3">
        <v>235</v>
      </c>
      <c r="AP78" s="3" t="str">
        <f>IFERROR(MID(VLOOKUP($B78,Seqs!$A:$B,2,0),AQ78,1),"")</f>
        <v>G</v>
      </c>
      <c r="AQ78" s="3">
        <v>269</v>
      </c>
      <c r="AR78" s="3" t="str">
        <f>IFERROR(MID(VLOOKUP($B78,Seqs!$A:$B,2,0),AS78,1),"")</f>
        <v>D</v>
      </c>
      <c r="AS78" s="3">
        <v>273</v>
      </c>
      <c r="AT78" s="3" t="str">
        <f>IFERROR(MID(VLOOKUP($B78,Seqs!$A:$B,2,0),AU78,1),"")</f>
        <v>N</v>
      </c>
      <c r="AU78" s="3">
        <v>298</v>
      </c>
      <c r="AV78" s="3" t="str">
        <f>IFERROR(MID(VLOOKUP($B78,Seqs!$A:$B,2,0),AW78,1),"")</f>
        <v/>
      </c>
      <c r="AW78" s="3" t="s">
        <v>23</v>
      </c>
      <c r="AX78" s="3" t="str">
        <f>IFERROR(MID(VLOOKUP($B78,Seqs!$A:$B,2,0),AY78,1),"")</f>
        <v/>
      </c>
      <c r="AY78" s="3" t="s">
        <v>23</v>
      </c>
      <c r="AZ78" s="79" t="str">
        <f>VLOOKUP(B78,Classification!A:D,2,0)</f>
        <v>A</v>
      </c>
      <c r="BA78" s="97" t="str">
        <f>VLOOKUP(B78,Classification!A:D,4,0)</f>
        <v>Angiotensin</v>
      </c>
      <c r="BB78" s="27" t="b">
        <f t="shared" si="223"/>
        <v>1</v>
      </c>
      <c r="BC78" s="23">
        <f t="shared" si="196"/>
        <v>234</v>
      </c>
      <c r="BD78" s="4" t="s">
        <v>23</v>
      </c>
      <c r="BE78" s="3" t="s">
        <v>1381</v>
      </c>
      <c r="BF78" s="50" t="s">
        <v>1384</v>
      </c>
      <c r="BG78" s="50" t="s">
        <v>1384</v>
      </c>
      <c r="BH78" s="1"/>
      <c r="BI78" s="72" t="s">
        <v>1293</v>
      </c>
      <c r="BJ78" s="58" t="s">
        <v>1293</v>
      </c>
      <c r="BK78" s="58" t="s">
        <v>1293</v>
      </c>
      <c r="BL78" s="58" t="s">
        <v>1293</v>
      </c>
      <c r="BM78" s="58" t="s">
        <v>1293</v>
      </c>
      <c r="BN78" s="58" t="s">
        <v>1293</v>
      </c>
      <c r="BO78" s="58" t="s">
        <v>1293</v>
      </c>
      <c r="BP78" s="58" t="s">
        <v>1293</v>
      </c>
      <c r="BQ78" s="58" t="s">
        <v>1293</v>
      </c>
      <c r="BR78" s="58" t="s">
        <v>1293</v>
      </c>
      <c r="BS78" s="58" t="s">
        <v>1293</v>
      </c>
      <c r="BT78" s="58" t="s">
        <v>1293</v>
      </c>
      <c r="BU78" s="72">
        <f t="shared" si="197"/>
        <v>26</v>
      </c>
      <c r="BV78" s="73">
        <f t="shared" si="198"/>
        <v>57</v>
      </c>
      <c r="BW78" s="74">
        <f t="shared" si="199"/>
        <v>61</v>
      </c>
      <c r="BX78" s="73">
        <f t="shared" si="200"/>
        <v>93</v>
      </c>
      <c r="BY78" s="74">
        <f t="shared" si="201"/>
        <v>97</v>
      </c>
      <c r="BZ78" s="73" t="str">
        <f t="shared" si="202"/>
        <v>-</v>
      </c>
      <c r="CA78" s="74">
        <f t="shared" si="203"/>
        <v>137</v>
      </c>
      <c r="CB78" s="73">
        <f t="shared" si="204"/>
        <v>180</v>
      </c>
      <c r="CC78" s="74">
        <f t="shared" si="205"/>
        <v>191</v>
      </c>
      <c r="CD78" s="73">
        <f t="shared" si="206"/>
        <v>235</v>
      </c>
      <c r="CE78" s="74">
        <f t="shared" si="207"/>
        <v>273</v>
      </c>
      <c r="CF78" s="73" t="str">
        <f t="shared" si="208"/>
        <v>-</v>
      </c>
      <c r="CG78" s="72">
        <f t="shared" si="209"/>
        <v>56</v>
      </c>
      <c r="CH78" s="73">
        <f t="shared" si="210"/>
        <v>60</v>
      </c>
      <c r="CI78" s="74">
        <f t="shared" si="211"/>
        <v>90</v>
      </c>
      <c r="CJ78" s="74">
        <f t="shared" si="212"/>
        <v>96</v>
      </c>
      <c r="CK78" s="74">
        <f t="shared" si="213"/>
        <v>132</v>
      </c>
      <c r="CL78" s="74" t="str">
        <f t="shared" si="214"/>
        <v>-</v>
      </c>
      <c r="CM78" s="74">
        <f t="shared" si="215"/>
        <v>167</v>
      </c>
      <c r="CN78" s="74">
        <f t="shared" si="216"/>
        <v>182</v>
      </c>
      <c r="CO78" s="74">
        <f t="shared" si="217"/>
        <v>222</v>
      </c>
      <c r="CP78" s="74">
        <f t="shared" si="218"/>
        <v>269</v>
      </c>
      <c r="CQ78" s="74">
        <f t="shared" si="219"/>
        <v>298</v>
      </c>
      <c r="CR78" s="74" t="str">
        <f t="shared" si="220"/>
        <v>-</v>
      </c>
      <c r="CS78" s="23">
        <f t="shared" si="221"/>
        <v>1</v>
      </c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</row>
    <row r="79" spans="1:1028" x14ac:dyDescent="0.2">
      <c r="A79" s="3" t="str">
        <f t="shared" si="222"/>
        <v>agtr1_human_4YAY_dist</v>
      </c>
      <c r="B79" s="3" t="s">
        <v>158</v>
      </c>
      <c r="C79" s="3" t="s">
        <v>1160</v>
      </c>
      <c r="D79" s="3" t="str">
        <f>IFERROR(MID(VLOOKUP($B79,Seqs!$A:$B,2,0),E79,1),"")</f>
        <v>Y</v>
      </c>
      <c r="E79" s="3">
        <v>26</v>
      </c>
      <c r="F79" s="3" t="str">
        <f>IFERROR(MID(VLOOKUP($B79,Seqs!$A:$B,2,0),G79,1),"")</f>
        <v>Y</v>
      </c>
      <c r="G79" s="3">
        <v>56</v>
      </c>
      <c r="H79" s="3" t="str">
        <f>IFERROR(MID(VLOOKUP($B79,Seqs!$A:$B,2,0),I79,1),"")</f>
        <v>M</v>
      </c>
      <c r="I79" s="23">
        <v>57</v>
      </c>
      <c r="J79" s="3" t="str">
        <f>IFERROR(MID(VLOOKUP($B79,Seqs!$A:$B,2,0),K79,1),"")</f>
        <v>K</v>
      </c>
      <c r="K79" s="23">
        <v>60</v>
      </c>
      <c r="L79" s="3" t="str">
        <f>IFERROR(MID(VLOOKUP($B79,Seqs!$A:$B,2,0),M79,1),"")</f>
        <v>T</v>
      </c>
      <c r="M79" s="3">
        <v>61</v>
      </c>
      <c r="N79" s="3" t="str">
        <f>IFERROR(MID(VLOOKUP($B79,Seqs!$A:$B,2,0),O79,1),"")</f>
        <v>M</v>
      </c>
      <c r="O79" s="3">
        <v>90</v>
      </c>
      <c r="P79" s="3" t="str">
        <f>IFERROR(MID(VLOOKUP($B79,Seqs!$A:$B,2,0),Q79,1),"")</f>
        <v>R</v>
      </c>
      <c r="Q79" s="3">
        <v>93</v>
      </c>
      <c r="R79" s="3" t="str">
        <f>IFERROR(MID(VLOOKUP($B79,Seqs!$A:$B,2,0),S79,1),"")</f>
        <v>F</v>
      </c>
      <c r="S79" s="3">
        <v>96</v>
      </c>
      <c r="T79" s="3" t="str">
        <f>IFERROR(MID(VLOOKUP($B79,Seqs!$A:$B,2,0),U79,1),"")</f>
        <v>G</v>
      </c>
      <c r="U79" s="3">
        <v>97</v>
      </c>
      <c r="V79" s="3" t="str">
        <f>IFERROR(MID(VLOOKUP($B79,Seqs!$A:$B,2,0),W79,1),"")</f>
        <v>H</v>
      </c>
      <c r="W79" s="3">
        <v>132</v>
      </c>
      <c r="X79" s="3" t="str">
        <f>IFERROR(MID(VLOOKUP($B79,Seqs!$A:$B,2,0),Y79,1),"")</f>
        <v/>
      </c>
      <c r="Y79" s="3" t="s">
        <v>23</v>
      </c>
      <c r="Z79" s="3" t="str">
        <f>IFERROR(MID(VLOOKUP($B79,Seqs!$A:$B,2,0),AA79,1),"")</f>
        <v/>
      </c>
      <c r="AA79" s="3" t="s">
        <v>23</v>
      </c>
      <c r="AB79" s="3" t="str">
        <f>IFERROR(MID(VLOOKUP($B79,Seqs!$A:$B,2,0),AC79,1),"")</f>
        <v>R</v>
      </c>
      <c r="AC79" s="9">
        <v>137</v>
      </c>
      <c r="AD79" s="3" t="str">
        <f>IFERROR(MID(VLOOKUP($B79,Seqs!$A:$B,2,0),AE79,1),"")</f>
        <v>R</v>
      </c>
      <c r="AE79" s="3">
        <v>167</v>
      </c>
      <c r="AF79" s="3" t="str">
        <f>IFERROR(MID(VLOOKUP($B79,Seqs!$A:$B,2,0),AG79,1),"")</f>
        <v>C</v>
      </c>
      <c r="AG79" s="3">
        <v>180</v>
      </c>
      <c r="AH79" s="3" t="str">
        <f>IFERROR(MID(VLOOKUP($B79,Seqs!$A:$B,2,0),AI79,1),"")</f>
        <v>F</v>
      </c>
      <c r="AI79" s="3">
        <v>182</v>
      </c>
      <c r="AJ79" s="3" t="str">
        <f>IFERROR(MID(VLOOKUP($B79,Seqs!$A:$B,2,0),AK79,1),"")</f>
        <v>L</v>
      </c>
      <c r="AK79" s="3">
        <v>191</v>
      </c>
      <c r="AL79" s="3" t="str">
        <f>IFERROR(MID(VLOOKUP($B79,Seqs!$A:$B,2,0),AM79,1),"")</f>
        <v>L</v>
      </c>
      <c r="AM79" s="3">
        <v>222</v>
      </c>
      <c r="AN79" s="3" t="str">
        <f>IFERROR(MID(VLOOKUP($B79,Seqs!$A:$B,2,0),AO79,1),"")</f>
        <v>N</v>
      </c>
      <c r="AO79" s="3">
        <v>235</v>
      </c>
      <c r="AP79" s="3" t="str">
        <f>IFERROR(MID(VLOOKUP($B79,Seqs!$A:$B,2,0),AQ79,1),"")</f>
        <v>G</v>
      </c>
      <c r="AQ79" s="3">
        <v>269</v>
      </c>
      <c r="AR79" s="3" t="str">
        <f>IFERROR(MID(VLOOKUP($B79,Seqs!$A:$B,2,0),AS79,1),"")</f>
        <v>D</v>
      </c>
      <c r="AS79" s="3">
        <v>273</v>
      </c>
      <c r="AT79" s="3" t="str">
        <f>IFERROR(MID(VLOOKUP($B79,Seqs!$A:$B,2,0),AU79,1),"")</f>
        <v>F</v>
      </c>
      <c r="AU79" s="3">
        <v>304</v>
      </c>
      <c r="AV79" s="3" t="str">
        <f>IFERROR(MID(VLOOKUP($B79,Seqs!$A:$B,2,0),AW79,1),"")</f>
        <v>G</v>
      </c>
      <c r="AW79" s="3">
        <v>306</v>
      </c>
      <c r="AX79" s="3" t="str">
        <f>IFERROR(MID(VLOOKUP($B79,Seqs!$A:$B,2,0),AY79,1),"")</f>
        <v>L</v>
      </c>
      <c r="AY79" s="3">
        <v>317</v>
      </c>
      <c r="AZ79" s="79" t="str">
        <f>VLOOKUP(B79,Classification!A:D,2,0)</f>
        <v>A</v>
      </c>
      <c r="BA79" s="97" t="str">
        <f>VLOOKUP(B79,Classification!A:D,4,0)</f>
        <v>Angiotensin</v>
      </c>
      <c r="BB79" s="27" t="b">
        <f t="shared" si="223"/>
        <v>1</v>
      </c>
      <c r="BC79" s="23">
        <f t="shared" si="196"/>
        <v>251</v>
      </c>
      <c r="BD79" s="5"/>
      <c r="BE79" s="3" t="s">
        <v>1381</v>
      </c>
      <c r="BF79" s="50" t="s">
        <v>1384</v>
      </c>
      <c r="BG79" s="50" t="s">
        <v>1384</v>
      </c>
      <c r="BH79" s="1"/>
      <c r="BI79" s="72" t="s">
        <v>1293</v>
      </c>
      <c r="BJ79" s="58" t="s">
        <v>1293</v>
      </c>
      <c r="BK79" s="58" t="s">
        <v>1293</v>
      </c>
      <c r="BL79" s="58" t="s">
        <v>1293</v>
      </c>
      <c r="BM79" s="58" t="s">
        <v>1293</v>
      </c>
      <c r="BN79" s="58" t="s">
        <v>1293</v>
      </c>
      <c r="BO79" s="58" t="s">
        <v>1293</v>
      </c>
      <c r="BP79" s="58" t="s">
        <v>1293</v>
      </c>
      <c r="BQ79" s="58" t="s">
        <v>1293</v>
      </c>
      <c r="BR79" s="58" t="s">
        <v>1293</v>
      </c>
      <c r="BS79" s="58" t="s">
        <v>1293</v>
      </c>
      <c r="BT79" s="58" t="s">
        <v>1293</v>
      </c>
      <c r="BU79" s="72">
        <f t="shared" si="197"/>
        <v>26</v>
      </c>
      <c r="BV79" s="73">
        <f t="shared" si="198"/>
        <v>57</v>
      </c>
      <c r="BW79" s="74">
        <f t="shared" si="199"/>
        <v>61</v>
      </c>
      <c r="BX79" s="73">
        <f t="shared" si="200"/>
        <v>93</v>
      </c>
      <c r="BY79" s="74">
        <f t="shared" si="201"/>
        <v>97</v>
      </c>
      <c r="BZ79" s="73" t="str">
        <f t="shared" si="202"/>
        <v>-</v>
      </c>
      <c r="CA79" s="74">
        <f t="shared" si="203"/>
        <v>137</v>
      </c>
      <c r="CB79" s="73">
        <f t="shared" si="204"/>
        <v>180</v>
      </c>
      <c r="CC79" s="74">
        <f t="shared" si="205"/>
        <v>191</v>
      </c>
      <c r="CD79" s="73">
        <f t="shared" si="206"/>
        <v>235</v>
      </c>
      <c r="CE79" s="74">
        <f t="shared" si="207"/>
        <v>273</v>
      </c>
      <c r="CF79" s="73">
        <f t="shared" si="208"/>
        <v>306</v>
      </c>
      <c r="CG79" s="72">
        <f t="shared" si="209"/>
        <v>56</v>
      </c>
      <c r="CH79" s="73">
        <f t="shared" si="210"/>
        <v>60</v>
      </c>
      <c r="CI79" s="74">
        <f t="shared" si="211"/>
        <v>90</v>
      </c>
      <c r="CJ79" s="74">
        <f t="shared" si="212"/>
        <v>96</v>
      </c>
      <c r="CK79" s="74">
        <f t="shared" si="213"/>
        <v>132</v>
      </c>
      <c r="CL79" s="74" t="str">
        <f t="shared" si="214"/>
        <v>-</v>
      </c>
      <c r="CM79" s="74">
        <f t="shared" si="215"/>
        <v>167</v>
      </c>
      <c r="CN79" s="74">
        <f t="shared" si="216"/>
        <v>182</v>
      </c>
      <c r="CO79" s="74">
        <f t="shared" si="217"/>
        <v>222</v>
      </c>
      <c r="CP79" s="74">
        <f t="shared" si="218"/>
        <v>269</v>
      </c>
      <c r="CQ79" s="74">
        <f t="shared" si="219"/>
        <v>304</v>
      </c>
      <c r="CR79" s="74">
        <f t="shared" si="220"/>
        <v>317</v>
      </c>
      <c r="CS79" s="23">
        <f t="shared" si="221"/>
        <v>1</v>
      </c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</row>
    <row r="80" spans="1:1028" x14ac:dyDescent="0.2">
      <c r="A80" s="3" t="str">
        <f t="shared" si="222"/>
        <v>agtr1_human_4ZUD</v>
      </c>
      <c r="B80" s="3" t="s">
        <v>158</v>
      </c>
      <c r="C80" s="3" t="s">
        <v>1342</v>
      </c>
      <c r="D80" s="3" t="str">
        <f>IFERROR(MID(VLOOKUP($B80,Seqs!$A:$B,2,0),E80,1),"")</f>
        <v>Y</v>
      </c>
      <c r="E80" s="3">
        <v>26</v>
      </c>
      <c r="F80" s="3" t="str">
        <f>IFERROR(MID(VLOOKUP($B80,Seqs!$A:$B,2,0),G80,1),"")</f>
        <v>Y</v>
      </c>
      <c r="G80" s="3">
        <v>56</v>
      </c>
      <c r="H80" s="3" t="str">
        <f>IFERROR(MID(VLOOKUP($B80,Seqs!$A:$B,2,0),I80,1),"")</f>
        <v>M</v>
      </c>
      <c r="I80" s="23">
        <v>57</v>
      </c>
      <c r="J80" s="3" t="str">
        <f>IFERROR(MID(VLOOKUP($B80,Seqs!$A:$B,2,0),K80,1),"")</f>
        <v>K</v>
      </c>
      <c r="K80" s="23">
        <v>60</v>
      </c>
      <c r="L80" s="3" t="str">
        <f>IFERROR(MID(VLOOKUP($B80,Seqs!$A:$B,2,0),M80,1),"")</f>
        <v>T</v>
      </c>
      <c r="M80" s="3">
        <v>61</v>
      </c>
      <c r="N80" s="3" t="str">
        <f>IFERROR(MID(VLOOKUP($B80,Seqs!$A:$B,2,0),O80,1),"")</f>
        <v>M</v>
      </c>
      <c r="O80" s="3">
        <v>90</v>
      </c>
      <c r="P80" s="3" t="str">
        <f>IFERROR(MID(VLOOKUP($B80,Seqs!$A:$B,2,0),Q80,1),"")</f>
        <v>R</v>
      </c>
      <c r="Q80" s="3">
        <v>93</v>
      </c>
      <c r="R80" s="3" t="str">
        <f>IFERROR(MID(VLOOKUP($B80,Seqs!$A:$B,2,0),S80,1),"")</f>
        <v>F</v>
      </c>
      <c r="S80" s="3">
        <v>96</v>
      </c>
      <c r="T80" s="3" t="str">
        <f>IFERROR(MID(VLOOKUP($B80,Seqs!$A:$B,2,0),U80,1),"")</f>
        <v>G</v>
      </c>
      <c r="U80" s="3">
        <v>97</v>
      </c>
      <c r="V80" s="3" t="str">
        <f>IFERROR(MID(VLOOKUP($B80,Seqs!$A:$B,2,0),W80,1),"")</f>
        <v>H</v>
      </c>
      <c r="W80" s="3">
        <v>132</v>
      </c>
      <c r="X80" s="3" t="str">
        <f>IFERROR(MID(VLOOKUP($B80,Seqs!$A:$B,2,0),Y80,1),"")</f>
        <v/>
      </c>
      <c r="Y80" s="3" t="s">
        <v>23</v>
      </c>
      <c r="Z80" s="3" t="str">
        <f>IFERROR(MID(VLOOKUP($B80,Seqs!$A:$B,2,0),AA80,1),"")</f>
        <v/>
      </c>
      <c r="AA80" s="3" t="s">
        <v>23</v>
      </c>
      <c r="AB80" s="3" t="str">
        <f>IFERROR(MID(VLOOKUP($B80,Seqs!$A:$B,2,0),AC80,1),"")</f>
        <v>M</v>
      </c>
      <c r="AC80" s="9">
        <v>142</v>
      </c>
      <c r="AD80" s="3" t="str">
        <f>IFERROR(MID(VLOOKUP($B80,Seqs!$A:$B,2,0),AE80,1),"")</f>
        <v>R</v>
      </c>
      <c r="AE80" s="3">
        <v>167</v>
      </c>
      <c r="AF80" s="3" t="str">
        <f>IFERROR(MID(VLOOKUP($B80,Seqs!$A:$B,2,0),AG80,1),"")</f>
        <v>C</v>
      </c>
      <c r="AG80" s="3">
        <v>180</v>
      </c>
      <c r="AH80" s="3" t="str">
        <f>IFERROR(MID(VLOOKUP($B80,Seqs!$A:$B,2,0),AI80,1),"")</f>
        <v>F</v>
      </c>
      <c r="AI80" s="3">
        <v>182</v>
      </c>
      <c r="AJ80" s="3" t="str">
        <f>IFERROR(MID(VLOOKUP($B80,Seqs!$A:$B,2,0),AK80,1),"")</f>
        <v>L</v>
      </c>
      <c r="AK80" s="3">
        <v>191</v>
      </c>
      <c r="AL80" s="3" t="str">
        <f>IFERROR(MID(VLOOKUP($B80,Seqs!$A:$B,2,0),AM80,1),"")</f>
        <v>L</v>
      </c>
      <c r="AM80" s="3">
        <v>222</v>
      </c>
      <c r="AN80" s="3" t="str">
        <f>IFERROR(MID(VLOOKUP($B80,Seqs!$A:$B,2,0),AO80,1),"")</f>
        <v>D</v>
      </c>
      <c r="AO80" s="3">
        <v>236</v>
      </c>
      <c r="AP80" s="3" t="str">
        <f>IFERROR(MID(VLOOKUP($B80,Seqs!$A:$B,2,0),AQ80,1),"")</f>
        <v>G</v>
      </c>
      <c r="AQ80" s="3">
        <v>269</v>
      </c>
      <c r="AR80" s="3" t="str">
        <f>IFERROR(MID(VLOOKUP($B80,Seqs!$A:$B,2,0),AS80,1),"")</f>
        <v>D</v>
      </c>
      <c r="AS80" s="3">
        <v>273</v>
      </c>
      <c r="AT80" s="3" t="str">
        <f>IFERROR(MID(VLOOKUP($B80,Seqs!$A:$B,2,0),AU80,1),"")</f>
        <v>F</v>
      </c>
      <c r="AU80" s="3">
        <v>304</v>
      </c>
      <c r="AV80" s="3" t="str">
        <f>IFERROR(MID(VLOOKUP($B80,Seqs!$A:$B,2,0),AW80,1),"")</f>
        <v/>
      </c>
      <c r="AW80" s="3" t="s">
        <v>23</v>
      </c>
      <c r="AX80" s="3" t="str">
        <f>IFERROR(MID(VLOOKUP($B80,Seqs!$A:$B,2,0),AY80,1),"")</f>
        <v/>
      </c>
      <c r="AY80" s="3" t="s">
        <v>23</v>
      </c>
      <c r="AZ80" s="79" t="str">
        <f>VLOOKUP(B80,Classification!A:D,2,0)</f>
        <v>A</v>
      </c>
      <c r="BA80" s="97" t="str">
        <f>VLOOKUP(B80,Classification!A:D,4,0)</f>
        <v>Angiotensin</v>
      </c>
      <c r="BB80" s="27" t="b">
        <f t="shared" si="223"/>
        <v>1</v>
      </c>
      <c r="BC80" s="23">
        <f t="shared" si="196"/>
        <v>234</v>
      </c>
      <c r="BD80" s="2" t="s">
        <v>1383</v>
      </c>
      <c r="BE80" s="3" t="s">
        <v>1381</v>
      </c>
      <c r="BF80" s="50" t="s">
        <v>1384</v>
      </c>
      <c r="BG80" s="50" t="s">
        <v>1384</v>
      </c>
      <c r="BH80" s="1"/>
      <c r="BI80" s="72" t="s">
        <v>1293</v>
      </c>
      <c r="BJ80" s="58" t="s">
        <v>1293</v>
      </c>
      <c r="BK80" s="58" t="s">
        <v>1293</v>
      </c>
      <c r="BL80" s="58" t="s">
        <v>1293</v>
      </c>
      <c r="BM80" s="58" t="s">
        <v>1293</v>
      </c>
      <c r="BN80" s="58" t="s">
        <v>1293</v>
      </c>
      <c r="BO80" s="58" t="s">
        <v>1293</v>
      </c>
      <c r="BP80" s="58" t="s">
        <v>1293</v>
      </c>
      <c r="BQ80" s="58" t="s">
        <v>1293</v>
      </c>
      <c r="BR80" s="58" t="s">
        <v>1293</v>
      </c>
      <c r="BS80" s="58" t="s">
        <v>1293</v>
      </c>
      <c r="BT80" s="58" t="s">
        <v>1293</v>
      </c>
      <c r="BU80" s="72">
        <f t="shared" si="197"/>
        <v>26</v>
      </c>
      <c r="BV80" s="73">
        <f t="shared" si="198"/>
        <v>57</v>
      </c>
      <c r="BW80" s="74">
        <f t="shared" si="199"/>
        <v>61</v>
      </c>
      <c r="BX80" s="73">
        <f t="shared" si="200"/>
        <v>93</v>
      </c>
      <c r="BY80" s="74">
        <f t="shared" si="201"/>
        <v>97</v>
      </c>
      <c r="BZ80" s="73" t="str">
        <f t="shared" si="202"/>
        <v>-</v>
      </c>
      <c r="CA80" s="74">
        <f t="shared" si="203"/>
        <v>142</v>
      </c>
      <c r="CB80" s="73">
        <f t="shared" si="204"/>
        <v>180</v>
      </c>
      <c r="CC80" s="74">
        <f t="shared" si="205"/>
        <v>191</v>
      </c>
      <c r="CD80" s="73">
        <f t="shared" si="206"/>
        <v>236</v>
      </c>
      <c r="CE80" s="74">
        <f t="shared" si="207"/>
        <v>273</v>
      </c>
      <c r="CF80" s="73" t="str">
        <f t="shared" si="208"/>
        <v>-</v>
      </c>
      <c r="CG80" s="72">
        <f t="shared" si="209"/>
        <v>56</v>
      </c>
      <c r="CH80" s="73">
        <f t="shared" si="210"/>
        <v>60</v>
      </c>
      <c r="CI80" s="74">
        <f t="shared" si="211"/>
        <v>90</v>
      </c>
      <c r="CJ80" s="74">
        <f t="shared" si="212"/>
        <v>96</v>
      </c>
      <c r="CK80" s="74">
        <f t="shared" si="213"/>
        <v>132</v>
      </c>
      <c r="CL80" s="74" t="str">
        <f t="shared" si="214"/>
        <v>-</v>
      </c>
      <c r="CM80" s="74">
        <f t="shared" si="215"/>
        <v>167</v>
      </c>
      <c r="CN80" s="74">
        <f t="shared" si="216"/>
        <v>182</v>
      </c>
      <c r="CO80" s="74">
        <f t="shared" si="217"/>
        <v>222</v>
      </c>
      <c r="CP80" s="74">
        <f t="shared" si="218"/>
        <v>269</v>
      </c>
      <c r="CQ80" s="74">
        <f t="shared" si="219"/>
        <v>304</v>
      </c>
      <c r="CR80" s="74" t="str">
        <f t="shared" si="220"/>
        <v>-</v>
      </c>
      <c r="CS80" s="23">
        <f t="shared" si="221"/>
        <v>1</v>
      </c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</row>
    <row r="81" spans="1:1029" x14ac:dyDescent="0.2">
      <c r="A81" s="3" t="str">
        <f t="shared" ref="A81:A82" si="224">CONCATENATE(B81,"_",C81)</f>
        <v>agtr2_human__wt</v>
      </c>
      <c r="B81" s="3" t="s">
        <v>159</v>
      </c>
      <c r="C81" s="3" t="s">
        <v>100</v>
      </c>
      <c r="D81" s="3" t="str">
        <f>IFERROR(MID(VLOOKUP($B81,Seqs!$A:$B,2,0),E81,1),"")</f>
        <v>D</v>
      </c>
      <c r="E81" s="3">
        <v>45</v>
      </c>
      <c r="F81" s="3" t="str">
        <f>IFERROR(MID(VLOOKUP($B81,Seqs!$A:$B,2,0),G81,1),"")</f>
        <v>Q</v>
      </c>
      <c r="G81" s="3">
        <v>72</v>
      </c>
      <c r="H81" s="3" t="str">
        <f>IFERROR(MID(VLOOKUP($B81,Seqs!$A:$B,2,0),I81,1),"")</f>
        <v/>
      </c>
      <c r="I81" s="23" t="s">
        <v>23</v>
      </c>
      <c r="J81" s="3" t="str">
        <f>IFERROR(MID(VLOOKUP($B81,Seqs!$A:$B,2,0),K81,1),"")</f>
        <v/>
      </c>
      <c r="K81" s="23" t="s">
        <v>23</v>
      </c>
      <c r="L81" s="3" t="str">
        <f>IFERROR(MID(VLOOKUP($B81,Seqs!$A:$B,2,0),M81,1),"")</f>
        <v>V</v>
      </c>
      <c r="M81" s="3">
        <v>78</v>
      </c>
      <c r="N81" s="3" t="str">
        <f>IFERROR(MID(VLOOKUP($B81,Seqs!$A:$B,2,0),O81,1),"")</f>
        <v>Y</v>
      </c>
      <c r="O81" s="3">
        <v>106</v>
      </c>
      <c r="P81" s="3" t="str">
        <f>IFERROR(MID(VLOOKUP($B81,Seqs!$A:$B,2,0),Q81,1),"")</f>
        <v>R</v>
      </c>
      <c r="Q81" s="3">
        <v>107</v>
      </c>
      <c r="R81" s="3" t="str">
        <f>IFERROR(MID(VLOOKUP($B81,Seqs!$A:$B,2,0),S81,1),"")</f>
        <v>F</v>
      </c>
      <c r="S81" s="3">
        <v>112</v>
      </c>
      <c r="T81" s="3" t="str">
        <f>IFERROR(MID(VLOOKUP($B81,Seqs!$A:$B,2,0),U81,1),"")</f>
        <v>G</v>
      </c>
      <c r="U81" s="3">
        <v>113</v>
      </c>
      <c r="V81" s="3" t="str">
        <f>IFERROR(MID(VLOOKUP($B81,Seqs!$A:$B,2,0),W81,1),"")</f>
        <v>Y</v>
      </c>
      <c r="W81" s="3">
        <v>148</v>
      </c>
      <c r="X81" s="3" t="str">
        <f>IFERROR(MID(VLOOKUP($B81,Seqs!$A:$B,2,0),Y81,1),"")</f>
        <v>P</v>
      </c>
      <c r="Y81" s="3">
        <v>149</v>
      </c>
      <c r="Z81" s="3" t="str">
        <f>IFERROR(MID(VLOOKUP($B81,Seqs!$A:$B,2,0),AA81,1),"")</f>
        <v>R</v>
      </c>
      <c r="AA81" s="3">
        <v>155</v>
      </c>
      <c r="AB81" s="3" t="str">
        <f>IFERROR(MID(VLOOKUP($B81,Seqs!$A:$B,2,0),AC81,1),"")</f>
        <v>N</v>
      </c>
      <c r="AC81" s="3">
        <v>156</v>
      </c>
      <c r="AD81" s="3" t="str">
        <f>IFERROR(MID(VLOOKUP($B81,Seqs!$A:$B,2,0),AE81,1),"")</f>
        <v>R</v>
      </c>
      <c r="AE81" s="3">
        <v>182</v>
      </c>
      <c r="AF81" s="3" t="str">
        <f>IFERROR(MID(VLOOKUP($B81,Seqs!$A:$B,2,0),AG81,1),"")</f>
        <v>C</v>
      </c>
      <c r="AG81" s="3">
        <v>195</v>
      </c>
      <c r="AH81" s="3" t="str">
        <f>IFERROR(MID(VLOOKUP($B81,Seqs!$A:$B,2,0),AI81,1),"")</f>
        <v>M</v>
      </c>
      <c r="AI81" s="3">
        <v>197</v>
      </c>
      <c r="AJ81" s="3" t="str">
        <f>IFERROR(MID(VLOOKUP($B81,Seqs!$A:$B,2,0),AK81,1),"")</f>
        <v>K</v>
      </c>
      <c r="AK81" s="3">
        <v>203</v>
      </c>
      <c r="AL81" s="3" t="str">
        <f>IFERROR(MID(VLOOKUP($B81,Seqs!$A:$B,2,0),AM81,1),"")</f>
        <v>T</v>
      </c>
      <c r="AM81" s="3">
        <v>241</v>
      </c>
      <c r="AN81" s="3" t="str">
        <f>IFERROR(MID(VLOOKUP($B81,Seqs!$A:$B,2,0),AO81,1),"")</f>
        <v>G</v>
      </c>
      <c r="AO81" s="3">
        <v>245</v>
      </c>
      <c r="AP81" s="3" t="str">
        <f>IFERROR(MID(VLOOKUP($B81,Seqs!$A:$B,2,0),AQ81,1),"")</f>
        <v>G</v>
      </c>
      <c r="AQ81" s="3">
        <v>285</v>
      </c>
      <c r="AR81" s="3" t="str">
        <f>IFERROR(MID(VLOOKUP($B81,Seqs!$A:$B,2,0),AS81,1),"")</f>
        <v>S</v>
      </c>
      <c r="AS81" s="3">
        <v>289</v>
      </c>
      <c r="AT81" s="3" t="str">
        <f>IFERROR(MID(VLOOKUP($B81,Seqs!$A:$B,2,0),AU81,1),"")</f>
        <v>V</v>
      </c>
      <c r="AU81" s="3">
        <v>321</v>
      </c>
      <c r="AV81" s="3" t="str">
        <f>IFERROR(MID(VLOOKUP($B81,Seqs!$A:$B,2,0),AW81,1),"")</f>
        <v>G</v>
      </c>
      <c r="AW81" s="3">
        <v>322</v>
      </c>
      <c r="AX81" s="3" t="str">
        <f>IFERROR(MID(VLOOKUP($B81,Seqs!$A:$B,2,0),AY81,1),"")</f>
        <v>P</v>
      </c>
      <c r="AY81" s="3">
        <v>336</v>
      </c>
      <c r="AZ81" s="79" t="str">
        <f>VLOOKUP(B81,Classification!A:D,2,0)</f>
        <v>A</v>
      </c>
      <c r="BA81" s="97" t="str">
        <f>VLOOKUP(B81,Classification!A:D,4,0)</f>
        <v>Angiotensin</v>
      </c>
      <c r="BB81" s="27" t="b">
        <f t="shared" ref="BB81:BB82" si="225">AND(E81&lt;G81,OR(G81&lt;I81,I81="-"),OR(I81&lt;K81,I81="-"),OR(K81&lt;M81,K81="-"),M81&lt;O81,OR(O81&lt;Q81,Q81="-"),OR(Q81&lt;S81,Q81="-"),OR(S81&lt;U81,S81="-"),U81&lt;W81,OR(W81&lt;Y81,Y81="-"),OR(Y81&lt;AA81,Y81="-"),OR(AA81&lt;AC81,AA81="-"),AC81&lt;AE81,OR(AE81&lt;AG81,AG81="-"),OR(AG81&lt;AI81,AG81="-"),OR(AI81&lt;AK81,AI81="-"),AK81&lt;AM81,AM81&lt;AO81,AO81&lt;AQ81,AQ81&lt;AS81,AS81&lt;AU81,OR(AU81&lt;AW81,AW81="-"),OR(AW81&lt;AY81,AW81="-"))</f>
        <v>1</v>
      </c>
      <c r="BC81" s="23">
        <f t="shared" ref="BC81:BC82" si="226">_xlfn.AGGREGATE(9,6,CG81:CR81)-_xlfn.AGGREGATE(9,6,BU81:CF81)+12</f>
        <v>265</v>
      </c>
      <c r="BD81" s="2"/>
      <c r="BE81" s="3" t="s">
        <v>1297</v>
      </c>
      <c r="BF81" s="50" t="s">
        <v>1384</v>
      </c>
      <c r="BG81" s="50" t="s">
        <v>1384</v>
      </c>
      <c r="BH81" s="1"/>
      <c r="BI81" s="72" t="s">
        <v>1293</v>
      </c>
      <c r="BJ81" s="58" t="s">
        <v>1293</v>
      </c>
      <c r="BK81" s="58" t="s">
        <v>1293</v>
      </c>
      <c r="BL81" s="58" t="s">
        <v>1293</v>
      </c>
      <c r="BM81" s="58" t="s">
        <v>1293</v>
      </c>
      <c r="BN81" s="58" t="s">
        <v>1293</v>
      </c>
      <c r="BO81" s="58" t="s">
        <v>1293</v>
      </c>
      <c r="BP81" s="58" t="s">
        <v>1293</v>
      </c>
      <c r="BQ81" s="58" t="s">
        <v>1293</v>
      </c>
      <c r="BR81" s="58" t="s">
        <v>1293</v>
      </c>
      <c r="BS81" s="58" t="s">
        <v>1293</v>
      </c>
      <c r="BT81" s="58" t="s">
        <v>1293</v>
      </c>
      <c r="BU81" s="72">
        <f t="shared" ref="BU81:BU82" si="227">E81</f>
        <v>45</v>
      </c>
      <c r="BV81" s="73" t="str">
        <f t="shared" ref="BV81:BV82" si="228">I81</f>
        <v>-</v>
      </c>
      <c r="BW81" s="74">
        <f t="shared" ref="BW81:BW82" si="229">M81</f>
        <v>78</v>
      </c>
      <c r="BX81" s="73">
        <f t="shared" ref="BX81:BX82" si="230">Q81</f>
        <v>107</v>
      </c>
      <c r="BY81" s="74">
        <f t="shared" ref="BY81:BY82" si="231">U81</f>
        <v>113</v>
      </c>
      <c r="BZ81" s="73">
        <f t="shared" ref="BZ81:BZ82" si="232">Y81</f>
        <v>149</v>
      </c>
      <c r="CA81" s="74">
        <f t="shared" ref="CA81:CA82" si="233">AC81</f>
        <v>156</v>
      </c>
      <c r="CB81" s="73">
        <f t="shared" ref="CB81:CB82" si="234">AG81</f>
        <v>195</v>
      </c>
      <c r="CC81" s="74">
        <f t="shared" ref="CC81:CC82" si="235">AK81</f>
        <v>203</v>
      </c>
      <c r="CD81" s="73">
        <f t="shared" ref="CD81:CD82" si="236">AO81</f>
        <v>245</v>
      </c>
      <c r="CE81" s="74">
        <f t="shared" ref="CE81:CE82" si="237">AS81</f>
        <v>289</v>
      </c>
      <c r="CF81" s="73">
        <f t="shared" ref="CF81:CF82" si="238">AW81</f>
        <v>322</v>
      </c>
      <c r="CG81" s="72">
        <f t="shared" ref="CG81:CG82" si="239">G81</f>
        <v>72</v>
      </c>
      <c r="CH81" s="73" t="str">
        <f t="shared" ref="CH81:CH82" si="240">K81</f>
        <v>-</v>
      </c>
      <c r="CI81" s="74">
        <f t="shared" ref="CI81:CI82" si="241">O81</f>
        <v>106</v>
      </c>
      <c r="CJ81" s="74">
        <f t="shared" ref="CJ81:CJ82" si="242">S81</f>
        <v>112</v>
      </c>
      <c r="CK81" s="74">
        <f t="shared" ref="CK81:CK82" si="243">W81</f>
        <v>148</v>
      </c>
      <c r="CL81" s="74">
        <f t="shared" ref="CL81:CL82" si="244">AA81</f>
        <v>155</v>
      </c>
      <c r="CM81" s="74">
        <f t="shared" ref="CM81:CM82" si="245">AE81</f>
        <v>182</v>
      </c>
      <c r="CN81" s="74">
        <f t="shared" ref="CN81:CN82" si="246">AI81</f>
        <v>197</v>
      </c>
      <c r="CO81" s="74">
        <f t="shared" ref="CO81:CO82" si="247">AM81</f>
        <v>241</v>
      </c>
      <c r="CP81" s="74">
        <f t="shared" ref="CP81:CP82" si="248">AQ81</f>
        <v>285</v>
      </c>
      <c r="CQ81" s="74">
        <f t="shared" ref="CQ81:CQ82" si="249">AU81</f>
        <v>321</v>
      </c>
      <c r="CR81" s="74">
        <f t="shared" ref="CR81:CR82" si="250">AY81</f>
        <v>336</v>
      </c>
      <c r="CS81" s="23" t="e">
        <f t="shared" ref="CS81:CS82" si="251">M81-K81</f>
        <v>#VALUE!</v>
      </c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</row>
    <row r="82" spans="1:1029" x14ac:dyDescent="0.2">
      <c r="A82" s="3" t="str">
        <f t="shared" si="224"/>
        <v>agtr2_human_5UNF</v>
      </c>
      <c r="B82" s="3" t="s">
        <v>159</v>
      </c>
      <c r="C82" s="3" t="s">
        <v>1399</v>
      </c>
      <c r="D82" s="3" t="str">
        <f>IFERROR(MID(VLOOKUP($B82,Seqs!$A:$B,2,0),E82,1),"")</f>
        <v>A</v>
      </c>
      <c r="E82" s="3">
        <v>46</v>
      </c>
      <c r="F82" s="3" t="str">
        <f>IFERROR(MID(VLOOKUP($B82,Seqs!$A:$B,2,0),G82,1),"")</f>
        <v>Q</v>
      </c>
      <c r="G82" s="3">
        <v>72</v>
      </c>
      <c r="H82" s="3" t="str">
        <f>IFERROR(MID(VLOOKUP($B82,Seqs!$A:$B,2,0),I82,1),"")</f>
        <v/>
      </c>
      <c r="I82" s="23" t="s">
        <v>23</v>
      </c>
      <c r="J82" s="3" t="str">
        <f>IFERROR(MID(VLOOKUP($B82,Seqs!$A:$B,2,0),K82,1),"")</f>
        <v/>
      </c>
      <c r="K82" s="23" t="s">
        <v>23</v>
      </c>
      <c r="L82" s="3" t="str">
        <f>IFERROR(MID(VLOOKUP($B82,Seqs!$A:$B,2,0),M82,1),"")</f>
        <v>V</v>
      </c>
      <c r="M82" s="3">
        <v>78</v>
      </c>
      <c r="N82" s="3" t="str">
        <f>IFERROR(MID(VLOOKUP($B82,Seqs!$A:$B,2,0),O82,1),"")</f>
        <v>Y</v>
      </c>
      <c r="O82" s="3">
        <v>106</v>
      </c>
      <c r="P82" s="3" t="str">
        <f>IFERROR(MID(VLOOKUP($B82,Seqs!$A:$B,2,0),Q82,1),"")</f>
        <v>R</v>
      </c>
      <c r="Q82" s="3">
        <v>107</v>
      </c>
      <c r="R82" s="3" t="str">
        <f>IFERROR(MID(VLOOKUP($B82,Seqs!$A:$B,2,0),S82,1),"")</f>
        <v>F</v>
      </c>
      <c r="S82" s="3">
        <v>112</v>
      </c>
      <c r="T82" s="3" t="str">
        <f>IFERROR(MID(VLOOKUP($B82,Seqs!$A:$B,2,0),U82,1),"")</f>
        <v>G</v>
      </c>
      <c r="U82" s="3">
        <v>113</v>
      </c>
      <c r="V82" s="3" t="str">
        <f>IFERROR(MID(VLOOKUP($B82,Seqs!$A:$B,2,0),W82,1),"")</f>
        <v>Y</v>
      </c>
      <c r="W82" s="3">
        <v>148</v>
      </c>
      <c r="X82" s="3" t="str">
        <f>IFERROR(MID(VLOOKUP($B82,Seqs!$A:$B,2,0),Y82,1),"")</f>
        <v/>
      </c>
      <c r="Y82" s="3" t="s">
        <v>23</v>
      </c>
      <c r="Z82" s="3" t="str">
        <f>IFERROR(MID(VLOOKUP($B82,Seqs!$A:$B,2,0),AA82,1),"")</f>
        <v/>
      </c>
      <c r="AA82" s="3" t="s">
        <v>23</v>
      </c>
      <c r="AB82" s="3" t="str">
        <f>IFERROR(MID(VLOOKUP($B82,Seqs!$A:$B,2,0),AC82,1),"")</f>
        <v>W</v>
      </c>
      <c r="AC82" s="3">
        <v>158</v>
      </c>
      <c r="AD82" s="3" t="str">
        <f>IFERROR(MID(VLOOKUP($B82,Seqs!$A:$B,2,0),AE82,1),"")</f>
        <v>R</v>
      </c>
      <c r="AE82" s="3">
        <v>182</v>
      </c>
      <c r="AF82" s="3" t="str">
        <f>IFERROR(MID(VLOOKUP($B82,Seqs!$A:$B,2,0),AG82,1),"")</f>
        <v>C</v>
      </c>
      <c r="AG82" s="3">
        <v>195</v>
      </c>
      <c r="AH82" s="3" t="str">
        <f>IFERROR(MID(VLOOKUP($B82,Seqs!$A:$B,2,0),AI82,1),"")</f>
        <v>M</v>
      </c>
      <c r="AI82" s="3">
        <v>197</v>
      </c>
      <c r="AJ82" s="3" t="str">
        <f>IFERROR(MID(VLOOKUP($B82,Seqs!$A:$B,2,0),AK82,1),"")</f>
        <v>Y</v>
      </c>
      <c r="AK82" s="3">
        <v>204</v>
      </c>
      <c r="AL82" s="3" t="str">
        <f>IFERROR(MID(VLOOKUP($B82,Seqs!$A:$B,2,0),AM82,1),"")</f>
        <v>T</v>
      </c>
      <c r="AM82" s="3">
        <v>241</v>
      </c>
      <c r="AN82" s="3" t="str">
        <f>IFERROR(MID(VLOOKUP($B82,Seqs!$A:$B,2,0),AO82,1),"")</f>
        <v>G</v>
      </c>
      <c r="AO82" s="3">
        <v>245</v>
      </c>
      <c r="AP82" s="3" t="str">
        <f>IFERROR(MID(VLOOKUP($B82,Seqs!$A:$B,2,0),AQ82,1),"")</f>
        <v>G</v>
      </c>
      <c r="AQ82" s="3">
        <v>285</v>
      </c>
      <c r="AR82" s="3" t="str">
        <f>IFERROR(MID(VLOOKUP($B82,Seqs!$A:$B,2,0),AS82,1),"")</f>
        <v>C</v>
      </c>
      <c r="AS82" s="3">
        <v>290</v>
      </c>
      <c r="AT82" s="3" t="str">
        <f>IFERROR(MID(VLOOKUP($B82,Seqs!$A:$B,2,0),AU82,1),"")</f>
        <v>V</v>
      </c>
      <c r="AU82" s="3">
        <v>321</v>
      </c>
      <c r="AV82" s="3" t="str">
        <f>IFERROR(MID(VLOOKUP($B82,Seqs!$A:$B,2,0),AW82,1),"")</f>
        <v>G</v>
      </c>
      <c r="AW82" s="3">
        <v>322</v>
      </c>
      <c r="AX82" s="3" t="str">
        <f>IFERROR(MID(VLOOKUP($B82,Seqs!$A:$B,2,0),AY82,1),"")</f>
        <v>R</v>
      </c>
      <c r="AY82" s="3">
        <v>334</v>
      </c>
      <c r="AZ82" s="79"/>
      <c r="BA82" s="97" t="str">
        <f>VLOOKUP(B82,Classification!A:D,4,0)</f>
        <v>Angiotensin</v>
      </c>
      <c r="BB82" s="27" t="b">
        <f t="shared" si="225"/>
        <v>1</v>
      </c>
      <c r="BC82" s="23">
        <f t="shared" si="226"/>
        <v>252</v>
      </c>
      <c r="BD82" s="2"/>
      <c r="BE82" s="3" t="s">
        <v>1297</v>
      </c>
      <c r="BF82" s="50" t="s">
        <v>1384</v>
      </c>
      <c r="BG82" s="50" t="s">
        <v>1</v>
      </c>
      <c r="BH82" s="1"/>
      <c r="BI82" s="72" t="s">
        <v>1293</v>
      </c>
      <c r="BJ82" s="58" t="s">
        <v>1293</v>
      </c>
      <c r="BK82" s="58" t="s">
        <v>1293</v>
      </c>
      <c r="BL82" s="58" t="s">
        <v>1293</v>
      </c>
      <c r="BM82" s="58" t="s">
        <v>1293</v>
      </c>
      <c r="BN82" s="58" t="s">
        <v>1293</v>
      </c>
      <c r="BO82" s="58" t="s">
        <v>1293</v>
      </c>
      <c r="BP82" s="58" t="s">
        <v>1293</v>
      </c>
      <c r="BQ82" s="58" t="s">
        <v>1293</v>
      </c>
      <c r="BR82" s="58" t="s">
        <v>1293</v>
      </c>
      <c r="BS82" s="58" t="s">
        <v>1293</v>
      </c>
      <c r="BT82" s="58" t="s">
        <v>1293</v>
      </c>
      <c r="BU82" s="72">
        <f t="shared" si="227"/>
        <v>46</v>
      </c>
      <c r="BV82" s="73" t="str">
        <f t="shared" si="228"/>
        <v>-</v>
      </c>
      <c r="BW82" s="74">
        <f t="shared" si="229"/>
        <v>78</v>
      </c>
      <c r="BX82" s="73">
        <f t="shared" si="230"/>
        <v>107</v>
      </c>
      <c r="BY82" s="74">
        <f t="shared" si="231"/>
        <v>113</v>
      </c>
      <c r="BZ82" s="73" t="str">
        <f t="shared" si="232"/>
        <v>-</v>
      </c>
      <c r="CA82" s="74">
        <f t="shared" si="233"/>
        <v>158</v>
      </c>
      <c r="CB82" s="73">
        <f t="shared" si="234"/>
        <v>195</v>
      </c>
      <c r="CC82" s="74">
        <f t="shared" si="235"/>
        <v>204</v>
      </c>
      <c r="CD82" s="73">
        <f t="shared" si="236"/>
        <v>245</v>
      </c>
      <c r="CE82" s="74">
        <f t="shared" si="237"/>
        <v>290</v>
      </c>
      <c r="CF82" s="73">
        <f t="shared" si="238"/>
        <v>322</v>
      </c>
      <c r="CG82" s="72">
        <f t="shared" si="239"/>
        <v>72</v>
      </c>
      <c r="CH82" s="73" t="str">
        <f t="shared" si="240"/>
        <v>-</v>
      </c>
      <c r="CI82" s="74">
        <f t="shared" si="241"/>
        <v>106</v>
      </c>
      <c r="CJ82" s="74">
        <f t="shared" si="242"/>
        <v>112</v>
      </c>
      <c r="CK82" s="74">
        <f t="shared" si="243"/>
        <v>148</v>
      </c>
      <c r="CL82" s="74" t="str">
        <f t="shared" si="244"/>
        <v>-</v>
      </c>
      <c r="CM82" s="74">
        <f t="shared" si="245"/>
        <v>182</v>
      </c>
      <c r="CN82" s="74">
        <f t="shared" si="246"/>
        <v>197</v>
      </c>
      <c r="CO82" s="74">
        <f t="shared" si="247"/>
        <v>241</v>
      </c>
      <c r="CP82" s="74">
        <f t="shared" si="248"/>
        <v>285</v>
      </c>
      <c r="CQ82" s="74">
        <f t="shared" si="249"/>
        <v>321</v>
      </c>
      <c r="CR82" s="74">
        <f t="shared" si="250"/>
        <v>334</v>
      </c>
      <c r="CS82" s="23" t="e">
        <f t="shared" si="251"/>
        <v>#VALUE!</v>
      </c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</row>
    <row r="83" spans="1:1029" x14ac:dyDescent="0.2">
      <c r="A83" s="3" t="str">
        <f t="shared" ref="A83" si="252">CONCATENATE(B83,"_",C83)</f>
        <v>agtr2_human_5UNG</v>
      </c>
      <c r="B83" s="3" t="s">
        <v>159</v>
      </c>
      <c r="C83" s="3" t="s">
        <v>1401</v>
      </c>
      <c r="D83" s="3" t="str">
        <f>IFERROR(MID(VLOOKUP($B83,Seqs!$A:$B,2,0),E83,1),"")</f>
        <v>D</v>
      </c>
      <c r="E83" s="3">
        <v>45</v>
      </c>
      <c r="F83" s="3" t="str">
        <f>IFERROR(MID(VLOOKUP($B83,Seqs!$A:$B,2,0),G83,1),"")</f>
        <v>C</v>
      </c>
      <c r="G83" s="3">
        <v>71</v>
      </c>
      <c r="H83" s="3" t="str">
        <f>IFERROR(MID(VLOOKUP($B83,Seqs!$A:$B,2,0),I83,1),"")</f>
        <v/>
      </c>
      <c r="I83" s="23" t="s">
        <v>23</v>
      </c>
      <c r="J83" s="3" t="str">
        <f>IFERROR(MID(VLOOKUP($B83,Seqs!$A:$B,2,0),K83,1),"")</f>
        <v/>
      </c>
      <c r="K83" s="23" t="s">
        <v>23</v>
      </c>
      <c r="L83" s="3" t="str">
        <f>IFERROR(MID(VLOOKUP($B83,Seqs!$A:$B,2,0),M83,1),"")</f>
        <v>V</v>
      </c>
      <c r="M83" s="3">
        <v>78</v>
      </c>
      <c r="N83" s="3" t="str">
        <f>IFERROR(MID(VLOOKUP($B83,Seqs!$A:$B,2,0),O83,1),"")</f>
        <v>Y</v>
      </c>
      <c r="O83" s="3">
        <v>106</v>
      </c>
      <c r="P83" s="3" t="str">
        <f>IFERROR(MID(VLOOKUP($B83,Seqs!$A:$B,2,0),Q83,1),"")</f>
        <v>R</v>
      </c>
      <c r="Q83" s="3">
        <v>107</v>
      </c>
      <c r="R83" s="3" t="str">
        <f>IFERROR(MID(VLOOKUP($B83,Seqs!$A:$B,2,0),S83,1),"")</f>
        <v>F</v>
      </c>
      <c r="S83" s="3">
        <v>112</v>
      </c>
      <c r="T83" s="3" t="str">
        <f>IFERROR(MID(VLOOKUP($B83,Seqs!$A:$B,2,0),U83,1),"")</f>
        <v>G</v>
      </c>
      <c r="U83" s="3">
        <v>113</v>
      </c>
      <c r="V83" s="3" t="str">
        <f>IFERROR(MID(VLOOKUP($B83,Seqs!$A:$B,2,0),W83,1),"")</f>
        <v>Y</v>
      </c>
      <c r="W83" s="3">
        <v>148</v>
      </c>
      <c r="X83" s="3" t="str">
        <f>IFERROR(MID(VLOOKUP($B83,Seqs!$A:$B,2,0),Y83,1),"")</f>
        <v/>
      </c>
      <c r="Y83" s="3" t="s">
        <v>23</v>
      </c>
      <c r="Z83" s="3" t="str">
        <f>IFERROR(MID(VLOOKUP($B83,Seqs!$A:$B,2,0),AA83,1),"")</f>
        <v/>
      </c>
      <c r="AA83" s="3" t="s">
        <v>23</v>
      </c>
      <c r="AB83" s="3" t="str">
        <f>IFERROR(MID(VLOOKUP($B83,Seqs!$A:$B,2,0),AC83,1),"")</f>
        <v>Q</v>
      </c>
      <c r="AC83" s="3">
        <v>159</v>
      </c>
      <c r="AD83" s="3" t="str">
        <f>IFERROR(MID(VLOOKUP($B83,Seqs!$A:$B,2,0),AE83,1),"")</f>
        <v>R</v>
      </c>
      <c r="AE83" s="3">
        <v>182</v>
      </c>
      <c r="AF83" s="3" t="str">
        <f>IFERROR(MID(VLOOKUP($B83,Seqs!$A:$B,2,0),AG83,1),"")</f>
        <v>C</v>
      </c>
      <c r="AG83" s="3">
        <v>195</v>
      </c>
      <c r="AH83" s="3" t="str">
        <f>IFERROR(MID(VLOOKUP($B83,Seqs!$A:$B,2,0),AI83,1),"")</f>
        <v>M</v>
      </c>
      <c r="AI83" s="3">
        <v>197</v>
      </c>
      <c r="AJ83" s="3" t="str">
        <f>IFERROR(MID(VLOOKUP($B83,Seqs!$A:$B,2,0),AK83,1),"")</f>
        <v>K</v>
      </c>
      <c r="AK83" s="3">
        <v>203</v>
      </c>
      <c r="AL83" s="3" t="str">
        <f>IFERROR(MID(VLOOKUP($B83,Seqs!$A:$B,2,0),AM83,1),"")</f>
        <v>T</v>
      </c>
      <c r="AM83" s="3">
        <v>241</v>
      </c>
      <c r="AN83" s="3" t="str">
        <f>IFERROR(MID(VLOOKUP($B83,Seqs!$A:$B,2,0),AO83,1),"")</f>
        <v>G</v>
      </c>
      <c r="AO83" s="3">
        <v>245</v>
      </c>
      <c r="AP83" s="3" t="str">
        <f>IFERROR(MID(VLOOKUP($B83,Seqs!$A:$B,2,0),AQ83,1),"")</f>
        <v>G</v>
      </c>
      <c r="AQ83" s="3">
        <v>285</v>
      </c>
      <c r="AR83" s="3" t="str">
        <f>IFERROR(MID(VLOOKUP($B83,Seqs!$A:$B,2,0),AS83,1),"")</f>
        <v>S</v>
      </c>
      <c r="AS83" s="3">
        <v>289</v>
      </c>
      <c r="AT83" s="3" t="str">
        <f>IFERROR(MID(VLOOKUP($B83,Seqs!$A:$B,2,0),AU83,1),"")</f>
        <v>V</v>
      </c>
      <c r="AU83" s="3">
        <v>321</v>
      </c>
      <c r="AV83" s="3" t="str">
        <f>IFERROR(MID(VLOOKUP($B83,Seqs!$A:$B,2,0),AW83,1),"")</f>
        <v>G</v>
      </c>
      <c r="AW83" s="3">
        <v>322</v>
      </c>
      <c r="AX83" s="3" t="str">
        <f>IFERROR(MID(VLOOKUP($B83,Seqs!$A:$B,2,0),AY83,1),"")</f>
        <v>R</v>
      </c>
      <c r="AY83" s="3">
        <v>334</v>
      </c>
      <c r="AZ83" s="79" t="str">
        <f>VLOOKUP(B83,Classification!A:D,2,0)</f>
        <v>A</v>
      </c>
      <c r="BA83" s="97" t="str">
        <f>VLOOKUP(B83,Classification!A:D,4,0)</f>
        <v>Angiotensin</v>
      </c>
      <c r="BB83" s="27" t="b">
        <f t="shared" ref="BB83" si="253">AND(E83&lt;G83,OR(G83&lt;I83,I83="-"),OR(I83&lt;K83,I83="-"),OR(K83&lt;M83,K83="-"),M83&lt;O83,OR(O83&lt;Q83,Q83="-"),OR(Q83&lt;S83,Q83="-"),OR(S83&lt;U83,S83="-"),U83&lt;W83,OR(W83&lt;Y83,Y83="-"),OR(Y83&lt;AA83,Y83="-"),OR(AA83&lt;AC83,AA83="-"),AC83&lt;AE83,OR(AE83&lt;AG83,AG83="-"),OR(AG83&lt;AI83,AG83="-"),OR(AI83&lt;AK83,AI83="-"),AK83&lt;AM83,AM83&lt;AO83,AO83&lt;AQ83,AQ83&lt;AS83,AS83&lt;AU83,OR(AU83&lt;AW83,AW83="-"),OR(AW83&lt;AY83,AW83="-"))</f>
        <v>1</v>
      </c>
      <c r="BC83" s="23">
        <f t="shared" ref="BC83" si="254">_xlfn.AGGREGATE(9,6,CG83:CR83)-_xlfn.AGGREGATE(9,6,BU83:CF83)+12</f>
        <v>253</v>
      </c>
      <c r="BD83" s="2" t="s">
        <v>1382</v>
      </c>
      <c r="BE83" s="3" t="s">
        <v>1297</v>
      </c>
      <c r="BF83" s="50" t="s">
        <v>1384</v>
      </c>
      <c r="BG83" s="50" t="s">
        <v>1287</v>
      </c>
      <c r="BH83" s="1"/>
      <c r="BI83" s="72" t="s">
        <v>1293</v>
      </c>
      <c r="BJ83" s="58" t="s">
        <v>1293</v>
      </c>
      <c r="BK83" s="58" t="s">
        <v>1293</v>
      </c>
      <c r="BL83" s="58" t="s">
        <v>1293</v>
      </c>
      <c r="BM83" s="58" t="s">
        <v>1293</v>
      </c>
      <c r="BN83" s="58" t="s">
        <v>1293</v>
      </c>
      <c r="BO83" s="58" t="s">
        <v>1293</v>
      </c>
      <c r="BP83" s="58" t="s">
        <v>1293</v>
      </c>
      <c r="BQ83" s="58" t="s">
        <v>1293</v>
      </c>
      <c r="BR83" s="58" t="s">
        <v>1293</v>
      </c>
      <c r="BS83" s="58" t="s">
        <v>1293</v>
      </c>
      <c r="BT83" s="58" t="s">
        <v>1293</v>
      </c>
      <c r="BU83" s="72">
        <f t="shared" ref="BU83" si="255">E83</f>
        <v>45</v>
      </c>
      <c r="BV83" s="73" t="str">
        <f t="shared" ref="BV83" si="256">I83</f>
        <v>-</v>
      </c>
      <c r="BW83" s="74">
        <f t="shared" ref="BW83" si="257">M83</f>
        <v>78</v>
      </c>
      <c r="BX83" s="73">
        <f t="shared" ref="BX83" si="258">Q83</f>
        <v>107</v>
      </c>
      <c r="BY83" s="74">
        <f t="shared" ref="BY83" si="259">U83</f>
        <v>113</v>
      </c>
      <c r="BZ83" s="73" t="str">
        <f t="shared" ref="BZ83" si="260">Y83</f>
        <v>-</v>
      </c>
      <c r="CA83" s="74">
        <f t="shared" ref="CA83" si="261">AC83</f>
        <v>159</v>
      </c>
      <c r="CB83" s="73">
        <f t="shared" ref="CB83" si="262">AG83</f>
        <v>195</v>
      </c>
      <c r="CC83" s="74">
        <f t="shared" ref="CC83" si="263">AK83</f>
        <v>203</v>
      </c>
      <c r="CD83" s="73">
        <f t="shared" ref="CD83" si="264">AO83</f>
        <v>245</v>
      </c>
      <c r="CE83" s="74">
        <f t="shared" ref="CE83" si="265">AS83</f>
        <v>289</v>
      </c>
      <c r="CF83" s="73">
        <f t="shared" ref="CF83" si="266">AW83</f>
        <v>322</v>
      </c>
      <c r="CG83" s="72">
        <f t="shared" ref="CG83" si="267">G83</f>
        <v>71</v>
      </c>
      <c r="CH83" s="73" t="str">
        <f t="shared" ref="CH83" si="268">K83</f>
        <v>-</v>
      </c>
      <c r="CI83" s="74">
        <f t="shared" ref="CI83" si="269">O83</f>
        <v>106</v>
      </c>
      <c r="CJ83" s="74">
        <f t="shared" ref="CJ83" si="270">S83</f>
        <v>112</v>
      </c>
      <c r="CK83" s="74">
        <f t="shared" ref="CK83" si="271">W83</f>
        <v>148</v>
      </c>
      <c r="CL83" s="74" t="str">
        <f t="shared" ref="CL83" si="272">AA83</f>
        <v>-</v>
      </c>
      <c r="CM83" s="74">
        <f t="shared" ref="CM83" si="273">AE83</f>
        <v>182</v>
      </c>
      <c r="CN83" s="74">
        <f t="shared" ref="CN83" si="274">AI83</f>
        <v>197</v>
      </c>
      <c r="CO83" s="74">
        <f t="shared" ref="CO83" si="275">AM83</f>
        <v>241</v>
      </c>
      <c r="CP83" s="74">
        <f t="shared" ref="CP83" si="276">AQ83</f>
        <v>285</v>
      </c>
      <c r="CQ83" s="74">
        <f t="shared" ref="CQ83" si="277">AU83</f>
        <v>321</v>
      </c>
      <c r="CR83" s="74">
        <f t="shared" ref="CR83" si="278">AY83</f>
        <v>334</v>
      </c>
      <c r="CS83" s="23" t="e">
        <f t="shared" ref="CS83" si="279">M83-K83</f>
        <v>#VALUE!</v>
      </c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</row>
    <row r="84" spans="1:1029" x14ac:dyDescent="0.2">
      <c r="A84" s="3" t="str">
        <f t="shared" ref="A84" si="280">CONCATENATE(B84,"_",C84)</f>
        <v>agtr2_human_5UNH</v>
      </c>
      <c r="B84" s="3" t="s">
        <v>159</v>
      </c>
      <c r="C84" s="3" t="s">
        <v>1402</v>
      </c>
      <c r="D84" s="3" t="str">
        <f>IFERROR(MID(VLOOKUP($B84,Seqs!$A:$B,2,0),E84,1),"")</f>
        <v>D</v>
      </c>
      <c r="E84" s="3">
        <v>45</v>
      </c>
      <c r="F84" s="3" t="str">
        <f>IFERROR(MID(VLOOKUP($B84,Seqs!$A:$B,2,0),G84,1),"")</f>
        <v>C</v>
      </c>
      <c r="G84" s="3">
        <v>70</v>
      </c>
      <c r="H84" s="3" t="str">
        <f>IFERROR(MID(VLOOKUP($B84,Seqs!$A:$B,2,0),I84,1),"")</f>
        <v/>
      </c>
      <c r="I84" s="23" t="s">
        <v>23</v>
      </c>
      <c r="J84" s="3" t="str">
        <f>IFERROR(MID(VLOOKUP($B84,Seqs!$A:$B,2,0),K84,1),"")</f>
        <v/>
      </c>
      <c r="K84" s="23" t="s">
        <v>23</v>
      </c>
      <c r="L84" s="3" t="str">
        <f>IFERROR(MID(VLOOKUP($B84,Seqs!$A:$B,2,0),M84,1),"")</f>
        <v>K</v>
      </c>
      <c r="M84" s="3">
        <v>77</v>
      </c>
      <c r="N84" s="3" t="str">
        <f>IFERROR(MID(VLOOKUP($B84,Seqs!$A:$B,2,0),O84,1),"")</f>
        <v>Y</v>
      </c>
      <c r="O84" s="3">
        <v>106</v>
      </c>
      <c r="P84" s="3" t="str">
        <f>IFERROR(MID(VLOOKUP($B84,Seqs!$A:$B,2,0),Q84,1),"")</f>
        <v>R</v>
      </c>
      <c r="Q84" s="3">
        <v>107</v>
      </c>
      <c r="R84" s="3" t="str">
        <f>IFERROR(MID(VLOOKUP($B84,Seqs!$A:$B,2,0),S84,1),"")</f>
        <v>F</v>
      </c>
      <c r="S84" s="3">
        <v>112</v>
      </c>
      <c r="T84" s="3" t="str">
        <f>IFERROR(MID(VLOOKUP($B84,Seqs!$A:$B,2,0),U84,1),"")</f>
        <v>G</v>
      </c>
      <c r="U84" s="3">
        <v>113</v>
      </c>
      <c r="V84" s="3" t="str">
        <f>IFERROR(MID(VLOOKUP($B84,Seqs!$A:$B,2,0),W84,1),"")</f>
        <v>Y</v>
      </c>
      <c r="W84" s="3">
        <v>148</v>
      </c>
      <c r="X84" s="3" t="str">
        <f>IFERROR(MID(VLOOKUP($B84,Seqs!$A:$B,2,0),Y84,1),"")</f>
        <v/>
      </c>
      <c r="Y84" s="3" t="s">
        <v>23</v>
      </c>
      <c r="Z84" s="3" t="str">
        <f>IFERROR(MID(VLOOKUP($B84,Seqs!$A:$B,2,0),AA84,1),"")</f>
        <v/>
      </c>
      <c r="AA84" s="3" t="s">
        <v>23</v>
      </c>
      <c r="AB84" s="3" t="str">
        <f>IFERROR(MID(VLOOKUP($B84,Seqs!$A:$B,2,0),AC84,1),"")</f>
        <v>Y</v>
      </c>
      <c r="AC84" s="3">
        <v>162</v>
      </c>
      <c r="AD84" s="3" t="str">
        <f>IFERROR(MID(VLOOKUP($B84,Seqs!$A:$B,2,0),AE84,1),"")</f>
        <v>R</v>
      </c>
      <c r="AE84" s="3">
        <v>182</v>
      </c>
      <c r="AF84" s="3" t="str">
        <f>IFERROR(MID(VLOOKUP($B84,Seqs!$A:$B,2,0),AG84,1),"")</f>
        <v>C</v>
      </c>
      <c r="AG84" s="3">
        <v>195</v>
      </c>
      <c r="AH84" s="3" t="str">
        <f>IFERROR(MID(VLOOKUP($B84,Seqs!$A:$B,2,0),AI84,1),"")</f>
        <v>M</v>
      </c>
      <c r="AI84" s="3">
        <v>197</v>
      </c>
      <c r="AJ84" s="3" t="str">
        <f>IFERROR(MID(VLOOKUP($B84,Seqs!$A:$B,2,0),AK84,1),"")</f>
        <v>Y</v>
      </c>
      <c r="AK84" s="3">
        <v>204</v>
      </c>
      <c r="AL84" s="3" t="str">
        <f>IFERROR(MID(VLOOKUP($B84,Seqs!$A:$B,2,0),AM84,1),"")</f>
        <v>T</v>
      </c>
      <c r="AM84" s="3">
        <v>241</v>
      </c>
      <c r="AN84" s="3" t="str">
        <f>IFERROR(MID(VLOOKUP($B84,Seqs!$A:$B,2,0),AO84,1),"")</f>
        <v>G</v>
      </c>
      <c r="AO84" s="3">
        <v>245</v>
      </c>
      <c r="AP84" s="3" t="str">
        <f>IFERROR(MID(VLOOKUP($B84,Seqs!$A:$B,2,0),AQ84,1),"")</f>
        <v>G</v>
      </c>
      <c r="AQ84" s="3">
        <v>285</v>
      </c>
      <c r="AR84" s="3" t="str">
        <f>IFERROR(MID(VLOOKUP($B84,Seqs!$A:$B,2,0),AS84,1),"")</f>
        <v>S</v>
      </c>
      <c r="AS84" s="3">
        <v>289</v>
      </c>
      <c r="AT84" s="3" t="str">
        <f>IFERROR(MID(VLOOKUP($B84,Seqs!$A:$B,2,0),AU84,1),"")</f>
        <v>V</v>
      </c>
      <c r="AU84" s="3">
        <v>321</v>
      </c>
      <c r="AV84" s="3" t="str">
        <f>IFERROR(MID(VLOOKUP($B84,Seqs!$A:$B,2,0),AW84,1),"")</f>
        <v>G</v>
      </c>
      <c r="AW84" s="3">
        <v>322</v>
      </c>
      <c r="AX84" s="3" t="str">
        <f>IFERROR(MID(VLOOKUP($B84,Seqs!$A:$B,2,0),AY84,1),"")</f>
        <v>V</v>
      </c>
      <c r="AY84" s="3">
        <v>332</v>
      </c>
      <c r="AZ84" s="79" t="str">
        <f>VLOOKUP(B84,Classification!A:D,2,0)</f>
        <v>A</v>
      </c>
      <c r="BA84" s="97" t="str">
        <f>VLOOKUP(B84,Classification!A:D,4,0)</f>
        <v>Angiotensin</v>
      </c>
      <c r="BB84" s="27" t="b">
        <f t="shared" ref="BB84" si="281">AND(E84&lt;G84,OR(G84&lt;I84,I84="-"),OR(I84&lt;K84,I84="-"),OR(K84&lt;M84,K84="-"),M84&lt;O84,OR(O84&lt;Q84,Q84="-"),OR(Q84&lt;S84,Q84="-"),OR(S84&lt;U84,S84="-"),U84&lt;W84,OR(W84&lt;Y84,Y84="-"),OR(Y84&lt;AA84,Y84="-"),OR(AA84&lt;AC84,AA84="-"),AC84&lt;AE84,OR(AE84&lt;AG84,AG84="-"),OR(AG84&lt;AI84,AG84="-"),OR(AI84&lt;AK84,AI84="-"),AK84&lt;AM84,AM84&lt;AO84,AO84&lt;AQ84,AQ84&lt;AS84,AS84&lt;AU84,OR(AU84&lt;AW84,AW84="-"),OR(AW84&lt;AY84,AW84="-"))</f>
        <v>1</v>
      </c>
      <c r="BC84" s="23">
        <f t="shared" ref="BC84" si="282">_xlfn.AGGREGATE(9,6,CG84:CR84)-_xlfn.AGGREGATE(9,6,BU84:CF84)+12</f>
        <v>247</v>
      </c>
      <c r="BD84" s="2"/>
      <c r="BE84" s="3" t="s">
        <v>1297</v>
      </c>
      <c r="BF84" s="50" t="s">
        <v>1384</v>
      </c>
      <c r="BG84" s="50" t="s">
        <v>1287</v>
      </c>
      <c r="BH84" s="1"/>
      <c r="BI84" s="72" t="s">
        <v>1293</v>
      </c>
      <c r="BJ84" s="58" t="s">
        <v>1293</v>
      </c>
      <c r="BK84" s="58" t="s">
        <v>1293</v>
      </c>
      <c r="BL84" s="58" t="s">
        <v>1293</v>
      </c>
      <c r="BM84" s="58" t="s">
        <v>1293</v>
      </c>
      <c r="BN84" s="58" t="s">
        <v>1293</v>
      </c>
      <c r="BO84" s="58" t="s">
        <v>1293</v>
      </c>
      <c r="BP84" s="58" t="s">
        <v>1293</v>
      </c>
      <c r="BQ84" s="58" t="s">
        <v>1293</v>
      </c>
      <c r="BR84" s="58" t="s">
        <v>1293</v>
      </c>
      <c r="BS84" s="58" t="s">
        <v>1293</v>
      </c>
      <c r="BT84" s="58" t="s">
        <v>1293</v>
      </c>
      <c r="BU84" s="72">
        <f t="shared" ref="BU84" si="283">E84</f>
        <v>45</v>
      </c>
      <c r="BV84" s="73" t="str">
        <f t="shared" ref="BV84" si="284">I84</f>
        <v>-</v>
      </c>
      <c r="BW84" s="74">
        <f t="shared" ref="BW84" si="285">M84</f>
        <v>77</v>
      </c>
      <c r="BX84" s="73">
        <f t="shared" ref="BX84" si="286">Q84</f>
        <v>107</v>
      </c>
      <c r="BY84" s="74">
        <f t="shared" ref="BY84" si="287">U84</f>
        <v>113</v>
      </c>
      <c r="BZ84" s="73" t="str">
        <f t="shared" ref="BZ84" si="288">Y84</f>
        <v>-</v>
      </c>
      <c r="CA84" s="74">
        <f t="shared" ref="CA84" si="289">AC84</f>
        <v>162</v>
      </c>
      <c r="CB84" s="73">
        <f t="shared" ref="CB84" si="290">AG84</f>
        <v>195</v>
      </c>
      <c r="CC84" s="74">
        <f t="shared" ref="CC84" si="291">AK84</f>
        <v>204</v>
      </c>
      <c r="CD84" s="73">
        <f t="shared" ref="CD84" si="292">AO84</f>
        <v>245</v>
      </c>
      <c r="CE84" s="74">
        <f t="shared" ref="CE84" si="293">AS84</f>
        <v>289</v>
      </c>
      <c r="CF84" s="73">
        <f t="shared" ref="CF84" si="294">AW84</f>
        <v>322</v>
      </c>
      <c r="CG84" s="72">
        <f t="shared" ref="CG84" si="295">G84</f>
        <v>70</v>
      </c>
      <c r="CH84" s="73" t="str">
        <f t="shared" ref="CH84" si="296">K84</f>
        <v>-</v>
      </c>
      <c r="CI84" s="74">
        <f t="shared" ref="CI84" si="297">O84</f>
        <v>106</v>
      </c>
      <c r="CJ84" s="74">
        <f t="shared" ref="CJ84" si="298">S84</f>
        <v>112</v>
      </c>
      <c r="CK84" s="74">
        <f t="shared" ref="CK84" si="299">W84</f>
        <v>148</v>
      </c>
      <c r="CL84" s="74" t="str">
        <f t="shared" ref="CL84" si="300">AA84</f>
        <v>-</v>
      </c>
      <c r="CM84" s="74">
        <f t="shared" ref="CM84" si="301">AE84</f>
        <v>182</v>
      </c>
      <c r="CN84" s="74">
        <f t="shared" ref="CN84" si="302">AI84</f>
        <v>197</v>
      </c>
      <c r="CO84" s="74">
        <f t="shared" ref="CO84" si="303">AM84</f>
        <v>241</v>
      </c>
      <c r="CP84" s="74">
        <f t="shared" ref="CP84" si="304">AQ84</f>
        <v>285</v>
      </c>
      <c r="CQ84" s="74">
        <f t="shared" ref="CQ84" si="305">AU84</f>
        <v>321</v>
      </c>
      <c r="CR84" s="74">
        <f t="shared" ref="CR84" si="306">AY84</f>
        <v>332</v>
      </c>
      <c r="CS84" s="23" t="e">
        <f t="shared" ref="CS84" si="307">M84-K84</f>
        <v>#VALUE!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</row>
    <row r="85" spans="1:1029" s="12" customFormat="1" x14ac:dyDescent="0.2">
      <c r="A85" s="9" t="str">
        <f t="shared" ref="A85:A86" si="308">CONCATENATE(B85,"_",C85)</f>
        <v>apj_human__wt</v>
      </c>
      <c r="B85" s="9" t="s">
        <v>160</v>
      </c>
      <c r="C85" s="9" t="s">
        <v>100</v>
      </c>
      <c r="D85" s="9" t="str">
        <f>IFERROR(MID(VLOOKUP($B85,Seqs!$A:$B,2,0),E85,1),"")</f>
        <v>A</v>
      </c>
      <c r="E85" s="9">
        <v>29</v>
      </c>
      <c r="F85" s="9" t="str">
        <f>IFERROR(MID(VLOOKUP($B85,Seqs!$A:$B,2,0),G85,1),"")</f>
        <v>S</v>
      </c>
      <c r="G85" s="9">
        <v>56</v>
      </c>
      <c r="H85" s="9" t="str">
        <f>IFERROR(MID(VLOOKUP($B85,Seqs!$A:$B,2,0),I85,1),"")</f>
        <v>S</v>
      </c>
      <c r="I85" s="112">
        <v>57</v>
      </c>
      <c r="J85" s="9" t="str">
        <f>IFERROR(MID(VLOOKUP($B85,Seqs!$A:$B,2,0),K85,1),"")</f>
        <v>R</v>
      </c>
      <c r="K85" s="112">
        <v>61</v>
      </c>
      <c r="L85" s="9" t="str">
        <f>IFERROR(MID(VLOOKUP($B85,Seqs!$A:$B,2,0),M85,1),"")</f>
        <v>R</v>
      </c>
      <c r="M85" s="9">
        <v>62</v>
      </c>
      <c r="N85" s="9" t="str">
        <f>IFERROR(MID(VLOOKUP($B85,Seqs!$A:$B,2,0),O85,1),"")</f>
        <v>D</v>
      </c>
      <c r="O85" s="9">
        <v>92</v>
      </c>
      <c r="P85" s="9" t="str">
        <f>IFERROR(MID(VLOOKUP($B85,Seqs!$A:$B,2,0),Q85,1),"")</f>
        <v>D</v>
      </c>
      <c r="Q85" s="9">
        <v>94</v>
      </c>
      <c r="R85" s="9" t="str">
        <f>IFERROR(MID(VLOOKUP($B85,Seqs!$A:$B,2,0),S85,1),"")</f>
        <v>F</v>
      </c>
      <c r="S85" s="9">
        <v>97</v>
      </c>
      <c r="T85" s="9" t="str">
        <f>IFERROR(MID(VLOOKUP($B85,Seqs!$A:$B,2,0),U85,1),"")</f>
        <v>G</v>
      </c>
      <c r="U85" s="9">
        <v>98</v>
      </c>
      <c r="V85" s="9" t="str">
        <f>IFERROR(MID(VLOOKUP($B85,Seqs!$A:$B,2,0),W85,1),"")</f>
        <v>R</v>
      </c>
      <c r="W85" s="9">
        <v>133</v>
      </c>
      <c r="X85" s="9" t="str">
        <f>IFERROR(MID(VLOOKUP($B85,Seqs!$A:$B,2,0),Y85,1),"")</f>
        <v>P</v>
      </c>
      <c r="Y85" s="9">
        <v>134</v>
      </c>
      <c r="Z85" s="9" t="str">
        <f>IFERROR(MID(VLOOKUP($B85,Seqs!$A:$B,2,0),AA85,1),"")</f>
        <v>R</v>
      </c>
      <c r="AA85" s="9">
        <v>141</v>
      </c>
      <c r="AB85" s="9" t="str">
        <f>IFERROR(MID(VLOOKUP($B85,Seqs!$A:$B,2,0),AC85,1),"")</f>
        <v>L</v>
      </c>
      <c r="AC85" s="9">
        <v>142</v>
      </c>
      <c r="AD85" s="9" t="str">
        <f>IFERROR(MID(VLOOKUP($B85,Seqs!$A:$B,2,0),AE85,1),"")</f>
        <v>R</v>
      </c>
      <c r="AE85" s="9">
        <v>168</v>
      </c>
      <c r="AF85" s="9" t="str">
        <f>IFERROR(MID(VLOOKUP($B85,Seqs!$A:$B,2,0),AG85,1),"")</f>
        <v>C</v>
      </c>
      <c r="AG85" s="9">
        <v>181</v>
      </c>
      <c r="AH85" s="9" t="str">
        <f>IFERROR(MID(VLOOKUP($B85,Seqs!$A:$B,2,0),AI85,1),"")</f>
        <v>M</v>
      </c>
      <c r="AI85" s="9">
        <v>183</v>
      </c>
      <c r="AJ85" s="9" t="str">
        <f>IFERROR(MID(VLOOKUP($B85,Seqs!$A:$B,2,0),AK85,1),"")</f>
        <v>S</v>
      </c>
      <c r="AK85" s="9">
        <v>193</v>
      </c>
      <c r="AL85" s="9" t="str">
        <f>IFERROR(MID(VLOOKUP($B85,Seqs!$A:$B,2,0),AM85,1),"")</f>
        <v>E</v>
      </c>
      <c r="AM85" s="9">
        <v>235</v>
      </c>
      <c r="AN85" s="9" t="str">
        <f>IFERROR(MID(VLOOKUP($B85,Seqs!$A:$B,2,0),AO85,1),"")</f>
        <v>K</v>
      </c>
      <c r="AO85" s="9">
        <v>242</v>
      </c>
      <c r="AP85" s="9" t="str">
        <f>IFERROR(MID(VLOOKUP($B85,Seqs!$A:$B,2,0),AQ85,1),"")</f>
        <v>L</v>
      </c>
      <c r="AQ85" s="9">
        <v>276</v>
      </c>
      <c r="AR85" s="9" t="str">
        <f>IFERROR(MID(VLOOKUP($B85,Seqs!$A:$B,2,0),AS85,1),"")</f>
        <v>P</v>
      </c>
      <c r="AS85" s="9">
        <v>280</v>
      </c>
      <c r="AT85" s="9" t="str">
        <f>IFERROR(MID(VLOOKUP($B85,Seqs!$A:$B,2,0),AU85,1),"")</f>
        <v>F</v>
      </c>
      <c r="AU85" s="9">
        <v>312</v>
      </c>
      <c r="AV85" s="9" t="str">
        <f>IFERROR(MID(VLOOKUP($B85,Seqs!$A:$B,2,0),AW85,1),"")</f>
        <v>D</v>
      </c>
      <c r="AW85" s="9">
        <v>313</v>
      </c>
      <c r="AX85" s="9" t="str">
        <f>IFERROR(MID(VLOOKUP($B85,Seqs!$A:$B,2,0),AY85,1),"")</f>
        <v>G</v>
      </c>
      <c r="AY85" s="9">
        <v>327</v>
      </c>
      <c r="AZ85" s="113" t="str">
        <f>VLOOKUP(B85,Classification!A:D,2,0)</f>
        <v>A</v>
      </c>
      <c r="BA85" s="101" t="str">
        <f>VLOOKUP(B85,Classification!A:D,4,0)</f>
        <v>Apelin</v>
      </c>
      <c r="BB85" s="37" t="b">
        <f t="shared" ref="BB85:BB86" si="309">AND(E85&lt;G85,OR(G85&lt;I85,I85="-"),OR(I85&lt;K85,I85="-"),OR(K85&lt;M85,K85="-"),M85&lt;O85,OR(O85&lt;Q85,Q85="-"),OR(Q85&lt;S85,Q85="-"),OR(S85&lt;U85,S85="-"),U85&lt;W85,OR(W85&lt;Y85,Y85="-"),OR(Y85&lt;AA85,Y85="-"),OR(AA85&lt;AC85,AA85="-"),AC85&lt;AE85,OR(AE85&lt;AG85,AG85="-"),OR(AG85&lt;AI85,AG85="-"),OR(AI85&lt;AK85,AI85="-"),AK85&lt;AM85,AM85&lt;AO85,AO85&lt;AQ85,AQ85&lt;AS85,AS85&lt;AU85,OR(AU85&lt;AW85,AW85="-"),OR(AW85&lt;AY85,AW85="-"))</f>
        <v>1</v>
      </c>
      <c r="BC85" s="112">
        <f t="shared" ref="BC85:BC86" si="310">_xlfn.AGGREGATE(9,6,CG85:CR85)-_xlfn.AGGREGATE(9,6,BU85:CF85)+12</f>
        <v>268</v>
      </c>
      <c r="BD85" s="41"/>
      <c r="BE85" s="9" t="s">
        <v>1381</v>
      </c>
      <c r="BF85" s="52" t="s">
        <v>1287</v>
      </c>
      <c r="BG85" s="52" t="s">
        <v>1287</v>
      </c>
      <c r="BI85" s="114" t="s">
        <v>1293</v>
      </c>
      <c r="BJ85" s="115" t="s">
        <v>1293</v>
      </c>
      <c r="BK85" s="115" t="s">
        <v>1293</v>
      </c>
      <c r="BL85" s="115" t="s">
        <v>1293</v>
      </c>
      <c r="BM85" s="115" t="s">
        <v>1293</v>
      </c>
      <c r="BN85" s="115" t="s">
        <v>1293</v>
      </c>
      <c r="BO85" s="115" t="s">
        <v>1293</v>
      </c>
      <c r="BP85" s="115" t="s">
        <v>1293</v>
      </c>
      <c r="BQ85" s="115" t="s">
        <v>1293</v>
      </c>
      <c r="BR85" s="115" t="s">
        <v>1293</v>
      </c>
      <c r="BS85" s="115" t="s">
        <v>1293</v>
      </c>
      <c r="BT85" s="115" t="s">
        <v>1293</v>
      </c>
      <c r="BU85" s="114">
        <f t="shared" ref="BU85:BU86" si="311">E85</f>
        <v>29</v>
      </c>
      <c r="BV85" s="116">
        <f t="shared" ref="BV85:BV86" si="312">I85</f>
        <v>57</v>
      </c>
      <c r="BW85" s="117">
        <f t="shared" ref="BW85:BW86" si="313">M85</f>
        <v>62</v>
      </c>
      <c r="BX85" s="116">
        <f t="shared" ref="BX85:BX86" si="314">Q85</f>
        <v>94</v>
      </c>
      <c r="BY85" s="117">
        <f t="shared" ref="BY85:BY86" si="315">U85</f>
        <v>98</v>
      </c>
      <c r="BZ85" s="116">
        <f t="shared" ref="BZ85:BZ86" si="316">Y85</f>
        <v>134</v>
      </c>
      <c r="CA85" s="117">
        <f t="shared" ref="CA85:CA86" si="317">AC85</f>
        <v>142</v>
      </c>
      <c r="CB85" s="116">
        <f t="shared" ref="CB85:CB86" si="318">AG85</f>
        <v>181</v>
      </c>
      <c r="CC85" s="117">
        <f t="shared" ref="CC85:CC86" si="319">AK85</f>
        <v>193</v>
      </c>
      <c r="CD85" s="116">
        <f t="shared" ref="CD85:CD86" si="320">AO85</f>
        <v>242</v>
      </c>
      <c r="CE85" s="117">
        <f t="shared" ref="CE85:CE86" si="321">AS85</f>
        <v>280</v>
      </c>
      <c r="CF85" s="116">
        <f t="shared" ref="CF85:CF86" si="322">AW85</f>
        <v>313</v>
      </c>
      <c r="CG85" s="114">
        <f t="shared" ref="CG85:CG86" si="323">G85</f>
        <v>56</v>
      </c>
      <c r="CH85" s="116">
        <f t="shared" ref="CH85:CH86" si="324">K85</f>
        <v>61</v>
      </c>
      <c r="CI85" s="117">
        <f t="shared" ref="CI85:CI86" si="325">O85</f>
        <v>92</v>
      </c>
      <c r="CJ85" s="117">
        <f t="shared" ref="CJ85:CJ86" si="326">S85</f>
        <v>97</v>
      </c>
      <c r="CK85" s="117">
        <f t="shared" ref="CK85:CK86" si="327">W85</f>
        <v>133</v>
      </c>
      <c r="CL85" s="117">
        <f t="shared" ref="CL85:CL86" si="328">AA85</f>
        <v>141</v>
      </c>
      <c r="CM85" s="117">
        <f t="shared" ref="CM85:CM86" si="329">AE85</f>
        <v>168</v>
      </c>
      <c r="CN85" s="117">
        <f t="shared" ref="CN85:CN86" si="330">AI85</f>
        <v>183</v>
      </c>
      <c r="CO85" s="117">
        <f t="shared" ref="CO85:CO86" si="331">AM85</f>
        <v>235</v>
      </c>
      <c r="CP85" s="117">
        <f t="shared" ref="CP85:CP86" si="332">AQ85</f>
        <v>276</v>
      </c>
      <c r="CQ85" s="117">
        <f t="shared" ref="CQ85:CQ86" si="333">AU85</f>
        <v>312</v>
      </c>
      <c r="CR85" s="117">
        <f t="shared" ref="CR85:CR86" si="334">AY85</f>
        <v>327</v>
      </c>
      <c r="CS85" s="112">
        <f t="shared" ref="CS85:CS86" si="335">M85-K85</f>
        <v>1</v>
      </c>
    </row>
    <row r="86" spans="1:1029" s="12" customFormat="1" x14ac:dyDescent="0.2">
      <c r="A86" s="9" t="str">
        <f t="shared" si="308"/>
        <v>apj_human_5VBL</v>
      </c>
      <c r="B86" s="9" t="s">
        <v>160</v>
      </c>
      <c r="C86" s="9" t="s">
        <v>1424</v>
      </c>
      <c r="D86" s="9" t="str">
        <f>IFERROR(MID(VLOOKUP($B86,Seqs!$A:$B,2,0),E86,1),"")</f>
        <v>A</v>
      </c>
      <c r="E86" s="9">
        <v>29</v>
      </c>
      <c r="F86" s="9" t="str">
        <f>IFERROR(MID(VLOOKUP($B86,Seqs!$A:$B,2,0),G86,1),"")</f>
        <v>S</v>
      </c>
      <c r="G86" s="9">
        <v>56</v>
      </c>
      <c r="H86" s="9" t="str">
        <f>IFERROR(MID(VLOOKUP($B86,Seqs!$A:$B,2,0),I86,1),"")</f>
        <v>S</v>
      </c>
      <c r="I86" s="112">
        <v>57</v>
      </c>
      <c r="J86" s="9" t="str">
        <f>IFERROR(MID(VLOOKUP($B86,Seqs!$A:$B,2,0),K86,1),"")</f>
        <v>R</v>
      </c>
      <c r="K86" s="112">
        <v>61</v>
      </c>
      <c r="L86" s="9" t="str">
        <f>IFERROR(MID(VLOOKUP($B86,Seqs!$A:$B,2,0),M86,1),"")</f>
        <v>R</v>
      </c>
      <c r="M86" s="9">
        <v>62</v>
      </c>
      <c r="N86" s="9" t="str">
        <f>IFERROR(MID(VLOOKUP($B86,Seqs!$A:$B,2,0),O86,1),"")</f>
        <v>D</v>
      </c>
      <c r="O86" s="9">
        <v>92</v>
      </c>
      <c r="P86" s="9" t="str">
        <f>IFERROR(MID(VLOOKUP($B86,Seqs!$A:$B,2,0),Q86,1),"")</f>
        <v>D</v>
      </c>
      <c r="Q86" s="9">
        <v>94</v>
      </c>
      <c r="R86" s="9" t="str">
        <f>IFERROR(MID(VLOOKUP($B86,Seqs!$A:$B,2,0),S86,1),"")</f>
        <v>F</v>
      </c>
      <c r="S86" s="9">
        <v>97</v>
      </c>
      <c r="T86" s="9" t="str">
        <f>IFERROR(MID(VLOOKUP($B86,Seqs!$A:$B,2,0),U86,1),"")</f>
        <v>G</v>
      </c>
      <c r="U86" s="9">
        <v>98</v>
      </c>
      <c r="V86" s="9" t="str">
        <f>IFERROR(MID(VLOOKUP($B86,Seqs!$A:$B,2,0),W86,1),"")</f>
        <v>R</v>
      </c>
      <c r="W86" s="9">
        <v>133</v>
      </c>
      <c r="X86" s="9" t="str">
        <f>IFERROR(MID(VLOOKUP($B86,Seqs!$A:$B,2,0),Y86,1),"")</f>
        <v/>
      </c>
      <c r="Y86" s="9" t="s">
        <v>23</v>
      </c>
      <c r="Z86" s="9" t="str">
        <f>IFERROR(MID(VLOOKUP($B86,Seqs!$A:$B,2,0),AA86,1),"")</f>
        <v/>
      </c>
      <c r="AA86" s="9" t="s">
        <v>23</v>
      </c>
      <c r="AB86" s="9" t="str">
        <f>IFERROR(MID(VLOOKUP($B86,Seqs!$A:$B,2,0),AC86,1),"")</f>
        <v>R</v>
      </c>
      <c r="AC86" s="9">
        <v>141</v>
      </c>
      <c r="AD86" s="9" t="str">
        <f>IFERROR(MID(VLOOKUP($B86,Seqs!$A:$B,2,0),AE86,1),"")</f>
        <v>R</v>
      </c>
      <c r="AE86" s="9">
        <v>168</v>
      </c>
      <c r="AF86" s="9" t="str">
        <f>IFERROR(MID(VLOOKUP($B86,Seqs!$A:$B,2,0),AG86,1),"")</f>
        <v>C</v>
      </c>
      <c r="AG86" s="9">
        <v>181</v>
      </c>
      <c r="AH86" s="9" t="str">
        <f>IFERROR(MID(VLOOKUP($B86,Seqs!$A:$B,2,0),AI86,1),"")</f>
        <v>M</v>
      </c>
      <c r="AI86" s="9">
        <v>183</v>
      </c>
      <c r="AJ86" s="9" t="str">
        <f>IFERROR(MID(VLOOKUP($B86,Seqs!$A:$B,2,0),AK86,1),"")</f>
        <v>S</v>
      </c>
      <c r="AK86" s="9">
        <v>193</v>
      </c>
      <c r="AL86" s="9" t="str">
        <f>IFERROR(MID(VLOOKUP($B86,Seqs!$A:$B,2,0),AM86,1),"")</f>
        <v>A</v>
      </c>
      <c r="AM86" s="9">
        <v>229</v>
      </c>
      <c r="AN86" s="9" t="str">
        <f>IFERROR(MID(VLOOKUP($B86,Seqs!$A:$B,2,0),AO86,1),"")</f>
        <v>R</v>
      </c>
      <c r="AO86" s="9">
        <v>244</v>
      </c>
      <c r="AP86" s="9" t="str">
        <f>IFERROR(MID(VLOOKUP($B86,Seqs!$A:$B,2,0),AQ86,1),"")</f>
        <v>L</v>
      </c>
      <c r="AQ86" s="9">
        <v>276</v>
      </c>
      <c r="AR86" s="9" t="str">
        <f>IFERROR(MID(VLOOKUP($B86,Seqs!$A:$B,2,0),AS86,1),"")</f>
        <v>P</v>
      </c>
      <c r="AS86" s="9">
        <v>280</v>
      </c>
      <c r="AT86" s="9" t="str">
        <f>IFERROR(MID(VLOOKUP($B86,Seqs!$A:$B,2,0),AU86,1),"")</f>
        <v>F</v>
      </c>
      <c r="AU86" s="9">
        <v>312</v>
      </c>
      <c r="AV86" s="9" t="str">
        <f>IFERROR(MID(VLOOKUP($B86,Seqs!$A:$B,2,0),AW86,1),"")</f>
        <v>D</v>
      </c>
      <c r="AW86" s="9">
        <v>313</v>
      </c>
      <c r="AX86" s="9" t="str">
        <f>IFERROR(MID(VLOOKUP($B86,Seqs!$A:$B,2,0),AY86,1),"")</f>
        <v>G</v>
      </c>
      <c r="AY86" s="9">
        <v>327</v>
      </c>
      <c r="AZ86" s="113" t="str">
        <f>VLOOKUP(B86,Classification!A:D,2,0)</f>
        <v>A</v>
      </c>
      <c r="BA86" s="101" t="str">
        <f>VLOOKUP(B86,Classification!A:D,4,0)</f>
        <v>Apelin</v>
      </c>
      <c r="BB86" s="37" t="b">
        <f t="shared" si="309"/>
        <v>1</v>
      </c>
      <c r="BC86" s="112">
        <f t="shared" si="310"/>
        <v>254</v>
      </c>
      <c r="BD86" s="41"/>
      <c r="BE86" s="9" t="s">
        <v>1381</v>
      </c>
      <c r="BF86" s="52" t="s">
        <v>1287</v>
      </c>
      <c r="BG86" s="52" t="s">
        <v>1287</v>
      </c>
      <c r="BI86" s="114" t="s">
        <v>1293</v>
      </c>
      <c r="BJ86" s="115" t="s">
        <v>1293</v>
      </c>
      <c r="BK86" s="115" t="s">
        <v>1293</v>
      </c>
      <c r="BL86" s="115" t="s">
        <v>1293</v>
      </c>
      <c r="BM86" s="115" t="s">
        <v>1293</v>
      </c>
      <c r="BN86" s="115" t="s">
        <v>1293</v>
      </c>
      <c r="BO86" s="115" t="s">
        <v>1293</v>
      </c>
      <c r="BP86" s="115" t="s">
        <v>1293</v>
      </c>
      <c r="BQ86" s="115" t="s">
        <v>1293</v>
      </c>
      <c r="BR86" s="115" t="s">
        <v>1293</v>
      </c>
      <c r="BS86" s="115" t="s">
        <v>1293</v>
      </c>
      <c r="BT86" s="115" t="s">
        <v>1293</v>
      </c>
      <c r="BU86" s="114">
        <f t="shared" si="311"/>
        <v>29</v>
      </c>
      <c r="BV86" s="116">
        <f t="shared" si="312"/>
        <v>57</v>
      </c>
      <c r="BW86" s="117">
        <f t="shared" si="313"/>
        <v>62</v>
      </c>
      <c r="BX86" s="116">
        <f t="shared" si="314"/>
        <v>94</v>
      </c>
      <c r="BY86" s="117">
        <f t="shared" si="315"/>
        <v>98</v>
      </c>
      <c r="BZ86" s="116" t="str">
        <f t="shared" si="316"/>
        <v>-</v>
      </c>
      <c r="CA86" s="117">
        <f t="shared" si="317"/>
        <v>141</v>
      </c>
      <c r="CB86" s="116">
        <f t="shared" si="318"/>
        <v>181</v>
      </c>
      <c r="CC86" s="117">
        <f t="shared" si="319"/>
        <v>193</v>
      </c>
      <c r="CD86" s="116">
        <f t="shared" si="320"/>
        <v>244</v>
      </c>
      <c r="CE86" s="117">
        <f t="shared" si="321"/>
        <v>280</v>
      </c>
      <c r="CF86" s="116">
        <f t="shared" si="322"/>
        <v>313</v>
      </c>
      <c r="CG86" s="114">
        <f t="shared" si="323"/>
        <v>56</v>
      </c>
      <c r="CH86" s="116">
        <f t="shared" si="324"/>
        <v>61</v>
      </c>
      <c r="CI86" s="117">
        <f t="shared" si="325"/>
        <v>92</v>
      </c>
      <c r="CJ86" s="117">
        <f t="shared" si="326"/>
        <v>97</v>
      </c>
      <c r="CK86" s="117">
        <f t="shared" si="327"/>
        <v>133</v>
      </c>
      <c r="CL86" s="117" t="str">
        <f t="shared" si="328"/>
        <v>-</v>
      </c>
      <c r="CM86" s="117">
        <f t="shared" si="329"/>
        <v>168</v>
      </c>
      <c r="CN86" s="117">
        <f t="shared" si="330"/>
        <v>183</v>
      </c>
      <c r="CO86" s="117">
        <f t="shared" si="331"/>
        <v>229</v>
      </c>
      <c r="CP86" s="117">
        <f t="shared" si="332"/>
        <v>276</v>
      </c>
      <c r="CQ86" s="117">
        <f t="shared" si="333"/>
        <v>312</v>
      </c>
      <c r="CR86" s="117">
        <f t="shared" si="334"/>
        <v>327</v>
      </c>
      <c r="CS86" s="112">
        <f t="shared" si="335"/>
        <v>1</v>
      </c>
    </row>
    <row r="87" spans="1:1029" x14ac:dyDescent="0.2">
      <c r="A87" s="3" t="str">
        <f t="shared" si="222"/>
        <v>ccr2_human__wt</v>
      </c>
      <c r="B87" s="3" t="s">
        <v>170</v>
      </c>
      <c r="C87" s="3" t="s">
        <v>100</v>
      </c>
      <c r="D87" s="3" t="str">
        <f>IFERROR(MID(VLOOKUP($B87,Seqs!$A:$B,2,0),E87,1),"")</f>
        <v>V</v>
      </c>
      <c r="E87" s="3">
        <v>37</v>
      </c>
      <c r="F87" s="3" t="str">
        <f>IFERROR(MID(VLOOKUP($B87,Seqs!$A:$B,2,0),G87,1),"")</f>
        <v>C</v>
      </c>
      <c r="G87" s="3">
        <v>70</v>
      </c>
      <c r="H87" s="3" t="str">
        <f>IFERROR(MID(VLOOKUP($B87,Seqs!$A:$B,2,0),I87,1),"")</f>
        <v>K</v>
      </c>
      <c r="I87" s="23">
        <v>71</v>
      </c>
      <c r="J87" s="3" t="str">
        <f>IFERROR(MID(VLOOKUP($B87,Seqs!$A:$B,2,0),K87,1),"")</f>
        <v>K</v>
      </c>
      <c r="K87" s="23">
        <v>74</v>
      </c>
      <c r="L87" s="3" t="str">
        <f>IFERROR(MID(VLOOKUP($B87,Seqs!$A:$B,2,0),M87,1),"")</f>
        <v>C</v>
      </c>
      <c r="M87" s="3">
        <v>75</v>
      </c>
      <c r="N87" s="3" t="str">
        <f>IFERROR(MID(VLOOKUP($B87,Seqs!$A:$B,2,0),O87,1),"")</f>
        <v>N</v>
      </c>
      <c r="O87" s="3">
        <v>104</v>
      </c>
      <c r="P87" s="3" t="str">
        <f>IFERROR(MID(VLOOKUP($B87,Seqs!$A:$B,2,0),Q87,1),"")</f>
        <v>E</v>
      </c>
      <c r="Q87" s="3">
        <v>105</v>
      </c>
      <c r="R87" s="3" t="str">
        <f>IFERROR(MID(VLOOKUP($B87,Seqs!$A:$B,2,0),S87,1),"")</f>
        <v>F</v>
      </c>
      <c r="S87" s="3">
        <v>108</v>
      </c>
      <c r="T87" s="3" t="str">
        <f>IFERROR(MID(VLOOKUP($B87,Seqs!$A:$B,2,0),U87,1),"")</f>
        <v>G</v>
      </c>
      <c r="U87" s="3">
        <v>109</v>
      </c>
      <c r="V87" s="3" t="str">
        <f>IFERROR(MID(VLOOKUP($B87,Seqs!$A:$B,2,0),W87,1),"")</f>
        <v>H</v>
      </c>
      <c r="W87" s="3">
        <v>144</v>
      </c>
      <c r="X87" s="3" t="str">
        <f>IFERROR(MID(VLOOKUP($B87,Seqs!$A:$B,2,0),Y87,1),"")</f>
        <v>A</v>
      </c>
      <c r="Y87" s="3">
        <v>145</v>
      </c>
      <c r="Z87" s="3" t="str">
        <f>IFERROR(MID(VLOOKUP($B87,Seqs!$A:$B,2,0),AA87,1),"")</f>
        <v>R</v>
      </c>
      <c r="AA87" s="3">
        <v>152</v>
      </c>
      <c r="AB87" s="3" t="str">
        <f>IFERROR(MID(VLOOKUP($B87,Seqs!$A:$B,2,0),AC87,1),"")</f>
        <v>T</v>
      </c>
      <c r="AC87" s="9">
        <v>153</v>
      </c>
      <c r="AD87" s="3" t="str">
        <f>IFERROR(MID(VLOOKUP($B87,Seqs!$A:$B,2,0),AE87,1),"")</f>
        <v>T</v>
      </c>
      <c r="AE87" s="3">
        <v>179</v>
      </c>
      <c r="AF87" s="3" t="str">
        <f>IFERROR(MID(VLOOKUP($B87,Seqs!$A:$B,2,0),AG87,1),"")</f>
        <v>C</v>
      </c>
      <c r="AG87" s="3">
        <v>190</v>
      </c>
      <c r="AH87" s="3" t="str">
        <f>IFERROR(MID(VLOOKUP($B87,Seqs!$A:$B,2,0),AI87,1),"")</f>
        <v>P</v>
      </c>
      <c r="AI87" s="3">
        <v>192</v>
      </c>
      <c r="AJ87" s="3" t="str">
        <f>IFERROR(MID(VLOOKUP($B87,Seqs!$A:$B,2,0),AK87,1),"")</f>
        <v>P</v>
      </c>
      <c r="AK87" s="3">
        <v>195</v>
      </c>
      <c r="AL87" s="3" t="str">
        <f>IFERROR(MID(VLOOKUP($B87,Seqs!$A:$B,2,0),AM87,1),"")</f>
        <v>C</v>
      </c>
      <c r="AM87" s="3">
        <v>232</v>
      </c>
      <c r="AN87" s="3" t="str">
        <f>IFERROR(MID(VLOOKUP($B87,Seqs!$A:$B,2,0),AO87,1),"")</f>
        <v>K</v>
      </c>
      <c r="AO87" s="3">
        <v>236</v>
      </c>
      <c r="AP87" s="3" t="str">
        <f>IFERROR(MID(VLOOKUP($B87,Seqs!$A:$B,2,0),AQ87,1),"")</f>
        <v>G</v>
      </c>
      <c r="AQ87" s="3">
        <v>273</v>
      </c>
      <c r="AR87" s="3" t="str">
        <f>IFERROR(MID(VLOOKUP($B87,Seqs!$A:$B,2,0),AS87,1),"")</f>
        <v>E</v>
      </c>
      <c r="AS87" s="3">
        <v>278</v>
      </c>
      <c r="AT87" s="3" t="str">
        <f>IFERROR(MID(VLOOKUP($B87,Seqs!$A:$B,2,0),AU87,1),"")</f>
        <v>V</v>
      </c>
      <c r="AU87" s="3">
        <v>308</v>
      </c>
      <c r="AV87" s="3" t="str">
        <f>IFERROR(MID(VLOOKUP($B87,Seqs!$A:$B,2,0),AW87,1),"")</f>
        <v>G</v>
      </c>
      <c r="AW87" s="3">
        <v>309</v>
      </c>
      <c r="AX87" s="3" t="str">
        <f>IFERROR(MID(VLOOKUP($B87,Seqs!$A:$B,2,0),AY87,1),"")</f>
        <v>L</v>
      </c>
      <c r="AY87" s="3">
        <v>320</v>
      </c>
      <c r="AZ87" s="79" t="str">
        <f>VLOOKUP(B87,Classification!A:D,2,0)</f>
        <v>A</v>
      </c>
      <c r="BA87" s="97" t="str">
        <f>VLOOKUP(B87,Classification!A:D,4,0)</f>
        <v>Chemokine</v>
      </c>
      <c r="BB87" s="27" t="b">
        <f t="shared" si="223"/>
        <v>1</v>
      </c>
      <c r="BC87" s="23">
        <f t="shared" si="196"/>
        <v>265</v>
      </c>
      <c r="BD87" s="2" t="s">
        <v>1383</v>
      </c>
      <c r="BE87" s="3" t="s">
        <v>1381</v>
      </c>
      <c r="BF87" s="50" t="s">
        <v>1379</v>
      </c>
      <c r="BG87" s="50" t="s">
        <v>1384</v>
      </c>
      <c r="BH87" s="1"/>
      <c r="BI87" s="72" t="s">
        <v>1293</v>
      </c>
      <c r="BJ87" s="58" t="s">
        <v>1293</v>
      </c>
      <c r="BK87" s="58" t="s">
        <v>1293</v>
      </c>
      <c r="BL87" s="58" t="s">
        <v>1293</v>
      </c>
      <c r="BM87" s="58" t="s">
        <v>1293</v>
      </c>
      <c r="BN87" s="58" t="s">
        <v>1293</v>
      </c>
      <c r="BO87" s="58" t="s">
        <v>1293</v>
      </c>
      <c r="BP87" s="58" t="s">
        <v>1293</v>
      </c>
      <c r="BQ87" s="58" t="s">
        <v>1293</v>
      </c>
      <c r="BR87" s="58" t="s">
        <v>1293</v>
      </c>
      <c r="BS87" s="58" t="s">
        <v>1293</v>
      </c>
      <c r="BT87" s="58" t="s">
        <v>1293</v>
      </c>
      <c r="BU87" s="72">
        <f t="shared" si="197"/>
        <v>37</v>
      </c>
      <c r="BV87" s="73">
        <f t="shared" si="198"/>
        <v>71</v>
      </c>
      <c r="BW87" s="74">
        <f t="shared" si="199"/>
        <v>75</v>
      </c>
      <c r="BX87" s="73">
        <f t="shared" si="200"/>
        <v>105</v>
      </c>
      <c r="BY87" s="74">
        <f t="shared" si="201"/>
        <v>109</v>
      </c>
      <c r="BZ87" s="73">
        <f t="shared" si="202"/>
        <v>145</v>
      </c>
      <c r="CA87" s="74">
        <f t="shared" si="203"/>
        <v>153</v>
      </c>
      <c r="CB87" s="73">
        <f t="shared" si="204"/>
        <v>190</v>
      </c>
      <c r="CC87" s="74">
        <f t="shared" si="205"/>
        <v>195</v>
      </c>
      <c r="CD87" s="73">
        <f t="shared" si="206"/>
        <v>236</v>
      </c>
      <c r="CE87" s="74">
        <f t="shared" si="207"/>
        <v>278</v>
      </c>
      <c r="CF87" s="73">
        <f t="shared" si="208"/>
        <v>309</v>
      </c>
      <c r="CG87" s="72">
        <f t="shared" si="209"/>
        <v>70</v>
      </c>
      <c r="CH87" s="73">
        <f t="shared" si="210"/>
        <v>74</v>
      </c>
      <c r="CI87" s="74">
        <f t="shared" si="211"/>
        <v>104</v>
      </c>
      <c r="CJ87" s="74">
        <f t="shared" si="212"/>
        <v>108</v>
      </c>
      <c r="CK87" s="74">
        <f t="shared" si="213"/>
        <v>144</v>
      </c>
      <c r="CL87" s="74">
        <f t="shared" si="214"/>
        <v>152</v>
      </c>
      <c r="CM87" s="74">
        <f t="shared" si="215"/>
        <v>179</v>
      </c>
      <c r="CN87" s="74">
        <f t="shared" si="216"/>
        <v>192</v>
      </c>
      <c r="CO87" s="74">
        <f t="shared" si="217"/>
        <v>232</v>
      </c>
      <c r="CP87" s="74">
        <f t="shared" si="218"/>
        <v>273</v>
      </c>
      <c r="CQ87" s="74">
        <f t="shared" si="219"/>
        <v>308</v>
      </c>
      <c r="CR87" s="74">
        <f t="shared" si="220"/>
        <v>320</v>
      </c>
      <c r="CS87" s="23">
        <f t="shared" si="221"/>
        <v>1</v>
      </c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  <c r="ALU87" s="6"/>
      <c r="ALV87" s="6"/>
      <c r="ALW87" s="6"/>
      <c r="ALX87" s="6"/>
      <c r="ALY87" s="6"/>
      <c r="ALZ87" s="6"/>
      <c r="AMA87" s="6"/>
      <c r="AMB87" s="6"/>
      <c r="AMC87" s="6"/>
      <c r="AMD87" s="6"/>
      <c r="AME87" s="6"/>
      <c r="AMF87" s="6"/>
      <c r="AMG87" s="6"/>
      <c r="AMH87" s="6"/>
      <c r="AMI87" s="6"/>
      <c r="AMJ87" s="6"/>
      <c r="AMK87" s="6"/>
      <c r="AML87" s="6"/>
      <c r="AMM87" s="6"/>
      <c r="AMN87" s="6"/>
      <c r="AMO87" s="6"/>
    </row>
    <row r="88" spans="1:1029" x14ac:dyDescent="0.2">
      <c r="A88" s="3" t="str">
        <f t="shared" si="222"/>
        <v>ccr2_human_5T1A</v>
      </c>
      <c r="B88" s="3" t="s">
        <v>170</v>
      </c>
      <c r="C88" s="3" t="s">
        <v>1385</v>
      </c>
      <c r="D88" s="3" t="str">
        <f>IFERROR(MID(VLOOKUP($B88,Seqs!$A:$B,2,0),E88,1),"")</f>
        <v>V</v>
      </c>
      <c r="E88" s="3">
        <v>37</v>
      </c>
      <c r="F88" s="3" t="str">
        <f>IFERROR(MID(VLOOKUP($B88,Seqs!$A:$B,2,0),G88,1),"")</f>
        <v>C</v>
      </c>
      <c r="G88" s="3">
        <v>70</v>
      </c>
      <c r="H88" s="3" t="str">
        <f>IFERROR(MID(VLOOKUP($B88,Seqs!$A:$B,2,0),I88,1),"")</f>
        <v/>
      </c>
      <c r="I88" s="23" t="s">
        <v>23</v>
      </c>
      <c r="J88" s="3" t="str">
        <f>IFERROR(MID(VLOOKUP($B88,Seqs!$A:$B,2,0),K88,1),"")</f>
        <v/>
      </c>
      <c r="K88" s="23" t="s">
        <v>23</v>
      </c>
      <c r="L88" s="3" t="str">
        <f>IFERROR(MID(VLOOKUP($B88,Seqs!$A:$B,2,0),M88,1),"")</f>
        <v>C</v>
      </c>
      <c r="M88" s="3">
        <v>75</v>
      </c>
      <c r="N88" s="3" t="str">
        <f>IFERROR(MID(VLOOKUP($B88,Seqs!$A:$B,2,0),O88,1),"")</f>
        <v>N</v>
      </c>
      <c r="O88" s="3">
        <v>104</v>
      </c>
      <c r="P88" s="3" t="str">
        <f>IFERROR(MID(VLOOKUP($B88,Seqs!$A:$B,2,0),Q88,1),"")</f>
        <v>E</v>
      </c>
      <c r="Q88" s="3">
        <v>105</v>
      </c>
      <c r="R88" s="3" t="str">
        <f>IFERROR(MID(VLOOKUP($B88,Seqs!$A:$B,2,0),S88,1),"")</f>
        <v>F</v>
      </c>
      <c r="S88" s="3">
        <v>108</v>
      </c>
      <c r="T88" s="3" t="str">
        <f>IFERROR(MID(VLOOKUP($B88,Seqs!$A:$B,2,0),U88,1),"")</f>
        <v>G</v>
      </c>
      <c r="U88" s="3">
        <v>109</v>
      </c>
      <c r="V88" s="3" t="str">
        <f>IFERROR(MID(VLOOKUP($B88,Seqs!$A:$B,2,0),W88,1),"")</f>
        <v>H</v>
      </c>
      <c r="W88" s="3">
        <v>144</v>
      </c>
      <c r="X88" s="3" t="str">
        <f>IFERROR(MID(VLOOKUP($B88,Seqs!$A:$B,2,0),Y88,1),"")</f>
        <v>A</v>
      </c>
      <c r="Y88" s="3">
        <v>145</v>
      </c>
      <c r="Z88" s="3" t="str">
        <f>IFERROR(MID(VLOOKUP($B88,Seqs!$A:$B,2,0),AA88,1),"")</f>
        <v>R</v>
      </c>
      <c r="AA88" s="3">
        <v>152</v>
      </c>
      <c r="AB88" s="3" t="str">
        <f>IFERROR(MID(VLOOKUP($B88,Seqs!$A:$B,2,0),AC88,1),"")</f>
        <v>T</v>
      </c>
      <c r="AC88" s="9">
        <v>153</v>
      </c>
      <c r="AD88" s="3" t="str">
        <f>IFERROR(MID(VLOOKUP($B88,Seqs!$A:$B,2,0),AE88,1),"")</f>
        <v>T</v>
      </c>
      <c r="AE88" s="3">
        <v>179</v>
      </c>
      <c r="AF88" s="3" t="str">
        <f>IFERROR(MID(VLOOKUP($B88,Seqs!$A:$B,2,0),AG88,1),"")</f>
        <v>C</v>
      </c>
      <c r="AG88" s="3">
        <v>190</v>
      </c>
      <c r="AH88" s="3" t="str">
        <f>IFERROR(MID(VLOOKUP($B88,Seqs!$A:$B,2,0),AI88,1),"")</f>
        <v>P</v>
      </c>
      <c r="AI88" s="3">
        <v>192</v>
      </c>
      <c r="AJ88" s="3" t="str">
        <f>IFERROR(MID(VLOOKUP($B88,Seqs!$A:$B,2,0),AK88,1),"")</f>
        <v>P</v>
      </c>
      <c r="AK88" s="3">
        <v>195</v>
      </c>
      <c r="AL88" s="3" t="str">
        <f>IFERROR(MID(VLOOKUP($B88,Seqs!$A:$B,2,0),AM88,1),"")</f>
        <v>T</v>
      </c>
      <c r="AM88" s="3">
        <v>228</v>
      </c>
      <c r="AN88" s="3" t="str">
        <f>IFERROR(MID(VLOOKUP($B88,Seqs!$A:$B,2,0),AO88,1),"")</f>
        <v>K</v>
      </c>
      <c r="AO88" s="3">
        <v>236</v>
      </c>
      <c r="AP88" s="3" t="str">
        <f>IFERROR(MID(VLOOKUP($B88,Seqs!$A:$B,2,0),AQ88,1),"")</f>
        <v>G</v>
      </c>
      <c r="AQ88" s="3">
        <v>273</v>
      </c>
      <c r="AR88" s="3" t="str">
        <f>IFERROR(MID(VLOOKUP($B88,Seqs!$A:$B,2,0),AS88,1),"")</f>
        <v>E</v>
      </c>
      <c r="AS88" s="3">
        <v>278</v>
      </c>
      <c r="AT88" s="3" t="str">
        <f>IFERROR(MID(VLOOKUP($B88,Seqs!$A:$B,2,0),AU88,1),"")</f>
        <v>V</v>
      </c>
      <c r="AU88" s="3">
        <v>308</v>
      </c>
      <c r="AV88" s="3" t="str">
        <f>IFERROR(MID(VLOOKUP($B88,Seqs!$A:$B,2,0),AW88,1),"")</f>
        <v>G</v>
      </c>
      <c r="AW88" s="3">
        <v>309</v>
      </c>
      <c r="AX88" s="3" t="str">
        <f>IFERROR(MID(VLOOKUP($B88,Seqs!$A:$B,2,0),AY88,1),"")</f>
        <v>L</v>
      </c>
      <c r="AY88" s="3">
        <v>320</v>
      </c>
      <c r="AZ88" s="79" t="str">
        <f>VLOOKUP(B88,Classification!A:D,2,0)</f>
        <v>A</v>
      </c>
      <c r="BA88" s="97" t="str">
        <f>VLOOKUP(B88,Classification!A:D,4,0)</f>
        <v>Chemokine</v>
      </c>
      <c r="BB88" s="27" t="b">
        <f t="shared" si="223"/>
        <v>1</v>
      </c>
      <c r="BC88" s="23">
        <f t="shared" si="196"/>
        <v>258</v>
      </c>
      <c r="BD88" s="16" t="s">
        <v>1383</v>
      </c>
      <c r="BE88" s="3" t="s">
        <v>1381</v>
      </c>
      <c r="BF88" s="50" t="s">
        <v>1</v>
      </c>
      <c r="BG88" s="50" t="s">
        <v>1384</v>
      </c>
      <c r="BH88" s="1"/>
      <c r="BI88" s="72" t="s">
        <v>1293</v>
      </c>
      <c r="BJ88" s="58" t="s">
        <v>1293</v>
      </c>
      <c r="BK88" s="58" t="s">
        <v>1293</v>
      </c>
      <c r="BL88" s="58" t="s">
        <v>1293</v>
      </c>
      <c r="BM88" s="58" t="s">
        <v>1293</v>
      </c>
      <c r="BN88" s="58" t="s">
        <v>1293</v>
      </c>
      <c r="BO88" s="58" t="s">
        <v>1293</v>
      </c>
      <c r="BP88" s="58" t="s">
        <v>1293</v>
      </c>
      <c r="BQ88" s="58" t="s">
        <v>1293</v>
      </c>
      <c r="BR88" s="58" t="s">
        <v>1293</v>
      </c>
      <c r="BS88" s="58" t="s">
        <v>1293</v>
      </c>
      <c r="BT88" s="58" t="s">
        <v>1293</v>
      </c>
      <c r="BU88" s="72">
        <f t="shared" si="197"/>
        <v>37</v>
      </c>
      <c r="BV88" s="73" t="str">
        <f t="shared" si="198"/>
        <v>-</v>
      </c>
      <c r="BW88" s="74">
        <f t="shared" si="199"/>
        <v>75</v>
      </c>
      <c r="BX88" s="73">
        <f t="shared" si="200"/>
        <v>105</v>
      </c>
      <c r="BY88" s="74">
        <f t="shared" si="201"/>
        <v>109</v>
      </c>
      <c r="BZ88" s="73">
        <f t="shared" si="202"/>
        <v>145</v>
      </c>
      <c r="CA88" s="74">
        <f t="shared" si="203"/>
        <v>153</v>
      </c>
      <c r="CB88" s="73">
        <f t="shared" si="204"/>
        <v>190</v>
      </c>
      <c r="CC88" s="74">
        <f t="shared" si="205"/>
        <v>195</v>
      </c>
      <c r="CD88" s="73">
        <f t="shared" si="206"/>
        <v>236</v>
      </c>
      <c r="CE88" s="74">
        <f t="shared" si="207"/>
        <v>278</v>
      </c>
      <c r="CF88" s="73">
        <f t="shared" si="208"/>
        <v>309</v>
      </c>
      <c r="CG88" s="72">
        <f t="shared" si="209"/>
        <v>70</v>
      </c>
      <c r="CH88" s="73" t="str">
        <f t="shared" si="210"/>
        <v>-</v>
      </c>
      <c r="CI88" s="74">
        <f t="shared" si="211"/>
        <v>104</v>
      </c>
      <c r="CJ88" s="74">
        <f t="shared" si="212"/>
        <v>108</v>
      </c>
      <c r="CK88" s="74">
        <f t="shared" si="213"/>
        <v>144</v>
      </c>
      <c r="CL88" s="74">
        <f t="shared" si="214"/>
        <v>152</v>
      </c>
      <c r="CM88" s="74">
        <f t="shared" si="215"/>
        <v>179</v>
      </c>
      <c r="CN88" s="74">
        <f t="shared" si="216"/>
        <v>192</v>
      </c>
      <c r="CO88" s="74">
        <f t="shared" si="217"/>
        <v>228</v>
      </c>
      <c r="CP88" s="74">
        <f t="shared" si="218"/>
        <v>273</v>
      </c>
      <c r="CQ88" s="74">
        <f t="shared" si="219"/>
        <v>308</v>
      </c>
      <c r="CR88" s="74">
        <f t="shared" si="220"/>
        <v>320</v>
      </c>
      <c r="CS88" s="23" t="e">
        <f t="shared" si="221"/>
        <v>#VALUE!</v>
      </c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</row>
    <row r="89" spans="1:1029" x14ac:dyDescent="0.2">
      <c r="A89" s="3" t="str">
        <f t="shared" si="222"/>
        <v>ccr5_human__wt</v>
      </c>
      <c r="B89" s="3" t="s">
        <v>173</v>
      </c>
      <c r="C89" s="3" t="s">
        <v>100</v>
      </c>
      <c r="D89" s="3" t="str">
        <f>IFERROR(MID(VLOOKUP($B89,Seqs!$A:$B,2,0),E89,1),"")</f>
        <v>K</v>
      </c>
      <c r="E89" s="3">
        <v>22</v>
      </c>
      <c r="F89" s="3" t="str">
        <f>IFERROR(MID(VLOOKUP($B89,Seqs!$A:$B,2,0),G89,1),"")</f>
        <v>C</v>
      </c>
      <c r="G89" s="3">
        <v>58</v>
      </c>
      <c r="H89" s="3" t="str">
        <f>IFERROR(MID(VLOOKUP($B89,Seqs!$A:$B,2,0),I89,1),"")</f>
        <v>K</v>
      </c>
      <c r="I89" s="23">
        <v>59</v>
      </c>
      <c r="J89" s="3" t="str">
        <f>IFERROR(MID(VLOOKUP($B89,Seqs!$A:$B,2,0),K89,1),"")</f>
        <v>K</v>
      </c>
      <c r="K89" s="23">
        <v>62</v>
      </c>
      <c r="L89" s="3" t="str">
        <f>IFERROR(MID(VLOOKUP($B89,Seqs!$A:$B,2,0),M89,1),"")</f>
        <v>S</v>
      </c>
      <c r="M89" s="3">
        <v>63</v>
      </c>
      <c r="N89" s="3" t="str">
        <f>IFERROR(MID(VLOOKUP($B89,Seqs!$A:$B,2,0),O89,1),"")</f>
        <v>A</v>
      </c>
      <c r="O89" s="3">
        <v>92</v>
      </c>
      <c r="P89" s="3" t="str">
        <f>IFERROR(MID(VLOOKUP($B89,Seqs!$A:$B,2,0),Q89,1),"")</f>
        <v>Q</v>
      </c>
      <c r="Q89" s="3">
        <v>93</v>
      </c>
      <c r="R89" s="3" t="str">
        <f>IFERROR(MID(VLOOKUP($B89,Seqs!$A:$B,2,0),S89,1),"")</f>
        <v>F</v>
      </c>
      <c r="S89" s="3">
        <v>96</v>
      </c>
      <c r="T89" s="3" t="str">
        <f>IFERROR(MID(VLOOKUP($B89,Seqs!$A:$B,2,0),U89,1),"")</f>
        <v>G</v>
      </c>
      <c r="U89" s="3">
        <v>97</v>
      </c>
      <c r="V89" s="3" t="str">
        <f>IFERROR(MID(VLOOKUP($B89,Seqs!$A:$B,2,0),W89,1),"")</f>
        <v>H</v>
      </c>
      <c r="W89" s="3">
        <v>132</v>
      </c>
      <c r="X89" s="3" t="str">
        <f>IFERROR(MID(VLOOKUP($B89,Seqs!$A:$B,2,0),Y89,1),"")</f>
        <v>A</v>
      </c>
      <c r="Y89" s="3">
        <v>133</v>
      </c>
      <c r="Z89" s="3" t="str">
        <f>IFERROR(MID(VLOOKUP($B89,Seqs!$A:$B,2,0),AA89,1),"")</f>
        <v>R</v>
      </c>
      <c r="AA89" s="3">
        <v>140</v>
      </c>
      <c r="AB89" s="3" t="str">
        <f>IFERROR(MID(VLOOKUP($B89,Seqs!$A:$B,2,0),AC89,1),"")</f>
        <v>T</v>
      </c>
      <c r="AC89" s="9">
        <v>141</v>
      </c>
      <c r="AD89" s="3" t="str">
        <f>IFERROR(MID(VLOOKUP($B89,Seqs!$A:$B,2,0),AE89,1),"")</f>
        <v>T</v>
      </c>
      <c r="AE89" s="3">
        <v>167</v>
      </c>
      <c r="AF89" s="3" t="str">
        <f>IFERROR(MID(VLOOKUP($B89,Seqs!$A:$B,2,0),AG89,1),"")</f>
        <v>C</v>
      </c>
      <c r="AG89" s="3">
        <v>178</v>
      </c>
      <c r="AH89" s="3" t="str">
        <f>IFERROR(MID(VLOOKUP($B89,Seqs!$A:$B,2,0),AI89,1),"")</f>
        <v>S</v>
      </c>
      <c r="AI89" s="3">
        <v>180</v>
      </c>
      <c r="AJ89" s="3" t="str">
        <f>IFERROR(MID(VLOOKUP($B89,Seqs!$A:$B,2,0),AK89,1),"")</f>
        <v>Q</v>
      </c>
      <c r="AK89" s="3">
        <v>186</v>
      </c>
      <c r="AL89" s="3" t="str">
        <f>IFERROR(MID(VLOOKUP($B89,Seqs!$A:$B,2,0),AM89,1),"")</f>
        <v>C</v>
      </c>
      <c r="AM89" s="3">
        <v>224</v>
      </c>
      <c r="AN89" s="3" t="str">
        <f>IFERROR(MID(VLOOKUP($B89,Seqs!$A:$B,2,0),AO89,1),"")</f>
        <v>K</v>
      </c>
      <c r="AO89" s="3">
        <v>228</v>
      </c>
      <c r="AP89" s="3" t="str">
        <f>IFERROR(MID(VLOOKUP($B89,Seqs!$A:$B,2,0),AQ89,1),"")</f>
        <v>G</v>
      </c>
      <c r="AQ89" s="3">
        <v>265</v>
      </c>
      <c r="AR89" s="3" t="str">
        <f>IFERROR(MID(VLOOKUP($B89,Seqs!$A:$B,2,0),AS89,1),"")</f>
        <v>N</v>
      </c>
      <c r="AS89" s="3">
        <v>268</v>
      </c>
      <c r="AT89" s="3" t="str">
        <f>IFERROR(MID(VLOOKUP($B89,Seqs!$A:$B,2,0),AU89,1),"")</f>
        <v>V</v>
      </c>
      <c r="AU89" s="3">
        <v>300</v>
      </c>
      <c r="AV89" s="3" t="str">
        <f>IFERROR(MID(VLOOKUP($B89,Seqs!$A:$B,2,0),AW89,1),"")</f>
        <v>G</v>
      </c>
      <c r="AW89" s="3">
        <v>301</v>
      </c>
      <c r="AX89" s="3" t="str">
        <f>IFERROR(MID(VLOOKUP($B89,Seqs!$A:$B,2,0),AY89,1),"")</f>
        <v>Q</v>
      </c>
      <c r="AY89" s="3">
        <v>313</v>
      </c>
      <c r="AZ89" s="79" t="str">
        <f>VLOOKUP(B89,Classification!A:D,2,0)</f>
        <v>A</v>
      </c>
      <c r="BA89" s="97" t="str">
        <f>VLOOKUP(B89,Classification!A:D,4,0)</f>
        <v>Chemokine</v>
      </c>
      <c r="BB89" s="27" t="b">
        <f t="shared" si="223"/>
        <v>1</v>
      </c>
      <c r="BC89" s="23">
        <f t="shared" si="196"/>
        <v>272</v>
      </c>
      <c r="BD89" s="35" t="s">
        <v>1379</v>
      </c>
      <c r="BE89" s="3" t="s">
        <v>1381</v>
      </c>
      <c r="BF89" s="50" t="s">
        <v>1379</v>
      </c>
      <c r="BG89" s="50" t="s">
        <v>1384</v>
      </c>
      <c r="BH89" s="1"/>
      <c r="BI89" s="72" t="s">
        <v>1293</v>
      </c>
      <c r="BJ89" s="58" t="s">
        <v>1293</v>
      </c>
      <c r="BK89" s="58" t="s">
        <v>1293</v>
      </c>
      <c r="BL89" s="58" t="s">
        <v>1293</v>
      </c>
      <c r="BM89" s="58" t="s">
        <v>1293</v>
      </c>
      <c r="BN89" s="58" t="s">
        <v>1293</v>
      </c>
      <c r="BO89" s="58" t="s">
        <v>1293</v>
      </c>
      <c r="BP89" s="58" t="s">
        <v>1293</v>
      </c>
      <c r="BQ89" s="58" t="s">
        <v>1293</v>
      </c>
      <c r="BR89" s="58" t="s">
        <v>1293</v>
      </c>
      <c r="BS89" s="58" t="s">
        <v>1293</v>
      </c>
      <c r="BT89" s="58" t="s">
        <v>1293</v>
      </c>
      <c r="BU89" s="72">
        <f t="shared" si="197"/>
        <v>22</v>
      </c>
      <c r="BV89" s="73">
        <f t="shared" si="198"/>
        <v>59</v>
      </c>
      <c r="BW89" s="74">
        <f t="shared" si="199"/>
        <v>63</v>
      </c>
      <c r="BX89" s="73">
        <f t="shared" si="200"/>
        <v>93</v>
      </c>
      <c r="BY89" s="74">
        <f t="shared" si="201"/>
        <v>97</v>
      </c>
      <c r="BZ89" s="73">
        <f t="shared" si="202"/>
        <v>133</v>
      </c>
      <c r="CA89" s="74">
        <f t="shared" si="203"/>
        <v>141</v>
      </c>
      <c r="CB89" s="73">
        <f t="shared" si="204"/>
        <v>178</v>
      </c>
      <c r="CC89" s="74">
        <f t="shared" si="205"/>
        <v>186</v>
      </c>
      <c r="CD89" s="73">
        <f t="shared" si="206"/>
        <v>228</v>
      </c>
      <c r="CE89" s="74">
        <f t="shared" si="207"/>
        <v>268</v>
      </c>
      <c r="CF89" s="73">
        <f t="shared" si="208"/>
        <v>301</v>
      </c>
      <c r="CG89" s="72">
        <f t="shared" si="209"/>
        <v>58</v>
      </c>
      <c r="CH89" s="73">
        <f t="shared" si="210"/>
        <v>62</v>
      </c>
      <c r="CI89" s="74">
        <f t="shared" si="211"/>
        <v>92</v>
      </c>
      <c r="CJ89" s="74">
        <f t="shared" si="212"/>
        <v>96</v>
      </c>
      <c r="CK89" s="74">
        <f t="shared" si="213"/>
        <v>132</v>
      </c>
      <c r="CL89" s="74">
        <f t="shared" si="214"/>
        <v>140</v>
      </c>
      <c r="CM89" s="74">
        <f t="shared" si="215"/>
        <v>167</v>
      </c>
      <c r="CN89" s="74">
        <f t="shared" si="216"/>
        <v>180</v>
      </c>
      <c r="CO89" s="74">
        <f t="shared" si="217"/>
        <v>224</v>
      </c>
      <c r="CP89" s="74">
        <f t="shared" si="218"/>
        <v>265</v>
      </c>
      <c r="CQ89" s="74">
        <f t="shared" si="219"/>
        <v>300</v>
      </c>
      <c r="CR89" s="74">
        <f t="shared" si="220"/>
        <v>313</v>
      </c>
      <c r="CS89" s="23">
        <f t="shared" si="221"/>
        <v>1</v>
      </c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</row>
    <row r="90" spans="1:1029" x14ac:dyDescent="0.2">
      <c r="A90" s="3" t="str">
        <f t="shared" si="222"/>
        <v>ccr5_human_4MBS</v>
      </c>
      <c r="B90" s="3" t="s">
        <v>173</v>
      </c>
      <c r="C90" s="3" t="s">
        <v>74</v>
      </c>
      <c r="D90" s="3" t="str">
        <f>IFERROR(MID(VLOOKUP($B90,Seqs!$A:$B,2,0),E90,1),"")</f>
        <v>V</v>
      </c>
      <c r="E90" s="3">
        <v>25</v>
      </c>
      <c r="F90" s="3" t="str">
        <f>IFERROR(MID(VLOOKUP($B90,Seqs!$A:$B,2,0),G90,1),"")</f>
        <v>C</v>
      </c>
      <c r="G90" s="3">
        <v>58</v>
      </c>
      <c r="H90" s="3" t="str">
        <f>IFERROR(MID(VLOOKUP($B90,Seqs!$A:$B,2,0),I90,1),"")</f>
        <v/>
      </c>
      <c r="I90" s="23" t="s">
        <v>23</v>
      </c>
      <c r="J90" s="3" t="str">
        <f>IFERROR(MID(VLOOKUP($B90,Seqs!$A:$B,2,0),K90,1),"")</f>
        <v/>
      </c>
      <c r="K90" s="23" t="s">
        <v>23</v>
      </c>
      <c r="L90" s="3" t="str">
        <f>IFERROR(MID(VLOOKUP($B90,Seqs!$A:$B,2,0),M90,1),"")</f>
        <v>S</v>
      </c>
      <c r="M90" s="3">
        <v>63</v>
      </c>
      <c r="N90" s="3" t="str">
        <f>IFERROR(MID(VLOOKUP($B90,Seqs!$A:$B,2,0),O90,1),"")</f>
        <v>A</v>
      </c>
      <c r="O90" s="3">
        <v>92</v>
      </c>
      <c r="P90" s="3" t="str">
        <f>IFERROR(MID(VLOOKUP($B90,Seqs!$A:$B,2,0),Q90,1),"")</f>
        <v>Q</v>
      </c>
      <c r="Q90" s="3">
        <v>93</v>
      </c>
      <c r="R90" s="3" t="str">
        <f>IFERROR(MID(VLOOKUP($B90,Seqs!$A:$B,2,0),S90,1),"")</f>
        <v>F</v>
      </c>
      <c r="S90" s="3">
        <v>96</v>
      </c>
      <c r="T90" s="3" t="str">
        <f>IFERROR(MID(VLOOKUP($B90,Seqs!$A:$B,2,0),U90,1),"")</f>
        <v>G</v>
      </c>
      <c r="U90" s="3">
        <v>97</v>
      </c>
      <c r="V90" s="3" t="str">
        <f>IFERROR(MID(VLOOKUP($B90,Seqs!$A:$B,2,0),W90,1),"")</f>
        <v>H</v>
      </c>
      <c r="W90" s="3">
        <v>132</v>
      </c>
      <c r="X90" s="3" t="str">
        <f>IFERROR(MID(VLOOKUP($B90,Seqs!$A:$B,2,0),Y90,1),"")</f>
        <v>A</v>
      </c>
      <c r="Y90" s="3">
        <v>133</v>
      </c>
      <c r="Z90" s="3" t="str">
        <f>IFERROR(MID(VLOOKUP($B90,Seqs!$A:$B,2,0),AA90,1),"")</f>
        <v>R</v>
      </c>
      <c r="AA90" s="3">
        <v>140</v>
      </c>
      <c r="AB90" s="3" t="str">
        <f>IFERROR(MID(VLOOKUP($B90,Seqs!$A:$B,2,0),AC90,1),"")</f>
        <v>T</v>
      </c>
      <c r="AC90" s="9">
        <v>141</v>
      </c>
      <c r="AD90" s="3" t="str">
        <f>IFERROR(MID(VLOOKUP($B90,Seqs!$A:$B,2,0),AE90,1),"")</f>
        <v>T</v>
      </c>
      <c r="AE90" s="3">
        <v>167</v>
      </c>
      <c r="AF90" s="3" t="str">
        <f>IFERROR(MID(VLOOKUP($B90,Seqs!$A:$B,2,0),AG90,1),"")</f>
        <v>C</v>
      </c>
      <c r="AG90" s="3">
        <v>178</v>
      </c>
      <c r="AH90" s="3" t="str">
        <f>IFERROR(MID(VLOOKUP($B90,Seqs!$A:$B,2,0),AI90,1),"")</f>
        <v>S</v>
      </c>
      <c r="AI90" s="3">
        <v>180</v>
      </c>
      <c r="AJ90" s="3" t="str">
        <f>IFERROR(MID(VLOOKUP($B90,Seqs!$A:$B,2,0),AK90,1),"")</f>
        <v>Q</v>
      </c>
      <c r="AK90" s="3">
        <v>186</v>
      </c>
      <c r="AL90" s="3" t="str">
        <f>IFERROR(MID(VLOOKUP($B90,Seqs!$A:$B,2,0),AM90,1),"")</f>
        <v>R</v>
      </c>
      <c r="AM90" s="3">
        <v>223</v>
      </c>
      <c r="AN90" s="3" t="str">
        <f>IFERROR(MID(VLOOKUP($B90,Seqs!$A:$B,2,0),AO90,1),"")</f>
        <v>K</v>
      </c>
      <c r="AO90" s="3">
        <v>228</v>
      </c>
      <c r="AP90" s="3" t="str">
        <f>IFERROR(MID(VLOOKUP($B90,Seqs!$A:$B,2,0),AQ90,1),"")</f>
        <v>G</v>
      </c>
      <c r="AQ90" s="3">
        <v>265</v>
      </c>
      <c r="AR90" s="3" t="str">
        <f>IFERROR(MID(VLOOKUP($B90,Seqs!$A:$B,2,0),AS90,1),"")</f>
        <v>N</v>
      </c>
      <c r="AS90" s="3">
        <v>268</v>
      </c>
      <c r="AT90" s="3" t="str">
        <f>IFERROR(MID(VLOOKUP($B90,Seqs!$A:$B,2,0),AU90,1),"")</f>
        <v>V</v>
      </c>
      <c r="AU90" s="3">
        <v>300</v>
      </c>
      <c r="AV90" s="3" t="str">
        <f>IFERROR(MID(VLOOKUP($B90,Seqs!$A:$B,2,0),AW90,1),"")</f>
        <v>G</v>
      </c>
      <c r="AW90" s="3">
        <v>301</v>
      </c>
      <c r="AX90" s="3" t="str">
        <f>IFERROR(MID(VLOOKUP($B90,Seqs!$A:$B,2,0),AY90,1),"")</f>
        <v>Q</v>
      </c>
      <c r="AY90" s="3">
        <v>313</v>
      </c>
      <c r="AZ90" s="79" t="str">
        <f>VLOOKUP(B90,Classification!A:D,2,0)</f>
        <v>A</v>
      </c>
      <c r="BA90" s="97" t="str">
        <f>VLOOKUP(B90,Classification!A:D,4,0)</f>
        <v>Chemokine</v>
      </c>
      <c r="BB90" s="27" t="b">
        <f t="shared" si="223"/>
        <v>1</v>
      </c>
      <c r="BC90" s="23">
        <f t="shared" si="196"/>
        <v>265</v>
      </c>
      <c r="BD90" s="2" t="s">
        <v>1383</v>
      </c>
      <c r="BE90" s="3" t="s">
        <v>1381</v>
      </c>
      <c r="BF90" s="50" t="s">
        <v>1384</v>
      </c>
      <c r="BG90" s="50" t="s">
        <v>1384</v>
      </c>
      <c r="BH90" s="1"/>
      <c r="BI90" s="72" t="s">
        <v>1293</v>
      </c>
      <c r="BJ90" s="58" t="s">
        <v>1293</v>
      </c>
      <c r="BK90" s="58" t="s">
        <v>1293</v>
      </c>
      <c r="BL90" s="58" t="s">
        <v>1293</v>
      </c>
      <c r="BM90" s="58" t="s">
        <v>1293</v>
      </c>
      <c r="BN90" s="58" t="s">
        <v>1293</v>
      </c>
      <c r="BO90" s="58" t="s">
        <v>1293</v>
      </c>
      <c r="BP90" s="58" t="s">
        <v>1293</v>
      </c>
      <c r="BQ90" s="58" t="s">
        <v>1293</v>
      </c>
      <c r="BR90" s="58" t="s">
        <v>1293</v>
      </c>
      <c r="BS90" s="58" t="s">
        <v>1293</v>
      </c>
      <c r="BT90" s="58" t="s">
        <v>1293</v>
      </c>
      <c r="BU90" s="72">
        <f t="shared" si="197"/>
        <v>25</v>
      </c>
      <c r="BV90" s="73" t="str">
        <f t="shared" si="198"/>
        <v>-</v>
      </c>
      <c r="BW90" s="74">
        <f t="shared" si="199"/>
        <v>63</v>
      </c>
      <c r="BX90" s="73">
        <f t="shared" si="200"/>
        <v>93</v>
      </c>
      <c r="BY90" s="74">
        <f t="shared" si="201"/>
        <v>97</v>
      </c>
      <c r="BZ90" s="73">
        <f t="shared" si="202"/>
        <v>133</v>
      </c>
      <c r="CA90" s="74">
        <f t="shared" si="203"/>
        <v>141</v>
      </c>
      <c r="CB90" s="73">
        <f t="shared" si="204"/>
        <v>178</v>
      </c>
      <c r="CC90" s="74">
        <f t="shared" si="205"/>
        <v>186</v>
      </c>
      <c r="CD90" s="73">
        <f t="shared" si="206"/>
        <v>228</v>
      </c>
      <c r="CE90" s="74">
        <f t="shared" si="207"/>
        <v>268</v>
      </c>
      <c r="CF90" s="73">
        <f t="shared" si="208"/>
        <v>301</v>
      </c>
      <c r="CG90" s="72">
        <f t="shared" si="209"/>
        <v>58</v>
      </c>
      <c r="CH90" s="73" t="str">
        <f t="shared" si="210"/>
        <v>-</v>
      </c>
      <c r="CI90" s="74">
        <f t="shared" si="211"/>
        <v>92</v>
      </c>
      <c r="CJ90" s="74">
        <f t="shared" si="212"/>
        <v>96</v>
      </c>
      <c r="CK90" s="74">
        <f t="shared" si="213"/>
        <v>132</v>
      </c>
      <c r="CL90" s="74">
        <f t="shared" si="214"/>
        <v>140</v>
      </c>
      <c r="CM90" s="74">
        <f t="shared" si="215"/>
        <v>167</v>
      </c>
      <c r="CN90" s="74">
        <f t="shared" si="216"/>
        <v>180</v>
      </c>
      <c r="CO90" s="74">
        <f t="shared" si="217"/>
        <v>223</v>
      </c>
      <c r="CP90" s="74">
        <f t="shared" si="218"/>
        <v>265</v>
      </c>
      <c r="CQ90" s="74">
        <f t="shared" si="219"/>
        <v>300</v>
      </c>
      <c r="CR90" s="74">
        <f t="shared" si="220"/>
        <v>313</v>
      </c>
      <c r="CS90" s="23" t="e">
        <f t="shared" si="221"/>
        <v>#VALUE!</v>
      </c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</row>
    <row r="91" spans="1:1029" s="12" customFormat="1" x14ac:dyDescent="0.2">
      <c r="A91" s="9" t="str">
        <f t="shared" ref="A91" si="336">CONCATENATE(B91,"_",C91)</f>
        <v>ccr5_human_5UIW</v>
      </c>
      <c r="B91" s="9" t="s">
        <v>173</v>
      </c>
      <c r="C91" s="9" t="s">
        <v>1434</v>
      </c>
      <c r="D91" s="9" t="str">
        <f>IFERROR(MID(VLOOKUP($B91,Seqs!$A:$B,2,0),E91,1),"")</f>
        <v>K</v>
      </c>
      <c r="E91" s="9">
        <v>22</v>
      </c>
      <c r="F91" s="9" t="str">
        <f>IFERROR(MID(VLOOKUP($B91,Seqs!$A:$B,2,0),G91,1),"")</f>
        <v>C</v>
      </c>
      <c r="G91" s="9">
        <v>58</v>
      </c>
      <c r="H91" s="9" t="str">
        <f>IFERROR(MID(VLOOKUP($B91,Seqs!$A:$B,2,0),I91,1),"")</f>
        <v/>
      </c>
      <c r="I91" s="112" t="s">
        <v>23</v>
      </c>
      <c r="J91" s="9" t="str">
        <f>IFERROR(MID(VLOOKUP($B91,Seqs!$A:$B,2,0),K91,1),"")</f>
        <v/>
      </c>
      <c r="K91" s="112" t="s">
        <v>23</v>
      </c>
      <c r="L91" s="9" t="str">
        <f>IFERROR(MID(VLOOKUP($B91,Seqs!$A:$B,2,0),M91,1),"")</f>
        <v>S</v>
      </c>
      <c r="M91" s="9">
        <v>63</v>
      </c>
      <c r="N91" s="9" t="str">
        <f>IFERROR(MID(VLOOKUP($B91,Seqs!$A:$B,2,0),O91,1),"")</f>
        <v>A</v>
      </c>
      <c r="O91" s="9">
        <v>92</v>
      </c>
      <c r="P91" s="9" t="str">
        <f>IFERROR(MID(VLOOKUP($B91,Seqs!$A:$B,2,0),Q91,1),"")</f>
        <v>Q</v>
      </c>
      <c r="Q91" s="9">
        <v>93</v>
      </c>
      <c r="R91" s="9" t="str">
        <f>IFERROR(MID(VLOOKUP($B91,Seqs!$A:$B,2,0),S91,1),"")</f>
        <v>F</v>
      </c>
      <c r="S91" s="9">
        <v>96</v>
      </c>
      <c r="T91" s="9" t="str">
        <f>IFERROR(MID(VLOOKUP($B91,Seqs!$A:$B,2,0),U91,1),"")</f>
        <v>G</v>
      </c>
      <c r="U91" s="9">
        <v>97</v>
      </c>
      <c r="V91" s="9" t="str">
        <f>IFERROR(MID(VLOOKUP($B91,Seqs!$A:$B,2,0),W91,1),"")</f>
        <v>H</v>
      </c>
      <c r="W91" s="9">
        <v>132</v>
      </c>
      <c r="X91" s="9" t="str">
        <f>IFERROR(MID(VLOOKUP($B91,Seqs!$A:$B,2,0),Y91,1),"")</f>
        <v>A</v>
      </c>
      <c r="Y91" s="9">
        <v>133</v>
      </c>
      <c r="Z91" s="9" t="str">
        <f>IFERROR(MID(VLOOKUP($B91,Seqs!$A:$B,2,0),AA91,1),"")</f>
        <v>R</v>
      </c>
      <c r="AA91" s="9">
        <v>140</v>
      </c>
      <c r="AB91" s="9" t="str">
        <f>IFERROR(MID(VLOOKUP($B91,Seqs!$A:$B,2,0),AC91,1),"")</f>
        <v>T</v>
      </c>
      <c r="AC91" s="9">
        <v>141</v>
      </c>
      <c r="AD91" s="9" t="str">
        <f>IFERROR(MID(VLOOKUP($B91,Seqs!$A:$B,2,0),AE91,1),"")</f>
        <v>T</v>
      </c>
      <c r="AE91" s="9">
        <v>167</v>
      </c>
      <c r="AF91" s="9" t="str">
        <f>IFERROR(MID(VLOOKUP($B91,Seqs!$A:$B,2,0),AG91,1),"")</f>
        <v>C</v>
      </c>
      <c r="AG91" s="9">
        <v>178</v>
      </c>
      <c r="AH91" s="9" t="str">
        <f>IFERROR(MID(VLOOKUP($B91,Seqs!$A:$B,2,0),AI91,1),"")</f>
        <v>S</v>
      </c>
      <c r="AI91" s="9">
        <v>180</v>
      </c>
      <c r="AJ91" s="9" t="str">
        <f>IFERROR(MID(VLOOKUP($B91,Seqs!$A:$B,2,0),AK91,1),"")</f>
        <v>Q</v>
      </c>
      <c r="AK91" s="9">
        <v>186</v>
      </c>
      <c r="AL91" s="9" t="str">
        <f>IFERROR(MID(VLOOKUP($B91,Seqs!$A:$B,2,0),AM91,1),"")</f>
        <v>R</v>
      </c>
      <c r="AM91" s="9">
        <v>223</v>
      </c>
      <c r="AN91" s="9" t="str">
        <f>IFERROR(MID(VLOOKUP($B91,Seqs!$A:$B,2,0),AO91,1),"")</f>
        <v>E</v>
      </c>
      <c r="AO91" s="9">
        <v>227</v>
      </c>
      <c r="AP91" s="9" t="str">
        <f>IFERROR(MID(VLOOKUP($B91,Seqs!$A:$B,2,0),AQ91,1),"")</f>
        <v>Q</v>
      </c>
      <c r="AQ91" s="9">
        <v>261</v>
      </c>
      <c r="AR91" s="9" t="str">
        <f>IFERROR(MID(VLOOKUP($B91,Seqs!$A:$B,2,0),AS91,1),"")</f>
        <v>N</v>
      </c>
      <c r="AS91" s="9">
        <v>268</v>
      </c>
      <c r="AT91" s="9" t="str">
        <f>IFERROR(MID(VLOOKUP($B91,Seqs!$A:$B,2,0),AU91,1),"")</f>
        <v>V</v>
      </c>
      <c r="AU91" s="9">
        <v>300</v>
      </c>
      <c r="AV91" s="9" t="str">
        <f>IFERROR(MID(VLOOKUP($B91,Seqs!$A:$B,2,0),AW91,1),"")</f>
        <v>G</v>
      </c>
      <c r="AW91" s="9">
        <v>301</v>
      </c>
      <c r="AX91" s="9" t="str">
        <f>IFERROR(MID(VLOOKUP($B91,Seqs!$A:$B,2,0),AY91,1),"")</f>
        <v>I</v>
      </c>
      <c r="AY91" s="9">
        <v>316</v>
      </c>
      <c r="AZ91" s="113" t="str">
        <f>VLOOKUP(B91,Classification!A:D,2,0)</f>
        <v>A</v>
      </c>
      <c r="BA91" s="101" t="str">
        <f>VLOOKUP(B91,Classification!A:D,4,0)</f>
        <v>Chemokine</v>
      </c>
      <c r="BB91" s="37" t="b">
        <f t="shared" ref="BB91" si="337">AND(E91&lt;G91,OR(G91&lt;I91,I91="-"),OR(I91&lt;K91,I91="-"),OR(K91&lt;M91,K91="-"),M91&lt;O91,OR(O91&lt;Q91,Q91="-"),OR(Q91&lt;S91,Q91="-"),OR(S91&lt;U91,S91="-"),U91&lt;W91,OR(W91&lt;Y91,Y91="-"),OR(Y91&lt;AA91,Y91="-"),OR(AA91&lt;AC91,AA91="-"),AC91&lt;AE91,OR(AE91&lt;AG91,AG91="-"),OR(AG91&lt;AI91,AG91="-"),OR(AI91&lt;AK91,AI91="-"),AK91&lt;AM91,AM91&lt;AO91,AO91&lt;AQ91,AQ91&lt;AS91,AS91&lt;AU91,OR(AU91&lt;AW91,AW91="-"),OR(AW91&lt;AY91,AW91="-"))</f>
        <v>1</v>
      </c>
      <c r="BC91" s="112">
        <f>_xlfn.AGGREGATE(9,6,CG91:CR91)-_xlfn.AGGREGATE(9,6,BU91:CF91)+12</f>
        <v>268</v>
      </c>
      <c r="BD91" s="41" t="s">
        <v>1383</v>
      </c>
      <c r="BE91" s="9" t="s">
        <v>1381</v>
      </c>
      <c r="BF91" s="52" t="s">
        <v>1384</v>
      </c>
      <c r="BG91" s="52" t="s">
        <v>1384</v>
      </c>
      <c r="BI91" s="114" t="s">
        <v>1293</v>
      </c>
      <c r="BJ91" s="115" t="s">
        <v>1293</v>
      </c>
      <c r="BK91" s="115" t="s">
        <v>1293</v>
      </c>
      <c r="BL91" s="115" t="s">
        <v>1293</v>
      </c>
      <c r="BM91" s="115" t="s">
        <v>1293</v>
      </c>
      <c r="BN91" s="115" t="s">
        <v>1293</v>
      </c>
      <c r="BO91" s="115" t="s">
        <v>1293</v>
      </c>
      <c r="BP91" s="115" t="s">
        <v>1293</v>
      </c>
      <c r="BQ91" s="115" t="s">
        <v>1293</v>
      </c>
      <c r="BR91" s="115" t="s">
        <v>1293</v>
      </c>
      <c r="BS91" s="115" t="s">
        <v>1293</v>
      </c>
      <c r="BT91" s="115" t="s">
        <v>1293</v>
      </c>
      <c r="BU91" s="114">
        <f t="shared" ref="BU91" si="338">E91</f>
        <v>22</v>
      </c>
      <c r="BV91" s="116" t="str">
        <f t="shared" ref="BV91" si="339">I91</f>
        <v>-</v>
      </c>
      <c r="BW91" s="117">
        <f t="shared" ref="BW91" si="340">M91</f>
        <v>63</v>
      </c>
      <c r="BX91" s="116">
        <f t="shared" ref="BX91" si="341">Q91</f>
        <v>93</v>
      </c>
      <c r="BY91" s="117">
        <f t="shared" ref="BY91" si="342">U91</f>
        <v>97</v>
      </c>
      <c r="BZ91" s="116">
        <f t="shared" ref="BZ91" si="343">Y91</f>
        <v>133</v>
      </c>
      <c r="CA91" s="117">
        <f t="shared" ref="CA91" si="344">AC91</f>
        <v>141</v>
      </c>
      <c r="CB91" s="116">
        <f t="shared" ref="CB91" si="345">AG91</f>
        <v>178</v>
      </c>
      <c r="CC91" s="117">
        <f t="shared" ref="CC91" si="346">AK91</f>
        <v>186</v>
      </c>
      <c r="CD91" s="116">
        <f t="shared" ref="CD91" si="347">AO91</f>
        <v>227</v>
      </c>
      <c r="CE91" s="117">
        <f t="shared" ref="CE91" si="348">AS91</f>
        <v>268</v>
      </c>
      <c r="CF91" s="116">
        <f t="shared" ref="CF91" si="349">AW91</f>
        <v>301</v>
      </c>
      <c r="CG91" s="114">
        <f t="shared" ref="CG91" si="350">G91</f>
        <v>58</v>
      </c>
      <c r="CH91" s="116" t="str">
        <f t="shared" ref="CH91" si="351">K91</f>
        <v>-</v>
      </c>
      <c r="CI91" s="117">
        <f t="shared" ref="CI91" si="352">O91</f>
        <v>92</v>
      </c>
      <c r="CJ91" s="117">
        <f t="shared" ref="CJ91" si="353">S91</f>
        <v>96</v>
      </c>
      <c r="CK91" s="117">
        <f t="shared" ref="CK91" si="354">W91</f>
        <v>132</v>
      </c>
      <c r="CL91" s="117">
        <f t="shared" ref="CL91" si="355">AA91</f>
        <v>140</v>
      </c>
      <c r="CM91" s="117">
        <f t="shared" ref="CM91" si="356">AE91</f>
        <v>167</v>
      </c>
      <c r="CN91" s="117">
        <f t="shared" ref="CN91" si="357">AI91</f>
        <v>180</v>
      </c>
      <c r="CO91" s="117">
        <f t="shared" ref="CO91" si="358">AM91</f>
        <v>223</v>
      </c>
      <c r="CP91" s="117">
        <f t="shared" ref="CP91" si="359">AQ91</f>
        <v>261</v>
      </c>
      <c r="CQ91" s="117">
        <f t="shared" ref="CQ91" si="360">AU91</f>
        <v>300</v>
      </c>
      <c r="CR91" s="117">
        <f t="shared" ref="CR91" si="361">AY91</f>
        <v>316</v>
      </c>
      <c r="CS91" s="112" t="e">
        <f t="shared" ref="CS91" si="362">M91-K91</f>
        <v>#VALUE!</v>
      </c>
    </row>
    <row r="92" spans="1:1029" x14ac:dyDescent="0.2">
      <c r="A92" s="3" t="str">
        <f t="shared" si="222"/>
        <v>ccr9_human__wt</v>
      </c>
      <c r="B92" s="3" t="s">
        <v>177</v>
      </c>
      <c r="C92" s="3" t="s">
        <v>100</v>
      </c>
      <c r="D92" s="3" t="str">
        <f>IFERROR(MID(VLOOKUP($B92,Seqs!$A:$B,2,0),E92,1),"")</f>
        <v>V</v>
      </c>
      <c r="E92" s="3">
        <v>43</v>
      </c>
      <c r="F92" s="3" t="str">
        <f>IFERROR(MID(VLOOKUP($B92,Seqs!$A:$B,2,0),G92,1),"")</f>
        <v>C</v>
      </c>
      <c r="G92" s="3">
        <v>76</v>
      </c>
      <c r="H92" s="3" t="str">
        <f>IFERROR(MID(VLOOKUP($B92,Seqs!$A:$B,2,0),I92,1),"")</f>
        <v>T</v>
      </c>
      <c r="I92" s="23">
        <v>77</v>
      </c>
      <c r="J92" s="3" t="str">
        <f>IFERROR(MID(VLOOKUP($B92,Seqs!$A:$B,2,0),K92,1),"")</f>
        <v>K</v>
      </c>
      <c r="K92" s="23">
        <v>80</v>
      </c>
      <c r="L92" s="3" t="str">
        <f>IFERROR(MID(VLOOKUP($B92,Seqs!$A:$B,2,0),M92,1),"")</f>
        <v>T</v>
      </c>
      <c r="M92" s="3">
        <v>81</v>
      </c>
      <c r="N92" s="3" t="str">
        <f>IFERROR(MID(VLOOKUP($B92,Seqs!$A:$B,2,0),O92,1),"")</f>
        <v>D</v>
      </c>
      <c r="O92" s="3">
        <v>110</v>
      </c>
      <c r="P92" s="3" t="str">
        <f>IFERROR(MID(VLOOKUP($B92,Seqs!$A:$B,2,0),Q92,1),"")</f>
        <v>Q</v>
      </c>
      <c r="Q92" s="3">
        <v>111</v>
      </c>
      <c r="R92" s="3" t="str">
        <f>IFERROR(MID(VLOOKUP($B92,Seqs!$A:$B,2,0),S92,1),"")</f>
        <v>F</v>
      </c>
      <c r="S92" s="3">
        <v>114</v>
      </c>
      <c r="T92" s="3" t="str">
        <f>IFERROR(MID(VLOOKUP($B92,Seqs!$A:$B,2,0),U92,1),"")</f>
        <v>Q</v>
      </c>
      <c r="U92" s="3">
        <v>115</v>
      </c>
      <c r="V92" s="3" t="str">
        <f>IFERROR(MID(VLOOKUP($B92,Seqs!$A:$B,2,0),W92,1),"")</f>
        <v>Q</v>
      </c>
      <c r="W92" s="3">
        <v>150</v>
      </c>
      <c r="X92" s="3" t="str">
        <f>IFERROR(MID(VLOOKUP($B92,Seqs!$A:$B,2,0),Y92,1),"")</f>
        <v>A</v>
      </c>
      <c r="Y92" s="3">
        <v>151</v>
      </c>
      <c r="Z92" s="3" t="str">
        <f>IFERROR(MID(VLOOKUP($B92,Seqs!$A:$B,2,0),AA92,1),"")</f>
        <v>W</v>
      </c>
      <c r="AA92" s="3">
        <v>157</v>
      </c>
      <c r="AB92" s="3" t="str">
        <f>IFERROR(MID(VLOOKUP($B92,Seqs!$A:$B,2,0),AC92,1),"")</f>
        <v>R</v>
      </c>
      <c r="AC92" s="9">
        <v>158</v>
      </c>
      <c r="AD92" s="3" t="str">
        <f>IFERROR(MID(VLOOKUP($B92,Seqs!$A:$B,2,0),AE92,1),"")</f>
        <v>S</v>
      </c>
      <c r="AE92" s="3">
        <v>187</v>
      </c>
      <c r="AF92" s="3" t="str">
        <f>IFERROR(MID(VLOOKUP($B92,Seqs!$A:$B,2,0),AG92,1),"")</f>
        <v>C</v>
      </c>
      <c r="AG92" s="3">
        <v>198</v>
      </c>
      <c r="AH92" s="3" t="str">
        <f>IFERROR(MID(VLOOKUP($B92,Seqs!$A:$B,2,0),AI92,1),"")</f>
        <v>M</v>
      </c>
      <c r="AI92" s="3">
        <v>200</v>
      </c>
      <c r="AJ92" s="3" t="str">
        <f>IFERROR(MID(VLOOKUP($B92,Seqs!$A:$B,2,0),AK92,1),"")</f>
        <v>K</v>
      </c>
      <c r="AK92" s="3">
        <v>209</v>
      </c>
      <c r="AL92" s="3" t="str">
        <f>IFERROR(MID(VLOOKUP($B92,Seqs!$A:$B,2,0),AM92,1),"")</f>
        <v>A</v>
      </c>
      <c r="AM92" s="3">
        <v>244</v>
      </c>
      <c r="AN92" s="3" t="str">
        <f>IFERROR(MID(VLOOKUP($B92,Seqs!$A:$B,2,0),AO92,1),"")</f>
        <v>S</v>
      </c>
      <c r="AO92" s="3">
        <v>247</v>
      </c>
      <c r="AP92" s="3" t="str">
        <f>IFERROR(MID(VLOOKUP($B92,Seqs!$A:$B,2,0),AQ92,1),"")</f>
        <v>M</v>
      </c>
      <c r="AQ92" s="3">
        <v>284</v>
      </c>
      <c r="AR92" s="3" t="str">
        <f>IFERROR(MID(VLOOKUP($B92,Seqs!$A:$B,2,0),AS92,1),"")</f>
        <v>N</v>
      </c>
      <c r="AS92" s="3">
        <v>288</v>
      </c>
      <c r="AT92" s="3" t="str">
        <f>IFERROR(MID(VLOOKUP($B92,Seqs!$A:$B,2,0),AU92,1),"")</f>
        <v>V</v>
      </c>
      <c r="AU92" s="3">
        <v>320</v>
      </c>
      <c r="AV92" s="3" t="str">
        <f>IFERROR(MID(VLOOKUP($B92,Seqs!$A:$B,2,0),AW92,1),"")</f>
        <v>G</v>
      </c>
      <c r="AW92" s="3">
        <v>321</v>
      </c>
      <c r="AX92" s="3" t="str">
        <f>IFERROR(MID(VLOOKUP($B92,Seqs!$A:$B,2,0),AY92,1),"")</f>
        <v>A</v>
      </c>
      <c r="AY92" s="3">
        <v>341</v>
      </c>
      <c r="AZ92" s="79" t="str">
        <f>VLOOKUP(B92,Classification!A:D,2,0)</f>
        <v>A</v>
      </c>
      <c r="BA92" s="97" t="str">
        <f>VLOOKUP(B92,Classification!A:D,4,0)</f>
        <v>Chemokine</v>
      </c>
      <c r="BB92" s="27" t="b">
        <f t="shared" si="223"/>
        <v>1</v>
      </c>
      <c r="BC92" s="23">
        <f t="shared" si="196"/>
        <v>276</v>
      </c>
      <c r="BD92" s="57" t="s">
        <v>1379</v>
      </c>
      <c r="BE92" s="3" t="s">
        <v>1381</v>
      </c>
      <c r="BF92" s="50" t="s">
        <v>1379</v>
      </c>
      <c r="BG92" s="50" t="s">
        <v>1384</v>
      </c>
      <c r="BH92" s="1"/>
      <c r="BI92" s="72" t="s">
        <v>1293</v>
      </c>
      <c r="BJ92" s="58" t="s">
        <v>1293</v>
      </c>
      <c r="BK92" s="58" t="s">
        <v>1293</v>
      </c>
      <c r="BL92" s="58" t="s">
        <v>1293</v>
      </c>
      <c r="BM92" s="58" t="s">
        <v>1293</v>
      </c>
      <c r="BN92" s="58" t="s">
        <v>1293</v>
      </c>
      <c r="BO92" s="58" t="s">
        <v>1293</v>
      </c>
      <c r="BP92" s="58" t="s">
        <v>1293</v>
      </c>
      <c r="BQ92" s="58" t="s">
        <v>1293</v>
      </c>
      <c r="BR92" s="58" t="s">
        <v>1293</v>
      </c>
      <c r="BS92" s="58" t="s">
        <v>1293</v>
      </c>
      <c r="BT92" s="58" t="s">
        <v>1293</v>
      </c>
      <c r="BU92" s="72">
        <f t="shared" si="197"/>
        <v>43</v>
      </c>
      <c r="BV92" s="73">
        <f t="shared" si="198"/>
        <v>77</v>
      </c>
      <c r="BW92" s="74">
        <f t="shared" si="199"/>
        <v>81</v>
      </c>
      <c r="BX92" s="73">
        <f t="shared" si="200"/>
        <v>111</v>
      </c>
      <c r="BY92" s="74">
        <f t="shared" si="201"/>
        <v>115</v>
      </c>
      <c r="BZ92" s="73">
        <f t="shared" si="202"/>
        <v>151</v>
      </c>
      <c r="CA92" s="74">
        <f t="shared" si="203"/>
        <v>158</v>
      </c>
      <c r="CB92" s="73">
        <f t="shared" si="204"/>
        <v>198</v>
      </c>
      <c r="CC92" s="74">
        <f t="shared" si="205"/>
        <v>209</v>
      </c>
      <c r="CD92" s="73">
        <f t="shared" si="206"/>
        <v>247</v>
      </c>
      <c r="CE92" s="74">
        <f t="shared" si="207"/>
        <v>288</v>
      </c>
      <c r="CF92" s="73">
        <f t="shared" si="208"/>
        <v>321</v>
      </c>
      <c r="CG92" s="72">
        <f t="shared" si="209"/>
        <v>76</v>
      </c>
      <c r="CH92" s="73">
        <f t="shared" si="210"/>
        <v>80</v>
      </c>
      <c r="CI92" s="74">
        <f t="shared" si="211"/>
        <v>110</v>
      </c>
      <c r="CJ92" s="74">
        <f t="shared" si="212"/>
        <v>114</v>
      </c>
      <c r="CK92" s="74">
        <f t="shared" si="213"/>
        <v>150</v>
      </c>
      <c r="CL92" s="74">
        <f t="shared" si="214"/>
        <v>157</v>
      </c>
      <c r="CM92" s="74">
        <f t="shared" si="215"/>
        <v>187</v>
      </c>
      <c r="CN92" s="74">
        <f t="shared" si="216"/>
        <v>200</v>
      </c>
      <c r="CO92" s="74">
        <f t="shared" si="217"/>
        <v>244</v>
      </c>
      <c r="CP92" s="74">
        <f t="shared" si="218"/>
        <v>284</v>
      </c>
      <c r="CQ92" s="74">
        <f t="shared" si="219"/>
        <v>320</v>
      </c>
      <c r="CR92" s="74">
        <f t="shared" si="220"/>
        <v>341</v>
      </c>
      <c r="CS92" s="23">
        <f t="shared" si="221"/>
        <v>1</v>
      </c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</row>
    <row r="93" spans="1:1029" x14ac:dyDescent="0.2">
      <c r="A93" s="3" t="str">
        <f t="shared" si="222"/>
        <v>ccr9_human_5LWE</v>
      </c>
      <c r="B93" s="3" t="s">
        <v>177</v>
      </c>
      <c r="C93" s="3" t="s">
        <v>1372</v>
      </c>
      <c r="D93" s="3" t="str">
        <f>IFERROR(MID(VLOOKUP($B93,Seqs!$A:$B,2,0),E93,1),"")</f>
        <v>V</v>
      </c>
      <c r="E93" s="3">
        <v>43</v>
      </c>
      <c r="F93" s="3" t="str">
        <f>IFERROR(MID(VLOOKUP($B93,Seqs!$A:$B,2,0),G93,1),"")</f>
        <v>C</v>
      </c>
      <c r="G93" s="3">
        <v>76</v>
      </c>
      <c r="H93" s="3" t="str">
        <f>IFERROR(MID(VLOOKUP($B93,Seqs!$A:$B,2,0),I93,1),"")</f>
        <v/>
      </c>
      <c r="I93" s="23" t="s">
        <v>23</v>
      </c>
      <c r="J93" s="3" t="str">
        <f>IFERROR(MID(VLOOKUP($B93,Seqs!$A:$B,2,0),K93,1),"")</f>
        <v/>
      </c>
      <c r="K93" s="23" t="s">
        <v>23</v>
      </c>
      <c r="L93" s="3" t="str">
        <f>IFERROR(MID(VLOOKUP($B93,Seqs!$A:$B,2,0),M93,1),"")</f>
        <v>T</v>
      </c>
      <c r="M93" s="3">
        <v>81</v>
      </c>
      <c r="N93" s="3" t="str">
        <f>IFERROR(MID(VLOOKUP($B93,Seqs!$A:$B,2,0),O93,1),"")</f>
        <v>A</v>
      </c>
      <c r="O93" s="3">
        <v>108</v>
      </c>
      <c r="P93" s="3" t="str">
        <f>IFERROR(MID(VLOOKUP($B93,Seqs!$A:$B,2,0),Q93,1),"")</f>
        <v/>
      </c>
      <c r="Q93" s="3" t="s">
        <v>23</v>
      </c>
      <c r="R93" s="3" t="str">
        <f>IFERROR(MID(VLOOKUP($B93,Seqs!$A:$B,2,0),S93,1),"")</f>
        <v/>
      </c>
      <c r="S93" s="3" t="s">
        <v>23</v>
      </c>
      <c r="T93" s="3" t="str">
        <f>IFERROR(MID(VLOOKUP($B93,Seqs!$A:$B,2,0),U93,1),"")</f>
        <v>C</v>
      </c>
      <c r="U93" s="3">
        <v>119</v>
      </c>
      <c r="V93" s="3" t="str">
        <f>IFERROR(MID(VLOOKUP($B93,Seqs!$A:$B,2,0),W93,1),"")</f>
        <v>Q</v>
      </c>
      <c r="W93" s="3">
        <v>150</v>
      </c>
      <c r="X93" s="3" t="str">
        <f>IFERROR(MID(VLOOKUP($B93,Seqs!$A:$B,2,0),Y93,1),"")</f>
        <v>A</v>
      </c>
      <c r="Y93" s="3">
        <v>151</v>
      </c>
      <c r="Z93" s="3" t="str">
        <f>IFERROR(MID(VLOOKUP($B93,Seqs!$A:$B,2,0),AA93,1),"")</f>
        <v>W</v>
      </c>
      <c r="AA93" s="3">
        <v>157</v>
      </c>
      <c r="AB93" s="3" t="str">
        <f>IFERROR(MID(VLOOKUP($B93,Seqs!$A:$B,2,0),AC93,1),"")</f>
        <v>R</v>
      </c>
      <c r="AC93" s="9">
        <v>158</v>
      </c>
      <c r="AD93" s="3" t="str">
        <f>IFERROR(MID(VLOOKUP($B93,Seqs!$A:$B,2,0),AE93,1),"")</f>
        <v>I</v>
      </c>
      <c r="AE93" s="3">
        <v>184</v>
      </c>
      <c r="AF93" s="3" t="str">
        <f>IFERROR(MID(VLOOKUP($B93,Seqs!$A:$B,2,0),AG93,1),"")</f>
        <v/>
      </c>
      <c r="AG93" s="3" t="s">
        <v>23</v>
      </c>
      <c r="AH93" s="3" t="str">
        <f>IFERROR(MID(VLOOKUP($B93,Seqs!$A:$B,2,0),AI93,1),"")</f>
        <v/>
      </c>
      <c r="AI93" s="3" t="s">
        <v>23</v>
      </c>
      <c r="AJ93" s="3" t="str">
        <f>IFERROR(MID(VLOOKUP($B93,Seqs!$A:$B,2,0),AK93,1),"")</f>
        <v/>
      </c>
      <c r="AK93" s="3" t="s">
        <v>23</v>
      </c>
      <c r="AL93" s="3" t="str">
        <f>IFERROR(MID(VLOOKUP($B93,Seqs!$A:$B,2,0),AM93,1),"")</f>
        <v/>
      </c>
      <c r="AM93" s="3" t="s">
        <v>23</v>
      </c>
      <c r="AN93" s="3" t="str">
        <f>IFERROR(MID(VLOOKUP($B93,Seqs!$A:$B,2,0),AO93,1),"")</f>
        <v>S</v>
      </c>
      <c r="AO93" s="3">
        <v>247</v>
      </c>
      <c r="AP93" s="3" t="str">
        <f>IFERROR(MID(VLOOKUP($B93,Seqs!$A:$B,2,0),AQ93,1),"")</f>
        <v>M</v>
      </c>
      <c r="AQ93" s="3">
        <v>284</v>
      </c>
      <c r="AR93" s="3" t="str">
        <f>IFERROR(MID(VLOOKUP($B93,Seqs!$A:$B,2,0),AS93,1),"")</f>
        <v>N</v>
      </c>
      <c r="AS93" s="3">
        <v>288</v>
      </c>
      <c r="AT93" s="3" t="str">
        <f>IFERROR(MID(VLOOKUP($B93,Seqs!$A:$B,2,0),AU93,1),"")</f>
        <v>V</v>
      </c>
      <c r="AU93" s="3">
        <v>320</v>
      </c>
      <c r="AV93" s="3" t="str">
        <f>IFERROR(MID(VLOOKUP($B93,Seqs!$A:$B,2,0),AW93,1),"")</f>
        <v>G</v>
      </c>
      <c r="AW93" s="3">
        <v>321</v>
      </c>
      <c r="AX93" s="3" t="str">
        <f>IFERROR(MID(VLOOKUP($B93,Seqs!$A:$B,2,0),AY93,1),"")</f>
        <v>A</v>
      </c>
      <c r="AY93" s="3">
        <v>341</v>
      </c>
      <c r="AZ93" s="79" t="str">
        <f>VLOOKUP(B93,Classification!A:D,2,0)</f>
        <v>A</v>
      </c>
      <c r="BA93" s="97" t="str">
        <f>VLOOKUP(B93,Classification!A:D,4,0)</f>
        <v>Chemokine</v>
      </c>
      <c r="BB93" s="27" t="b">
        <f t="shared" si="223"/>
        <v>0</v>
      </c>
      <c r="BC93" s="23">
        <f t="shared" si="196"/>
        <v>224</v>
      </c>
      <c r="BD93" s="16" t="s">
        <v>1383</v>
      </c>
      <c r="BE93" s="3" t="s">
        <v>1381</v>
      </c>
      <c r="BF93" s="50" t="s">
        <v>1384</v>
      </c>
      <c r="BG93" s="50" t="s">
        <v>1384</v>
      </c>
      <c r="BH93" s="1"/>
      <c r="BI93" s="72" t="s">
        <v>1293</v>
      </c>
      <c r="BJ93" s="58" t="s">
        <v>1293</v>
      </c>
      <c r="BK93" s="58" t="s">
        <v>1293</v>
      </c>
      <c r="BL93" s="58" t="s">
        <v>1293</v>
      </c>
      <c r="BM93" s="58" t="s">
        <v>1293</v>
      </c>
      <c r="BN93" s="58" t="s">
        <v>1293</v>
      </c>
      <c r="BO93" s="58" t="s">
        <v>1293</v>
      </c>
      <c r="BP93" s="58" t="s">
        <v>1293</v>
      </c>
      <c r="BQ93" s="58" t="s">
        <v>1293</v>
      </c>
      <c r="BR93" s="58" t="s">
        <v>1293</v>
      </c>
      <c r="BS93" s="58" t="s">
        <v>1293</v>
      </c>
      <c r="BT93" s="58" t="s">
        <v>1293</v>
      </c>
      <c r="BU93" s="72">
        <f t="shared" si="197"/>
        <v>43</v>
      </c>
      <c r="BV93" s="73" t="str">
        <f t="shared" si="198"/>
        <v>-</v>
      </c>
      <c r="BW93" s="74">
        <f t="shared" si="199"/>
        <v>81</v>
      </c>
      <c r="BX93" s="73" t="str">
        <f t="shared" si="200"/>
        <v>-</v>
      </c>
      <c r="BY93" s="74">
        <f t="shared" si="201"/>
        <v>119</v>
      </c>
      <c r="BZ93" s="73">
        <f t="shared" si="202"/>
        <v>151</v>
      </c>
      <c r="CA93" s="74">
        <f t="shared" si="203"/>
        <v>158</v>
      </c>
      <c r="CB93" s="73" t="str">
        <f t="shared" si="204"/>
        <v>-</v>
      </c>
      <c r="CC93" s="74" t="str">
        <f t="shared" si="205"/>
        <v>-</v>
      </c>
      <c r="CD93" s="73">
        <f t="shared" si="206"/>
        <v>247</v>
      </c>
      <c r="CE93" s="74">
        <f t="shared" si="207"/>
        <v>288</v>
      </c>
      <c r="CF93" s="73">
        <f t="shared" si="208"/>
        <v>321</v>
      </c>
      <c r="CG93" s="72">
        <f t="shared" si="209"/>
        <v>76</v>
      </c>
      <c r="CH93" s="73" t="str">
        <f t="shared" si="210"/>
        <v>-</v>
      </c>
      <c r="CI93" s="74">
        <f t="shared" si="211"/>
        <v>108</v>
      </c>
      <c r="CJ93" s="74" t="str">
        <f t="shared" si="212"/>
        <v>-</v>
      </c>
      <c r="CK93" s="74">
        <f t="shared" si="213"/>
        <v>150</v>
      </c>
      <c r="CL93" s="74">
        <f t="shared" si="214"/>
        <v>157</v>
      </c>
      <c r="CM93" s="74">
        <f t="shared" si="215"/>
        <v>184</v>
      </c>
      <c r="CN93" s="74" t="str">
        <f t="shared" si="216"/>
        <v>-</v>
      </c>
      <c r="CO93" s="74" t="str">
        <f t="shared" si="217"/>
        <v>-</v>
      </c>
      <c r="CP93" s="74">
        <f t="shared" si="218"/>
        <v>284</v>
      </c>
      <c r="CQ93" s="74">
        <f t="shared" si="219"/>
        <v>320</v>
      </c>
      <c r="CR93" s="74">
        <f t="shared" si="220"/>
        <v>341</v>
      </c>
      <c r="CS93" s="23" t="e">
        <f t="shared" si="221"/>
        <v>#VALUE!</v>
      </c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</row>
    <row r="94" spans="1:1029" x14ac:dyDescent="0.2">
      <c r="A94" s="3" t="str">
        <f t="shared" ref="A94" si="363">CONCATENATE(B94,"_",C94)</f>
        <v>ccr9_human_5LWE_dist</v>
      </c>
      <c r="B94" s="3" t="s">
        <v>177</v>
      </c>
      <c r="C94" s="3" t="s">
        <v>1391</v>
      </c>
      <c r="D94" s="3" t="str">
        <f>IFERROR(MID(VLOOKUP($B94,Seqs!$A:$B,2,0),E94,1),"")</f>
        <v>V</v>
      </c>
      <c r="E94" s="3">
        <v>43</v>
      </c>
      <c r="F94" s="3" t="str">
        <f>IFERROR(MID(VLOOKUP($B94,Seqs!$A:$B,2,0),G94,1),"")</f>
        <v>C</v>
      </c>
      <c r="G94" s="3">
        <v>76</v>
      </c>
      <c r="H94" s="3" t="str">
        <f>IFERROR(MID(VLOOKUP($B94,Seqs!$A:$B,2,0),I94,1),"")</f>
        <v/>
      </c>
      <c r="I94" s="23" t="s">
        <v>23</v>
      </c>
      <c r="J94" s="3" t="str">
        <f>IFERROR(MID(VLOOKUP($B94,Seqs!$A:$B,2,0),K94,1),"")</f>
        <v/>
      </c>
      <c r="K94" s="23" t="s">
        <v>23</v>
      </c>
      <c r="L94" s="3" t="str">
        <f>IFERROR(MID(VLOOKUP($B94,Seqs!$A:$B,2,0),M94,1),"")</f>
        <v>T</v>
      </c>
      <c r="M94" s="3">
        <v>81</v>
      </c>
      <c r="N94" s="3" t="str">
        <f>IFERROR(MID(VLOOKUP($B94,Seqs!$A:$B,2,0),O94,1),"")</f>
        <v>A</v>
      </c>
      <c r="O94" s="3">
        <v>108</v>
      </c>
      <c r="P94" s="3" t="str">
        <f>IFERROR(MID(VLOOKUP($B94,Seqs!$A:$B,2,0),Q94,1),"")</f>
        <v/>
      </c>
      <c r="Q94" s="3" t="s">
        <v>23</v>
      </c>
      <c r="R94" s="3" t="str">
        <f>IFERROR(MID(VLOOKUP($B94,Seqs!$A:$B,2,0),S94,1),"")</f>
        <v/>
      </c>
      <c r="S94" s="3" t="s">
        <v>23</v>
      </c>
      <c r="T94" s="3" t="str">
        <f>IFERROR(MID(VLOOKUP($B94,Seqs!$A:$B,2,0),U94,1),"")</f>
        <v>C</v>
      </c>
      <c r="U94" s="3">
        <v>119</v>
      </c>
      <c r="V94" s="3" t="str">
        <f>IFERROR(MID(VLOOKUP($B94,Seqs!$A:$B,2,0),W94,1),"")</f>
        <v>Q</v>
      </c>
      <c r="W94" s="3">
        <v>150</v>
      </c>
      <c r="X94" s="3" t="str">
        <f>IFERROR(MID(VLOOKUP($B94,Seqs!$A:$B,2,0),Y94,1),"")</f>
        <v>A</v>
      </c>
      <c r="Y94" s="3">
        <v>151</v>
      </c>
      <c r="Z94" s="3" t="str">
        <f>IFERROR(MID(VLOOKUP($B94,Seqs!$A:$B,2,0),AA94,1),"")</f>
        <v>W</v>
      </c>
      <c r="AA94" s="3">
        <v>157</v>
      </c>
      <c r="AB94" s="3" t="str">
        <f>IFERROR(MID(VLOOKUP($B94,Seqs!$A:$B,2,0),AC94,1),"")</f>
        <v>R</v>
      </c>
      <c r="AC94" s="9">
        <v>158</v>
      </c>
      <c r="AD94" s="3" t="str">
        <f>IFERROR(MID(VLOOKUP($B94,Seqs!$A:$B,2,0),AE94,1),"")</f>
        <v>I</v>
      </c>
      <c r="AE94" s="3">
        <v>184</v>
      </c>
      <c r="AF94" s="3" t="str">
        <f>IFERROR(MID(VLOOKUP($B94,Seqs!$A:$B,2,0),AG94,1),"")</f>
        <v/>
      </c>
      <c r="AG94" s="3" t="s">
        <v>23</v>
      </c>
      <c r="AH94" s="3" t="str">
        <f>IFERROR(MID(VLOOKUP($B94,Seqs!$A:$B,2,0),AI94,1),"")</f>
        <v/>
      </c>
      <c r="AI94" s="3" t="s">
        <v>23</v>
      </c>
      <c r="AJ94" s="3" t="str">
        <f>IFERROR(MID(VLOOKUP($B94,Seqs!$A:$B,2,0),AK94,1),"")</f>
        <v>K</v>
      </c>
      <c r="AK94" s="3">
        <v>209</v>
      </c>
      <c r="AL94" s="3" t="str">
        <f>IFERROR(MID(VLOOKUP($B94,Seqs!$A:$B,2,0),AM94,1),"")</f>
        <v>A</v>
      </c>
      <c r="AM94" s="3">
        <v>244</v>
      </c>
      <c r="AN94" s="3" t="str">
        <f>IFERROR(MID(VLOOKUP($B94,Seqs!$A:$B,2,0),AO94,1),"")</f>
        <v>S</v>
      </c>
      <c r="AO94" s="3">
        <v>247</v>
      </c>
      <c r="AP94" s="3" t="str">
        <f>IFERROR(MID(VLOOKUP($B94,Seqs!$A:$B,2,0),AQ94,1),"")</f>
        <v>M</v>
      </c>
      <c r="AQ94" s="3">
        <v>284</v>
      </c>
      <c r="AR94" s="3" t="str">
        <f>IFERROR(MID(VLOOKUP($B94,Seqs!$A:$B,2,0),AS94,1),"")</f>
        <v>N</v>
      </c>
      <c r="AS94" s="3">
        <v>288</v>
      </c>
      <c r="AT94" s="3" t="str">
        <f>IFERROR(MID(VLOOKUP($B94,Seqs!$A:$B,2,0),AU94,1),"")</f>
        <v>V</v>
      </c>
      <c r="AU94" s="3">
        <v>320</v>
      </c>
      <c r="AV94" s="3" t="str">
        <f>IFERROR(MID(VLOOKUP($B94,Seqs!$A:$B,2,0),AW94,1),"")</f>
        <v>G</v>
      </c>
      <c r="AW94" s="3">
        <v>321</v>
      </c>
      <c r="AX94" s="3" t="str">
        <f>IFERROR(MID(VLOOKUP($B94,Seqs!$A:$B,2,0),AY94,1),"")</f>
        <v>A</v>
      </c>
      <c r="AY94" s="3">
        <v>341</v>
      </c>
      <c r="AZ94" s="79" t="str">
        <f>VLOOKUP(B94,Classification!A:D,2,0)</f>
        <v>A</v>
      </c>
      <c r="BA94" s="97" t="str">
        <f>VLOOKUP(B94,Classification!A:D,4,0)</f>
        <v>Chemokine</v>
      </c>
      <c r="BB94" s="27" t="b">
        <f t="shared" ref="BB94" si="364">AND(E94&lt;G94,OR(G94&lt;I94,I94="-"),OR(I94&lt;K94,I94="-"),OR(K94&lt;M94,K94="-"),M94&lt;O94,OR(O94&lt;Q94,Q94="-"),OR(Q94&lt;S94,Q94="-"),OR(S94&lt;U94,S94="-"),U94&lt;W94,OR(W94&lt;Y94,Y94="-"),OR(Y94&lt;AA94,Y94="-"),OR(AA94&lt;AC94,AA94="-"),AC94&lt;AE94,OR(AE94&lt;AG94,AG94="-"),OR(AG94&lt;AI94,AG94="-"),OR(AI94&lt;AK94,AI94="-"),AK94&lt;AM94,AM94&lt;AO94,AO94&lt;AQ94,AQ94&lt;AS94,AS94&lt;AU94,OR(AU94&lt;AW94,AW94="-"),OR(AW94&lt;AY94,AW94="-"))</f>
        <v>1</v>
      </c>
      <c r="BC94" s="23">
        <f t="shared" ref="BC94" si="365">_xlfn.AGGREGATE(9,6,CG94:CR94)-_xlfn.AGGREGATE(9,6,BU94:CF94)+12</f>
        <v>259</v>
      </c>
      <c r="BD94" s="16" t="s">
        <v>1383</v>
      </c>
      <c r="BE94" s="3" t="s">
        <v>1381</v>
      </c>
      <c r="BF94" s="50" t="s">
        <v>1384</v>
      </c>
      <c r="BG94" s="50" t="s">
        <v>1384</v>
      </c>
      <c r="BH94" s="1"/>
      <c r="BI94" s="72" t="s">
        <v>1293</v>
      </c>
      <c r="BJ94" s="58" t="s">
        <v>1293</v>
      </c>
      <c r="BK94" s="58" t="s">
        <v>1293</v>
      </c>
      <c r="BL94" s="58" t="s">
        <v>1293</v>
      </c>
      <c r="BM94" s="58" t="s">
        <v>1293</v>
      </c>
      <c r="BN94" s="58" t="s">
        <v>1293</v>
      </c>
      <c r="BO94" s="58" t="s">
        <v>1293</v>
      </c>
      <c r="BP94" s="58" t="s">
        <v>1293</v>
      </c>
      <c r="BQ94" s="58" t="s">
        <v>1293</v>
      </c>
      <c r="BR94" s="58" t="s">
        <v>1293</v>
      </c>
      <c r="BS94" s="58" t="s">
        <v>1293</v>
      </c>
      <c r="BT94" s="58" t="s">
        <v>1293</v>
      </c>
      <c r="BU94" s="72">
        <f t="shared" ref="BU94" si="366">E94</f>
        <v>43</v>
      </c>
      <c r="BV94" s="73" t="str">
        <f t="shared" ref="BV94" si="367">I94</f>
        <v>-</v>
      </c>
      <c r="BW94" s="74">
        <f t="shared" ref="BW94" si="368">M94</f>
        <v>81</v>
      </c>
      <c r="BX94" s="73" t="str">
        <f t="shared" ref="BX94" si="369">Q94</f>
        <v>-</v>
      </c>
      <c r="BY94" s="74">
        <f t="shared" ref="BY94" si="370">U94</f>
        <v>119</v>
      </c>
      <c r="BZ94" s="73">
        <f t="shared" ref="BZ94" si="371">Y94</f>
        <v>151</v>
      </c>
      <c r="CA94" s="74">
        <f t="shared" ref="CA94" si="372">AC94</f>
        <v>158</v>
      </c>
      <c r="CB94" s="73" t="str">
        <f t="shared" ref="CB94" si="373">AG94</f>
        <v>-</v>
      </c>
      <c r="CC94" s="74">
        <f t="shared" ref="CC94" si="374">AK94</f>
        <v>209</v>
      </c>
      <c r="CD94" s="73">
        <f t="shared" ref="CD94" si="375">AO94</f>
        <v>247</v>
      </c>
      <c r="CE94" s="74">
        <f t="shared" ref="CE94" si="376">AS94</f>
        <v>288</v>
      </c>
      <c r="CF94" s="73">
        <f t="shared" ref="CF94" si="377">AW94</f>
        <v>321</v>
      </c>
      <c r="CG94" s="72">
        <f t="shared" ref="CG94" si="378">G94</f>
        <v>76</v>
      </c>
      <c r="CH94" s="73" t="str">
        <f t="shared" ref="CH94" si="379">K94</f>
        <v>-</v>
      </c>
      <c r="CI94" s="74">
        <f t="shared" ref="CI94" si="380">O94</f>
        <v>108</v>
      </c>
      <c r="CJ94" s="74" t="str">
        <f t="shared" ref="CJ94" si="381">S94</f>
        <v>-</v>
      </c>
      <c r="CK94" s="74">
        <f t="shared" ref="CK94" si="382">W94</f>
        <v>150</v>
      </c>
      <c r="CL94" s="74">
        <f t="shared" ref="CL94" si="383">AA94</f>
        <v>157</v>
      </c>
      <c r="CM94" s="74">
        <f t="shared" ref="CM94" si="384">AE94</f>
        <v>184</v>
      </c>
      <c r="CN94" s="74" t="str">
        <f t="shared" ref="CN94" si="385">AI94</f>
        <v>-</v>
      </c>
      <c r="CO94" s="74">
        <f t="shared" ref="CO94" si="386">AM94</f>
        <v>244</v>
      </c>
      <c r="CP94" s="74">
        <f t="shared" ref="CP94" si="387">AQ94</f>
        <v>284</v>
      </c>
      <c r="CQ94" s="74">
        <f t="shared" ref="CQ94" si="388">AU94</f>
        <v>320</v>
      </c>
      <c r="CR94" s="74">
        <f t="shared" ref="CR94" si="389">AY94</f>
        <v>341</v>
      </c>
      <c r="CS94" s="23" t="e">
        <f t="shared" ref="CS94" si="390">M94-K94</f>
        <v>#VALUE!</v>
      </c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</row>
    <row r="95" spans="1:1029" x14ac:dyDescent="0.2">
      <c r="A95" s="3" t="str">
        <f t="shared" si="222"/>
        <v>cnr1_human__wt</v>
      </c>
      <c r="B95" s="3" t="s">
        <v>182</v>
      </c>
      <c r="C95" s="3" t="s">
        <v>100</v>
      </c>
      <c r="D95" s="3" t="str">
        <f>IFERROR(MID(VLOOKUP($B95,Seqs!$A:$B,2,0),E95,1),"")</f>
        <v>N</v>
      </c>
      <c r="E95" s="3">
        <v>112</v>
      </c>
      <c r="F95" s="3" t="str">
        <f>IFERROR(MID(VLOOKUP($B95,Seqs!$A:$B,2,0),G95,1),"")</f>
        <v>S</v>
      </c>
      <c r="G95" s="3">
        <v>144</v>
      </c>
      <c r="H95" s="3" t="str">
        <f>IFERROR(MID(VLOOKUP($B95,Seqs!$A:$B,2,0),I95,1),"")</f>
        <v>R</v>
      </c>
      <c r="I95" s="23">
        <v>145</v>
      </c>
      <c r="J95" s="3" t="str">
        <f>IFERROR(MID(VLOOKUP($B95,Seqs!$A:$B,2,0),K95,1),"")</f>
        <v>R</v>
      </c>
      <c r="K95" s="23">
        <v>148</v>
      </c>
      <c r="L95" s="3" t="str">
        <f>IFERROR(MID(VLOOKUP($B95,Seqs!$A:$B,2,0),M95,1),"")</f>
        <v>R</v>
      </c>
      <c r="M95" s="3">
        <v>150</v>
      </c>
      <c r="N95" s="3" t="str">
        <f>IFERROR(MID(VLOOKUP($B95,Seqs!$A:$B,2,0),O95,1),"")</f>
        <v>V</v>
      </c>
      <c r="O95" s="3">
        <v>179</v>
      </c>
      <c r="P95" s="3" t="str">
        <f>IFERROR(MID(VLOOKUP($B95,Seqs!$A:$B,2,0),Q95,1),"")</f>
        <v/>
      </c>
      <c r="Q95" s="3" t="s">
        <v>23</v>
      </c>
      <c r="R95" s="3" t="str">
        <f>IFERROR(MID(VLOOKUP($B95,Seqs!$A:$B,2,0),S95,1),"")</f>
        <v/>
      </c>
      <c r="S95" s="3" t="s">
        <v>23</v>
      </c>
      <c r="T95" s="3" t="str">
        <f>IFERROR(MID(VLOOKUP($B95,Seqs!$A:$B,2,0),U95,1),"")</f>
        <v>S</v>
      </c>
      <c r="U95" s="3">
        <v>185</v>
      </c>
      <c r="V95" s="3" t="str">
        <f>IFERROR(MID(VLOOKUP($B95,Seqs!$A:$B,2,0),W95,1),"")</f>
        <v>R</v>
      </c>
      <c r="W95" s="3">
        <v>220</v>
      </c>
      <c r="X95" s="3" t="str">
        <f>IFERROR(MID(VLOOKUP($B95,Seqs!$A:$B,2,0),Y95,1),"")</f>
        <v>P</v>
      </c>
      <c r="Y95" s="3">
        <v>221</v>
      </c>
      <c r="Z95" s="3" t="str">
        <f>IFERROR(MID(VLOOKUP($B95,Seqs!$A:$B,2,0),AA95,1),"")</f>
        <v>V</v>
      </c>
      <c r="AA95" s="3">
        <v>228</v>
      </c>
      <c r="AB95" s="3" t="str">
        <f>IFERROR(MID(VLOOKUP($B95,Seqs!$A:$B,2,0),AC95,1),"")</f>
        <v>T</v>
      </c>
      <c r="AC95" s="9">
        <v>229</v>
      </c>
      <c r="AD95" s="3" t="str">
        <f>IFERROR(MID(VLOOKUP($B95,Seqs!$A:$B,2,0),AE95,1),"")</f>
        <v>G</v>
      </c>
      <c r="AE95" s="3">
        <v>254</v>
      </c>
      <c r="AF95" s="3" t="str">
        <f>IFERROR(MID(VLOOKUP($B95,Seqs!$A:$B,2,0),AG95,1),"")</f>
        <v/>
      </c>
      <c r="AG95" s="3" t="s">
        <v>23</v>
      </c>
      <c r="AH95" s="3" t="str">
        <f>IFERROR(MID(VLOOKUP($B95,Seqs!$A:$B,2,0),AI95,1),"")</f>
        <v/>
      </c>
      <c r="AI95" s="3" t="s">
        <v>23</v>
      </c>
      <c r="AJ95" s="3" t="str">
        <f>IFERROR(MID(VLOOKUP($B95,Seqs!$A:$B,2,0),AK95,1),"")</f>
        <v>D</v>
      </c>
      <c r="AK95" s="3">
        <v>272</v>
      </c>
      <c r="AL95" s="3" t="str">
        <f>IFERROR(MID(VLOOKUP($B95,Seqs!$A:$B,2,0),AM95,1),"")</f>
        <v>G</v>
      </c>
      <c r="AM95" s="3">
        <v>312</v>
      </c>
      <c r="AN95" s="3" t="str">
        <f>IFERROR(MID(VLOOKUP($B95,Seqs!$A:$B,2,0),AO95,1),"")</f>
        <v>P</v>
      </c>
      <c r="AO95" s="3">
        <v>332</v>
      </c>
      <c r="AP95" s="3" t="str">
        <f>IFERROR(MID(VLOOKUP($B95,Seqs!$A:$B,2,0),AQ95,1),"")</f>
        <v>G</v>
      </c>
      <c r="AQ95" s="3">
        <v>369</v>
      </c>
      <c r="AR95" s="3" t="str">
        <f>IFERROR(MID(VLOOKUP($B95,Seqs!$A:$B,2,0),AS95,1),"")</f>
        <v>N</v>
      </c>
      <c r="AS95" s="3">
        <v>372</v>
      </c>
      <c r="AT95" s="3" t="str">
        <f>IFERROR(MID(VLOOKUP($B95,Seqs!$A:$B,2,0),AU95,1),"")</f>
        <v>R</v>
      </c>
      <c r="AU95" s="3">
        <v>400</v>
      </c>
      <c r="AV95" s="3" t="str">
        <f>IFERROR(MID(VLOOKUP($B95,Seqs!$A:$B,2,0),AW95,1),"")</f>
        <v>S</v>
      </c>
      <c r="AW95" s="3">
        <v>401</v>
      </c>
      <c r="AX95" s="3" t="str">
        <f>IFERROR(MID(VLOOKUP($B95,Seqs!$A:$B,2,0),AY95,1),"")</f>
        <v>P</v>
      </c>
      <c r="AY95" s="3">
        <v>413</v>
      </c>
      <c r="AZ95" s="79" t="str">
        <f>VLOOKUP(B95,Classification!A:D,2,0)</f>
        <v>A</v>
      </c>
      <c r="BA95" s="97" t="str">
        <f>VLOOKUP(B95,Classification!A:D,4,0)</f>
        <v>Cannabinoid</v>
      </c>
      <c r="BB95" s="27" t="b">
        <f t="shared" si="223"/>
        <v>1</v>
      </c>
      <c r="BC95" s="23">
        <f t="shared" si="196"/>
        <v>260</v>
      </c>
      <c r="BD95" s="57" t="s">
        <v>1379</v>
      </c>
      <c r="BE95" s="3" t="s">
        <v>1381</v>
      </c>
      <c r="BF95" s="50" t="s">
        <v>1379</v>
      </c>
      <c r="BG95" s="50" t="s">
        <v>1384</v>
      </c>
      <c r="BI95" s="72" t="s">
        <v>1293</v>
      </c>
      <c r="BJ95" s="58" t="s">
        <v>1293</v>
      </c>
      <c r="BK95" s="58" t="s">
        <v>1293</v>
      </c>
      <c r="BL95" s="58" t="s">
        <v>1293</v>
      </c>
      <c r="BM95" s="58" t="s">
        <v>1293</v>
      </c>
      <c r="BN95" s="58" t="s">
        <v>1293</v>
      </c>
      <c r="BO95" s="58" t="s">
        <v>1293</v>
      </c>
      <c r="BP95" s="58" t="s">
        <v>1293</v>
      </c>
      <c r="BQ95" s="58" t="s">
        <v>1293</v>
      </c>
      <c r="BR95" s="58" t="s">
        <v>1293</v>
      </c>
      <c r="BS95" s="58" t="s">
        <v>1293</v>
      </c>
      <c r="BT95" s="58" t="s">
        <v>1293</v>
      </c>
      <c r="BU95" s="72">
        <f t="shared" si="197"/>
        <v>112</v>
      </c>
      <c r="BV95" s="73">
        <f t="shared" si="198"/>
        <v>145</v>
      </c>
      <c r="BW95" s="74">
        <f t="shared" si="199"/>
        <v>150</v>
      </c>
      <c r="BX95" s="73" t="str">
        <f t="shared" si="200"/>
        <v>-</v>
      </c>
      <c r="BY95" s="74">
        <f t="shared" si="201"/>
        <v>185</v>
      </c>
      <c r="BZ95" s="73">
        <f t="shared" si="202"/>
        <v>221</v>
      </c>
      <c r="CA95" s="74">
        <f t="shared" si="203"/>
        <v>229</v>
      </c>
      <c r="CB95" s="73" t="str">
        <f t="shared" si="204"/>
        <v>-</v>
      </c>
      <c r="CC95" s="74">
        <f t="shared" si="205"/>
        <v>272</v>
      </c>
      <c r="CD95" s="73">
        <f t="shared" si="206"/>
        <v>332</v>
      </c>
      <c r="CE95" s="74">
        <f t="shared" si="207"/>
        <v>372</v>
      </c>
      <c r="CF95" s="73">
        <f t="shared" si="208"/>
        <v>401</v>
      </c>
      <c r="CG95" s="72">
        <f t="shared" si="209"/>
        <v>144</v>
      </c>
      <c r="CH95" s="73">
        <f t="shared" si="210"/>
        <v>148</v>
      </c>
      <c r="CI95" s="74">
        <f t="shared" si="211"/>
        <v>179</v>
      </c>
      <c r="CJ95" s="74" t="str">
        <f t="shared" si="212"/>
        <v>-</v>
      </c>
      <c r="CK95" s="74">
        <f t="shared" si="213"/>
        <v>220</v>
      </c>
      <c r="CL95" s="74">
        <f t="shared" si="214"/>
        <v>228</v>
      </c>
      <c r="CM95" s="74">
        <f t="shared" si="215"/>
        <v>254</v>
      </c>
      <c r="CN95" s="74" t="str">
        <f t="shared" si="216"/>
        <v>-</v>
      </c>
      <c r="CO95" s="74">
        <f t="shared" si="217"/>
        <v>312</v>
      </c>
      <c r="CP95" s="74">
        <f t="shared" si="218"/>
        <v>369</v>
      </c>
      <c r="CQ95" s="74">
        <f t="shared" si="219"/>
        <v>400</v>
      </c>
      <c r="CR95" s="74">
        <f t="shared" si="220"/>
        <v>413</v>
      </c>
      <c r="CS95" s="23">
        <f t="shared" si="221"/>
        <v>2</v>
      </c>
    </row>
    <row r="96" spans="1:1029" s="3" customFormat="1" x14ac:dyDescent="0.2">
      <c r="A96" s="3" t="str">
        <f t="shared" si="222"/>
        <v>cnr1_human_5TGZ</v>
      </c>
      <c r="B96" s="3" t="s">
        <v>182</v>
      </c>
      <c r="C96" s="3" t="s">
        <v>1365</v>
      </c>
      <c r="D96" s="3" t="str">
        <f>IFERROR(MID(VLOOKUP($B96,Seqs!$A:$B,2,0),E96,1),"")</f>
        <v>P</v>
      </c>
      <c r="E96" s="3">
        <v>113</v>
      </c>
      <c r="F96" s="3" t="str">
        <f>IFERROR(MID(VLOOKUP($B96,Seqs!$A:$B,2,0),G96,1),"")</f>
        <v>S</v>
      </c>
      <c r="G96" s="3">
        <v>144</v>
      </c>
      <c r="H96" s="3" t="str">
        <f>IFERROR(MID(VLOOKUP($B96,Seqs!$A:$B,2,0),I96,1),"")</f>
        <v>R</v>
      </c>
      <c r="I96" s="23">
        <v>145</v>
      </c>
      <c r="J96" s="3" t="str">
        <f>IFERROR(MID(VLOOKUP($B96,Seqs!$A:$B,2,0),K96,1),"")</f>
        <v>R</v>
      </c>
      <c r="K96" s="23">
        <v>148</v>
      </c>
      <c r="L96" s="3" t="str">
        <f>IFERROR(MID(VLOOKUP($B96,Seqs!$A:$B,2,0),M96,1),"")</f>
        <v>R</v>
      </c>
      <c r="M96" s="3">
        <v>150</v>
      </c>
      <c r="N96" s="3" t="str">
        <f>IFERROR(MID(VLOOKUP($B96,Seqs!$A:$B,2,0),O96,1),"")</f>
        <v>V</v>
      </c>
      <c r="O96" s="3">
        <v>179</v>
      </c>
      <c r="P96" s="3" t="str">
        <f>IFERROR(MID(VLOOKUP($B96,Seqs!$A:$B,2,0),Q96,1),"")</f>
        <v/>
      </c>
      <c r="Q96" s="3" t="s">
        <v>23</v>
      </c>
      <c r="R96" s="3" t="str">
        <f>IFERROR(MID(VLOOKUP($B96,Seqs!$A:$B,2,0),S96,1),"")</f>
        <v/>
      </c>
      <c r="S96" s="3" t="s">
        <v>23</v>
      </c>
      <c r="T96" s="3" t="str">
        <f>IFERROR(MID(VLOOKUP($B96,Seqs!$A:$B,2,0),U96,1),"")</f>
        <v>S</v>
      </c>
      <c r="U96" s="3">
        <v>185</v>
      </c>
      <c r="V96" s="3" t="str">
        <f>IFERROR(MID(VLOOKUP($B96,Seqs!$A:$B,2,0),W96,1),"")</f>
        <v>R</v>
      </c>
      <c r="W96" s="3">
        <v>220</v>
      </c>
      <c r="X96" s="3" t="str">
        <f>IFERROR(MID(VLOOKUP($B96,Seqs!$A:$B,2,0),Y96,1),"")</f>
        <v>P</v>
      </c>
      <c r="Y96" s="3">
        <v>221</v>
      </c>
      <c r="Z96" s="3" t="str">
        <f>IFERROR(MID(VLOOKUP($B96,Seqs!$A:$B,2,0),AA96,1),"")</f>
        <v>V</v>
      </c>
      <c r="AA96" s="3">
        <v>228</v>
      </c>
      <c r="AB96" s="3" t="str">
        <f>IFERROR(MID(VLOOKUP($B96,Seqs!$A:$B,2,0),AC96,1),"")</f>
        <v>T</v>
      </c>
      <c r="AC96" s="9">
        <v>229</v>
      </c>
      <c r="AD96" s="3" t="str">
        <f>IFERROR(MID(VLOOKUP($B96,Seqs!$A:$B,2,0),AE96,1),"")</f>
        <v>G</v>
      </c>
      <c r="AE96" s="3">
        <v>254</v>
      </c>
      <c r="AF96" s="3" t="str">
        <f>IFERROR(MID(VLOOKUP($B96,Seqs!$A:$B,2,0),AG96,1),"")</f>
        <v/>
      </c>
      <c r="AG96" s="3" t="s">
        <v>23</v>
      </c>
      <c r="AH96" s="3" t="str">
        <f>IFERROR(MID(VLOOKUP($B96,Seqs!$A:$B,2,0),AI96,1),"")</f>
        <v/>
      </c>
      <c r="AI96" s="3" t="s">
        <v>23</v>
      </c>
      <c r="AJ96" s="3" t="str">
        <f>IFERROR(MID(VLOOKUP($B96,Seqs!$A:$B,2,0),AK96,1),"")</f>
        <v>D</v>
      </c>
      <c r="AK96" s="3">
        <v>272</v>
      </c>
      <c r="AL96" s="3" t="str">
        <f>IFERROR(MID(VLOOKUP($B96,Seqs!$A:$B,2,0),AM96,1),"")</f>
        <v>H</v>
      </c>
      <c r="AM96" s="3">
        <v>304</v>
      </c>
      <c r="AN96" s="3" t="str">
        <f>IFERROR(MID(VLOOKUP($B96,Seqs!$A:$B,2,0),AO96,1),"")</f>
        <v>P</v>
      </c>
      <c r="AO96" s="3">
        <v>332</v>
      </c>
      <c r="AP96" s="3" t="str">
        <f>IFERROR(MID(VLOOKUP($B96,Seqs!$A:$B,2,0),AQ96,1),"")</f>
        <v>F</v>
      </c>
      <c r="AQ96" s="3">
        <v>368</v>
      </c>
      <c r="AR96" s="3" t="str">
        <f>IFERROR(MID(VLOOKUP($B96,Seqs!$A:$B,2,0),AS96,1),"")</f>
        <v>N</v>
      </c>
      <c r="AS96" s="3">
        <v>372</v>
      </c>
      <c r="AT96" s="3" t="str">
        <f>IFERROR(MID(VLOOKUP($B96,Seqs!$A:$B,2,0),AU96,1),"")</f>
        <v>R</v>
      </c>
      <c r="AU96" s="3">
        <v>400</v>
      </c>
      <c r="AV96" s="3" t="str">
        <f>IFERROR(MID(VLOOKUP($B96,Seqs!$A:$B,2,0),AW96,1),"")</f>
        <v>S</v>
      </c>
      <c r="AW96" s="3">
        <v>401</v>
      </c>
      <c r="AX96" s="3" t="str">
        <f>IFERROR(MID(VLOOKUP($B96,Seqs!$A:$B,2,0),AY96,1),"")</f>
        <v>M</v>
      </c>
      <c r="AY96" s="3">
        <v>411</v>
      </c>
      <c r="AZ96" s="79" t="str">
        <f>VLOOKUP(B96,Classification!A:D,2,0)</f>
        <v>A</v>
      </c>
      <c r="BA96" s="97" t="str">
        <f>VLOOKUP(B96,Classification!A:D,4,0)</f>
        <v>Cannabinoid</v>
      </c>
      <c r="BB96" s="27" t="b">
        <f t="shared" si="223"/>
        <v>1</v>
      </c>
      <c r="BC96" s="23">
        <f t="shared" si="196"/>
        <v>248</v>
      </c>
      <c r="BD96" s="16" t="s">
        <v>1383</v>
      </c>
      <c r="BE96" s="3" t="s">
        <v>1381</v>
      </c>
      <c r="BF96" s="50" t="s">
        <v>1384</v>
      </c>
      <c r="BG96" s="50" t="s">
        <v>1384</v>
      </c>
      <c r="BI96" s="72" t="s">
        <v>1293</v>
      </c>
      <c r="BJ96" s="58" t="s">
        <v>1293</v>
      </c>
      <c r="BK96" s="58" t="s">
        <v>1293</v>
      </c>
      <c r="BL96" s="58" t="s">
        <v>1293</v>
      </c>
      <c r="BM96" s="58" t="s">
        <v>1293</v>
      </c>
      <c r="BN96" s="58" t="s">
        <v>1293</v>
      </c>
      <c r="BO96" s="58" t="s">
        <v>1293</v>
      </c>
      <c r="BP96" s="58" t="s">
        <v>1293</v>
      </c>
      <c r="BQ96" s="58" t="s">
        <v>1293</v>
      </c>
      <c r="BR96" s="58" t="s">
        <v>1293</v>
      </c>
      <c r="BS96" s="58" t="s">
        <v>1293</v>
      </c>
      <c r="BT96" s="58" t="s">
        <v>1293</v>
      </c>
      <c r="BU96" s="72">
        <f t="shared" si="197"/>
        <v>113</v>
      </c>
      <c r="BV96" s="73">
        <f t="shared" si="198"/>
        <v>145</v>
      </c>
      <c r="BW96" s="74">
        <f t="shared" si="199"/>
        <v>150</v>
      </c>
      <c r="BX96" s="73" t="str">
        <f t="shared" si="200"/>
        <v>-</v>
      </c>
      <c r="BY96" s="74">
        <f t="shared" si="201"/>
        <v>185</v>
      </c>
      <c r="BZ96" s="73">
        <f t="shared" si="202"/>
        <v>221</v>
      </c>
      <c r="CA96" s="74">
        <f t="shared" si="203"/>
        <v>229</v>
      </c>
      <c r="CB96" s="73" t="str">
        <f t="shared" si="204"/>
        <v>-</v>
      </c>
      <c r="CC96" s="74">
        <f t="shared" si="205"/>
        <v>272</v>
      </c>
      <c r="CD96" s="73">
        <f t="shared" si="206"/>
        <v>332</v>
      </c>
      <c r="CE96" s="74">
        <f t="shared" si="207"/>
        <v>372</v>
      </c>
      <c r="CF96" s="73">
        <f t="shared" si="208"/>
        <v>401</v>
      </c>
      <c r="CG96" s="72">
        <f t="shared" si="209"/>
        <v>144</v>
      </c>
      <c r="CH96" s="73">
        <f t="shared" si="210"/>
        <v>148</v>
      </c>
      <c r="CI96" s="74">
        <f t="shared" si="211"/>
        <v>179</v>
      </c>
      <c r="CJ96" s="74" t="str">
        <f t="shared" si="212"/>
        <v>-</v>
      </c>
      <c r="CK96" s="74">
        <f t="shared" si="213"/>
        <v>220</v>
      </c>
      <c r="CL96" s="74">
        <f t="shared" si="214"/>
        <v>228</v>
      </c>
      <c r="CM96" s="74">
        <f t="shared" si="215"/>
        <v>254</v>
      </c>
      <c r="CN96" s="74" t="str">
        <f t="shared" si="216"/>
        <v>-</v>
      </c>
      <c r="CO96" s="74">
        <f t="shared" si="217"/>
        <v>304</v>
      </c>
      <c r="CP96" s="74">
        <f t="shared" si="218"/>
        <v>368</v>
      </c>
      <c r="CQ96" s="74">
        <f t="shared" si="219"/>
        <v>400</v>
      </c>
      <c r="CR96" s="74">
        <f t="shared" si="220"/>
        <v>411</v>
      </c>
      <c r="CS96" s="23">
        <f t="shared" si="221"/>
        <v>2</v>
      </c>
      <c r="AMO96" s="1"/>
    </row>
    <row r="97" spans="1:1028" x14ac:dyDescent="0.2">
      <c r="A97" s="3" t="str">
        <f t="shared" si="222"/>
        <v>cnr1_human_5U09</v>
      </c>
      <c r="B97" s="3" t="s">
        <v>182</v>
      </c>
      <c r="C97" s="3" t="s">
        <v>1371</v>
      </c>
      <c r="D97" s="3" t="str">
        <f>IFERROR(MID(VLOOKUP($B97,Seqs!$A:$B,2,0),E97,1),"")</f>
        <v>N</v>
      </c>
      <c r="E97" s="3">
        <v>112</v>
      </c>
      <c r="F97" s="3" t="str">
        <f>IFERROR(MID(VLOOKUP($B97,Seqs!$A:$B,2,0),G97,1),"")</f>
        <v>S</v>
      </c>
      <c r="G97" s="3">
        <v>144</v>
      </c>
      <c r="H97" s="3" t="str">
        <f>IFERROR(MID(VLOOKUP($B97,Seqs!$A:$B,2,0),I97,1),"")</f>
        <v>R</v>
      </c>
      <c r="I97" s="23">
        <v>145</v>
      </c>
      <c r="J97" s="3" t="str">
        <f>IFERROR(MID(VLOOKUP($B97,Seqs!$A:$B,2,0),K97,1),"")</f>
        <v>R</v>
      </c>
      <c r="K97" s="23">
        <v>148</v>
      </c>
      <c r="L97" s="3" t="str">
        <f>IFERROR(MID(VLOOKUP($B97,Seqs!$A:$B,2,0),M97,1),"")</f>
        <v>R</v>
      </c>
      <c r="M97" s="3">
        <v>150</v>
      </c>
      <c r="N97" s="3" t="str">
        <f>IFERROR(MID(VLOOKUP($B97,Seqs!$A:$B,2,0),O97,1),"")</f>
        <v>V</v>
      </c>
      <c r="O97" s="3">
        <v>179</v>
      </c>
      <c r="P97" s="3" t="str">
        <f>IFERROR(MID(VLOOKUP($B97,Seqs!$A:$B,2,0),Q97,1),"")</f>
        <v/>
      </c>
      <c r="Q97" s="3" t="s">
        <v>23</v>
      </c>
      <c r="R97" s="3" t="str">
        <f>IFERROR(MID(VLOOKUP($B97,Seqs!$A:$B,2,0),S97,1),"")</f>
        <v/>
      </c>
      <c r="S97" s="3" t="s">
        <v>23</v>
      </c>
      <c r="T97" s="3" t="str">
        <f>IFERROR(MID(VLOOKUP($B97,Seqs!$A:$B,2,0),U97,1),"")</f>
        <v>S</v>
      </c>
      <c r="U97" s="3">
        <v>185</v>
      </c>
      <c r="V97" s="3" t="str">
        <f>IFERROR(MID(VLOOKUP($B97,Seqs!$A:$B,2,0),W97,1),"")</f>
        <v>R</v>
      </c>
      <c r="W97" s="3">
        <v>220</v>
      </c>
      <c r="X97" s="3" t="str">
        <f>IFERROR(MID(VLOOKUP($B97,Seqs!$A:$B,2,0),Y97,1),"")</f>
        <v>P</v>
      </c>
      <c r="Y97" s="3">
        <v>221</v>
      </c>
      <c r="Z97" s="3" t="str">
        <f>IFERROR(MID(VLOOKUP($B97,Seqs!$A:$B,2,0),AA97,1),"")</f>
        <v>V</v>
      </c>
      <c r="AA97" s="3">
        <v>228</v>
      </c>
      <c r="AB97" s="3" t="str">
        <f>IFERROR(MID(VLOOKUP($B97,Seqs!$A:$B,2,0),AC97,1),"")</f>
        <v>T</v>
      </c>
      <c r="AC97" s="9">
        <v>229</v>
      </c>
      <c r="AD97" s="3" t="str">
        <f>IFERROR(MID(VLOOKUP($B97,Seqs!$A:$B,2,0),AE97,1),"")</f>
        <v>G</v>
      </c>
      <c r="AE97" s="3">
        <v>254</v>
      </c>
      <c r="AF97" s="3" t="str">
        <f>IFERROR(MID(VLOOKUP($B97,Seqs!$A:$B,2,0),AG97,1),"")</f>
        <v/>
      </c>
      <c r="AG97" s="3" t="s">
        <v>23</v>
      </c>
      <c r="AH97" s="3" t="str">
        <f>IFERROR(MID(VLOOKUP($B97,Seqs!$A:$B,2,0),AI97,1),"")</f>
        <v/>
      </c>
      <c r="AI97" s="3" t="s">
        <v>23</v>
      </c>
      <c r="AJ97" s="3" t="str">
        <f>IFERROR(MID(VLOOKUP($B97,Seqs!$A:$B,2,0),AK97,1),"")</f>
        <v>D</v>
      </c>
      <c r="AK97" s="3">
        <v>272</v>
      </c>
      <c r="AL97" s="3" t="str">
        <f>IFERROR(MID(VLOOKUP($B97,Seqs!$A:$B,2,0),AM97,1),"")</f>
        <v>A</v>
      </c>
      <c r="AM97" s="3">
        <v>301</v>
      </c>
      <c r="AN97" s="3" t="str">
        <f>IFERROR(MID(VLOOKUP($B97,Seqs!$A:$B,2,0),AO97,1),"")</f>
        <v>D</v>
      </c>
      <c r="AO97" s="3">
        <v>333</v>
      </c>
      <c r="AP97" s="3" t="str">
        <f>IFERROR(MID(VLOOKUP($B97,Seqs!$A:$B,2,0),AQ97,1),"")</f>
        <v>F</v>
      </c>
      <c r="AQ97" s="3">
        <v>368</v>
      </c>
      <c r="AR97" s="3" t="str">
        <f>IFERROR(MID(VLOOKUP($B97,Seqs!$A:$B,2,0),AS97,1),"")</f>
        <v>L</v>
      </c>
      <c r="AS97" s="3">
        <v>374</v>
      </c>
      <c r="AT97" s="3" t="str">
        <f>IFERROR(MID(VLOOKUP($B97,Seqs!$A:$B,2,0),AU97,1),"")</f>
        <v>R</v>
      </c>
      <c r="AU97" s="3">
        <v>400</v>
      </c>
      <c r="AV97" s="3" t="str">
        <f>IFERROR(MID(VLOOKUP($B97,Seqs!$A:$B,2,0),AW97,1),"")</f>
        <v>S</v>
      </c>
      <c r="AW97" s="3">
        <v>401</v>
      </c>
      <c r="AX97" s="3" t="str">
        <f>IFERROR(MID(VLOOKUP($B97,Seqs!$A:$B,2,0),AY97,1),"")</f>
        <v>M</v>
      </c>
      <c r="AY97" s="3">
        <v>411</v>
      </c>
      <c r="AZ97" s="79" t="str">
        <f>VLOOKUP(B97,Classification!A:D,2,0)</f>
        <v>A</v>
      </c>
      <c r="BA97" s="97" t="str">
        <f>VLOOKUP(B97,Classification!A:D,4,0)</f>
        <v>Cannabinoid</v>
      </c>
      <c r="BB97" s="27" t="b">
        <f t="shared" si="223"/>
        <v>1</v>
      </c>
      <c r="BC97" s="23">
        <f t="shared" si="196"/>
        <v>243</v>
      </c>
      <c r="BD97" s="2" t="s">
        <v>23</v>
      </c>
      <c r="BE97" s="3" t="s">
        <v>1381</v>
      </c>
      <c r="BF97" s="50" t="s">
        <v>1384</v>
      </c>
      <c r="BG97" s="50" t="s">
        <v>1384</v>
      </c>
      <c r="BI97" s="72" t="s">
        <v>1293</v>
      </c>
      <c r="BJ97" s="58" t="s">
        <v>1293</v>
      </c>
      <c r="BK97" s="58" t="s">
        <v>1293</v>
      </c>
      <c r="BL97" s="58" t="s">
        <v>1293</v>
      </c>
      <c r="BM97" s="58" t="s">
        <v>1293</v>
      </c>
      <c r="BN97" s="58" t="s">
        <v>1293</v>
      </c>
      <c r="BO97" s="58" t="s">
        <v>1293</v>
      </c>
      <c r="BP97" s="58" t="s">
        <v>1293</v>
      </c>
      <c r="BQ97" s="58" t="s">
        <v>1293</v>
      </c>
      <c r="BR97" s="58" t="s">
        <v>1293</v>
      </c>
      <c r="BS97" s="58" t="s">
        <v>1293</v>
      </c>
      <c r="BT97" s="58" t="s">
        <v>1293</v>
      </c>
      <c r="BU97" s="72">
        <f t="shared" si="197"/>
        <v>112</v>
      </c>
      <c r="BV97" s="73">
        <f t="shared" si="198"/>
        <v>145</v>
      </c>
      <c r="BW97" s="74">
        <f t="shared" si="199"/>
        <v>150</v>
      </c>
      <c r="BX97" s="73" t="str">
        <f t="shared" si="200"/>
        <v>-</v>
      </c>
      <c r="BY97" s="74">
        <f t="shared" si="201"/>
        <v>185</v>
      </c>
      <c r="BZ97" s="73">
        <f t="shared" si="202"/>
        <v>221</v>
      </c>
      <c r="CA97" s="74">
        <f t="shared" si="203"/>
        <v>229</v>
      </c>
      <c r="CB97" s="73" t="str">
        <f t="shared" si="204"/>
        <v>-</v>
      </c>
      <c r="CC97" s="74">
        <f t="shared" si="205"/>
        <v>272</v>
      </c>
      <c r="CD97" s="73">
        <f t="shared" si="206"/>
        <v>333</v>
      </c>
      <c r="CE97" s="74">
        <f t="shared" si="207"/>
        <v>374</v>
      </c>
      <c r="CF97" s="73">
        <f t="shared" si="208"/>
        <v>401</v>
      </c>
      <c r="CG97" s="72">
        <f t="shared" si="209"/>
        <v>144</v>
      </c>
      <c r="CH97" s="73">
        <f t="shared" si="210"/>
        <v>148</v>
      </c>
      <c r="CI97" s="74">
        <f t="shared" si="211"/>
        <v>179</v>
      </c>
      <c r="CJ97" s="74" t="str">
        <f t="shared" si="212"/>
        <v>-</v>
      </c>
      <c r="CK97" s="74">
        <f t="shared" si="213"/>
        <v>220</v>
      </c>
      <c r="CL97" s="74">
        <f t="shared" si="214"/>
        <v>228</v>
      </c>
      <c r="CM97" s="74">
        <f t="shared" si="215"/>
        <v>254</v>
      </c>
      <c r="CN97" s="74" t="str">
        <f t="shared" si="216"/>
        <v>-</v>
      </c>
      <c r="CO97" s="74">
        <f t="shared" si="217"/>
        <v>301</v>
      </c>
      <c r="CP97" s="74">
        <f t="shared" si="218"/>
        <v>368</v>
      </c>
      <c r="CQ97" s="74">
        <f t="shared" si="219"/>
        <v>400</v>
      </c>
      <c r="CR97" s="74">
        <f t="shared" si="220"/>
        <v>411</v>
      </c>
      <c r="CS97" s="23">
        <f t="shared" si="221"/>
        <v>2</v>
      </c>
    </row>
    <row r="98" spans="1:1028" s="12" customFormat="1" x14ac:dyDescent="0.2">
      <c r="A98" s="9" t="str">
        <f t="shared" ref="A98" si="391">CONCATENATE(B98,"_",C98)</f>
        <v>cnr1_human_5XR8</v>
      </c>
      <c r="B98" s="9" t="s">
        <v>182</v>
      </c>
      <c r="C98" s="9" t="s">
        <v>1435</v>
      </c>
      <c r="D98" s="9" t="str">
        <f>IFERROR(MID(VLOOKUP($B98,Seqs!$A:$B,2,0),E98,1),"")</f>
        <v>N</v>
      </c>
      <c r="E98" s="9">
        <v>112</v>
      </c>
      <c r="F98" s="9" t="str">
        <f>IFERROR(MID(VLOOKUP($B98,Seqs!$A:$B,2,0),G98,1),"")</f>
        <v>S</v>
      </c>
      <c r="G98" s="9">
        <v>146</v>
      </c>
      <c r="H98" s="9" t="str">
        <f>IFERROR(MID(VLOOKUP($B98,Seqs!$A:$B,2,0),I98,1),"")</f>
        <v/>
      </c>
      <c r="I98" s="112" t="s">
        <v>23</v>
      </c>
      <c r="J98" s="9" t="str">
        <f>IFERROR(MID(VLOOKUP($B98,Seqs!$A:$B,2,0),K98,1),"")</f>
        <v/>
      </c>
      <c r="K98" s="112" t="s">
        <v>23</v>
      </c>
      <c r="L98" s="9" t="str">
        <f>IFERROR(MID(VLOOKUP($B98,Seqs!$A:$B,2,0),M98,1),"")</f>
        <v>Y</v>
      </c>
      <c r="M98" s="9">
        <v>153</v>
      </c>
      <c r="N98" s="9" t="str">
        <f>IFERROR(MID(VLOOKUP($B98,Seqs!$A:$B,2,0),O98,1),"")</f>
        <v>F</v>
      </c>
      <c r="O98" s="9">
        <v>180</v>
      </c>
      <c r="P98" s="9" t="str">
        <f>IFERROR(MID(VLOOKUP($B98,Seqs!$A:$B,2,0),Q98,1),"")</f>
        <v/>
      </c>
      <c r="Q98" s="9" t="s">
        <v>23</v>
      </c>
      <c r="R98" s="9" t="str">
        <f>IFERROR(MID(VLOOKUP($B98,Seqs!$A:$B,2,0),S98,1),"")</f>
        <v/>
      </c>
      <c r="S98" s="9" t="s">
        <v>23</v>
      </c>
      <c r="T98" s="9" t="str">
        <f>IFERROR(MID(VLOOKUP($B98,Seqs!$A:$B,2,0),U98,1),"")</f>
        <v>S</v>
      </c>
      <c r="U98" s="9">
        <v>185</v>
      </c>
      <c r="V98" s="9" t="str">
        <f>IFERROR(MID(VLOOKUP($B98,Seqs!$A:$B,2,0),W98,1),"")</f>
        <v>R</v>
      </c>
      <c r="W98" s="9">
        <v>220</v>
      </c>
      <c r="X98" s="9" t="str">
        <f>IFERROR(MID(VLOOKUP($B98,Seqs!$A:$B,2,0),Y98,1),"")</f>
        <v>P</v>
      </c>
      <c r="Y98" s="9">
        <v>221</v>
      </c>
      <c r="Z98" s="9" t="str">
        <f>IFERROR(MID(VLOOKUP($B98,Seqs!$A:$B,2,0),AA98,1),"")</f>
        <v>V</v>
      </c>
      <c r="AA98" s="9">
        <v>228</v>
      </c>
      <c r="AB98" s="9" t="str">
        <f>IFERROR(MID(VLOOKUP($B98,Seqs!$A:$B,2,0),AC98,1),"")</f>
        <v>T</v>
      </c>
      <c r="AC98" s="9">
        <v>229</v>
      </c>
      <c r="AD98" s="9" t="str">
        <f>IFERROR(MID(VLOOKUP($B98,Seqs!$A:$B,2,0),AE98,1),"")</f>
        <v>G</v>
      </c>
      <c r="AE98" s="9">
        <v>254</v>
      </c>
      <c r="AF98" s="9" t="str">
        <f>IFERROR(MID(VLOOKUP($B98,Seqs!$A:$B,2,0),AG98,1),"")</f>
        <v/>
      </c>
      <c r="AG98" s="9" t="s">
        <v>23</v>
      </c>
      <c r="AH98" s="9" t="str">
        <f>IFERROR(MID(VLOOKUP($B98,Seqs!$A:$B,2,0),AI98,1),"")</f>
        <v/>
      </c>
      <c r="AI98" s="9" t="s">
        <v>23</v>
      </c>
      <c r="AJ98" s="9" t="str">
        <f>IFERROR(MID(VLOOKUP($B98,Seqs!$A:$B,2,0),AK98,1),"")</f>
        <v>D</v>
      </c>
      <c r="AK98" s="9">
        <v>272</v>
      </c>
      <c r="AL98" s="9" t="str">
        <f>IFERROR(MID(VLOOKUP($B98,Seqs!$A:$B,2,0),AM98,1),"")</f>
        <v>S</v>
      </c>
      <c r="AM98" s="9">
        <v>303</v>
      </c>
      <c r="AN98" s="9" t="str">
        <f>IFERROR(MID(VLOOKUP($B98,Seqs!$A:$B,2,0),AO98,1),"")</f>
        <v>D</v>
      </c>
      <c r="AO98" s="9">
        <v>338</v>
      </c>
      <c r="AP98" s="9" t="str">
        <f>IFERROR(MID(VLOOKUP($B98,Seqs!$A:$B,2,0),AQ98,1),"")</f>
        <v>F</v>
      </c>
      <c r="AQ98" s="9">
        <v>368</v>
      </c>
      <c r="AR98" s="9" t="str">
        <f>IFERROR(MID(VLOOKUP($B98,Seqs!$A:$B,2,0),AS98,1),"")</f>
        <v>N</v>
      </c>
      <c r="AS98" s="9">
        <v>372</v>
      </c>
      <c r="AT98" s="9" t="str">
        <f>IFERROR(MID(VLOOKUP($B98,Seqs!$A:$B,2,0),AU98,1),"")</f>
        <v>Y</v>
      </c>
      <c r="AU98" s="9">
        <v>397</v>
      </c>
      <c r="AV98" s="9" t="str">
        <f>IFERROR(MID(VLOOKUP($B98,Seqs!$A:$B,2,0),AW98,1),"")</f>
        <v>S</v>
      </c>
      <c r="AW98" s="9">
        <v>401</v>
      </c>
      <c r="AX98" s="9" t="str">
        <f>IFERROR(MID(VLOOKUP($B98,Seqs!$A:$B,2,0),AY98,1),"")</f>
        <v>F</v>
      </c>
      <c r="AY98" s="9">
        <v>412</v>
      </c>
      <c r="AZ98" s="113" t="str">
        <f>VLOOKUP(B98,Classification!A:D,2,0)</f>
        <v>A</v>
      </c>
      <c r="BA98" s="101" t="str">
        <f>VLOOKUP(B98,Classification!A:D,4,0)</f>
        <v>Cannabinoid</v>
      </c>
      <c r="BB98" s="37" t="b">
        <f t="shared" ref="BB98" si="392">AND(E98&lt;G98,OR(G98&lt;I98,I98="-"),OR(I98&lt;K98,I98="-"),OR(K98&lt;M98,K98="-"),M98&lt;O98,OR(O98&lt;Q98,Q98="-"),OR(Q98&lt;S98,Q98="-"),OR(S98&lt;U98,S98="-"),U98&lt;W98,OR(W98&lt;Y98,Y98="-"),OR(Y98&lt;AA98,Y98="-"),OR(AA98&lt;AC98,AA98="-"),AC98&lt;AE98,OR(AE98&lt;AG98,AG98="-"),OR(AG98&lt;AI98,AG98="-"),OR(AI98&lt;AK98,AI98="-"),AK98&lt;AM98,AM98&lt;AO98,AO98&lt;AQ98,AQ98&lt;AS98,AS98&lt;AU98,OR(AU98&lt;AW98,AW98="-"),OR(AW98&lt;AY98,AW98="-"))</f>
        <v>1</v>
      </c>
      <c r="BC98" s="112">
        <f t="shared" ref="BC98" si="393">_xlfn.AGGREGATE(9,6,CG98:CR98)-_xlfn.AGGREGATE(9,6,BU98:CF98)+12</f>
        <v>237</v>
      </c>
      <c r="BD98" s="41" t="s">
        <v>23</v>
      </c>
      <c r="BE98" s="9" t="s">
        <v>1297</v>
      </c>
      <c r="BF98" s="52" t="s">
        <v>1</v>
      </c>
      <c r="BG98" s="52" t="s">
        <v>1</v>
      </c>
      <c r="BH98" s="9"/>
      <c r="BI98" s="114" t="s">
        <v>1293</v>
      </c>
      <c r="BJ98" s="115" t="s">
        <v>1293</v>
      </c>
      <c r="BK98" s="115" t="s">
        <v>1293</v>
      </c>
      <c r="BL98" s="115" t="s">
        <v>1293</v>
      </c>
      <c r="BM98" s="115" t="s">
        <v>1293</v>
      </c>
      <c r="BN98" s="115" t="s">
        <v>1293</v>
      </c>
      <c r="BO98" s="115" t="s">
        <v>1293</v>
      </c>
      <c r="BP98" s="115" t="s">
        <v>1293</v>
      </c>
      <c r="BQ98" s="115" t="s">
        <v>1293</v>
      </c>
      <c r="BR98" s="115" t="s">
        <v>1293</v>
      </c>
      <c r="BS98" s="115" t="s">
        <v>1293</v>
      </c>
      <c r="BT98" s="115" t="s">
        <v>1293</v>
      </c>
      <c r="BU98" s="114">
        <f t="shared" ref="BU98" si="394">E98</f>
        <v>112</v>
      </c>
      <c r="BV98" s="116" t="str">
        <f t="shared" ref="BV98" si="395">I98</f>
        <v>-</v>
      </c>
      <c r="BW98" s="117">
        <f t="shared" ref="BW98" si="396">M98</f>
        <v>153</v>
      </c>
      <c r="BX98" s="116" t="str">
        <f t="shared" ref="BX98" si="397">Q98</f>
        <v>-</v>
      </c>
      <c r="BY98" s="117">
        <f t="shared" ref="BY98" si="398">U98</f>
        <v>185</v>
      </c>
      <c r="BZ98" s="116">
        <f t="shared" ref="BZ98" si="399">Y98</f>
        <v>221</v>
      </c>
      <c r="CA98" s="117">
        <f t="shared" ref="CA98" si="400">AC98</f>
        <v>229</v>
      </c>
      <c r="CB98" s="116" t="str">
        <f t="shared" ref="CB98" si="401">AG98</f>
        <v>-</v>
      </c>
      <c r="CC98" s="117">
        <f t="shared" ref="CC98" si="402">AK98</f>
        <v>272</v>
      </c>
      <c r="CD98" s="116">
        <f t="shared" ref="CD98" si="403">AO98</f>
        <v>338</v>
      </c>
      <c r="CE98" s="117">
        <f t="shared" ref="CE98" si="404">AS98</f>
        <v>372</v>
      </c>
      <c r="CF98" s="116">
        <f t="shared" ref="CF98" si="405">AW98</f>
        <v>401</v>
      </c>
      <c r="CG98" s="114">
        <f t="shared" ref="CG98" si="406">G98</f>
        <v>146</v>
      </c>
      <c r="CH98" s="116" t="str">
        <f t="shared" ref="CH98" si="407">K98</f>
        <v>-</v>
      </c>
      <c r="CI98" s="117">
        <f t="shared" ref="CI98" si="408">O98</f>
        <v>180</v>
      </c>
      <c r="CJ98" s="117" t="str">
        <f t="shared" ref="CJ98" si="409">S98</f>
        <v>-</v>
      </c>
      <c r="CK98" s="117">
        <f t="shared" ref="CK98" si="410">W98</f>
        <v>220</v>
      </c>
      <c r="CL98" s="117">
        <f t="shared" ref="CL98" si="411">AA98</f>
        <v>228</v>
      </c>
      <c r="CM98" s="117">
        <f t="shared" ref="CM98" si="412">AE98</f>
        <v>254</v>
      </c>
      <c r="CN98" s="117" t="str">
        <f t="shared" ref="CN98" si="413">AI98</f>
        <v>-</v>
      </c>
      <c r="CO98" s="117">
        <f t="shared" ref="CO98" si="414">AM98</f>
        <v>303</v>
      </c>
      <c r="CP98" s="117">
        <f t="shared" ref="CP98" si="415">AQ98</f>
        <v>368</v>
      </c>
      <c r="CQ98" s="117">
        <f t="shared" ref="CQ98" si="416">AU98</f>
        <v>397</v>
      </c>
      <c r="CR98" s="117">
        <f t="shared" ref="CR98" si="417">AY98</f>
        <v>412</v>
      </c>
      <c r="CS98" s="112" t="e">
        <f t="shared" ref="CS98" si="418">M98-K98</f>
        <v>#VALUE!</v>
      </c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9"/>
      <c r="JE98" s="9"/>
      <c r="JF98" s="9"/>
      <c r="JG98" s="9"/>
      <c r="JH98" s="9"/>
      <c r="JI98" s="9"/>
      <c r="JJ98" s="9"/>
      <c r="JK98" s="9"/>
      <c r="JL98" s="9"/>
      <c r="JM98" s="9"/>
      <c r="JN98" s="9"/>
      <c r="JO98" s="9"/>
      <c r="JP98" s="9"/>
      <c r="JQ98" s="9"/>
      <c r="JR98" s="9"/>
      <c r="JS98" s="9"/>
      <c r="JT98" s="9"/>
      <c r="JU98" s="9"/>
      <c r="JV98" s="9"/>
      <c r="JW98" s="9"/>
      <c r="JX98" s="9"/>
      <c r="JY98" s="9"/>
      <c r="JZ98" s="9"/>
      <c r="KA98" s="9"/>
      <c r="KB98" s="9"/>
      <c r="KC98" s="9"/>
      <c r="KD98" s="9"/>
      <c r="KE98" s="9"/>
      <c r="KF98" s="9"/>
      <c r="KG98" s="9"/>
      <c r="KH98" s="9"/>
      <c r="KI98" s="9"/>
      <c r="KJ98" s="9"/>
      <c r="KK98" s="9"/>
      <c r="KL98" s="9"/>
      <c r="KM98" s="9"/>
      <c r="KN98" s="9"/>
      <c r="KO98" s="9"/>
      <c r="KP98" s="9"/>
      <c r="KQ98" s="9"/>
      <c r="KR98" s="9"/>
      <c r="KS98" s="9"/>
      <c r="KT98" s="9"/>
      <c r="KU98" s="9"/>
      <c r="KV98" s="9"/>
      <c r="KW98" s="9"/>
      <c r="KX98" s="9"/>
      <c r="KY98" s="9"/>
      <c r="KZ98" s="9"/>
      <c r="LA98" s="9"/>
      <c r="LB98" s="9"/>
      <c r="LC98" s="9"/>
      <c r="LD98" s="9"/>
      <c r="LE98" s="9"/>
      <c r="LF98" s="9"/>
      <c r="LG98" s="9"/>
      <c r="LH98" s="9"/>
      <c r="LI98" s="9"/>
      <c r="LJ98" s="9"/>
      <c r="LK98" s="9"/>
      <c r="LL98" s="9"/>
      <c r="LM98" s="9"/>
      <c r="LN98" s="9"/>
      <c r="LO98" s="9"/>
      <c r="LP98" s="9"/>
      <c r="LQ98" s="9"/>
      <c r="LR98" s="9"/>
      <c r="LS98" s="9"/>
      <c r="LT98" s="9"/>
      <c r="LU98" s="9"/>
      <c r="LV98" s="9"/>
      <c r="LW98" s="9"/>
      <c r="LX98" s="9"/>
      <c r="LY98" s="9"/>
      <c r="LZ98" s="9"/>
      <c r="MA98" s="9"/>
      <c r="MB98" s="9"/>
      <c r="MC98" s="9"/>
      <c r="MD98" s="9"/>
      <c r="ME98" s="9"/>
      <c r="MF98" s="9"/>
      <c r="MG98" s="9"/>
      <c r="MH98" s="9"/>
      <c r="MI98" s="9"/>
      <c r="MJ98" s="9"/>
      <c r="MK98" s="9"/>
      <c r="ML98" s="9"/>
      <c r="MM98" s="9"/>
      <c r="MN98" s="9"/>
      <c r="MO98" s="9"/>
      <c r="MP98" s="9"/>
      <c r="MQ98" s="9"/>
      <c r="MR98" s="9"/>
      <c r="MS98" s="9"/>
      <c r="MT98" s="9"/>
      <c r="MU98" s="9"/>
      <c r="MV98" s="9"/>
      <c r="MW98" s="9"/>
      <c r="MX98" s="9"/>
      <c r="MY98" s="9"/>
      <c r="MZ98" s="9"/>
      <c r="NA98" s="9"/>
      <c r="NB98" s="9"/>
      <c r="NC98" s="9"/>
      <c r="ND98" s="9"/>
      <c r="NE98" s="9"/>
      <c r="NF98" s="9"/>
      <c r="NG98" s="9"/>
      <c r="NH98" s="9"/>
      <c r="NI98" s="9"/>
      <c r="NJ98" s="9"/>
      <c r="NK98" s="9"/>
      <c r="NL98" s="9"/>
      <c r="NM98" s="9"/>
      <c r="NN98" s="9"/>
      <c r="NO98" s="9"/>
      <c r="NP98" s="9"/>
      <c r="NQ98" s="9"/>
      <c r="NR98" s="9"/>
      <c r="NS98" s="9"/>
      <c r="NT98" s="9"/>
      <c r="NU98" s="9"/>
      <c r="NV98" s="9"/>
      <c r="NW98" s="9"/>
      <c r="NX98" s="9"/>
      <c r="NY98" s="9"/>
      <c r="NZ98" s="9"/>
      <c r="OA98" s="9"/>
      <c r="OB98" s="9"/>
      <c r="OC98" s="9"/>
      <c r="OD98" s="9"/>
      <c r="OE98" s="9"/>
      <c r="OF98" s="9"/>
      <c r="OG98" s="9"/>
      <c r="OH98" s="9"/>
      <c r="OI98" s="9"/>
      <c r="OJ98" s="9"/>
      <c r="OK98" s="9"/>
      <c r="OL98" s="9"/>
      <c r="OM98" s="9"/>
      <c r="ON98" s="9"/>
      <c r="OO98" s="9"/>
      <c r="OP98" s="9"/>
      <c r="OQ98" s="9"/>
      <c r="OR98" s="9"/>
      <c r="OS98" s="9"/>
      <c r="OT98" s="9"/>
      <c r="OU98" s="9"/>
      <c r="OV98" s="9"/>
      <c r="OW98" s="9"/>
      <c r="OX98" s="9"/>
      <c r="OY98" s="9"/>
      <c r="OZ98" s="9"/>
      <c r="PA98" s="9"/>
      <c r="PB98" s="9"/>
      <c r="PC98" s="9"/>
      <c r="PD98" s="9"/>
      <c r="PE98" s="9"/>
      <c r="PF98" s="9"/>
      <c r="PG98" s="9"/>
      <c r="PH98" s="9"/>
      <c r="PI98" s="9"/>
      <c r="PJ98" s="9"/>
      <c r="PK98" s="9"/>
      <c r="PL98" s="9"/>
      <c r="PM98" s="9"/>
      <c r="PN98" s="9"/>
      <c r="PO98" s="9"/>
      <c r="PP98" s="9"/>
      <c r="PQ98" s="9"/>
      <c r="PR98" s="9"/>
      <c r="PS98" s="9"/>
      <c r="PT98" s="9"/>
      <c r="PU98" s="9"/>
      <c r="PV98" s="9"/>
      <c r="PW98" s="9"/>
      <c r="PX98" s="9"/>
      <c r="PY98" s="9"/>
      <c r="PZ98" s="9"/>
      <c r="QA98" s="9"/>
      <c r="QB98" s="9"/>
      <c r="QC98" s="9"/>
      <c r="QD98" s="9"/>
      <c r="QE98" s="9"/>
      <c r="QF98" s="9"/>
      <c r="QG98" s="9"/>
      <c r="QH98" s="9"/>
      <c r="QI98" s="9"/>
      <c r="QJ98" s="9"/>
      <c r="QK98" s="9"/>
      <c r="QL98" s="9"/>
      <c r="QM98" s="9"/>
      <c r="QN98" s="9"/>
      <c r="QO98" s="9"/>
      <c r="QP98" s="9"/>
      <c r="QQ98" s="9"/>
      <c r="QR98" s="9"/>
      <c r="QS98" s="9"/>
      <c r="QT98" s="9"/>
      <c r="QU98" s="9"/>
      <c r="QV98" s="9"/>
      <c r="QW98" s="9"/>
      <c r="QX98" s="9"/>
      <c r="QY98" s="9"/>
      <c r="QZ98" s="9"/>
      <c r="RA98" s="9"/>
      <c r="RB98" s="9"/>
      <c r="RC98" s="9"/>
      <c r="RD98" s="9"/>
      <c r="RE98" s="9"/>
      <c r="RF98" s="9"/>
      <c r="RG98" s="9"/>
      <c r="RH98" s="9"/>
      <c r="RI98" s="9"/>
      <c r="RJ98" s="9"/>
      <c r="RK98" s="9"/>
      <c r="RL98" s="9"/>
      <c r="RM98" s="9"/>
      <c r="RN98" s="9"/>
      <c r="RO98" s="9"/>
      <c r="RP98" s="9"/>
      <c r="RQ98" s="9"/>
      <c r="RR98" s="9"/>
      <c r="RS98" s="9"/>
      <c r="RT98" s="9"/>
      <c r="RU98" s="9"/>
      <c r="RV98" s="9"/>
      <c r="RW98" s="9"/>
      <c r="RX98" s="9"/>
      <c r="RY98" s="9"/>
      <c r="RZ98" s="9"/>
      <c r="SA98" s="9"/>
      <c r="SB98" s="9"/>
      <c r="SC98" s="9"/>
      <c r="SD98" s="9"/>
      <c r="SE98" s="9"/>
      <c r="SF98" s="9"/>
      <c r="SG98" s="9"/>
      <c r="SH98" s="9"/>
      <c r="SI98" s="9"/>
      <c r="SJ98" s="9"/>
      <c r="SK98" s="9"/>
      <c r="SL98" s="9"/>
      <c r="SM98" s="9"/>
      <c r="SN98" s="9"/>
      <c r="SO98" s="9"/>
      <c r="SP98" s="9"/>
      <c r="SQ98" s="9"/>
      <c r="SR98" s="9"/>
      <c r="SS98" s="9"/>
      <c r="ST98" s="9"/>
      <c r="SU98" s="9"/>
      <c r="SV98" s="9"/>
      <c r="SW98" s="9"/>
      <c r="SX98" s="9"/>
      <c r="SY98" s="9"/>
      <c r="SZ98" s="9"/>
      <c r="TA98" s="9"/>
      <c r="TB98" s="9"/>
      <c r="TC98" s="9"/>
      <c r="TD98" s="9"/>
      <c r="TE98" s="9"/>
      <c r="TF98" s="9"/>
      <c r="TG98" s="9"/>
      <c r="TH98" s="9"/>
      <c r="TI98" s="9"/>
      <c r="TJ98" s="9"/>
      <c r="TK98" s="9"/>
      <c r="TL98" s="9"/>
      <c r="TM98" s="9"/>
      <c r="TN98" s="9"/>
      <c r="TO98" s="9"/>
      <c r="TP98" s="9"/>
      <c r="TQ98" s="9"/>
      <c r="TR98" s="9"/>
      <c r="TS98" s="9"/>
      <c r="TT98" s="9"/>
      <c r="TU98" s="9"/>
      <c r="TV98" s="9"/>
      <c r="TW98" s="9"/>
      <c r="TX98" s="9"/>
      <c r="TY98" s="9"/>
      <c r="TZ98" s="9"/>
      <c r="UA98" s="9"/>
      <c r="UB98" s="9"/>
      <c r="UC98" s="9"/>
      <c r="UD98" s="9"/>
      <c r="UE98" s="9"/>
      <c r="UF98" s="9"/>
      <c r="UG98" s="9"/>
      <c r="UH98" s="9"/>
      <c r="UI98" s="9"/>
      <c r="UJ98" s="9"/>
      <c r="UK98" s="9"/>
      <c r="UL98" s="9"/>
      <c r="UM98" s="9"/>
      <c r="UN98" s="9"/>
      <c r="UO98" s="9"/>
      <c r="UP98" s="9"/>
      <c r="UQ98" s="9"/>
      <c r="UR98" s="9"/>
      <c r="US98" s="9"/>
      <c r="UT98" s="9"/>
      <c r="UU98" s="9"/>
      <c r="UV98" s="9"/>
      <c r="UW98" s="9"/>
      <c r="UX98" s="9"/>
      <c r="UY98" s="9"/>
      <c r="UZ98" s="9"/>
      <c r="VA98" s="9"/>
      <c r="VB98" s="9"/>
      <c r="VC98" s="9"/>
      <c r="VD98" s="9"/>
      <c r="VE98" s="9"/>
      <c r="VF98" s="9"/>
      <c r="VG98" s="9"/>
      <c r="VH98" s="9"/>
      <c r="VI98" s="9"/>
      <c r="VJ98" s="9"/>
      <c r="VK98" s="9"/>
      <c r="VL98" s="9"/>
      <c r="VM98" s="9"/>
      <c r="VN98" s="9"/>
      <c r="VO98" s="9"/>
      <c r="VP98" s="9"/>
      <c r="VQ98" s="9"/>
      <c r="VR98" s="9"/>
      <c r="VS98" s="9"/>
      <c r="VT98" s="9"/>
      <c r="VU98" s="9"/>
      <c r="VV98" s="9"/>
      <c r="VW98" s="9"/>
      <c r="VX98" s="9"/>
      <c r="VY98" s="9"/>
      <c r="VZ98" s="9"/>
      <c r="WA98" s="9"/>
      <c r="WB98" s="9"/>
      <c r="WC98" s="9"/>
      <c r="WD98" s="9"/>
      <c r="WE98" s="9"/>
      <c r="WF98" s="9"/>
      <c r="WG98" s="9"/>
      <c r="WH98" s="9"/>
      <c r="WI98" s="9"/>
      <c r="WJ98" s="9"/>
      <c r="WK98" s="9"/>
      <c r="WL98" s="9"/>
      <c r="WM98" s="9"/>
      <c r="WN98" s="9"/>
      <c r="WO98" s="9"/>
      <c r="WP98" s="9"/>
      <c r="WQ98" s="9"/>
      <c r="WR98" s="9"/>
      <c r="WS98" s="9"/>
      <c r="WT98" s="9"/>
      <c r="WU98" s="9"/>
      <c r="WV98" s="9"/>
      <c r="WW98" s="9"/>
      <c r="WX98" s="9"/>
      <c r="WY98" s="9"/>
      <c r="WZ98" s="9"/>
      <c r="XA98" s="9"/>
      <c r="XB98" s="9"/>
      <c r="XC98" s="9"/>
      <c r="XD98" s="9"/>
      <c r="XE98" s="9"/>
      <c r="XF98" s="9"/>
      <c r="XG98" s="9"/>
      <c r="XH98" s="9"/>
      <c r="XI98" s="9"/>
      <c r="XJ98" s="9"/>
      <c r="XK98" s="9"/>
      <c r="XL98" s="9"/>
      <c r="XM98" s="9"/>
      <c r="XN98" s="9"/>
      <c r="XO98" s="9"/>
      <c r="XP98" s="9"/>
      <c r="XQ98" s="9"/>
      <c r="XR98" s="9"/>
      <c r="XS98" s="9"/>
      <c r="XT98" s="9"/>
      <c r="XU98" s="9"/>
      <c r="XV98" s="9"/>
      <c r="XW98" s="9"/>
      <c r="XX98" s="9"/>
      <c r="XY98" s="9"/>
      <c r="XZ98" s="9"/>
      <c r="YA98" s="9"/>
      <c r="YB98" s="9"/>
      <c r="YC98" s="9"/>
      <c r="YD98" s="9"/>
      <c r="YE98" s="9"/>
      <c r="YF98" s="9"/>
      <c r="YG98" s="9"/>
      <c r="YH98" s="9"/>
      <c r="YI98" s="9"/>
      <c r="YJ98" s="9"/>
      <c r="YK98" s="9"/>
      <c r="YL98" s="9"/>
      <c r="YM98" s="9"/>
      <c r="YN98" s="9"/>
      <c r="YO98" s="9"/>
      <c r="YP98" s="9"/>
      <c r="YQ98" s="9"/>
      <c r="YR98" s="9"/>
      <c r="YS98" s="9"/>
      <c r="YT98" s="9"/>
      <c r="YU98" s="9"/>
      <c r="YV98" s="9"/>
      <c r="YW98" s="9"/>
      <c r="YX98" s="9"/>
      <c r="YY98" s="9"/>
      <c r="YZ98" s="9"/>
      <c r="ZA98" s="9"/>
      <c r="ZB98" s="9"/>
      <c r="ZC98" s="9"/>
      <c r="ZD98" s="9"/>
      <c r="ZE98" s="9"/>
      <c r="ZF98" s="9"/>
      <c r="ZG98" s="9"/>
      <c r="ZH98" s="9"/>
      <c r="ZI98" s="9"/>
      <c r="ZJ98" s="9"/>
      <c r="ZK98" s="9"/>
      <c r="ZL98" s="9"/>
      <c r="ZM98" s="9"/>
      <c r="ZN98" s="9"/>
      <c r="ZO98" s="9"/>
      <c r="ZP98" s="9"/>
      <c r="ZQ98" s="9"/>
      <c r="ZR98" s="9"/>
      <c r="ZS98" s="9"/>
      <c r="ZT98" s="9"/>
      <c r="ZU98" s="9"/>
      <c r="ZV98" s="9"/>
      <c r="ZW98" s="9"/>
      <c r="ZX98" s="9"/>
      <c r="ZY98" s="9"/>
      <c r="ZZ98" s="9"/>
      <c r="AAA98" s="9"/>
      <c r="AAB98" s="9"/>
      <c r="AAC98" s="9"/>
      <c r="AAD98" s="9"/>
      <c r="AAE98" s="9"/>
      <c r="AAF98" s="9"/>
      <c r="AAG98" s="9"/>
      <c r="AAH98" s="9"/>
      <c r="AAI98" s="9"/>
      <c r="AAJ98" s="9"/>
      <c r="AAK98" s="9"/>
      <c r="AAL98" s="9"/>
      <c r="AAM98" s="9"/>
      <c r="AAN98" s="9"/>
      <c r="AAO98" s="9"/>
      <c r="AAP98" s="9"/>
      <c r="AAQ98" s="9"/>
      <c r="AAR98" s="9"/>
      <c r="AAS98" s="9"/>
      <c r="AAT98" s="9"/>
      <c r="AAU98" s="9"/>
      <c r="AAV98" s="9"/>
      <c r="AAW98" s="9"/>
      <c r="AAX98" s="9"/>
      <c r="AAY98" s="9"/>
      <c r="AAZ98" s="9"/>
      <c r="ABA98" s="9"/>
      <c r="ABB98" s="9"/>
      <c r="ABC98" s="9"/>
      <c r="ABD98" s="9"/>
      <c r="ABE98" s="9"/>
      <c r="ABF98" s="9"/>
      <c r="ABG98" s="9"/>
      <c r="ABH98" s="9"/>
      <c r="ABI98" s="9"/>
      <c r="ABJ98" s="9"/>
      <c r="ABK98" s="9"/>
      <c r="ABL98" s="9"/>
      <c r="ABM98" s="9"/>
      <c r="ABN98" s="9"/>
      <c r="ABO98" s="9"/>
      <c r="ABP98" s="9"/>
      <c r="ABQ98" s="9"/>
      <c r="ABR98" s="9"/>
      <c r="ABS98" s="9"/>
      <c r="ABT98" s="9"/>
      <c r="ABU98" s="9"/>
      <c r="ABV98" s="9"/>
      <c r="ABW98" s="9"/>
      <c r="ABX98" s="9"/>
      <c r="ABY98" s="9"/>
      <c r="ABZ98" s="9"/>
      <c r="ACA98" s="9"/>
      <c r="ACB98" s="9"/>
      <c r="ACC98" s="9"/>
      <c r="ACD98" s="9"/>
      <c r="ACE98" s="9"/>
      <c r="ACF98" s="9"/>
      <c r="ACG98" s="9"/>
      <c r="ACH98" s="9"/>
      <c r="ACI98" s="9"/>
      <c r="ACJ98" s="9"/>
      <c r="ACK98" s="9"/>
      <c r="ACL98" s="9"/>
      <c r="ACM98" s="9"/>
      <c r="ACN98" s="9"/>
      <c r="ACO98" s="9"/>
      <c r="ACP98" s="9"/>
      <c r="ACQ98" s="9"/>
      <c r="ACR98" s="9"/>
      <c r="ACS98" s="9"/>
      <c r="ACT98" s="9"/>
      <c r="ACU98" s="9"/>
      <c r="ACV98" s="9"/>
      <c r="ACW98" s="9"/>
      <c r="ACX98" s="9"/>
      <c r="ACY98" s="9"/>
      <c r="ACZ98" s="9"/>
      <c r="ADA98" s="9"/>
      <c r="ADB98" s="9"/>
      <c r="ADC98" s="9"/>
      <c r="ADD98" s="9"/>
      <c r="ADE98" s="9"/>
      <c r="ADF98" s="9"/>
      <c r="ADG98" s="9"/>
      <c r="ADH98" s="9"/>
      <c r="ADI98" s="9"/>
      <c r="ADJ98" s="9"/>
      <c r="ADK98" s="9"/>
      <c r="ADL98" s="9"/>
      <c r="ADM98" s="9"/>
      <c r="ADN98" s="9"/>
      <c r="ADO98" s="9"/>
      <c r="ADP98" s="9"/>
      <c r="ADQ98" s="9"/>
      <c r="ADR98" s="9"/>
      <c r="ADS98" s="9"/>
      <c r="ADT98" s="9"/>
      <c r="ADU98" s="9"/>
      <c r="ADV98" s="9"/>
      <c r="ADW98" s="9"/>
      <c r="ADX98" s="9"/>
      <c r="ADY98" s="9"/>
      <c r="ADZ98" s="9"/>
      <c r="AEA98" s="9"/>
      <c r="AEB98" s="9"/>
      <c r="AEC98" s="9"/>
      <c r="AED98" s="9"/>
      <c r="AEE98" s="9"/>
      <c r="AEF98" s="9"/>
      <c r="AEG98" s="9"/>
      <c r="AEH98" s="9"/>
      <c r="AEI98" s="9"/>
      <c r="AEJ98" s="9"/>
      <c r="AEK98" s="9"/>
      <c r="AEL98" s="9"/>
      <c r="AEM98" s="9"/>
      <c r="AEN98" s="9"/>
      <c r="AEO98" s="9"/>
      <c r="AEP98" s="9"/>
      <c r="AEQ98" s="9"/>
      <c r="AER98" s="9"/>
      <c r="AES98" s="9"/>
      <c r="AET98" s="9"/>
      <c r="AEU98" s="9"/>
      <c r="AEV98" s="9"/>
      <c r="AEW98" s="9"/>
      <c r="AEX98" s="9"/>
      <c r="AEY98" s="9"/>
      <c r="AEZ98" s="9"/>
      <c r="AFA98" s="9"/>
      <c r="AFB98" s="9"/>
      <c r="AFC98" s="9"/>
      <c r="AFD98" s="9"/>
      <c r="AFE98" s="9"/>
      <c r="AFF98" s="9"/>
      <c r="AFG98" s="9"/>
      <c r="AFH98" s="9"/>
      <c r="AFI98" s="9"/>
      <c r="AFJ98" s="9"/>
      <c r="AFK98" s="9"/>
      <c r="AFL98" s="9"/>
      <c r="AFM98" s="9"/>
      <c r="AFN98" s="9"/>
      <c r="AFO98" s="9"/>
      <c r="AFP98" s="9"/>
      <c r="AFQ98" s="9"/>
      <c r="AFR98" s="9"/>
      <c r="AFS98" s="9"/>
      <c r="AFT98" s="9"/>
      <c r="AFU98" s="9"/>
      <c r="AFV98" s="9"/>
      <c r="AFW98" s="9"/>
      <c r="AFX98" s="9"/>
      <c r="AFY98" s="9"/>
      <c r="AFZ98" s="9"/>
      <c r="AGA98" s="9"/>
      <c r="AGB98" s="9"/>
      <c r="AGC98" s="9"/>
      <c r="AGD98" s="9"/>
      <c r="AGE98" s="9"/>
      <c r="AGF98" s="9"/>
      <c r="AGG98" s="9"/>
      <c r="AGH98" s="9"/>
      <c r="AGI98" s="9"/>
      <c r="AGJ98" s="9"/>
      <c r="AGK98" s="9"/>
      <c r="AGL98" s="9"/>
      <c r="AGM98" s="9"/>
      <c r="AGN98" s="9"/>
      <c r="AGO98" s="9"/>
      <c r="AGP98" s="9"/>
      <c r="AGQ98" s="9"/>
      <c r="AGR98" s="9"/>
      <c r="AGS98" s="9"/>
      <c r="AGT98" s="9"/>
      <c r="AGU98" s="9"/>
      <c r="AGV98" s="9"/>
      <c r="AGW98" s="9"/>
      <c r="AGX98" s="9"/>
      <c r="AGY98" s="9"/>
      <c r="AGZ98" s="9"/>
      <c r="AHA98" s="9"/>
      <c r="AHB98" s="9"/>
      <c r="AHC98" s="9"/>
      <c r="AHD98" s="9"/>
      <c r="AHE98" s="9"/>
      <c r="AHF98" s="9"/>
      <c r="AHG98" s="9"/>
      <c r="AHH98" s="9"/>
      <c r="AHI98" s="9"/>
      <c r="AHJ98" s="9"/>
      <c r="AHK98" s="9"/>
      <c r="AHL98" s="9"/>
      <c r="AHM98" s="9"/>
      <c r="AHN98" s="9"/>
      <c r="AHO98" s="9"/>
      <c r="AHP98" s="9"/>
      <c r="AHQ98" s="9"/>
      <c r="AHR98" s="9"/>
      <c r="AHS98" s="9"/>
      <c r="AHT98" s="9"/>
      <c r="AHU98" s="9"/>
      <c r="AHV98" s="9"/>
      <c r="AHW98" s="9"/>
      <c r="AHX98" s="9"/>
      <c r="AHY98" s="9"/>
      <c r="AHZ98" s="9"/>
      <c r="AIA98" s="9"/>
      <c r="AIB98" s="9"/>
      <c r="AIC98" s="9"/>
      <c r="AID98" s="9"/>
      <c r="AIE98" s="9"/>
      <c r="AIF98" s="9"/>
      <c r="AIG98" s="9"/>
      <c r="AIH98" s="9"/>
      <c r="AII98" s="9"/>
      <c r="AIJ98" s="9"/>
      <c r="AIK98" s="9"/>
      <c r="AIL98" s="9"/>
      <c r="AIM98" s="9"/>
      <c r="AIN98" s="9"/>
      <c r="AIO98" s="9"/>
      <c r="AIP98" s="9"/>
      <c r="AIQ98" s="9"/>
      <c r="AIR98" s="9"/>
      <c r="AIS98" s="9"/>
      <c r="AIT98" s="9"/>
      <c r="AIU98" s="9"/>
      <c r="AIV98" s="9"/>
      <c r="AIW98" s="9"/>
      <c r="AIX98" s="9"/>
      <c r="AIY98" s="9"/>
      <c r="AIZ98" s="9"/>
      <c r="AJA98" s="9"/>
      <c r="AJB98" s="9"/>
      <c r="AJC98" s="9"/>
      <c r="AJD98" s="9"/>
      <c r="AJE98" s="9"/>
      <c r="AJF98" s="9"/>
      <c r="AJG98" s="9"/>
      <c r="AJH98" s="9"/>
      <c r="AJI98" s="9"/>
      <c r="AJJ98" s="9"/>
      <c r="AJK98" s="9"/>
      <c r="AJL98" s="9"/>
      <c r="AJM98" s="9"/>
      <c r="AJN98" s="9"/>
      <c r="AJO98" s="9"/>
      <c r="AJP98" s="9"/>
      <c r="AJQ98" s="9"/>
      <c r="AJR98" s="9"/>
      <c r="AJS98" s="9"/>
      <c r="AJT98" s="9"/>
      <c r="AJU98" s="9"/>
      <c r="AJV98" s="9"/>
      <c r="AJW98" s="9"/>
      <c r="AJX98" s="9"/>
      <c r="AJY98" s="9"/>
      <c r="AJZ98" s="9"/>
      <c r="AKA98" s="9"/>
      <c r="AKB98" s="9"/>
      <c r="AKC98" s="9"/>
      <c r="AKD98" s="9"/>
      <c r="AKE98" s="9"/>
      <c r="AKF98" s="9"/>
      <c r="AKG98" s="9"/>
      <c r="AKH98" s="9"/>
      <c r="AKI98" s="9"/>
      <c r="AKJ98" s="9"/>
      <c r="AKK98" s="9"/>
      <c r="AKL98" s="9"/>
      <c r="AKM98" s="9"/>
      <c r="AKN98" s="9"/>
      <c r="AKO98" s="9"/>
      <c r="AKP98" s="9"/>
      <c r="AKQ98" s="9"/>
      <c r="AKR98" s="9"/>
      <c r="AKS98" s="9"/>
      <c r="AKT98" s="9"/>
      <c r="AKU98" s="9"/>
      <c r="AKV98" s="9"/>
      <c r="AKW98" s="9"/>
      <c r="AKX98" s="9"/>
      <c r="AKY98" s="9"/>
      <c r="AKZ98" s="9"/>
      <c r="ALA98" s="9"/>
      <c r="ALB98" s="9"/>
      <c r="ALC98" s="9"/>
      <c r="ALD98" s="9"/>
      <c r="ALE98" s="9"/>
      <c r="ALF98" s="9"/>
      <c r="ALG98" s="9"/>
      <c r="ALH98" s="9"/>
      <c r="ALI98" s="9"/>
      <c r="ALJ98" s="9"/>
      <c r="ALK98" s="9"/>
      <c r="ALL98" s="9"/>
      <c r="ALM98" s="9"/>
      <c r="ALN98" s="9"/>
      <c r="ALO98" s="9"/>
      <c r="ALP98" s="9"/>
      <c r="ALQ98" s="9"/>
      <c r="ALR98" s="9"/>
      <c r="ALS98" s="9"/>
      <c r="ALT98" s="9"/>
      <c r="ALU98" s="9"/>
      <c r="ALV98" s="9"/>
      <c r="ALW98" s="9"/>
      <c r="ALX98" s="9"/>
      <c r="ALY98" s="9"/>
      <c r="ALZ98" s="9"/>
      <c r="AMA98" s="9"/>
      <c r="AMB98" s="9"/>
      <c r="AMC98" s="9"/>
      <c r="AMD98" s="9"/>
      <c r="AME98" s="9"/>
      <c r="AMF98" s="9"/>
      <c r="AMG98" s="9"/>
      <c r="AMH98" s="9"/>
      <c r="AMI98" s="9"/>
      <c r="AMJ98" s="9"/>
      <c r="AMK98" s="9"/>
      <c r="AML98" s="9"/>
      <c r="AMM98" s="9"/>
      <c r="AMN98" s="9"/>
    </row>
    <row r="99" spans="1:1028" s="12" customFormat="1" x14ac:dyDescent="0.2">
      <c r="A99" s="9" t="str">
        <f t="shared" ref="A99" si="419">CONCATENATE(B99,"_",C99)</f>
        <v>cnr1_human_5XRA</v>
      </c>
      <c r="B99" s="9" t="s">
        <v>182</v>
      </c>
      <c r="C99" s="9" t="s">
        <v>1436</v>
      </c>
      <c r="D99" s="9" t="str">
        <f>IFERROR(MID(VLOOKUP($B99,Seqs!$A:$B,2,0),E99,1),"")</f>
        <v>N</v>
      </c>
      <c r="E99" s="9">
        <v>112</v>
      </c>
      <c r="F99" s="9" t="str">
        <f>IFERROR(MID(VLOOKUP($B99,Seqs!$A:$B,2,0),G99,1),"")</f>
        <v>S</v>
      </c>
      <c r="G99" s="9">
        <v>146</v>
      </c>
      <c r="H99" s="9" t="str">
        <f>IFERROR(MID(VLOOKUP($B99,Seqs!$A:$B,2,0),I99,1),"")</f>
        <v/>
      </c>
      <c r="I99" s="112" t="s">
        <v>23</v>
      </c>
      <c r="J99" s="9" t="str">
        <f>IFERROR(MID(VLOOKUP($B99,Seqs!$A:$B,2,0),K99,1),"")</f>
        <v/>
      </c>
      <c r="K99" s="112" t="s">
        <v>23</v>
      </c>
      <c r="L99" s="9" t="str">
        <f>IFERROR(MID(VLOOKUP($B99,Seqs!$A:$B,2,0),M99,1),"")</f>
        <v>Y</v>
      </c>
      <c r="M99" s="9">
        <v>153</v>
      </c>
      <c r="N99" s="9" t="str">
        <f>IFERROR(MID(VLOOKUP($B99,Seqs!$A:$B,2,0),O99,1),"")</f>
        <v>F</v>
      </c>
      <c r="O99" s="9">
        <v>180</v>
      </c>
      <c r="P99" s="9" t="str">
        <f>IFERROR(MID(VLOOKUP($B99,Seqs!$A:$B,2,0),Q99,1),"")</f>
        <v/>
      </c>
      <c r="Q99" s="9" t="s">
        <v>23</v>
      </c>
      <c r="R99" s="9" t="str">
        <f>IFERROR(MID(VLOOKUP($B99,Seqs!$A:$B,2,0),S99,1),"")</f>
        <v/>
      </c>
      <c r="S99" s="9" t="s">
        <v>23</v>
      </c>
      <c r="T99" s="9" t="str">
        <f>IFERROR(MID(VLOOKUP($B99,Seqs!$A:$B,2,0),U99,1),"")</f>
        <v>S</v>
      </c>
      <c r="U99" s="9">
        <v>185</v>
      </c>
      <c r="V99" s="9" t="str">
        <f>IFERROR(MID(VLOOKUP($B99,Seqs!$A:$B,2,0),W99,1),"")</f>
        <v>R</v>
      </c>
      <c r="W99" s="9">
        <v>220</v>
      </c>
      <c r="X99" s="9" t="str">
        <f>IFERROR(MID(VLOOKUP($B99,Seqs!$A:$B,2,0),Y99,1),"")</f>
        <v>P</v>
      </c>
      <c r="Y99" s="9">
        <v>221</v>
      </c>
      <c r="Z99" s="9" t="str">
        <f>IFERROR(MID(VLOOKUP($B99,Seqs!$A:$B,2,0),AA99,1),"")</f>
        <v>V</v>
      </c>
      <c r="AA99" s="9">
        <v>228</v>
      </c>
      <c r="AB99" s="9" t="str">
        <f>IFERROR(MID(VLOOKUP($B99,Seqs!$A:$B,2,0),AC99,1),"")</f>
        <v>T</v>
      </c>
      <c r="AC99" s="9">
        <v>229</v>
      </c>
      <c r="AD99" s="9" t="str">
        <f>IFERROR(MID(VLOOKUP($B99,Seqs!$A:$B,2,0),AE99,1),"")</f>
        <v>G</v>
      </c>
      <c r="AE99" s="9">
        <v>254</v>
      </c>
      <c r="AF99" s="9" t="str">
        <f>IFERROR(MID(VLOOKUP($B99,Seqs!$A:$B,2,0),AG99,1),"")</f>
        <v/>
      </c>
      <c r="AG99" s="9" t="s">
        <v>23</v>
      </c>
      <c r="AH99" s="9" t="str">
        <f>IFERROR(MID(VLOOKUP($B99,Seqs!$A:$B,2,0),AI99,1),"")</f>
        <v/>
      </c>
      <c r="AI99" s="9" t="s">
        <v>23</v>
      </c>
      <c r="AJ99" s="9" t="str">
        <f>IFERROR(MID(VLOOKUP($B99,Seqs!$A:$B,2,0),AK99,1),"")</f>
        <v>D</v>
      </c>
      <c r="AK99" s="9">
        <v>272</v>
      </c>
      <c r="AL99" s="9" t="str">
        <f>IFERROR(MID(VLOOKUP($B99,Seqs!$A:$B,2,0),AM99,1),"")</f>
        <v>A</v>
      </c>
      <c r="AM99" s="9">
        <v>305</v>
      </c>
      <c r="AN99" s="9" t="str">
        <f>IFERROR(MID(VLOOKUP($B99,Seqs!$A:$B,2,0),AO99,1),"")</f>
        <v>D</v>
      </c>
      <c r="AO99" s="9">
        <v>338</v>
      </c>
      <c r="AP99" s="9" t="str">
        <f>IFERROR(MID(VLOOKUP($B99,Seqs!$A:$B,2,0),AQ99,1),"")</f>
        <v>G</v>
      </c>
      <c r="AQ99" s="9">
        <v>369</v>
      </c>
      <c r="AR99" s="9" t="str">
        <f>IFERROR(MID(VLOOKUP($B99,Seqs!$A:$B,2,0),AS99,1),"")</f>
        <v>N</v>
      </c>
      <c r="AS99" s="9">
        <v>372</v>
      </c>
      <c r="AT99" s="9" t="str">
        <f>IFERROR(MID(VLOOKUP($B99,Seqs!$A:$B,2,0),AU99,1),"")</f>
        <v>Y</v>
      </c>
      <c r="AU99" s="9">
        <v>397</v>
      </c>
      <c r="AV99" s="9" t="str">
        <f>IFERROR(MID(VLOOKUP($B99,Seqs!$A:$B,2,0),AW99,1),"")</f>
        <v>S</v>
      </c>
      <c r="AW99" s="9">
        <v>401</v>
      </c>
      <c r="AX99" s="9" t="str">
        <f>IFERROR(MID(VLOOKUP($B99,Seqs!$A:$B,2,0),AY99,1),"")</f>
        <v>F</v>
      </c>
      <c r="AY99" s="9">
        <v>412</v>
      </c>
      <c r="AZ99" s="113" t="str">
        <f>VLOOKUP(B99,Classification!A:D,2,0)</f>
        <v>A</v>
      </c>
      <c r="BA99" s="101" t="str">
        <f>VLOOKUP(B99,Classification!A:D,4,0)</f>
        <v>Cannabinoid</v>
      </c>
      <c r="BB99" s="37" t="b">
        <f t="shared" ref="BB99" si="420">AND(E99&lt;G99,OR(G99&lt;I99,I99="-"),OR(I99&lt;K99,I99="-"),OR(K99&lt;M99,K99="-"),M99&lt;O99,OR(O99&lt;Q99,Q99="-"),OR(Q99&lt;S99,Q99="-"),OR(S99&lt;U99,S99="-"),U99&lt;W99,OR(W99&lt;Y99,Y99="-"),OR(Y99&lt;AA99,Y99="-"),OR(AA99&lt;AC99,AA99="-"),AC99&lt;AE99,OR(AE99&lt;AG99,AG99="-"),OR(AG99&lt;AI99,AG99="-"),OR(AI99&lt;AK99,AI99="-"),AK99&lt;AM99,AM99&lt;AO99,AO99&lt;AQ99,AQ99&lt;AS99,AS99&lt;AU99,OR(AU99&lt;AW99,AW99="-"),OR(AW99&lt;AY99,AW99="-"))</f>
        <v>1</v>
      </c>
      <c r="BC99" s="112">
        <f t="shared" ref="BC99" si="421">_xlfn.AGGREGATE(9,6,CG99:CR99)-_xlfn.AGGREGATE(9,6,BU99:CF99)+12</f>
        <v>240</v>
      </c>
      <c r="BD99" s="41" t="s">
        <v>1382</v>
      </c>
      <c r="BE99" s="9" t="s">
        <v>1297</v>
      </c>
      <c r="BF99" s="52" t="s">
        <v>1</v>
      </c>
      <c r="BG99" s="52" t="s">
        <v>1</v>
      </c>
      <c r="BH99" s="9"/>
      <c r="BI99" s="114" t="s">
        <v>1293</v>
      </c>
      <c r="BJ99" s="115" t="s">
        <v>1293</v>
      </c>
      <c r="BK99" s="115" t="s">
        <v>1293</v>
      </c>
      <c r="BL99" s="115" t="s">
        <v>1293</v>
      </c>
      <c r="BM99" s="115" t="s">
        <v>1293</v>
      </c>
      <c r="BN99" s="115" t="s">
        <v>1293</v>
      </c>
      <c r="BO99" s="115" t="s">
        <v>1293</v>
      </c>
      <c r="BP99" s="115" t="s">
        <v>1293</v>
      </c>
      <c r="BQ99" s="115" t="s">
        <v>1293</v>
      </c>
      <c r="BR99" s="115" t="s">
        <v>1293</v>
      </c>
      <c r="BS99" s="115" t="s">
        <v>1293</v>
      </c>
      <c r="BT99" s="115" t="s">
        <v>1293</v>
      </c>
      <c r="BU99" s="114">
        <f t="shared" ref="BU99" si="422">E99</f>
        <v>112</v>
      </c>
      <c r="BV99" s="116" t="str">
        <f t="shared" ref="BV99" si="423">I99</f>
        <v>-</v>
      </c>
      <c r="BW99" s="117">
        <f t="shared" ref="BW99" si="424">M99</f>
        <v>153</v>
      </c>
      <c r="BX99" s="116" t="str">
        <f t="shared" ref="BX99" si="425">Q99</f>
        <v>-</v>
      </c>
      <c r="BY99" s="117">
        <f t="shared" ref="BY99" si="426">U99</f>
        <v>185</v>
      </c>
      <c r="BZ99" s="116">
        <f t="shared" ref="BZ99" si="427">Y99</f>
        <v>221</v>
      </c>
      <c r="CA99" s="117">
        <f t="shared" ref="CA99" si="428">AC99</f>
        <v>229</v>
      </c>
      <c r="CB99" s="116" t="str">
        <f t="shared" ref="CB99" si="429">AG99</f>
        <v>-</v>
      </c>
      <c r="CC99" s="117">
        <f t="shared" ref="CC99" si="430">AK99</f>
        <v>272</v>
      </c>
      <c r="CD99" s="116">
        <f t="shared" ref="CD99" si="431">AO99</f>
        <v>338</v>
      </c>
      <c r="CE99" s="117">
        <f t="shared" ref="CE99" si="432">AS99</f>
        <v>372</v>
      </c>
      <c r="CF99" s="116">
        <f t="shared" ref="CF99" si="433">AW99</f>
        <v>401</v>
      </c>
      <c r="CG99" s="114">
        <f t="shared" ref="CG99" si="434">G99</f>
        <v>146</v>
      </c>
      <c r="CH99" s="116" t="str">
        <f t="shared" ref="CH99" si="435">K99</f>
        <v>-</v>
      </c>
      <c r="CI99" s="117">
        <f t="shared" ref="CI99" si="436">O99</f>
        <v>180</v>
      </c>
      <c r="CJ99" s="117" t="str">
        <f t="shared" ref="CJ99" si="437">S99</f>
        <v>-</v>
      </c>
      <c r="CK99" s="117">
        <f t="shared" ref="CK99" si="438">W99</f>
        <v>220</v>
      </c>
      <c r="CL99" s="117">
        <f t="shared" ref="CL99" si="439">AA99</f>
        <v>228</v>
      </c>
      <c r="CM99" s="117">
        <f t="shared" ref="CM99" si="440">AE99</f>
        <v>254</v>
      </c>
      <c r="CN99" s="117" t="str">
        <f t="shared" ref="CN99" si="441">AI99</f>
        <v>-</v>
      </c>
      <c r="CO99" s="117">
        <f t="shared" ref="CO99" si="442">AM99</f>
        <v>305</v>
      </c>
      <c r="CP99" s="117">
        <f t="shared" ref="CP99" si="443">AQ99</f>
        <v>369</v>
      </c>
      <c r="CQ99" s="117">
        <f t="shared" ref="CQ99" si="444">AU99</f>
        <v>397</v>
      </c>
      <c r="CR99" s="117">
        <f t="shared" ref="CR99" si="445">AY99</f>
        <v>412</v>
      </c>
      <c r="CS99" s="112" t="e">
        <f t="shared" ref="CS99" si="446">M99-K99</f>
        <v>#VALUE!</v>
      </c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9"/>
      <c r="JE99" s="9"/>
      <c r="JF99" s="9"/>
      <c r="JG99" s="9"/>
      <c r="JH99" s="9"/>
      <c r="JI99" s="9"/>
      <c r="JJ99" s="9"/>
      <c r="JK99" s="9"/>
      <c r="JL99" s="9"/>
      <c r="JM99" s="9"/>
      <c r="JN99" s="9"/>
      <c r="JO99" s="9"/>
      <c r="JP99" s="9"/>
      <c r="JQ99" s="9"/>
      <c r="JR99" s="9"/>
      <c r="JS99" s="9"/>
      <c r="JT99" s="9"/>
      <c r="JU99" s="9"/>
      <c r="JV99" s="9"/>
      <c r="JW99" s="9"/>
      <c r="JX99" s="9"/>
      <c r="JY99" s="9"/>
      <c r="JZ99" s="9"/>
      <c r="KA99" s="9"/>
      <c r="KB99" s="9"/>
      <c r="KC99" s="9"/>
      <c r="KD99" s="9"/>
      <c r="KE99" s="9"/>
      <c r="KF99" s="9"/>
      <c r="KG99" s="9"/>
      <c r="KH99" s="9"/>
      <c r="KI99" s="9"/>
      <c r="KJ99" s="9"/>
      <c r="KK99" s="9"/>
      <c r="KL99" s="9"/>
      <c r="KM99" s="9"/>
      <c r="KN99" s="9"/>
      <c r="KO99" s="9"/>
      <c r="KP99" s="9"/>
      <c r="KQ99" s="9"/>
      <c r="KR99" s="9"/>
      <c r="KS99" s="9"/>
      <c r="KT99" s="9"/>
      <c r="KU99" s="9"/>
      <c r="KV99" s="9"/>
      <c r="KW99" s="9"/>
      <c r="KX99" s="9"/>
      <c r="KY99" s="9"/>
      <c r="KZ99" s="9"/>
      <c r="LA99" s="9"/>
      <c r="LB99" s="9"/>
      <c r="LC99" s="9"/>
      <c r="LD99" s="9"/>
      <c r="LE99" s="9"/>
      <c r="LF99" s="9"/>
      <c r="LG99" s="9"/>
      <c r="LH99" s="9"/>
      <c r="LI99" s="9"/>
      <c r="LJ99" s="9"/>
      <c r="LK99" s="9"/>
      <c r="LL99" s="9"/>
      <c r="LM99" s="9"/>
      <c r="LN99" s="9"/>
      <c r="LO99" s="9"/>
      <c r="LP99" s="9"/>
      <c r="LQ99" s="9"/>
      <c r="LR99" s="9"/>
      <c r="LS99" s="9"/>
      <c r="LT99" s="9"/>
      <c r="LU99" s="9"/>
      <c r="LV99" s="9"/>
      <c r="LW99" s="9"/>
      <c r="LX99" s="9"/>
      <c r="LY99" s="9"/>
      <c r="LZ99" s="9"/>
      <c r="MA99" s="9"/>
      <c r="MB99" s="9"/>
      <c r="MC99" s="9"/>
      <c r="MD99" s="9"/>
      <c r="ME99" s="9"/>
      <c r="MF99" s="9"/>
      <c r="MG99" s="9"/>
      <c r="MH99" s="9"/>
      <c r="MI99" s="9"/>
      <c r="MJ99" s="9"/>
      <c r="MK99" s="9"/>
      <c r="ML99" s="9"/>
      <c r="MM99" s="9"/>
      <c r="MN99" s="9"/>
      <c r="MO99" s="9"/>
      <c r="MP99" s="9"/>
      <c r="MQ99" s="9"/>
      <c r="MR99" s="9"/>
      <c r="MS99" s="9"/>
      <c r="MT99" s="9"/>
      <c r="MU99" s="9"/>
      <c r="MV99" s="9"/>
      <c r="MW99" s="9"/>
      <c r="MX99" s="9"/>
      <c r="MY99" s="9"/>
      <c r="MZ99" s="9"/>
      <c r="NA99" s="9"/>
      <c r="NB99" s="9"/>
      <c r="NC99" s="9"/>
      <c r="ND99" s="9"/>
      <c r="NE99" s="9"/>
      <c r="NF99" s="9"/>
      <c r="NG99" s="9"/>
      <c r="NH99" s="9"/>
      <c r="NI99" s="9"/>
      <c r="NJ99" s="9"/>
      <c r="NK99" s="9"/>
      <c r="NL99" s="9"/>
      <c r="NM99" s="9"/>
      <c r="NN99" s="9"/>
      <c r="NO99" s="9"/>
      <c r="NP99" s="9"/>
      <c r="NQ99" s="9"/>
      <c r="NR99" s="9"/>
      <c r="NS99" s="9"/>
      <c r="NT99" s="9"/>
      <c r="NU99" s="9"/>
      <c r="NV99" s="9"/>
      <c r="NW99" s="9"/>
      <c r="NX99" s="9"/>
      <c r="NY99" s="9"/>
      <c r="NZ99" s="9"/>
      <c r="OA99" s="9"/>
      <c r="OB99" s="9"/>
      <c r="OC99" s="9"/>
      <c r="OD99" s="9"/>
      <c r="OE99" s="9"/>
      <c r="OF99" s="9"/>
      <c r="OG99" s="9"/>
      <c r="OH99" s="9"/>
      <c r="OI99" s="9"/>
      <c r="OJ99" s="9"/>
      <c r="OK99" s="9"/>
      <c r="OL99" s="9"/>
      <c r="OM99" s="9"/>
      <c r="ON99" s="9"/>
      <c r="OO99" s="9"/>
      <c r="OP99" s="9"/>
      <c r="OQ99" s="9"/>
      <c r="OR99" s="9"/>
      <c r="OS99" s="9"/>
      <c r="OT99" s="9"/>
      <c r="OU99" s="9"/>
      <c r="OV99" s="9"/>
      <c r="OW99" s="9"/>
      <c r="OX99" s="9"/>
      <c r="OY99" s="9"/>
      <c r="OZ99" s="9"/>
      <c r="PA99" s="9"/>
      <c r="PB99" s="9"/>
      <c r="PC99" s="9"/>
      <c r="PD99" s="9"/>
      <c r="PE99" s="9"/>
      <c r="PF99" s="9"/>
      <c r="PG99" s="9"/>
      <c r="PH99" s="9"/>
      <c r="PI99" s="9"/>
      <c r="PJ99" s="9"/>
      <c r="PK99" s="9"/>
      <c r="PL99" s="9"/>
      <c r="PM99" s="9"/>
      <c r="PN99" s="9"/>
      <c r="PO99" s="9"/>
      <c r="PP99" s="9"/>
      <c r="PQ99" s="9"/>
      <c r="PR99" s="9"/>
      <c r="PS99" s="9"/>
      <c r="PT99" s="9"/>
      <c r="PU99" s="9"/>
      <c r="PV99" s="9"/>
      <c r="PW99" s="9"/>
      <c r="PX99" s="9"/>
      <c r="PY99" s="9"/>
      <c r="PZ99" s="9"/>
      <c r="QA99" s="9"/>
      <c r="QB99" s="9"/>
      <c r="QC99" s="9"/>
      <c r="QD99" s="9"/>
      <c r="QE99" s="9"/>
      <c r="QF99" s="9"/>
      <c r="QG99" s="9"/>
      <c r="QH99" s="9"/>
      <c r="QI99" s="9"/>
      <c r="QJ99" s="9"/>
      <c r="QK99" s="9"/>
      <c r="QL99" s="9"/>
      <c r="QM99" s="9"/>
      <c r="QN99" s="9"/>
      <c r="QO99" s="9"/>
      <c r="QP99" s="9"/>
      <c r="QQ99" s="9"/>
      <c r="QR99" s="9"/>
      <c r="QS99" s="9"/>
      <c r="QT99" s="9"/>
      <c r="QU99" s="9"/>
      <c r="QV99" s="9"/>
      <c r="QW99" s="9"/>
      <c r="QX99" s="9"/>
      <c r="QY99" s="9"/>
      <c r="QZ99" s="9"/>
      <c r="RA99" s="9"/>
      <c r="RB99" s="9"/>
      <c r="RC99" s="9"/>
      <c r="RD99" s="9"/>
      <c r="RE99" s="9"/>
      <c r="RF99" s="9"/>
      <c r="RG99" s="9"/>
      <c r="RH99" s="9"/>
      <c r="RI99" s="9"/>
      <c r="RJ99" s="9"/>
      <c r="RK99" s="9"/>
      <c r="RL99" s="9"/>
      <c r="RM99" s="9"/>
      <c r="RN99" s="9"/>
      <c r="RO99" s="9"/>
      <c r="RP99" s="9"/>
      <c r="RQ99" s="9"/>
      <c r="RR99" s="9"/>
      <c r="RS99" s="9"/>
      <c r="RT99" s="9"/>
      <c r="RU99" s="9"/>
      <c r="RV99" s="9"/>
      <c r="RW99" s="9"/>
      <c r="RX99" s="9"/>
      <c r="RY99" s="9"/>
      <c r="RZ99" s="9"/>
      <c r="SA99" s="9"/>
      <c r="SB99" s="9"/>
      <c r="SC99" s="9"/>
      <c r="SD99" s="9"/>
      <c r="SE99" s="9"/>
      <c r="SF99" s="9"/>
      <c r="SG99" s="9"/>
      <c r="SH99" s="9"/>
      <c r="SI99" s="9"/>
      <c r="SJ99" s="9"/>
      <c r="SK99" s="9"/>
      <c r="SL99" s="9"/>
      <c r="SM99" s="9"/>
      <c r="SN99" s="9"/>
      <c r="SO99" s="9"/>
      <c r="SP99" s="9"/>
      <c r="SQ99" s="9"/>
      <c r="SR99" s="9"/>
      <c r="SS99" s="9"/>
      <c r="ST99" s="9"/>
      <c r="SU99" s="9"/>
      <c r="SV99" s="9"/>
      <c r="SW99" s="9"/>
      <c r="SX99" s="9"/>
      <c r="SY99" s="9"/>
      <c r="SZ99" s="9"/>
      <c r="TA99" s="9"/>
      <c r="TB99" s="9"/>
      <c r="TC99" s="9"/>
      <c r="TD99" s="9"/>
      <c r="TE99" s="9"/>
      <c r="TF99" s="9"/>
      <c r="TG99" s="9"/>
      <c r="TH99" s="9"/>
      <c r="TI99" s="9"/>
      <c r="TJ99" s="9"/>
      <c r="TK99" s="9"/>
      <c r="TL99" s="9"/>
      <c r="TM99" s="9"/>
      <c r="TN99" s="9"/>
      <c r="TO99" s="9"/>
      <c r="TP99" s="9"/>
      <c r="TQ99" s="9"/>
      <c r="TR99" s="9"/>
      <c r="TS99" s="9"/>
      <c r="TT99" s="9"/>
      <c r="TU99" s="9"/>
      <c r="TV99" s="9"/>
      <c r="TW99" s="9"/>
      <c r="TX99" s="9"/>
      <c r="TY99" s="9"/>
      <c r="TZ99" s="9"/>
      <c r="UA99" s="9"/>
      <c r="UB99" s="9"/>
      <c r="UC99" s="9"/>
      <c r="UD99" s="9"/>
      <c r="UE99" s="9"/>
      <c r="UF99" s="9"/>
      <c r="UG99" s="9"/>
      <c r="UH99" s="9"/>
      <c r="UI99" s="9"/>
      <c r="UJ99" s="9"/>
      <c r="UK99" s="9"/>
      <c r="UL99" s="9"/>
      <c r="UM99" s="9"/>
      <c r="UN99" s="9"/>
      <c r="UO99" s="9"/>
      <c r="UP99" s="9"/>
      <c r="UQ99" s="9"/>
      <c r="UR99" s="9"/>
      <c r="US99" s="9"/>
      <c r="UT99" s="9"/>
      <c r="UU99" s="9"/>
      <c r="UV99" s="9"/>
      <c r="UW99" s="9"/>
      <c r="UX99" s="9"/>
      <c r="UY99" s="9"/>
      <c r="UZ99" s="9"/>
      <c r="VA99" s="9"/>
      <c r="VB99" s="9"/>
      <c r="VC99" s="9"/>
      <c r="VD99" s="9"/>
      <c r="VE99" s="9"/>
      <c r="VF99" s="9"/>
      <c r="VG99" s="9"/>
      <c r="VH99" s="9"/>
      <c r="VI99" s="9"/>
      <c r="VJ99" s="9"/>
      <c r="VK99" s="9"/>
      <c r="VL99" s="9"/>
      <c r="VM99" s="9"/>
      <c r="VN99" s="9"/>
      <c r="VO99" s="9"/>
      <c r="VP99" s="9"/>
      <c r="VQ99" s="9"/>
      <c r="VR99" s="9"/>
      <c r="VS99" s="9"/>
      <c r="VT99" s="9"/>
      <c r="VU99" s="9"/>
      <c r="VV99" s="9"/>
      <c r="VW99" s="9"/>
      <c r="VX99" s="9"/>
      <c r="VY99" s="9"/>
      <c r="VZ99" s="9"/>
      <c r="WA99" s="9"/>
      <c r="WB99" s="9"/>
      <c r="WC99" s="9"/>
      <c r="WD99" s="9"/>
      <c r="WE99" s="9"/>
      <c r="WF99" s="9"/>
      <c r="WG99" s="9"/>
      <c r="WH99" s="9"/>
      <c r="WI99" s="9"/>
      <c r="WJ99" s="9"/>
      <c r="WK99" s="9"/>
      <c r="WL99" s="9"/>
      <c r="WM99" s="9"/>
      <c r="WN99" s="9"/>
      <c r="WO99" s="9"/>
      <c r="WP99" s="9"/>
      <c r="WQ99" s="9"/>
      <c r="WR99" s="9"/>
      <c r="WS99" s="9"/>
      <c r="WT99" s="9"/>
      <c r="WU99" s="9"/>
      <c r="WV99" s="9"/>
      <c r="WW99" s="9"/>
      <c r="WX99" s="9"/>
      <c r="WY99" s="9"/>
      <c r="WZ99" s="9"/>
      <c r="XA99" s="9"/>
      <c r="XB99" s="9"/>
      <c r="XC99" s="9"/>
      <c r="XD99" s="9"/>
      <c r="XE99" s="9"/>
      <c r="XF99" s="9"/>
      <c r="XG99" s="9"/>
      <c r="XH99" s="9"/>
      <c r="XI99" s="9"/>
      <c r="XJ99" s="9"/>
      <c r="XK99" s="9"/>
      <c r="XL99" s="9"/>
      <c r="XM99" s="9"/>
      <c r="XN99" s="9"/>
      <c r="XO99" s="9"/>
      <c r="XP99" s="9"/>
      <c r="XQ99" s="9"/>
      <c r="XR99" s="9"/>
      <c r="XS99" s="9"/>
      <c r="XT99" s="9"/>
      <c r="XU99" s="9"/>
      <c r="XV99" s="9"/>
      <c r="XW99" s="9"/>
      <c r="XX99" s="9"/>
      <c r="XY99" s="9"/>
      <c r="XZ99" s="9"/>
      <c r="YA99" s="9"/>
      <c r="YB99" s="9"/>
      <c r="YC99" s="9"/>
      <c r="YD99" s="9"/>
      <c r="YE99" s="9"/>
      <c r="YF99" s="9"/>
      <c r="YG99" s="9"/>
      <c r="YH99" s="9"/>
      <c r="YI99" s="9"/>
      <c r="YJ99" s="9"/>
      <c r="YK99" s="9"/>
      <c r="YL99" s="9"/>
      <c r="YM99" s="9"/>
      <c r="YN99" s="9"/>
      <c r="YO99" s="9"/>
      <c r="YP99" s="9"/>
      <c r="YQ99" s="9"/>
      <c r="YR99" s="9"/>
      <c r="YS99" s="9"/>
      <c r="YT99" s="9"/>
      <c r="YU99" s="9"/>
      <c r="YV99" s="9"/>
      <c r="YW99" s="9"/>
      <c r="YX99" s="9"/>
      <c r="YY99" s="9"/>
      <c r="YZ99" s="9"/>
      <c r="ZA99" s="9"/>
      <c r="ZB99" s="9"/>
      <c r="ZC99" s="9"/>
      <c r="ZD99" s="9"/>
      <c r="ZE99" s="9"/>
      <c r="ZF99" s="9"/>
      <c r="ZG99" s="9"/>
      <c r="ZH99" s="9"/>
      <c r="ZI99" s="9"/>
      <c r="ZJ99" s="9"/>
      <c r="ZK99" s="9"/>
      <c r="ZL99" s="9"/>
      <c r="ZM99" s="9"/>
      <c r="ZN99" s="9"/>
      <c r="ZO99" s="9"/>
      <c r="ZP99" s="9"/>
      <c r="ZQ99" s="9"/>
      <c r="ZR99" s="9"/>
      <c r="ZS99" s="9"/>
      <c r="ZT99" s="9"/>
      <c r="ZU99" s="9"/>
      <c r="ZV99" s="9"/>
      <c r="ZW99" s="9"/>
      <c r="ZX99" s="9"/>
      <c r="ZY99" s="9"/>
      <c r="ZZ99" s="9"/>
      <c r="AAA99" s="9"/>
      <c r="AAB99" s="9"/>
      <c r="AAC99" s="9"/>
      <c r="AAD99" s="9"/>
      <c r="AAE99" s="9"/>
      <c r="AAF99" s="9"/>
      <c r="AAG99" s="9"/>
      <c r="AAH99" s="9"/>
      <c r="AAI99" s="9"/>
      <c r="AAJ99" s="9"/>
      <c r="AAK99" s="9"/>
      <c r="AAL99" s="9"/>
      <c r="AAM99" s="9"/>
      <c r="AAN99" s="9"/>
      <c r="AAO99" s="9"/>
      <c r="AAP99" s="9"/>
      <c r="AAQ99" s="9"/>
      <c r="AAR99" s="9"/>
      <c r="AAS99" s="9"/>
      <c r="AAT99" s="9"/>
      <c r="AAU99" s="9"/>
      <c r="AAV99" s="9"/>
      <c r="AAW99" s="9"/>
      <c r="AAX99" s="9"/>
      <c r="AAY99" s="9"/>
      <c r="AAZ99" s="9"/>
      <c r="ABA99" s="9"/>
      <c r="ABB99" s="9"/>
      <c r="ABC99" s="9"/>
      <c r="ABD99" s="9"/>
      <c r="ABE99" s="9"/>
      <c r="ABF99" s="9"/>
      <c r="ABG99" s="9"/>
      <c r="ABH99" s="9"/>
      <c r="ABI99" s="9"/>
      <c r="ABJ99" s="9"/>
      <c r="ABK99" s="9"/>
      <c r="ABL99" s="9"/>
      <c r="ABM99" s="9"/>
      <c r="ABN99" s="9"/>
      <c r="ABO99" s="9"/>
      <c r="ABP99" s="9"/>
      <c r="ABQ99" s="9"/>
      <c r="ABR99" s="9"/>
      <c r="ABS99" s="9"/>
      <c r="ABT99" s="9"/>
      <c r="ABU99" s="9"/>
      <c r="ABV99" s="9"/>
      <c r="ABW99" s="9"/>
      <c r="ABX99" s="9"/>
      <c r="ABY99" s="9"/>
      <c r="ABZ99" s="9"/>
      <c r="ACA99" s="9"/>
      <c r="ACB99" s="9"/>
      <c r="ACC99" s="9"/>
      <c r="ACD99" s="9"/>
      <c r="ACE99" s="9"/>
      <c r="ACF99" s="9"/>
      <c r="ACG99" s="9"/>
      <c r="ACH99" s="9"/>
      <c r="ACI99" s="9"/>
      <c r="ACJ99" s="9"/>
      <c r="ACK99" s="9"/>
      <c r="ACL99" s="9"/>
      <c r="ACM99" s="9"/>
      <c r="ACN99" s="9"/>
      <c r="ACO99" s="9"/>
      <c r="ACP99" s="9"/>
      <c r="ACQ99" s="9"/>
      <c r="ACR99" s="9"/>
      <c r="ACS99" s="9"/>
      <c r="ACT99" s="9"/>
      <c r="ACU99" s="9"/>
      <c r="ACV99" s="9"/>
      <c r="ACW99" s="9"/>
      <c r="ACX99" s="9"/>
      <c r="ACY99" s="9"/>
      <c r="ACZ99" s="9"/>
      <c r="ADA99" s="9"/>
      <c r="ADB99" s="9"/>
      <c r="ADC99" s="9"/>
      <c r="ADD99" s="9"/>
      <c r="ADE99" s="9"/>
      <c r="ADF99" s="9"/>
      <c r="ADG99" s="9"/>
      <c r="ADH99" s="9"/>
      <c r="ADI99" s="9"/>
      <c r="ADJ99" s="9"/>
      <c r="ADK99" s="9"/>
      <c r="ADL99" s="9"/>
      <c r="ADM99" s="9"/>
      <c r="ADN99" s="9"/>
      <c r="ADO99" s="9"/>
      <c r="ADP99" s="9"/>
      <c r="ADQ99" s="9"/>
      <c r="ADR99" s="9"/>
      <c r="ADS99" s="9"/>
      <c r="ADT99" s="9"/>
      <c r="ADU99" s="9"/>
      <c r="ADV99" s="9"/>
      <c r="ADW99" s="9"/>
      <c r="ADX99" s="9"/>
      <c r="ADY99" s="9"/>
      <c r="ADZ99" s="9"/>
      <c r="AEA99" s="9"/>
      <c r="AEB99" s="9"/>
      <c r="AEC99" s="9"/>
      <c r="AED99" s="9"/>
      <c r="AEE99" s="9"/>
      <c r="AEF99" s="9"/>
      <c r="AEG99" s="9"/>
      <c r="AEH99" s="9"/>
      <c r="AEI99" s="9"/>
      <c r="AEJ99" s="9"/>
      <c r="AEK99" s="9"/>
      <c r="AEL99" s="9"/>
      <c r="AEM99" s="9"/>
      <c r="AEN99" s="9"/>
      <c r="AEO99" s="9"/>
      <c r="AEP99" s="9"/>
      <c r="AEQ99" s="9"/>
      <c r="AER99" s="9"/>
      <c r="AES99" s="9"/>
      <c r="AET99" s="9"/>
      <c r="AEU99" s="9"/>
      <c r="AEV99" s="9"/>
      <c r="AEW99" s="9"/>
      <c r="AEX99" s="9"/>
      <c r="AEY99" s="9"/>
      <c r="AEZ99" s="9"/>
      <c r="AFA99" s="9"/>
      <c r="AFB99" s="9"/>
      <c r="AFC99" s="9"/>
      <c r="AFD99" s="9"/>
      <c r="AFE99" s="9"/>
      <c r="AFF99" s="9"/>
      <c r="AFG99" s="9"/>
      <c r="AFH99" s="9"/>
      <c r="AFI99" s="9"/>
      <c r="AFJ99" s="9"/>
      <c r="AFK99" s="9"/>
      <c r="AFL99" s="9"/>
      <c r="AFM99" s="9"/>
      <c r="AFN99" s="9"/>
      <c r="AFO99" s="9"/>
      <c r="AFP99" s="9"/>
      <c r="AFQ99" s="9"/>
      <c r="AFR99" s="9"/>
      <c r="AFS99" s="9"/>
      <c r="AFT99" s="9"/>
      <c r="AFU99" s="9"/>
      <c r="AFV99" s="9"/>
      <c r="AFW99" s="9"/>
      <c r="AFX99" s="9"/>
      <c r="AFY99" s="9"/>
      <c r="AFZ99" s="9"/>
      <c r="AGA99" s="9"/>
      <c r="AGB99" s="9"/>
      <c r="AGC99" s="9"/>
      <c r="AGD99" s="9"/>
      <c r="AGE99" s="9"/>
      <c r="AGF99" s="9"/>
      <c r="AGG99" s="9"/>
      <c r="AGH99" s="9"/>
      <c r="AGI99" s="9"/>
      <c r="AGJ99" s="9"/>
      <c r="AGK99" s="9"/>
      <c r="AGL99" s="9"/>
      <c r="AGM99" s="9"/>
      <c r="AGN99" s="9"/>
      <c r="AGO99" s="9"/>
      <c r="AGP99" s="9"/>
      <c r="AGQ99" s="9"/>
      <c r="AGR99" s="9"/>
      <c r="AGS99" s="9"/>
      <c r="AGT99" s="9"/>
      <c r="AGU99" s="9"/>
      <c r="AGV99" s="9"/>
      <c r="AGW99" s="9"/>
      <c r="AGX99" s="9"/>
      <c r="AGY99" s="9"/>
      <c r="AGZ99" s="9"/>
      <c r="AHA99" s="9"/>
      <c r="AHB99" s="9"/>
      <c r="AHC99" s="9"/>
      <c r="AHD99" s="9"/>
      <c r="AHE99" s="9"/>
      <c r="AHF99" s="9"/>
      <c r="AHG99" s="9"/>
      <c r="AHH99" s="9"/>
      <c r="AHI99" s="9"/>
      <c r="AHJ99" s="9"/>
      <c r="AHK99" s="9"/>
      <c r="AHL99" s="9"/>
      <c r="AHM99" s="9"/>
      <c r="AHN99" s="9"/>
      <c r="AHO99" s="9"/>
      <c r="AHP99" s="9"/>
      <c r="AHQ99" s="9"/>
      <c r="AHR99" s="9"/>
      <c r="AHS99" s="9"/>
      <c r="AHT99" s="9"/>
      <c r="AHU99" s="9"/>
      <c r="AHV99" s="9"/>
      <c r="AHW99" s="9"/>
      <c r="AHX99" s="9"/>
      <c r="AHY99" s="9"/>
      <c r="AHZ99" s="9"/>
      <c r="AIA99" s="9"/>
      <c r="AIB99" s="9"/>
      <c r="AIC99" s="9"/>
      <c r="AID99" s="9"/>
      <c r="AIE99" s="9"/>
      <c r="AIF99" s="9"/>
      <c r="AIG99" s="9"/>
      <c r="AIH99" s="9"/>
      <c r="AII99" s="9"/>
      <c r="AIJ99" s="9"/>
      <c r="AIK99" s="9"/>
      <c r="AIL99" s="9"/>
      <c r="AIM99" s="9"/>
      <c r="AIN99" s="9"/>
      <c r="AIO99" s="9"/>
      <c r="AIP99" s="9"/>
      <c r="AIQ99" s="9"/>
      <c r="AIR99" s="9"/>
      <c r="AIS99" s="9"/>
      <c r="AIT99" s="9"/>
      <c r="AIU99" s="9"/>
      <c r="AIV99" s="9"/>
      <c r="AIW99" s="9"/>
      <c r="AIX99" s="9"/>
      <c r="AIY99" s="9"/>
      <c r="AIZ99" s="9"/>
      <c r="AJA99" s="9"/>
      <c r="AJB99" s="9"/>
      <c r="AJC99" s="9"/>
      <c r="AJD99" s="9"/>
      <c r="AJE99" s="9"/>
      <c r="AJF99" s="9"/>
      <c r="AJG99" s="9"/>
      <c r="AJH99" s="9"/>
      <c r="AJI99" s="9"/>
      <c r="AJJ99" s="9"/>
      <c r="AJK99" s="9"/>
      <c r="AJL99" s="9"/>
      <c r="AJM99" s="9"/>
      <c r="AJN99" s="9"/>
      <c r="AJO99" s="9"/>
      <c r="AJP99" s="9"/>
      <c r="AJQ99" s="9"/>
      <c r="AJR99" s="9"/>
      <c r="AJS99" s="9"/>
      <c r="AJT99" s="9"/>
      <c r="AJU99" s="9"/>
      <c r="AJV99" s="9"/>
      <c r="AJW99" s="9"/>
      <c r="AJX99" s="9"/>
      <c r="AJY99" s="9"/>
      <c r="AJZ99" s="9"/>
      <c r="AKA99" s="9"/>
      <c r="AKB99" s="9"/>
      <c r="AKC99" s="9"/>
      <c r="AKD99" s="9"/>
      <c r="AKE99" s="9"/>
      <c r="AKF99" s="9"/>
      <c r="AKG99" s="9"/>
      <c r="AKH99" s="9"/>
      <c r="AKI99" s="9"/>
      <c r="AKJ99" s="9"/>
      <c r="AKK99" s="9"/>
      <c r="AKL99" s="9"/>
      <c r="AKM99" s="9"/>
      <c r="AKN99" s="9"/>
      <c r="AKO99" s="9"/>
      <c r="AKP99" s="9"/>
      <c r="AKQ99" s="9"/>
      <c r="AKR99" s="9"/>
      <c r="AKS99" s="9"/>
      <c r="AKT99" s="9"/>
      <c r="AKU99" s="9"/>
      <c r="AKV99" s="9"/>
      <c r="AKW99" s="9"/>
      <c r="AKX99" s="9"/>
      <c r="AKY99" s="9"/>
      <c r="AKZ99" s="9"/>
      <c r="ALA99" s="9"/>
      <c r="ALB99" s="9"/>
      <c r="ALC99" s="9"/>
      <c r="ALD99" s="9"/>
      <c r="ALE99" s="9"/>
      <c r="ALF99" s="9"/>
      <c r="ALG99" s="9"/>
      <c r="ALH99" s="9"/>
      <c r="ALI99" s="9"/>
      <c r="ALJ99" s="9"/>
      <c r="ALK99" s="9"/>
      <c r="ALL99" s="9"/>
      <c r="ALM99" s="9"/>
      <c r="ALN99" s="9"/>
      <c r="ALO99" s="9"/>
      <c r="ALP99" s="9"/>
      <c r="ALQ99" s="9"/>
      <c r="ALR99" s="9"/>
      <c r="ALS99" s="9"/>
      <c r="ALT99" s="9"/>
      <c r="ALU99" s="9"/>
      <c r="ALV99" s="9"/>
      <c r="ALW99" s="9"/>
      <c r="ALX99" s="9"/>
      <c r="ALY99" s="9"/>
      <c r="ALZ99" s="9"/>
      <c r="AMA99" s="9"/>
      <c r="AMB99" s="9"/>
      <c r="AMC99" s="9"/>
      <c r="AMD99" s="9"/>
      <c r="AME99" s="9"/>
      <c r="AMF99" s="9"/>
      <c r="AMG99" s="9"/>
      <c r="AMH99" s="9"/>
      <c r="AMI99" s="9"/>
      <c r="AMJ99" s="9"/>
      <c r="AMK99" s="9"/>
      <c r="AML99" s="9"/>
      <c r="AMM99" s="9"/>
      <c r="AMN99" s="9"/>
    </row>
    <row r="100" spans="1:1028" x14ac:dyDescent="0.2">
      <c r="A100" s="3" t="str">
        <f t="shared" si="222"/>
        <v>cxcr4_human__wt</v>
      </c>
      <c r="B100" s="3" t="s">
        <v>1172</v>
      </c>
      <c r="C100" s="3" t="s">
        <v>100</v>
      </c>
      <c r="D100" s="3" t="str">
        <f>IFERROR(MID(VLOOKUP($B100,Seqs!$A:$B,2,0),E100,1),"")</f>
        <v>R</v>
      </c>
      <c r="E100" s="3">
        <v>30</v>
      </c>
      <c r="F100" s="3" t="str">
        <f>IFERROR(MID(VLOOKUP($B100,Seqs!$A:$B,2,0),G100,1),"")</f>
        <v>Q</v>
      </c>
      <c r="G100" s="3">
        <v>66</v>
      </c>
      <c r="H100" s="3" t="str">
        <f>IFERROR(MID(VLOOKUP($B100,Seqs!$A:$B,2,0),I100,1),"")</f>
        <v>K</v>
      </c>
      <c r="I100" s="23">
        <v>67</v>
      </c>
      <c r="J100" s="3" t="str">
        <f>IFERROR(MID(VLOOKUP($B100,Seqs!$A:$B,2,0),K100,1),"")</f>
        <v>R</v>
      </c>
      <c r="K100" s="23">
        <v>70</v>
      </c>
      <c r="L100" s="3" t="str">
        <f>IFERROR(MID(VLOOKUP($B100,Seqs!$A:$B,2,0),M100,1),"")</f>
        <v>S</v>
      </c>
      <c r="M100" s="3">
        <v>71</v>
      </c>
      <c r="N100" s="3" t="str">
        <f>IFERROR(MID(VLOOKUP($B100,Seqs!$A:$B,2,0),O100,1),"")</f>
        <v>A</v>
      </c>
      <c r="O100" s="3">
        <v>100</v>
      </c>
      <c r="P100" s="3" t="str">
        <f>IFERROR(MID(VLOOKUP($B100,Seqs!$A:$B,2,0),Q100,1),"")</f>
        <v>N</v>
      </c>
      <c r="Q100" s="3">
        <v>101</v>
      </c>
      <c r="R100" s="3" t="str">
        <f>IFERROR(MID(VLOOKUP($B100,Seqs!$A:$B,2,0),S100,1),"")</f>
        <v>F</v>
      </c>
      <c r="S100" s="3">
        <v>104</v>
      </c>
      <c r="T100" s="3" t="str">
        <f>IFERROR(MID(VLOOKUP($B100,Seqs!$A:$B,2,0),U100,1),"")</f>
        <v>G</v>
      </c>
      <c r="U100" s="3">
        <v>105</v>
      </c>
      <c r="V100" s="3" t="str">
        <f>IFERROR(MID(VLOOKUP($B100,Seqs!$A:$B,2,0),W100,1),"")</f>
        <v>H</v>
      </c>
      <c r="W100" s="3">
        <v>140</v>
      </c>
      <c r="X100" s="3" t="str">
        <f>IFERROR(MID(VLOOKUP($B100,Seqs!$A:$B,2,0),Y100,1),"")</f>
        <v>A</v>
      </c>
      <c r="Y100" s="3">
        <v>141</v>
      </c>
      <c r="Z100" s="3" t="str">
        <f>IFERROR(MID(VLOOKUP($B100,Seqs!$A:$B,2,0),AA100,1),"")</f>
        <v>R</v>
      </c>
      <c r="AA100" s="3">
        <v>148</v>
      </c>
      <c r="AB100" s="3" t="str">
        <f>IFERROR(MID(VLOOKUP($B100,Seqs!$A:$B,2,0),AC100,1),"")</f>
        <v>K</v>
      </c>
      <c r="AC100" s="9">
        <v>149</v>
      </c>
      <c r="AD100" s="3" t="str">
        <f>IFERROR(MID(VLOOKUP($B100,Seqs!$A:$B,2,0),AE100,1),"")</f>
        <v>A</v>
      </c>
      <c r="AE100" s="3">
        <v>175</v>
      </c>
      <c r="AF100" s="3" t="str">
        <f>IFERROR(MID(VLOOKUP($B100,Seqs!$A:$B,2,0),AG100,1),"")</f>
        <v>C</v>
      </c>
      <c r="AG100" s="3">
        <v>186</v>
      </c>
      <c r="AH100" s="3" t="str">
        <f>IFERROR(MID(VLOOKUP($B100,Seqs!$A:$B,2,0),AI100,1),"")</f>
        <v>R</v>
      </c>
      <c r="AI100" s="3">
        <v>188</v>
      </c>
      <c r="AJ100" s="3" t="str">
        <f>IFERROR(MID(VLOOKUP($B100,Seqs!$A:$B,2,0),AK100,1),"")</f>
        <v>D</v>
      </c>
      <c r="AK100" s="3">
        <v>193</v>
      </c>
      <c r="AL100" s="3" t="str">
        <f>IFERROR(MID(VLOOKUP($B100,Seqs!$A:$B,2,0),AM100,1),"")</f>
        <v>S</v>
      </c>
      <c r="AM100" s="3">
        <v>229</v>
      </c>
      <c r="AN100" s="3" t="str">
        <f>IFERROR(MID(VLOOKUP($B100,Seqs!$A:$B,2,0),AO100,1),"")</f>
        <v>K</v>
      </c>
      <c r="AO100" s="3">
        <v>234</v>
      </c>
      <c r="AP100" s="3" t="str">
        <f>IFERROR(MID(VLOOKUP($B100,Seqs!$A:$B,2,0),AQ100,1),"")</f>
        <v>E</v>
      </c>
      <c r="AQ100" s="3">
        <v>268</v>
      </c>
      <c r="AR100" s="3" t="str">
        <f>IFERROR(MID(VLOOKUP($B100,Seqs!$A:$B,2,0),AS100,1),"")</f>
        <v>G</v>
      </c>
      <c r="AS100" s="3">
        <v>273</v>
      </c>
      <c r="AT100" s="3" t="str">
        <f>IFERROR(MID(VLOOKUP($B100,Seqs!$A:$B,2,0),AU100,1),"")</f>
        <v>L</v>
      </c>
      <c r="AU100" s="3">
        <v>305</v>
      </c>
      <c r="AV100" s="3" t="str">
        <f>IFERROR(MID(VLOOKUP($B100,Seqs!$A:$B,2,0),AW100,1),"")</f>
        <v>G</v>
      </c>
      <c r="AW100" s="3">
        <v>306</v>
      </c>
      <c r="AX100" s="3" t="str">
        <f>IFERROR(MID(VLOOKUP($B100,Seqs!$A:$B,2,0),AY100,1),"")</f>
        <v>T</v>
      </c>
      <c r="AY100" s="3">
        <v>318</v>
      </c>
      <c r="AZ100" s="79" t="str">
        <f>VLOOKUP(B100,Classification!A:D,2,0)</f>
        <v>A</v>
      </c>
      <c r="BA100" s="97" t="str">
        <f>VLOOKUP(B100,Classification!A:D,4,0)</f>
        <v>Chemokine</v>
      </c>
      <c r="BB100" s="27" t="b">
        <f t="shared" si="223"/>
        <v>1</v>
      </c>
      <c r="BC100" s="23">
        <f t="shared" ref="BC100:BC105" si="447">_xlfn.AGGREGATE(9,6,CG100:CR100)-_xlfn.AGGREGATE(9,6,BU100:CF100)+12</f>
        <v>267</v>
      </c>
      <c r="BD100" s="35" t="s">
        <v>1379</v>
      </c>
      <c r="BE100" s="3" t="s">
        <v>1381</v>
      </c>
      <c r="BF100" s="50" t="s">
        <v>1379</v>
      </c>
      <c r="BG100" s="50" t="s">
        <v>1384</v>
      </c>
      <c r="BH100" s="1"/>
      <c r="BI100" s="72" t="s">
        <v>1293</v>
      </c>
      <c r="BJ100" s="58" t="s">
        <v>1293</v>
      </c>
      <c r="BK100" s="58" t="s">
        <v>1293</v>
      </c>
      <c r="BL100" s="58" t="s">
        <v>1293</v>
      </c>
      <c r="BM100" s="58" t="s">
        <v>1293</v>
      </c>
      <c r="BN100" s="58" t="s">
        <v>1293</v>
      </c>
      <c r="BO100" s="58" t="s">
        <v>1293</v>
      </c>
      <c r="BP100" s="58" t="s">
        <v>1293</v>
      </c>
      <c r="BQ100" s="58" t="s">
        <v>1293</v>
      </c>
      <c r="BR100" s="58" t="s">
        <v>1293</v>
      </c>
      <c r="BS100" s="58" t="s">
        <v>1293</v>
      </c>
      <c r="BT100" s="58" t="s">
        <v>1293</v>
      </c>
      <c r="BU100" s="72">
        <f t="shared" ref="BU100:BU105" si="448">E100</f>
        <v>30</v>
      </c>
      <c r="BV100" s="73">
        <f t="shared" ref="BV100:BV105" si="449">I100</f>
        <v>67</v>
      </c>
      <c r="BW100" s="74">
        <f t="shared" ref="BW100:BW105" si="450">M100</f>
        <v>71</v>
      </c>
      <c r="BX100" s="73">
        <f t="shared" ref="BX100:BX105" si="451">Q100</f>
        <v>101</v>
      </c>
      <c r="BY100" s="74">
        <f t="shared" ref="BY100:BY105" si="452">U100</f>
        <v>105</v>
      </c>
      <c r="BZ100" s="73">
        <f t="shared" ref="BZ100:BZ105" si="453">Y100</f>
        <v>141</v>
      </c>
      <c r="CA100" s="74">
        <f t="shared" ref="CA100:CA105" si="454">AC100</f>
        <v>149</v>
      </c>
      <c r="CB100" s="73">
        <f t="shared" ref="CB100:CB105" si="455">AG100</f>
        <v>186</v>
      </c>
      <c r="CC100" s="74">
        <f t="shared" ref="CC100:CC105" si="456">AK100</f>
        <v>193</v>
      </c>
      <c r="CD100" s="73">
        <f t="shared" ref="CD100:CD105" si="457">AO100</f>
        <v>234</v>
      </c>
      <c r="CE100" s="74">
        <f t="shared" ref="CE100:CE105" si="458">AS100</f>
        <v>273</v>
      </c>
      <c r="CF100" s="73">
        <f t="shared" ref="CF100:CF105" si="459">AW100</f>
        <v>306</v>
      </c>
      <c r="CG100" s="72">
        <f t="shared" ref="CG100:CG105" si="460">G100</f>
        <v>66</v>
      </c>
      <c r="CH100" s="73">
        <f t="shared" ref="CH100:CH105" si="461">K100</f>
        <v>70</v>
      </c>
      <c r="CI100" s="74">
        <f t="shared" ref="CI100:CI105" si="462">O100</f>
        <v>100</v>
      </c>
      <c r="CJ100" s="74">
        <f t="shared" ref="CJ100:CJ105" si="463">S100</f>
        <v>104</v>
      </c>
      <c r="CK100" s="74">
        <f t="shared" ref="CK100:CK105" si="464">W100</f>
        <v>140</v>
      </c>
      <c r="CL100" s="74">
        <f t="shared" ref="CL100:CL105" si="465">AA100</f>
        <v>148</v>
      </c>
      <c r="CM100" s="74">
        <f t="shared" ref="CM100:CM105" si="466">AE100</f>
        <v>175</v>
      </c>
      <c r="CN100" s="74">
        <f t="shared" ref="CN100:CN105" si="467">AI100</f>
        <v>188</v>
      </c>
      <c r="CO100" s="74">
        <f t="shared" ref="CO100:CO105" si="468">AM100</f>
        <v>229</v>
      </c>
      <c r="CP100" s="74">
        <f t="shared" ref="CP100:CP105" si="469">AQ100</f>
        <v>268</v>
      </c>
      <c r="CQ100" s="74">
        <f t="shared" ref="CQ100:CQ105" si="470">AU100</f>
        <v>305</v>
      </c>
      <c r="CR100" s="74">
        <f t="shared" ref="CR100:CR105" si="471">AY100</f>
        <v>318</v>
      </c>
      <c r="CS100" s="23">
        <f t="shared" ref="CS100:CS105" si="472">M100-K100</f>
        <v>1</v>
      </c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</row>
    <row r="101" spans="1:1028" x14ac:dyDescent="0.2">
      <c r="A101" s="3" t="str">
        <f t="shared" si="222"/>
        <v>cxcr4_human_3ODU</v>
      </c>
      <c r="B101" s="3" t="s">
        <v>1172</v>
      </c>
      <c r="C101" s="3" t="s">
        <v>63</v>
      </c>
      <c r="D101" s="3" t="str">
        <f>IFERROR(MID(VLOOKUP($B101,Seqs!$A:$B,2,0),E101,1),"")</f>
        <v>A</v>
      </c>
      <c r="E101" s="3">
        <v>34</v>
      </c>
      <c r="F101" s="3" t="str">
        <f>IFERROR(MID(VLOOKUP($B101,Seqs!$A:$B,2,0),G101,1),"")</f>
        <v>Q</v>
      </c>
      <c r="G101" s="3">
        <v>66</v>
      </c>
      <c r="H101" s="3" t="str">
        <f>IFERROR(MID(VLOOKUP($B101,Seqs!$A:$B,2,0),I101,1),"")</f>
        <v/>
      </c>
      <c r="I101" s="23" t="s">
        <v>23</v>
      </c>
      <c r="J101" s="3" t="str">
        <f>IFERROR(MID(VLOOKUP($B101,Seqs!$A:$B,2,0),K101,1),"")</f>
        <v/>
      </c>
      <c r="K101" s="23" t="s">
        <v>23</v>
      </c>
      <c r="L101" s="3" t="str">
        <f>IFERROR(MID(VLOOKUP($B101,Seqs!$A:$B,2,0),M101,1),"")</f>
        <v>S</v>
      </c>
      <c r="M101" s="3">
        <v>71</v>
      </c>
      <c r="N101" s="3" t="str">
        <f>IFERROR(MID(VLOOKUP($B101,Seqs!$A:$B,2,0),O101,1),"")</f>
        <v>A</v>
      </c>
      <c r="O101" s="3">
        <v>100</v>
      </c>
      <c r="P101" s="3" t="str">
        <f>IFERROR(MID(VLOOKUP($B101,Seqs!$A:$B,2,0),Q101,1),"")</f>
        <v>N</v>
      </c>
      <c r="Q101" s="3">
        <v>101</v>
      </c>
      <c r="R101" s="3" t="str">
        <f>IFERROR(MID(VLOOKUP($B101,Seqs!$A:$B,2,0),S101,1),"")</f>
        <v>F</v>
      </c>
      <c r="S101" s="3">
        <v>104</v>
      </c>
      <c r="T101" s="3" t="str">
        <f>IFERROR(MID(VLOOKUP($B101,Seqs!$A:$B,2,0),U101,1),"")</f>
        <v>G</v>
      </c>
      <c r="U101" s="3">
        <v>105</v>
      </c>
      <c r="V101" s="3" t="str">
        <f>IFERROR(MID(VLOOKUP($B101,Seqs!$A:$B,2,0),W101,1),"")</f>
        <v>H</v>
      </c>
      <c r="W101" s="3">
        <v>140</v>
      </c>
      <c r="X101" s="3" t="str">
        <f>IFERROR(MID(VLOOKUP($B101,Seqs!$A:$B,2,0),Y101,1),"")</f>
        <v/>
      </c>
      <c r="Y101" s="3" t="s">
        <v>23</v>
      </c>
      <c r="Z101" s="3" t="str">
        <f>IFERROR(MID(VLOOKUP($B101,Seqs!$A:$B,2,0),AA101,1),"")</f>
        <v/>
      </c>
      <c r="AA101" s="3" t="s">
        <v>23</v>
      </c>
      <c r="AB101" s="3" t="str">
        <f>IFERROR(MID(VLOOKUP($B101,Seqs!$A:$B,2,0),AC101,1),"")</f>
        <v>S</v>
      </c>
      <c r="AC101" s="9">
        <v>144</v>
      </c>
      <c r="AD101" s="3" t="str">
        <f>IFERROR(MID(VLOOKUP($B101,Seqs!$A:$B,2,0),AE101,1),"")</f>
        <v>A</v>
      </c>
      <c r="AE101" s="3">
        <v>175</v>
      </c>
      <c r="AF101" s="3" t="str">
        <f>IFERROR(MID(VLOOKUP($B101,Seqs!$A:$B,2,0),AG101,1),"")</f>
        <v>C</v>
      </c>
      <c r="AG101" s="3">
        <v>186</v>
      </c>
      <c r="AH101" s="3" t="str">
        <f>IFERROR(MID(VLOOKUP($B101,Seqs!$A:$B,2,0),AI101,1),"")</f>
        <v>R</v>
      </c>
      <c r="AI101" s="3">
        <v>188</v>
      </c>
      <c r="AJ101" s="3" t="str">
        <f>IFERROR(MID(VLOOKUP($B101,Seqs!$A:$B,2,0),AK101,1),"")</f>
        <v>D</v>
      </c>
      <c r="AK101" s="3">
        <v>193</v>
      </c>
      <c r="AL101" s="3" t="str">
        <f>IFERROR(MID(VLOOKUP($B101,Seqs!$A:$B,2,0),AM101,1),"")</f>
        <v>K</v>
      </c>
      <c r="AM101" s="3">
        <v>225</v>
      </c>
      <c r="AN101" s="3" t="str">
        <f>IFERROR(MID(VLOOKUP($B101,Seqs!$A:$B,2,0),AO101,1),"")</f>
        <v>G</v>
      </c>
      <c r="AO101" s="3">
        <v>231</v>
      </c>
      <c r="AP101" s="3" t="str">
        <f>IFERROR(MID(VLOOKUP($B101,Seqs!$A:$B,2,0),AQ101,1),"")</f>
        <v>E</v>
      </c>
      <c r="AQ101" s="3">
        <v>268</v>
      </c>
      <c r="AR101" s="3" t="str">
        <f>IFERROR(MID(VLOOKUP($B101,Seqs!$A:$B,2,0),AS101,1),"")</f>
        <v>G</v>
      </c>
      <c r="AS101" s="3">
        <v>273</v>
      </c>
      <c r="AT101" s="3" t="str">
        <f>IFERROR(MID(VLOOKUP($B101,Seqs!$A:$B,2,0),AU101,1),"")</f>
        <v>I</v>
      </c>
      <c r="AU101" s="3">
        <v>300</v>
      </c>
      <c r="AV101" s="3" t="str">
        <f>IFERROR(MID(VLOOKUP($B101,Seqs!$A:$B,2,0),AW101,1),"")</f>
        <v/>
      </c>
      <c r="AW101" s="3" t="s">
        <v>23</v>
      </c>
      <c r="AX101" s="3" t="str">
        <f>IFERROR(MID(VLOOKUP($B101,Seqs!$A:$B,2,0),AY101,1),"")</f>
        <v/>
      </c>
      <c r="AY101" s="3" t="s">
        <v>23</v>
      </c>
      <c r="AZ101" s="79" t="str">
        <f>VLOOKUP(B101,Classification!A:D,2,0)</f>
        <v>A</v>
      </c>
      <c r="BA101" s="97" t="str">
        <f>VLOOKUP(B101,Classification!A:D,4,0)</f>
        <v>Chemokine</v>
      </c>
      <c r="BB101" s="27" t="b">
        <f t="shared" si="223"/>
        <v>1</v>
      </c>
      <c r="BC101" s="23">
        <f t="shared" si="447"/>
        <v>240</v>
      </c>
      <c r="BD101" s="2" t="s">
        <v>1383</v>
      </c>
      <c r="BE101" s="3" t="s">
        <v>1381</v>
      </c>
      <c r="BF101" s="50" t="s">
        <v>1384</v>
      </c>
      <c r="BG101" s="50" t="s">
        <v>1384</v>
      </c>
      <c r="BH101" s="1"/>
      <c r="BI101" s="72" t="s">
        <v>1293</v>
      </c>
      <c r="BJ101" s="58" t="s">
        <v>1293</v>
      </c>
      <c r="BK101" s="58" t="s">
        <v>1293</v>
      </c>
      <c r="BL101" s="58" t="s">
        <v>1293</v>
      </c>
      <c r="BM101" s="58" t="s">
        <v>1293</v>
      </c>
      <c r="BN101" s="58" t="s">
        <v>1293</v>
      </c>
      <c r="BO101" s="58" t="s">
        <v>1293</v>
      </c>
      <c r="BP101" s="58" t="s">
        <v>1293</v>
      </c>
      <c r="BQ101" s="58" t="s">
        <v>1293</v>
      </c>
      <c r="BR101" s="58" t="s">
        <v>1293</v>
      </c>
      <c r="BS101" s="58" t="s">
        <v>1293</v>
      </c>
      <c r="BT101" s="58" t="s">
        <v>1293</v>
      </c>
      <c r="BU101" s="72">
        <f t="shared" si="448"/>
        <v>34</v>
      </c>
      <c r="BV101" s="73" t="str">
        <f t="shared" si="449"/>
        <v>-</v>
      </c>
      <c r="BW101" s="74">
        <f t="shared" si="450"/>
        <v>71</v>
      </c>
      <c r="BX101" s="73">
        <f t="shared" si="451"/>
        <v>101</v>
      </c>
      <c r="BY101" s="74">
        <f t="shared" si="452"/>
        <v>105</v>
      </c>
      <c r="BZ101" s="73" t="str">
        <f t="shared" si="453"/>
        <v>-</v>
      </c>
      <c r="CA101" s="74">
        <f t="shared" si="454"/>
        <v>144</v>
      </c>
      <c r="CB101" s="73">
        <f t="shared" si="455"/>
        <v>186</v>
      </c>
      <c r="CC101" s="74">
        <f t="shared" si="456"/>
        <v>193</v>
      </c>
      <c r="CD101" s="73">
        <f t="shared" si="457"/>
        <v>231</v>
      </c>
      <c r="CE101" s="74">
        <f t="shared" si="458"/>
        <v>273</v>
      </c>
      <c r="CF101" s="73" t="str">
        <f t="shared" si="459"/>
        <v>-</v>
      </c>
      <c r="CG101" s="72">
        <f t="shared" si="460"/>
        <v>66</v>
      </c>
      <c r="CH101" s="73" t="str">
        <f t="shared" si="461"/>
        <v>-</v>
      </c>
      <c r="CI101" s="74">
        <f t="shared" si="462"/>
        <v>100</v>
      </c>
      <c r="CJ101" s="74">
        <f t="shared" si="463"/>
        <v>104</v>
      </c>
      <c r="CK101" s="74">
        <f t="shared" si="464"/>
        <v>140</v>
      </c>
      <c r="CL101" s="74" t="str">
        <f t="shared" si="465"/>
        <v>-</v>
      </c>
      <c r="CM101" s="74">
        <f t="shared" si="466"/>
        <v>175</v>
      </c>
      <c r="CN101" s="74">
        <f t="shared" si="467"/>
        <v>188</v>
      </c>
      <c r="CO101" s="74">
        <f t="shared" si="468"/>
        <v>225</v>
      </c>
      <c r="CP101" s="74">
        <f t="shared" si="469"/>
        <v>268</v>
      </c>
      <c r="CQ101" s="74">
        <f t="shared" si="470"/>
        <v>300</v>
      </c>
      <c r="CR101" s="74" t="str">
        <f t="shared" si="471"/>
        <v>-</v>
      </c>
      <c r="CS101" s="23" t="e">
        <f t="shared" si="472"/>
        <v>#VALUE!</v>
      </c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</row>
    <row r="102" spans="1:1028" x14ac:dyDescent="0.2">
      <c r="A102" s="3" t="str">
        <f t="shared" si="222"/>
        <v>cxcr4_human_3OE0</v>
      </c>
      <c r="B102" s="3" t="s">
        <v>1172</v>
      </c>
      <c r="C102" s="3" t="s">
        <v>1032</v>
      </c>
      <c r="D102" s="3" t="str">
        <f>IFERROR(MID(VLOOKUP($B102,Seqs!$A:$B,2,0),E102,1),"")</f>
        <v>A</v>
      </c>
      <c r="E102" s="3">
        <v>34</v>
      </c>
      <c r="F102" s="3" t="str">
        <f>IFERROR(MID(VLOOKUP($B102,Seqs!$A:$B,2,0),G102,1),"")</f>
        <v>Q</v>
      </c>
      <c r="G102" s="3">
        <v>66</v>
      </c>
      <c r="H102" s="3" t="str">
        <f>IFERROR(MID(VLOOKUP($B102,Seqs!$A:$B,2,0),I102,1),"")</f>
        <v/>
      </c>
      <c r="I102" s="23" t="s">
        <v>23</v>
      </c>
      <c r="J102" s="3" t="str">
        <f>IFERROR(MID(VLOOKUP($B102,Seqs!$A:$B,2,0),K102,1),"")</f>
        <v/>
      </c>
      <c r="K102" s="23" t="s">
        <v>23</v>
      </c>
      <c r="L102" s="3" t="str">
        <f>IFERROR(MID(VLOOKUP($B102,Seqs!$A:$B,2,0),M102,1),"")</f>
        <v>S</v>
      </c>
      <c r="M102" s="3">
        <v>71</v>
      </c>
      <c r="N102" s="3" t="str">
        <f>IFERROR(MID(VLOOKUP($B102,Seqs!$A:$B,2,0),O102,1),"")</f>
        <v>A</v>
      </c>
      <c r="O102" s="3">
        <v>100</v>
      </c>
      <c r="P102" s="3" t="str">
        <f>IFERROR(MID(VLOOKUP($B102,Seqs!$A:$B,2,0),Q102,1),"")</f>
        <v>N</v>
      </c>
      <c r="Q102" s="3">
        <v>101</v>
      </c>
      <c r="R102" s="3" t="str">
        <f>IFERROR(MID(VLOOKUP($B102,Seqs!$A:$B,2,0),S102,1),"")</f>
        <v>F</v>
      </c>
      <c r="S102" s="3">
        <v>104</v>
      </c>
      <c r="T102" s="3" t="str">
        <f>IFERROR(MID(VLOOKUP($B102,Seqs!$A:$B,2,0),U102,1),"")</f>
        <v>G</v>
      </c>
      <c r="U102" s="3">
        <v>105</v>
      </c>
      <c r="V102" s="3" t="str">
        <f>IFERROR(MID(VLOOKUP($B102,Seqs!$A:$B,2,0),W102,1),"")</f>
        <v>H</v>
      </c>
      <c r="W102" s="3">
        <v>140</v>
      </c>
      <c r="X102" s="3" t="str">
        <f>IFERROR(MID(VLOOKUP($B102,Seqs!$A:$B,2,0),Y102,1),"")</f>
        <v/>
      </c>
      <c r="Y102" s="3" t="s">
        <v>23</v>
      </c>
      <c r="Z102" s="3" t="str">
        <f>IFERROR(MID(VLOOKUP($B102,Seqs!$A:$B,2,0),AA102,1),"")</f>
        <v/>
      </c>
      <c r="AA102" s="3" t="s">
        <v>23</v>
      </c>
      <c r="AB102" s="3" t="str">
        <f>IFERROR(MID(VLOOKUP($B102,Seqs!$A:$B,2,0),AC102,1),"")</f>
        <v>S</v>
      </c>
      <c r="AC102" s="9">
        <v>144</v>
      </c>
      <c r="AD102" s="3" t="str">
        <f>IFERROR(MID(VLOOKUP($B102,Seqs!$A:$B,2,0),AE102,1),"")</f>
        <v>A</v>
      </c>
      <c r="AE102" s="3">
        <v>175</v>
      </c>
      <c r="AF102" s="3" t="str">
        <f>IFERROR(MID(VLOOKUP($B102,Seqs!$A:$B,2,0),AG102,1),"")</f>
        <v>C</v>
      </c>
      <c r="AG102" s="3">
        <v>186</v>
      </c>
      <c r="AH102" s="3" t="str">
        <f>IFERROR(MID(VLOOKUP($B102,Seqs!$A:$B,2,0),AI102,1),"")</f>
        <v>R</v>
      </c>
      <c r="AI102" s="3">
        <v>188</v>
      </c>
      <c r="AJ102" s="3" t="str">
        <f>IFERROR(MID(VLOOKUP($B102,Seqs!$A:$B,2,0),AK102,1),"")</f>
        <v>D</v>
      </c>
      <c r="AK102" s="3">
        <v>193</v>
      </c>
      <c r="AL102" s="3" t="str">
        <f>IFERROR(MID(VLOOKUP($B102,Seqs!$A:$B,2,0),AM102,1),"")</f>
        <v>H</v>
      </c>
      <c r="AM102" s="3">
        <v>228</v>
      </c>
      <c r="AN102" s="3" t="str">
        <f>IFERROR(MID(VLOOKUP($B102,Seqs!$A:$B,2,0),AO102,1),"")</f>
        <v>K</v>
      </c>
      <c r="AO102" s="3">
        <v>239</v>
      </c>
      <c r="AP102" s="3" t="str">
        <f>IFERROR(MID(VLOOKUP($B102,Seqs!$A:$B,2,0),AQ102,1),"")</f>
        <v>E</v>
      </c>
      <c r="AQ102" s="3">
        <v>268</v>
      </c>
      <c r="AR102" s="3" t="str">
        <f>IFERROR(MID(VLOOKUP($B102,Seqs!$A:$B,2,0),AS102,1),"")</f>
        <v>G</v>
      </c>
      <c r="AS102" s="3">
        <v>273</v>
      </c>
      <c r="AT102" s="3" t="str">
        <f>IFERROR(MID(VLOOKUP($B102,Seqs!$A:$B,2,0),AU102,1),"")</f>
        <v>I</v>
      </c>
      <c r="AU102" s="3">
        <v>300</v>
      </c>
      <c r="AV102" s="3" t="str">
        <f>IFERROR(MID(VLOOKUP($B102,Seqs!$A:$B,2,0),AW102,1),"")</f>
        <v/>
      </c>
      <c r="AW102" s="3" t="s">
        <v>23</v>
      </c>
      <c r="AX102" s="3" t="str">
        <f>IFERROR(MID(VLOOKUP($B102,Seqs!$A:$B,2,0),AY102,1),"")</f>
        <v/>
      </c>
      <c r="AY102" s="3" t="s">
        <v>23</v>
      </c>
      <c r="AZ102" s="79" t="str">
        <f>VLOOKUP(B102,Classification!A:D,2,0)</f>
        <v>A</v>
      </c>
      <c r="BA102" s="97" t="str">
        <f>VLOOKUP(B102,Classification!A:D,4,0)</f>
        <v>Chemokine</v>
      </c>
      <c r="BB102" s="27" t="b">
        <f t="shared" si="223"/>
        <v>1</v>
      </c>
      <c r="BC102" s="23">
        <f t="shared" si="447"/>
        <v>235</v>
      </c>
      <c r="BD102" s="4" t="s">
        <v>23</v>
      </c>
      <c r="BE102" s="3" t="s">
        <v>1381</v>
      </c>
      <c r="BF102" s="50" t="s">
        <v>1384</v>
      </c>
      <c r="BG102" s="50" t="s">
        <v>1384</v>
      </c>
      <c r="BH102" s="1"/>
      <c r="BI102" s="72" t="s">
        <v>1293</v>
      </c>
      <c r="BJ102" s="58" t="s">
        <v>1293</v>
      </c>
      <c r="BK102" s="58" t="s">
        <v>1293</v>
      </c>
      <c r="BL102" s="58" t="s">
        <v>1293</v>
      </c>
      <c r="BM102" s="58" t="s">
        <v>1293</v>
      </c>
      <c r="BN102" s="58" t="s">
        <v>1293</v>
      </c>
      <c r="BO102" s="58" t="s">
        <v>1293</v>
      </c>
      <c r="BP102" s="58" t="s">
        <v>1293</v>
      </c>
      <c r="BQ102" s="58" t="s">
        <v>1293</v>
      </c>
      <c r="BR102" s="58" t="s">
        <v>1293</v>
      </c>
      <c r="BS102" s="58" t="s">
        <v>1293</v>
      </c>
      <c r="BT102" s="58" t="s">
        <v>1293</v>
      </c>
      <c r="BU102" s="72">
        <f t="shared" si="448"/>
        <v>34</v>
      </c>
      <c r="BV102" s="73" t="str">
        <f t="shared" si="449"/>
        <v>-</v>
      </c>
      <c r="BW102" s="74">
        <f t="shared" si="450"/>
        <v>71</v>
      </c>
      <c r="BX102" s="73">
        <f t="shared" si="451"/>
        <v>101</v>
      </c>
      <c r="BY102" s="74">
        <f t="shared" si="452"/>
        <v>105</v>
      </c>
      <c r="BZ102" s="73" t="str">
        <f t="shared" si="453"/>
        <v>-</v>
      </c>
      <c r="CA102" s="74">
        <f t="shared" si="454"/>
        <v>144</v>
      </c>
      <c r="CB102" s="73">
        <f t="shared" si="455"/>
        <v>186</v>
      </c>
      <c r="CC102" s="74">
        <f t="shared" si="456"/>
        <v>193</v>
      </c>
      <c r="CD102" s="73">
        <f t="shared" si="457"/>
        <v>239</v>
      </c>
      <c r="CE102" s="74">
        <f t="shared" si="458"/>
        <v>273</v>
      </c>
      <c r="CF102" s="73" t="str">
        <f t="shared" si="459"/>
        <v>-</v>
      </c>
      <c r="CG102" s="72">
        <f t="shared" si="460"/>
        <v>66</v>
      </c>
      <c r="CH102" s="73" t="str">
        <f t="shared" si="461"/>
        <v>-</v>
      </c>
      <c r="CI102" s="74">
        <f t="shared" si="462"/>
        <v>100</v>
      </c>
      <c r="CJ102" s="74">
        <f t="shared" si="463"/>
        <v>104</v>
      </c>
      <c r="CK102" s="74">
        <f t="shared" si="464"/>
        <v>140</v>
      </c>
      <c r="CL102" s="74" t="str">
        <f t="shared" si="465"/>
        <v>-</v>
      </c>
      <c r="CM102" s="74">
        <f t="shared" si="466"/>
        <v>175</v>
      </c>
      <c r="CN102" s="74">
        <f t="shared" si="467"/>
        <v>188</v>
      </c>
      <c r="CO102" s="74">
        <f t="shared" si="468"/>
        <v>228</v>
      </c>
      <c r="CP102" s="74">
        <f t="shared" si="469"/>
        <v>268</v>
      </c>
      <c r="CQ102" s="74">
        <f t="shared" si="470"/>
        <v>300</v>
      </c>
      <c r="CR102" s="74" t="str">
        <f t="shared" si="471"/>
        <v>-</v>
      </c>
      <c r="CS102" s="23" t="e">
        <f t="shared" si="472"/>
        <v>#VALUE!</v>
      </c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</row>
    <row r="103" spans="1:1028" x14ac:dyDescent="0.2">
      <c r="A103" s="3" t="str">
        <f t="shared" si="222"/>
        <v>cxcr4_human_4RWS</v>
      </c>
      <c r="B103" s="3" t="s">
        <v>1172</v>
      </c>
      <c r="C103" s="3" t="s">
        <v>1053</v>
      </c>
      <c r="D103" s="3" t="str">
        <f>IFERROR(MID(VLOOKUP($B103,Seqs!$A:$B,2,0),E103,1),"")</f>
        <v>R</v>
      </c>
      <c r="E103" s="3">
        <v>30</v>
      </c>
      <c r="F103" s="3" t="str">
        <f>IFERROR(MID(VLOOKUP($B103,Seqs!$A:$B,2,0),G103,1),"")</f>
        <v>Q</v>
      </c>
      <c r="G103" s="3">
        <v>66</v>
      </c>
      <c r="H103" s="3" t="str">
        <f>IFERROR(MID(VLOOKUP($B103,Seqs!$A:$B,2,0),I103,1),"")</f>
        <v/>
      </c>
      <c r="I103" s="23" t="s">
        <v>23</v>
      </c>
      <c r="J103" s="3" t="str">
        <f>IFERROR(MID(VLOOKUP($B103,Seqs!$A:$B,2,0),K103,1),"")</f>
        <v/>
      </c>
      <c r="K103" s="23" t="s">
        <v>23</v>
      </c>
      <c r="L103" s="3" t="str">
        <f>IFERROR(MID(VLOOKUP($B103,Seqs!$A:$B,2,0),M103,1),"")</f>
        <v>S</v>
      </c>
      <c r="M103" s="3">
        <v>71</v>
      </c>
      <c r="N103" s="3" t="str">
        <f>IFERROR(MID(VLOOKUP($B103,Seqs!$A:$B,2,0),O103,1),"")</f>
        <v>A</v>
      </c>
      <c r="O103" s="3">
        <v>100</v>
      </c>
      <c r="P103" s="3" t="str">
        <f>IFERROR(MID(VLOOKUP($B103,Seqs!$A:$B,2,0),Q103,1),"")</f>
        <v>N</v>
      </c>
      <c r="Q103" s="3">
        <v>101</v>
      </c>
      <c r="R103" s="3" t="str">
        <f>IFERROR(MID(VLOOKUP($B103,Seqs!$A:$B,2,0),S103,1),"")</f>
        <v>F</v>
      </c>
      <c r="S103" s="3">
        <v>104</v>
      </c>
      <c r="T103" s="3" t="str">
        <f>IFERROR(MID(VLOOKUP($B103,Seqs!$A:$B,2,0),U103,1),"")</f>
        <v>G</v>
      </c>
      <c r="U103" s="3">
        <v>105</v>
      </c>
      <c r="V103" s="3" t="str">
        <f>IFERROR(MID(VLOOKUP($B103,Seqs!$A:$B,2,0),W103,1),"")</f>
        <v>H</v>
      </c>
      <c r="W103" s="3">
        <v>140</v>
      </c>
      <c r="X103" s="3" t="str">
        <f>IFERROR(MID(VLOOKUP($B103,Seqs!$A:$B,2,0),Y103,1),"")</f>
        <v/>
      </c>
      <c r="Y103" s="3" t="s">
        <v>23</v>
      </c>
      <c r="Z103" s="3" t="str">
        <f>IFERROR(MID(VLOOKUP($B103,Seqs!$A:$B,2,0),AA103,1),"")</f>
        <v/>
      </c>
      <c r="AA103" s="3" t="s">
        <v>23</v>
      </c>
      <c r="AB103" s="3" t="str">
        <f>IFERROR(MID(VLOOKUP($B103,Seqs!$A:$B,2,0),AC103,1),"")</f>
        <v>S</v>
      </c>
      <c r="AC103" s="9">
        <v>144</v>
      </c>
      <c r="AD103" s="3" t="str">
        <f>IFERROR(MID(VLOOKUP($B103,Seqs!$A:$B,2,0),AE103,1),"")</f>
        <v>A</v>
      </c>
      <c r="AE103" s="3">
        <v>175</v>
      </c>
      <c r="AF103" s="3" t="str">
        <f>IFERROR(MID(VLOOKUP($B103,Seqs!$A:$B,2,0),AG103,1),"")</f>
        <v>C</v>
      </c>
      <c r="AG103" s="3">
        <v>186</v>
      </c>
      <c r="AH103" s="3" t="str">
        <f>IFERROR(MID(VLOOKUP($B103,Seqs!$A:$B,2,0),AI103,1),"")</f>
        <v>R</v>
      </c>
      <c r="AI103" s="3">
        <v>188</v>
      </c>
      <c r="AJ103" s="3" t="str">
        <f>IFERROR(MID(VLOOKUP($B103,Seqs!$A:$B,2,0),AK103,1),"")</f>
        <v>D</v>
      </c>
      <c r="AK103" s="3">
        <v>193</v>
      </c>
      <c r="AL103" s="3" t="str">
        <f>IFERROR(MID(VLOOKUP($B103,Seqs!$A:$B,2,0),AM103,1),"")</f>
        <v>S</v>
      </c>
      <c r="AM103" s="3">
        <v>227</v>
      </c>
      <c r="AN103" s="3" t="str">
        <f>IFERROR(MID(VLOOKUP($B103,Seqs!$A:$B,2,0),AO103,1),"")</f>
        <v>K</v>
      </c>
      <c r="AO103" s="3">
        <v>239</v>
      </c>
      <c r="AP103" s="3" t="str">
        <f>IFERROR(MID(VLOOKUP($B103,Seqs!$A:$B,2,0),AQ103,1),"")</f>
        <v>E</v>
      </c>
      <c r="AQ103" s="3">
        <v>268</v>
      </c>
      <c r="AR103" s="3" t="str">
        <f>IFERROR(MID(VLOOKUP($B103,Seqs!$A:$B,2,0),AS103,1),"")</f>
        <v>G</v>
      </c>
      <c r="AS103" s="3">
        <v>273</v>
      </c>
      <c r="AT103" s="3" t="str">
        <f>IFERROR(MID(VLOOKUP($B103,Seqs!$A:$B,2,0),AU103,1),"")</f>
        <v>I</v>
      </c>
      <c r="AU103" s="3">
        <v>300</v>
      </c>
      <c r="AV103" s="3" t="str">
        <f>IFERROR(MID(VLOOKUP($B103,Seqs!$A:$B,2,0),AW103,1),"")</f>
        <v/>
      </c>
      <c r="AW103" s="3" t="s">
        <v>23</v>
      </c>
      <c r="AX103" s="3" t="str">
        <f>IFERROR(MID(VLOOKUP($B103,Seqs!$A:$B,2,0),AY103,1),"")</f>
        <v/>
      </c>
      <c r="AY103" s="3" t="s">
        <v>23</v>
      </c>
      <c r="AZ103" s="79" t="str">
        <f>VLOOKUP(B103,Classification!A:D,2,0)</f>
        <v>A</v>
      </c>
      <c r="BA103" s="97" t="str">
        <f>VLOOKUP(B103,Classification!A:D,4,0)</f>
        <v>Chemokine</v>
      </c>
      <c r="BB103" s="27" t="b">
        <f t="shared" si="223"/>
        <v>1</v>
      </c>
      <c r="BC103" s="23">
        <f t="shared" si="447"/>
        <v>238</v>
      </c>
      <c r="BD103" s="5" t="s">
        <v>23</v>
      </c>
      <c r="BE103" s="3" t="s">
        <v>1381</v>
      </c>
      <c r="BF103" s="50" t="s">
        <v>1384</v>
      </c>
      <c r="BG103" s="50" t="s">
        <v>1384</v>
      </c>
      <c r="BH103" s="1"/>
      <c r="BI103" s="72" t="s">
        <v>1293</v>
      </c>
      <c r="BJ103" s="58" t="s">
        <v>1293</v>
      </c>
      <c r="BK103" s="58" t="s">
        <v>1293</v>
      </c>
      <c r="BL103" s="58" t="s">
        <v>1293</v>
      </c>
      <c r="BM103" s="58" t="s">
        <v>1293</v>
      </c>
      <c r="BN103" s="58" t="s">
        <v>1293</v>
      </c>
      <c r="BO103" s="58" t="s">
        <v>1293</v>
      </c>
      <c r="BP103" s="58" t="s">
        <v>1293</v>
      </c>
      <c r="BQ103" s="58" t="s">
        <v>1293</v>
      </c>
      <c r="BR103" s="58" t="s">
        <v>1293</v>
      </c>
      <c r="BS103" s="58" t="s">
        <v>1293</v>
      </c>
      <c r="BT103" s="58" t="s">
        <v>1293</v>
      </c>
      <c r="BU103" s="72">
        <f t="shared" si="448"/>
        <v>30</v>
      </c>
      <c r="BV103" s="73" t="str">
        <f t="shared" si="449"/>
        <v>-</v>
      </c>
      <c r="BW103" s="74">
        <f t="shared" si="450"/>
        <v>71</v>
      </c>
      <c r="BX103" s="73">
        <f t="shared" si="451"/>
        <v>101</v>
      </c>
      <c r="BY103" s="74">
        <f t="shared" si="452"/>
        <v>105</v>
      </c>
      <c r="BZ103" s="73" t="str">
        <f t="shared" si="453"/>
        <v>-</v>
      </c>
      <c r="CA103" s="74">
        <f t="shared" si="454"/>
        <v>144</v>
      </c>
      <c r="CB103" s="73">
        <f t="shared" si="455"/>
        <v>186</v>
      </c>
      <c r="CC103" s="74">
        <f t="shared" si="456"/>
        <v>193</v>
      </c>
      <c r="CD103" s="73">
        <f t="shared" si="457"/>
        <v>239</v>
      </c>
      <c r="CE103" s="74">
        <f t="shared" si="458"/>
        <v>273</v>
      </c>
      <c r="CF103" s="73" t="str">
        <f t="shared" si="459"/>
        <v>-</v>
      </c>
      <c r="CG103" s="72">
        <f t="shared" si="460"/>
        <v>66</v>
      </c>
      <c r="CH103" s="73" t="str">
        <f t="shared" si="461"/>
        <v>-</v>
      </c>
      <c r="CI103" s="74">
        <f t="shared" si="462"/>
        <v>100</v>
      </c>
      <c r="CJ103" s="74">
        <f t="shared" si="463"/>
        <v>104</v>
      </c>
      <c r="CK103" s="74">
        <f t="shared" si="464"/>
        <v>140</v>
      </c>
      <c r="CL103" s="74" t="str">
        <f t="shared" si="465"/>
        <v>-</v>
      </c>
      <c r="CM103" s="74">
        <f t="shared" si="466"/>
        <v>175</v>
      </c>
      <c r="CN103" s="74">
        <f t="shared" si="467"/>
        <v>188</v>
      </c>
      <c r="CO103" s="74">
        <f t="shared" si="468"/>
        <v>227</v>
      </c>
      <c r="CP103" s="74">
        <f t="shared" si="469"/>
        <v>268</v>
      </c>
      <c r="CQ103" s="74">
        <f t="shared" si="470"/>
        <v>300</v>
      </c>
      <c r="CR103" s="74" t="str">
        <f t="shared" si="471"/>
        <v>-</v>
      </c>
      <c r="CS103" s="23" t="e">
        <f t="shared" si="472"/>
        <v>#VALUE!</v>
      </c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</row>
    <row r="104" spans="1:1028" x14ac:dyDescent="0.2">
      <c r="A104" s="3" t="str">
        <f t="shared" si="222"/>
        <v>drd3_human__wt</v>
      </c>
      <c r="B104" s="3" t="s">
        <v>192</v>
      </c>
      <c r="C104" s="3" t="s">
        <v>100</v>
      </c>
      <c r="D104" s="3" t="str">
        <f>IFERROR(MID(VLOOKUP($B104,Seqs!$A:$B,2,0),E104,1),"")</f>
        <v>A</v>
      </c>
      <c r="E104" s="3">
        <v>26</v>
      </c>
      <c r="F104" s="3" t="str">
        <f>IFERROR(MID(VLOOKUP($B104,Seqs!$A:$B,2,0),G104,1),"")</f>
        <v>E</v>
      </c>
      <c r="G104" s="3">
        <v>57</v>
      </c>
      <c r="H104" s="3" t="str">
        <f>IFERROR(MID(VLOOKUP($B104,Seqs!$A:$B,2,0),I104,1),"")</f>
        <v>R</v>
      </c>
      <c r="I104" s="23">
        <v>58</v>
      </c>
      <c r="J104" s="3" t="str">
        <f>IFERROR(MID(VLOOKUP($B104,Seqs!$A:$B,2,0),K104,1),"")</f>
        <v>Q</v>
      </c>
      <c r="K104" s="23">
        <v>61</v>
      </c>
      <c r="L104" s="3" t="str">
        <f>IFERROR(MID(VLOOKUP($B104,Seqs!$A:$B,2,0),M104,1),"")</f>
        <v>T</v>
      </c>
      <c r="M104" s="3">
        <v>62</v>
      </c>
      <c r="N104" s="3" t="str">
        <f>IFERROR(MID(VLOOKUP($B104,Seqs!$A:$B,2,0),O104,1),"")</f>
        <v>T</v>
      </c>
      <c r="O104" s="3">
        <v>92</v>
      </c>
      <c r="P104" s="3" t="str">
        <f>IFERROR(MID(VLOOKUP($B104,Seqs!$A:$B,2,0),Q104,1),"")</f>
        <v>V</v>
      </c>
      <c r="Q104" s="3">
        <v>95</v>
      </c>
      <c r="R104" s="3" t="str">
        <f>IFERROR(MID(VLOOKUP($B104,Seqs!$A:$B,2,0),S104,1),"")</f>
        <v>F</v>
      </c>
      <c r="S104" s="3">
        <v>98</v>
      </c>
      <c r="T104" s="3" t="str">
        <f>IFERROR(MID(VLOOKUP($B104,Seqs!$A:$B,2,0),U104,1),"")</f>
        <v>S</v>
      </c>
      <c r="U104" s="3">
        <v>99</v>
      </c>
      <c r="V104" s="3" t="str">
        <f>IFERROR(MID(VLOOKUP($B104,Seqs!$A:$B,2,0),W104,1),"")</f>
        <v>M</v>
      </c>
      <c r="W104" s="3">
        <v>134</v>
      </c>
      <c r="X104" s="3" t="str">
        <f>IFERROR(MID(VLOOKUP($B104,Seqs!$A:$B,2,0),Y104,1),"")</f>
        <v>P</v>
      </c>
      <c r="Y104" s="3">
        <v>135</v>
      </c>
      <c r="Z104" s="3" t="str">
        <f>IFERROR(MID(VLOOKUP($B104,Seqs!$A:$B,2,0),AA104,1),"")</f>
        <v>G</v>
      </c>
      <c r="AA104" s="3">
        <v>143</v>
      </c>
      <c r="AB104" s="3" t="str">
        <f>IFERROR(MID(VLOOKUP($B104,Seqs!$A:$B,2,0),AC104,1),"")</f>
        <v>S</v>
      </c>
      <c r="AC104" s="9">
        <v>146</v>
      </c>
      <c r="AD104" s="3" t="str">
        <f>IFERROR(MID(VLOOKUP($B104,Seqs!$A:$B,2,0),AE104,1),"")</f>
        <v>G</v>
      </c>
      <c r="AE104" s="3">
        <v>171</v>
      </c>
      <c r="AF104" s="3" t="str">
        <f>IFERROR(MID(VLOOKUP($B104,Seqs!$A:$B,2,0),AG104,1),"")</f>
        <v>C</v>
      </c>
      <c r="AG104" s="3">
        <v>181</v>
      </c>
      <c r="AH104" s="3" t="str">
        <f>IFERROR(MID(VLOOKUP($B104,Seqs!$A:$B,2,0),AI104,1),"")</f>
        <v>I</v>
      </c>
      <c r="AI104" s="3">
        <v>183</v>
      </c>
      <c r="AJ104" s="3" t="str">
        <f>IFERROR(MID(VLOOKUP($B104,Seqs!$A:$B,2,0),AK104,1),"")</f>
        <v>N</v>
      </c>
      <c r="AK104" s="3">
        <v>185</v>
      </c>
      <c r="AL104" s="3" t="str">
        <f>IFERROR(MID(VLOOKUP($B104,Seqs!$A:$B,2,0),AM104,1),"")</f>
        <v>R</v>
      </c>
      <c r="AM104" s="3">
        <v>226</v>
      </c>
      <c r="AN104" s="3" t="str">
        <f>IFERROR(MID(VLOOKUP($B104,Seqs!$A:$B,2,0),AO104,1),"")</f>
        <v>R</v>
      </c>
      <c r="AO104" s="3">
        <v>318</v>
      </c>
      <c r="AP104" s="3" t="str">
        <f>IFERROR(MID(VLOOKUP($B104,Seqs!$A:$B,2,0),AQ104,1),"")</f>
        <v>H</v>
      </c>
      <c r="AQ104" s="3">
        <v>354</v>
      </c>
      <c r="AR104" s="3" t="str">
        <f>IFERROR(MID(VLOOKUP($B104,Seqs!$A:$B,2,0),AS104,1),"")</f>
        <v>S</v>
      </c>
      <c r="AS104" s="3">
        <v>361</v>
      </c>
      <c r="AT104" s="3" t="str">
        <f>IFERROR(MID(VLOOKUP($B104,Seqs!$A:$B,2,0),AU104,1),"")</f>
        <v>F</v>
      </c>
      <c r="AU104" s="3">
        <v>386</v>
      </c>
      <c r="AV104" s="3" t="str">
        <f>IFERROR(MID(VLOOKUP($B104,Seqs!$A:$B,2,0),AW104,1),"")</f>
        <v>N</v>
      </c>
      <c r="AW104" s="3">
        <v>387</v>
      </c>
      <c r="AX104" s="3" t="str">
        <f>IFERROR(MID(VLOOKUP($B104,Seqs!$A:$B,2,0),AY104,1),"")</f>
        <v>S</v>
      </c>
      <c r="AY104" s="3">
        <v>399</v>
      </c>
      <c r="AZ104" s="79" t="str">
        <f>VLOOKUP(B104,Classification!A:D,2,0)</f>
        <v>A</v>
      </c>
      <c r="BA104" s="97" t="str">
        <f>VLOOKUP(B104,Classification!A:D,4,0)</f>
        <v>Dopamine</v>
      </c>
      <c r="BB104" s="27" t="b">
        <f t="shared" si="223"/>
        <v>1</v>
      </c>
      <c r="BC104" s="23">
        <f t="shared" si="447"/>
        <v>263</v>
      </c>
      <c r="BD104" s="57" t="s">
        <v>1379</v>
      </c>
      <c r="BE104" s="3" t="s">
        <v>1381</v>
      </c>
      <c r="BF104" s="50" t="s">
        <v>1379</v>
      </c>
      <c r="BG104" s="50" t="s">
        <v>1384</v>
      </c>
      <c r="BH104" s="1"/>
      <c r="BI104" s="72" t="s">
        <v>1293</v>
      </c>
      <c r="BJ104" s="58" t="s">
        <v>1293</v>
      </c>
      <c r="BK104" s="58" t="s">
        <v>1293</v>
      </c>
      <c r="BL104" s="58" t="s">
        <v>1293</v>
      </c>
      <c r="BM104" s="58" t="s">
        <v>1293</v>
      </c>
      <c r="BN104" s="58" t="s">
        <v>1293</v>
      </c>
      <c r="BO104" s="58" t="s">
        <v>1293</v>
      </c>
      <c r="BP104" s="58" t="s">
        <v>1293</v>
      </c>
      <c r="BQ104" s="58" t="s">
        <v>1293</v>
      </c>
      <c r="BR104" s="58" t="s">
        <v>1293</v>
      </c>
      <c r="BS104" s="58" t="s">
        <v>1293</v>
      </c>
      <c r="BT104" s="58" t="s">
        <v>1293</v>
      </c>
      <c r="BU104" s="72">
        <f t="shared" si="448"/>
        <v>26</v>
      </c>
      <c r="BV104" s="73">
        <f t="shared" si="449"/>
        <v>58</v>
      </c>
      <c r="BW104" s="74">
        <f t="shared" si="450"/>
        <v>62</v>
      </c>
      <c r="BX104" s="73">
        <f t="shared" si="451"/>
        <v>95</v>
      </c>
      <c r="BY104" s="74">
        <f t="shared" si="452"/>
        <v>99</v>
      </c>
      <c r="BZ104" s="73">
        <f t="shared" si="453"/>
        <v>135</v>
      </c>
      <c r="CA104" s="74">
        <f t="shared" si="454"/>
        <v>146</v>
      </c>
      <c r="CB104" s="73">
        <f t="shared" si="455"/>
        <v>181</v>
      </c>
      <c r="CC104" s="74">
        <f t="shared" si="456"/>
        <v>185</v>
      </c>
      <c r="CD104" s="73">
        <f t="shared" si="457"/>
        <v>318</v>
      </c>
      <c r="CE104" s="74">
        <f t="shared" si="458"/>
        <v>361</v>
      </c>
      <c r="CF104" s="73">
        <f t="shared" si="459"/>
        <v>387</v>
      </c>
      <c r="CG104" s="72">
        <f t="shared" si="460"/>
        <v>57</v>
      </c>
      <c r="CH104" s="73">
        <f t="shared" si="461"/>
        <v>61</v>
      </c>
      <c r="CI104" s="74">
        <f t="shared" si="462"/>
        <v>92</v>
      </c>
      <c r="CJ104" s="74">
        <f t="shared" si="463"/>
        <v>98</v>
      </c>
      <c r="CK104" s="74">
        <f t="shared" si="464"/>
        <v>134</v>
      </c>
      <c r="CL104" s="74">
        <f t="shared" si="465"/>
        <v>143</v>
      </c>
      <c r="CM104" s="74">
        <f t="shared" si="466"/>
        <v>171</v>
      </c>
      <c r="CN104" s="74">
        <f t="shared" si="467"/>
        <v>183</v>
      </c>
      <c r="CO104" s="74">
        <f t="shared" si="468"/>
        <v>226</v>
      </c>
      <c r="CP104" s="74">
        <f t="shared" si="469"/>
        <v>354</v>
      </c>
      <c r="CQ104" s="74">
        <f t="shared" si="470"/>
        <v>386</v>
      </c>
      <c r="CR104" s="74">
        <f t="shared" si="471"/>
        <v>399</v>
      </c>
      <c r="CS104" s="23">
        <f t="shared" si="472"/>
        <v>1</v>
      </c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</row>
    <row r="105" spans="1:1028" x14ac:dyDescent="0.2">
      <c r="A105" s="3" t="str">
        <f t="shared" si="222"/>
        <v>drd3_human_3PBL</v>
      </c>
      <c r="B105" s="3" t="s">
        <v>192</v>
      </c>
      <c r="C105" s="3" t="s">
        <v>72</v>
      </c>
      <c r="D105" s="3" t="str">
        <f>IFERROR(MID(VLOOKUP($B105,Seqs!$A:$B,2,0),E105,1),"")</f>
        <v>Y</v>
      </c>
      <c r="E105" s="3">
        <v>32</v>
      </c>
      <c r="F105" s="3" t="str">
        <f>IFERROR(MID(VLOOKUP($B105,Seqs!$A:$B,2,0),G105,1),"")</f>
        <v>E</v>
      </c>
      <c r="G105" s="3">
        <v>57</v>
      </c>
      <c r="H105" s="3" t="str">
        <f>IFERROR(MID(VLOOKUP($B105,Seqs!$A:$B,2,0),I105,1),"")</f>
        <v>R</v>
      </c>
      <c r="I105" s="23">
        <v>58</v>
      </c>
      <c r="J105" s="3" t="str">
        <f>IFERROR(MID(VLOOKUP($B105,Seqs!$A:$B,2,0),K105,1),"")</f>
        <v>Q</v>
      </c>
      <c r="K105" s="23">
        <v>61</v>
      </c>
      <c r="L105" s="3" t="str">
        <f>IFERROR(MID(VLOOKUP($B105,Seqs!$A:$B,2,0),M105,1),"")</f>
        <v>T</v>
      </c>
      <c r="M105" s="3">
        <v>62</v>
      </c>
      <c r="N105" s="3" t="str">
        <f>IFERROR(MID(VLOOKUP($B105,Seqs!$A:$B,2,0),O105,1),"")</f>
        <v>T</v>
      </c>
      <c r="O105" s="3">
        <v>92</v>
      </c>
      <c r="P105" s="3" t="str">
        <f>IFERROR(MID(VLOOKUP($B105,Seqs!$A:$B,2,0),Q105,1),"")</f>
        <v>V</v>
      </c>
      <c r="Q105" s="3">
        <v>95</v>
      </c>
      <c r="R105" s="3" t="str">
        <f>IFERROR(MID(VLOOKUP($B105,Seqs!$A:$B,2,0),S105,1),"")</f>
        <v>F</v>
      </c>
      <c r="S105" s="3">
        <v>98</v>
      </c>
      <c r="T105" s="3" t="str">
        <f>IFERROR(MID(VLOOKUP($B105,Seqs!$A:$B,2,0),U105,1),"")</f>
        <v>S</v>
      </c>
      <c r="U105" s="3">
        <v>99</v>
      </c>
      <c r="V105" s="3" t="str">
        <f>IFERROR(MID(VLOOKUP($B105,Seqs!$A:$B,2,0),W105,1),"")</f>
        <v>M</v>
      </c>
      <c r="W105" s="3">
        <v>134</v>
      </c>
      <c r="X105" s="3" t="str">
        <f>IFERROR(MID(VLOOKUP($B105,Seqs!$A:$B,2,0),Y105,1),"")</f>
        <v>P</v>
      </c>
      <c r="Y105" s="3">
        <v>135</v>
      </c>
      <c r="Z105" s="3" t="str">
        <f>IFERROR(MID(VLOOKUP($B105,Seqs!$A:$B,2,0),AA105,1),"")</f>
        <v>G</v>
      </c>
      <c r="AA105" s="3">
        <v>143</v>
      </c>
      <c r="AB105" s="3" t="str">
        <f>IFERROR(MID(VLOOKUP($B105,Seqs!$A:$B,2,0),AC105,1),"")</f>
        <v>S</v>
      </c>
      <c r="AC105" s="9">
        <v>146</v>
      </c>
      <c r="AD105" s="3" t="str">
        <f>IFERROR(MID(VLOOKUP($B105,Seqs!$A:$B,2,0),AE105,1),"")</f>
        <v>G</v>
      </c>
      <c r="AE105" s="3">
        <v>171</v>
      </c>
      <c r="AF105" s="3" t="str">
        <f>IFERROR(MID(VLOOKUP($B105,Seqs!$A:$B,2,0),AG105,1),"")</f>
        <v>C</v>
      </c>
      <c r="AG105" s="3">
        <v>181</v>
      </c>
      <c r="AH105" s="3" t="str">
        <f>IFERROR(MID(VLOOKUP($B105,Seqs!$A:$B,2,0),AI105,1),"")</f>
        <v>I</v>
      </c>
      <c r="AI105" s="3">
        <v>183</v>
      </c>
      <c r="AJ105" s="3" t="str">
        <f>IFERROR(MID(VLOOKUP($B105,Seqs!$A:$B,2,0),AK105,1),"")</f>
        <v>N</v>
      </c>
      <c r="AK105" s="3">
        <v>185</v>
      </c>
      <c r="AL105" s="3" t="str">
        <f>IFERROR(MID(VLOOKUP($B105,Seqs!$A:$B,2,0),AM105,1),"")</f>
        <v>K</v>
      </c>
      <c r="AM105" s="3">
        <v>216</v>
      </c>
      <c r="AN105" s="3" t="str">
        <f>IFERROR(MID(VLOOKUP($B105,Seqs!$A:$B,2,0),AO105,1),"")</f>
        <v>R</v>
      </c>
      <c r="AO105" s="3">
        <v>323</v>
      </c>
      <c r="AP105" s="3" t="str">
        <f>IFERROR(MID(VLOOKUP($B105,Seqs!$A:$B,2,0),AQ105,1),"")</f>
        <v>H</v>
      </c>
      <c r="AQ105" s="3">
        <v>354</v>
      </c>
      <c r="AR105" s="3" t="str">
        <f>IFERROR(MID(VLOOKUP($B105,Seqs!$A:$B,2,0),AS105,1),"")</f>
        <v>S</v>
      </c>
      <c r="AS105" s="3">
        <v>361</v>
      </c>
      <c r="AT105" s="3" t="str">
        <f>IFERROR(MID(VLOOKUP($B105,Seqs!$A:$B,2,0),AU105,1),"")</f>
        <v>F</v>
      </c>
      <c r="AU105" s="3">
        <v>386</v>
      </c>
      <c r="AV105" s="3" t="str">
        <f>IFERROR(MID(VLOOKUP($B105,Seqs!$A:$B,2,0),AW105,1),"")</f>
        <v>N</v>
      </c>
      <c r="AW105" s="3">
        <v>387</v>
      </c>
      <c r="AX105" s="3" t="str">
        <f>IFERROR(MID(VLOOKUP($B105,Seqs!$A:$B,2,0),AY105,1),"")</f>
        <v>S</v>
      </c>
      <c r="AY105" s="3">
        <v>399</v>
      </c>
      <c r="AZ105" s="79" t="str">
        <f>VLOOKUP(B105,Classification!A:D,2,0)</f>
        <v>A</v>
      </c>
      <c r="BA105" s="97" t="str">
        <f>VLOOKUP(B105,Classification!A:D,4,0)</f>
        <v>Dopamine</v>
      </c>
      <c r="BB105" s="27" t="b">
        <f t="shared" si="223"/>
        <v>1</v>
      </c>
      <c r="BC105" s="23">
        <f t="shared" si="447"/>
        <v>242</v>
      </c>
      <c r="BD105" s="2" t="s">
        <v>1383</v>
      </c>
      <c r="BE105" s="3" t="s">
        <v>1381</v>
      </c>
      <c r="BF105" s="50" t="s">
        <v>1384</v>
      </c>
      <c r="BG105" s="50" t="s">
        <v>1384</v>
      </c>
      <c r="BH105" s="1"/>
      <c r="BI105" s="72" t="s">
        <v>1293</v>
      </c>
      <c r="BJ105" s="58" t="s">
        <v>1293</v>
      </c>
      <c r="BK105" s="58" t="s">
        <v>1293</v>
      </c>
      <c r="BL105" s="58" t="s">
        <v>1293</v>
      </c>
      <c r="BM105" s="58" t="s">
        <v>1293</v>
      </c>
      <c r="BN105" s="58" t="s">
        <v>1293</v>
      </c>
      <c r="BO105" s="58" t="s">
        <v>1293</v>
      </c>
      <c r="BP105" s="58" t="s">
        <v>1293</v>
      </c>
      <c r="BQ105" s="58" t="s">
        <v>1293</v>
      </c>
      <c r="BR105" s="58" t="s">
        <v>1293</v>
      </c>
      <c r="BS105" s="58" t="s">
        <v>1293</v>
      </c>
      <c r="BT105" s="58" t="s">
        <v>1293</v>
      </c>
      <c r="BU105" s="72">
        <f t="shared" si="448"/>
        <v>32</v>
      </c>
      <c r="BV105" s="73">
        <f t="shared" si="449"/>
        <v>58</v>
      </c>
      <c r="BW105" s="74">
        <f t="shared" si="450"/>
        <v>62</v>
      </c>
      <c r="BX105" s="73">
        <f t="shared" si="451"/>
        <v>95</v>
      </c>
      <c r="BY105" s="74">
        <f t="shared" si="452"/>
        <v>99</v>
      </c>
      <c r="BZ105" s="73">
        <f t="shared" si="453"/>
        <v>135</v>
      </c>
      <c r="CA105" s="74">
        <f t="shared" si="454"/>
        <v>146</v>
      </c>
      <c r="CB105" s="73">
        <f t="shared" si="455"/>
        <v>181</v>
      </c>
      <c r="CC105" s="74">
        <f t="shared" si="456"/>
        <v>185</v>
      </c>
      <c r="CD105" s="73">
        <f t="shared" si="457"/>
        <v>323</v>
      </c>
      <c r="CE105" s="74">
        <f t="shared" si="458"/>
        <v>361</v>
      </c>
      <c r="CF105" s="73">
        <f t="shared" si="459"/>
        <v>387</v>
      </c>
      <c r="CG105" s="72">
        <f t="shared" si="460"/>
        <v>57</v>
      </c>
      <c r="CH105" s="73">
        <f t="shared" si="461"/>
        <v>61</v>
      </c>
      <c r="CI105" s="74">
        <f t="shared" si="462"/>
        <v>92</v>
      </c>
      <c r="CJ105" s="74">
        <f t="shared" si="463"/>
        <v>98</v>
      </c>
      <c r="CK105" s="74">
        <f t="shared" si="464"/>
        <v>134</v>
      </c>
      <c r="CL105" s="74">
        <f t="shared" si="465"/>
        <v>143</v>
      </c>
      <c r="CM105" s="74">
        <f t="shared" si="466"/>
        <v>171</v>
      </c>
      <c r="CN105" s="74">
        <f t="shared" si="467"/>
        <v>183</v>
      </c>
      <c r="CO105" s="74">
        <f t="shared" si="468"/>
        <v>216</v>
      </c>
      <c r="CP105" s="74">
        <f t="shared" si="469"/>
        <v>354</v>
      </c>
      <c r="CQ105" s="74">
        <f t="shared" si="470"/>
        <v>386</v>
      </c>
      <c r="CR105" s="74">
        <f t="shared" si="471"/>
        <v>399</v>
      </c>
      <c r="CS105" s="23">
        <f t="shared" si="472"/>
        <v>1</v>
      </c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</row>
    <row r="106" spans="1:1028" x14ac:dyDescent="0.2">
      <c r="A106" s="3" t="str">
        <f t="shared" si="222"/>
        <v>ednrb_human__wt</v>
      </c>
      <c r="B106" s="2" t="s">
        <v>196</v>
      </c>
      <c r="C106" s="2" t="s">
        <v>100</v>
      </c>
      <c r="D106" s="3" t="str">
        <f>IFERROR(MID(VLOOKUP($B106,Seqs!$A:$B,2,0),E106,1),"")</f>
        <v>Q</v>
      </c>
      <c r="E106" s="2">
        <v>91</v>
      </c>
      <c r="F106" s="3" t="str">
        <f>IFERROR(MID(VLOOKUP($B106,Seqs!$A:$B,2,0),G106,1),"")</f>
        <v>N</v>
      </c>
      <c r="G106" s="2">
        <v>129</v>
      </c>
      <c r="H106" s="3" t="str">
        <f>IFERROR(MID(VLOOKUP($B106,Seqs!$A:$B,2,0),I106,1),"")</f>
        <v>K</v>
      </c>
      <c r="I106" s="57">
        <v>130</v>
      </c>
      <c r="J106" s="3" t="str">
        <f>IFERROR(MID(VLOOKUP($B106,Seqs!$A:$B,2,0),K106,1),"")</f>
        <v>N</v>
      </c>
      <c r="K106" s="57">
        <v>134</v>
      </c>
      <c r="L106" s="3" t="str">
        <f>IFERROR(MID(VLOOKUP($B106,Seqs!$A:$B,2,0),M106,1),"")</f>
        <v>G</v>
      </c>
      <c r="M106" s="2">
        <v>135</v>
      </c>
      <c r="N106" s="3" t="str">
        <f>IFERROR(MID(VLOOKUP($B106,Seqs!$A:$B,2,0),O106,1),"")</f>
        <v>A</v>
      </c>
      <c r="O106" s="2">
        <v>164</v>
      </c>
      <c r="P106" s="3" t="str">
        <f>IFERROR(MID(VLOOKUP($B106,Seqs!$A:$B,2,0),Q106,1),"")</f>
        <v>D</v>
      </c>
      <c r="Q106" s="2">
        <v>166</v>
      </c>
      <c r="R106" s="3" t="str">
        <f>IFERROR(MID(VLOOKUP($B106,Seqs!$A:$B,2,0),S106,1),"")</f>
        <v>F</v>
      </c>
      <c r="S106" s="2">
        <v>169</v>
      </c>
      <c r="T106" s="3" t="str">
        <f>IFERROR(MID(VLOOKUP($B106,Seqs!$A:$B,2,0),U106,1),"")</f>
        <v>G</v>
      </c>
      <c r="U106" s="4">
        <v>170</v>
      </c>
      <c r="V106" s="3" t="str">
        <f>IFERROR(MID(VLOOKUP($B106,Seqs!$A:$B,2,0),W106,1),"")</f>
        <v>S</v>
      </c>
      <c r="W106" s="2">
        <v>205</v>
      </c>
      <c r="X106" s="3" t="str">
        <f>IFERROR(MID(VLOOKUP($B106,Seqs!$A:$B,2,0),Y106,1),"")</f>
        <v>W</v>
      </c>
      <c r="Y106" s="2">
        <v>206</v>
      </c>
      <c r="Z106" s="3" t="str">
        <f>IFERROR(MID(VLOOKUP($B106,Seqs!$A:$B,2,0),AA106,1),"")</f>
        <v>G</v>
      </c>
      <c r="AA106" s="2">
        <v>213</v>
      </c>
      <c r="AB106" s="3" t="str">
        <f>IFERROR(MID(VLOOKUP($B106,Seqs!$A:$B,2,0),AC106,1),"")</f>
        <v>V</v>
      </c>
      <c r="AC106" s="41">
        <v>214</v>
      </c>
      <c r="AD106" s="3" t="str">
        <f>IFERROR(MID(VLOOKUP($B106,Seqs!$A:$B,2,0),AE106,1),"")</f>
        <v>F</v>
      </c>
      <c r="AE106" s="2">
        <v>240</v>
      </c>
      <c r="AF106" s="3" t="str">
        <f>IFERROR(MID(VLOOKUP($B106,Seqs!$A:$B,2,0),AG106,1),"")</f>
        <v>C</v>
      </c>
      <c r="AG106" s="2">
        <v>255</v>
      </c>
      <c r="AH106" s="3" t="str">
        <f>IFERROR(MID(VLOOKUP($B106,Seqs!$A:$B,2,0),AI106,1),"")</f>
        <v>L</v>
      </c>
      <c r="AI106" s="2">
        <v>257</v>
      </c>
      <c r="AJ106" s="3" t="str">
        <f>IFERROR(MID(VLOOKUP($B106,Seqs!$A:$B,2,0),AK106,1),"")</f>
        <v>A</v>
      </c>
      <c r="AK106" s="2">
        <v>264</v>
      </c>
      <c r="AL106" s="3" t="str">
        <f>IFERROR(MID(VLOOKUP($B106,Seqs!$A:$B,2,0),AM106,1),"")</f>
        <v>M</v>
      </c>
      <c r="AM106" s="2">
        <v>307</v>
      </c>
      <c r="AN106" s="3" t="str">
        <f>IFERROR(MID(VLOOKUP($B106,Seqs!$A:$B,2,0),AO106,1),"")</f>
        <v>N</v>
      </c>
      <c r="AO106" s="2">
        <v>312</v>
      </c>
      <c r="AP106" s="3" t="str">
        <f>IFERROR(MID(VLOOKUP($B106,Seqs!$A:$B,2,0),AQ106,1),"")</f>
        <v>Y</v>
      </c>
      <c r="AQ106" s="2">
        <v>350</v>
      </c>
      <c r="AR106" s="3" t="str">
        <f>IFERROR(MID(VLOOKUP($B106,Seqs!$A:$B,2,0),AS106,1),"")</f>
        <v>R</v>
      </c>
      <c r="AS106" s="2">
        <v>357</v>
      </c>
      <c r="AT106" s="3" t="str">
        <f>IFERROR(MID(VLOOKUP($B106,Seqs!$A:$B,2,0),AU106,1),"")</f>
        <v>V</v>
      </c>
      <c r="AU106" s="2">
        <v>389</v>
      </c>
      <c r="AV106" s="3" t="str">
        <f>IFERROR(MID(VLOOKUP($B106,Seqs!$A:$B,2,0),AW106,1),"")</f>
        <v>S</v>
      </c>
      <c r="AW106" s="2">
        <v>390</v>
      </c>
      <c r="AX106" s="3" t="str">
        <f>IFERROR(MID(VLOOKUP($B106,Seqs!$A:$B,2,0),AY106,1),"")</f>
        <v>C</v>
      </c>
      <c r="AY106" s="2">
        <v>403</v>
      </c>
      <c r="AZ106" s="79" t="str">
        <f>VLOOKUP(B106,Classification!A:D,2,0)</f>
        <v>A</v>
      </c>
      <c r="BA106" s="97" t="str">
        <f>VLOOKUP(B106,Classification!A:D,4,0)</f>
        <v>Endothelin</v>
      </c>
      <c r="BB106" s="27" t="b">
        <f t="shared" si="223"/>
        <v>1</v>
      </c>
      <c r="BC106" s="2"/>
      <c r="BD106" s="35" t="s">
        <v>1379</v>
      </c>
      <c r="BE106" s="3" t="s">
        <v>1381</v>
      </c>
      <c r="BF106" s="50" t="s">
        <v>1379</v>
      </c>
      <c r="BG106" s="50" t="s">
        <v>1384</v>
      </c>
      <c r="BH106" s="2"/>
      <c r="BI106" s="72"/>
      <c r="BT106" s="58"/>
      <c r="BU106" s="72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72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2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</row>
    <row r="107" spans="1:1028" x14ac:dyDescent="0.2">
      <c r="A107" s="3" t="str">
        <f t="shared" si="222"/>
        <v>ednrb_human_5GLH</v>
      </c>
      <c r="B107" s="2" t="s">
        <v>196</v>
      </c>
      <c r="C107" s="2" t="s">
        <v>1334</v>
      </c>
      <c r="D107" s="3" t="str">
        <f>IFERROR(MID(VLOOKUP($B107,Seqs!$A:$B,2,0),E107,1),"")</f>
        <v>K</v>
      </c>
      <c r="E107" s="2">
        <v>97</v>
      </c>
      <c r="F107" s="3" t="str">
        <f>IFERROR(MID(VLOOKUP($B107,Seqs!$A:$B,2,0),G107,1),"")</f>
        <v>N</v>
      </c>
      <c r="G107" s="2">
        <v>129</v>
      </c>
      <c r="H107" s="3" t="str">
        <f>IFERROR(MID(VLOOKUP($B107,Seqs!$A:$B,2,0),I107,1),"")</f>
        <v/>
      </c>
      <c r="I107" s="57" t="s">
        <v>23</v>
      </c>
      <c r="J107" s="3" t="str">
        <f>IFERROR(MID(VLOOKUP($B107,Seqs!$A:$B,2,0),K107,1),"")</f>
        <v/>
      </c>
      <c r="K107" s="57" t="s">
        <v>23</v>
      </c>
      <c r="L107" s="3" t="str">
        <f>IFERROR(MID(VLOOKUP($B107,Seqs!$A:$B,2,0),M107,1),"")</f>
        <v>P</v>
      </c>
      <c r="M107" s="2">
        <v>136</v>
      </c>
      <c r="N107" s="3" t="str">
        <f>IFERROR(MID(VLOOKUP($B107,Seqs!$A:$B,2,0),O107,1),"")</f>
        <v>A</v>
      </c>
      <c r="O107" s="2">
        <v>164</v>
      </c>
      <c r="P107" s="3" t="str">
        <f>IFERROR(MID(VLOOKUP($B107,Seqs!$A:$B,2,0),Q107,1),"")</f>
        <v>D</v>
      </c>
      <c r="Q107" s="2">
        <v>166</v>
      </c>
      <c r="R107" s="3" t="str">
        <f>IFERROR(MID(VLOOKUP($B107,Seqs!$A:$B,2,0),S107,1),"")</f>
        <v>F</v>
      </c>
      <c r="S107" s="2">
        <v>169</v>
      </c>
      <c r="T107" s="3" t="str">
        <f>IFERROR(MID(VLOOKUP($B107,Seqs!$A:$B,2,0),U107,1),"")</f>
        <v>G</v>
      </c>
      <c r="U107" s="4">
        <v>170</v>
      </c>
      <c r="V107" s="3" t="str">
        <f>IFERROR(MID(VLOOKUP($B107,Seqs!$A:$B,2,0),W107,1),"")</f>
        <v>S</v>
      </c>
      <c r="W107" s="2">
        <v>205</v>
      </c>
      <c r="X107" s="3" t="str">
        <f>IFERROR(MID(VLOOKUP($B107,Seqs!$A:$B,2,0),Y107,1),"")</f>
        <v/>
      </c>
      <c r="Y107" s="2" t="s">
        <v>23</v>
      </c>
      <c r="Z107" s="3" t="str">
        <f>IFERROR(MID(VLOOKUP($B107,Seqs!$A:$B,2,0),AA107,1),"")</f>
        <v/>
      </c>
      <c r="AA107" s="2" t="s">
        <v>23</v>
      </c>
      <c r="AB107" s="3" t="str">
        <f>IFERROR(MID(VLOOKUP($B107,Seqs!$A:$B,2,0),AC107,1),"")</f>
        <v>T</v>
      </c>
      <c r="AC107" s="41">
        <v>218</v>
      </c>
      <c r="AD107" s="3" t="str">
        <f>IFERROR(MID(VLOOKUP($B107,Seqs!$A:$B,2,0),AE107,1),"")</f>
        <v>F</v>
      </c>
      <c r="AE107" s="2">
        <v>240</v>
      </c>
      <c r="AF107" s="3" t="str">
        <f>IFERROR(MID(VLOOKUP($B107,Seqs!$A:$B,2,0),AG107,1),"")</f>
        <v>C</v>
      </c>
      <c r="AG107" s="2">
        <v>255</v>
      </c>
      <c r="AH107" s="3" t="str">
        <f>IFERROR(MID(VLOOKUP($B107,Seqs!$A:$B,2,0),AI107,1),"")</f>
        <v>L</v>
      </c>
      <c r="AI107" s="2">
        <v>257</v>
      </c>
      <c r="AJ107" s="3" t="str">
        <f>IFERROR(MID(VLOOKUP($B107,Seqs!$A:$B,2,0),AK107,1),"")</f>
        <v>A</v>
      </c>
      <c r="AK107" s="2">
        <v>264</v>
      </c>
      <c r="AL107" s="3" t="str">
        <f>IFERROR(MID(VLOOKUP($B107,Seqs!$A:$B,2,0),AM107,1),"")</f>
        <v>K</v>
      </c>
      <c r="AM107" s="2">
        <v>303</v>
      </c>
      <c r="AN107" s="3" t="str">
        <f>IFERROR(MID(VLOOKUP($B107,Seqs!$A:$B,2,0),AO107,1),"")</f>
        <v>N</v>
      </c>
      <c r="AO107" s="2">
        <v>312</v>
      </c>
      <c r="AP107" s="3" t="str">
        <f>IFERROR(MID(VLOOKUP($B107,Seqs!$A:$B,2,0),AQ107,1),"")</f>
        <v>Y</v>
      </c>
      <c r="AQ107" s="2">
        <v>350</v>
      </c>
      <c r="AR107" s="3" t="str">
        <f>IFERROR(MID(VLOOKUP($B107,Seqs!$A:$B,2,0),AS107,1),"")</f>
        <v>R</v>
      </c>
      <c r="AS107" s="2">
        <v>357</v>
      </c>
      <c r="AT107" s="3" t="str">
        <f>IFERROR(MID(VLOOKUP($B107,Seqs!$A:$B,2,0),AU107,1),"")</f>
        <v>V</v>
      </c>
      <c r="AU107" s="2">
        <v>389</v>
      </c>
      <c r="AV107" s="3" t="str">
        <f>IFERROR(MID(VLOOKUP($B107,Seqs!$A:$B,2,0),AW107,1),"")</f>
        <v>S</v>
      </c>
      <c r="AW107" s="2">
        <v>390</v>
      </c>
      <c r="AX107" s="3" t="str">
        <f>IFERROR(MID(VLOOKUP($B107,Seqs!$A:$B,2,0),AY107,1),"")</f>
        <v>L</v>
      </c>
      <c r="AY107" s="2">
        <v>401</v>
      </c>
      <c r="AZ107" s="79" t="str">
        <f>VLOOKUP(B107,Classification!A:D,2,0)</f>
        <v>A</v>
      </c>
      <c r="BA107" s="97" t="str">
        <f>VLOOKUP(B107,Classification!A:D,4,0)</f>
        <v>Endothelin</v>
      </c>
      <c r="BB107" s="27" t="b">
        <f t="shared" si="223"/>
        <v>1</v>
      </c>
      <c r="BC107" s="23">
        <f t="shared" ref="BC107:BC141" si="473">_xlfn.AGGREGATE(9,6,CG107:CR107)-_xlfn.AGGREGATE(9,6,BU107:CF107)+12</f>
        <v>254</v>
      </c>
      <c r="BD107" s="2" t="s">
        <v>23</v>
      </c>
      <c r="BE107" s="3" t="s">
        <v>1381</v>
      </c>
      <c r="BF107" s="50" t="s">
        <v>1384</v>
      </c>
      <c r="BG107" s="50" t="s">
        <v>1384</v>
      </c>
      <c r="BH107" s="2"/>
      <c r="BI107" s="72" t="s">
        <v>1293</v>
      </c>
      <c r="BJ107" s="58" t="s">
        <v>1293</v>
      </c>
      <c r="BK107" s="58" t="s">
        <v>1293</v>
      </c>
      <c r="BL107" s="58" t="s">
        <v>1293</v>
      </c>
      <c r="BM107" s="58" t="s">
        <v>1293</v>
      </c>
      <c r="BN107" s="58" t="s">
        <v>1293</v>
      </c>
      <c r="BO107" s="58" t="s">
        <v>1293</v>
      </c>
      <c r="BP107" s="58" t="s">
        <v>1293</v>
      </c>
      <c r="BQ107" s="58" t="s">
        <v>1293</v>
      </c>
      <c r="BR107" s="58" t="s">
        <v>1293</v>
      </c>
      <c r="BS107" s="58" t="s">
        <v>1293</v>
      </c>
      <c r="BT107" s="58" t="s">
        <v>1293</v>
      </c>
      <c r="BU107" s="72">
        <f t="shared" ref="BU107:BU141" si="474">E107</f>
        <v>97</v>
      </c>
      <c r="BV107" s="73" t="str">
        <f t="shared" ref="BV107:BV141" si="475">I107</f>
        <v>-</v>
      </c>
      <c r="BW107" s="74">
        <f t="shared" ref="BW107:BW141" si="476">M107</f>
        <v>136</v>
      </c>
      <c r="BX107" s="73">
        <f t="shared" ref="BX107:BX141" si="477">Q107</f>
        <v>166</v>
      </c>
      <c r="BY107" s="74">
        <f t="shared" ref="BY107:BY141" si="478">U107</f>
        <v>170</v>
      </c>
      <c r="BZ107" s="73" t="str">
        <f t="shared" ref="BZ107:BZ141" si="479">Y107</f>
        <v>-</v>
      </c>
      <c r="CA107" s="74">
        <f t="shared" ref="CA107:CA141" si="480">AC107</f>
        <v>218</v>
      </c>
      <c r="CB107" s="73">
        <f t="shared" ref="CB107:CB141" si="481">AG107</f>
        <v>255</v>
      </c>
      <c r="CC107" s="74">
        <f t="shared" ref="CC107:CC141" si="482">AK107</f>
        <v>264</v>
      </c>
      <c r="CD107" s="73">
        <f t="shared" ref="CD107:CD141" si="483">AO107</f>
        <v>312</v>
      </c>
      <c r="CE107" s="74">
        <f t="shared" ref="CE107:CE141" si="484">AS107</f>
        <v>357</v>
      </c>
      <c r="CF107" s="73">
        <f t="shared" ref="CF107:CF141" si="485">AW107</f>
        <v>390</v>
      </c>
      <c r="CG107" s="72">
        <f t="shared" ref="CG107:CG141" si="486">G107</f>
        <v>129</v>
      </c>
      <c r="CH107" s="73" t="str">
        <f t="shared" ref="CH107:CH141" si="487">K107</f>
        <v>-</v>
      </c>
      <c r="CI107" s="74">
        <f t="shared" ref="CI107:CI141" si="488">O107</f>
        <v>164</v>
      </c>
      <c r="CJ107" s="74">
        <f t="shared" ref="CJ107:CJ141" si="489">S107</f>
        <v>169</v>
      </c>
      <c r="CK107" s="74">
        <f t="shared" ref="CK107:CK141" si="490">W107</f>
        <v>205</v>
      </c>
      <c r="CL107" s="74" t="str">
        <f t="shared" ref="CL107:CL141" si="491">AA107</f>
        <v>-</v>
      </c>
      <c r="CM107" s="74">
        <f t="shared" ref="CM107:CM141" si="492">AE107</f>
        <v>240</v>
      </c>
      <c r="CN107" s="74">
        <f t="shared" ref="CN107:CN141" si="493">AI107</f>
        <v>257</v>
      </c>
      <c r="CO107" s="74">
        <f t="shared" ref="CO107:CO141" si="494">AM107</f>
        <v>303</v>
      </c>
      <c r="CP107" s="74">
        <f t="shared" ref="CP107:CP141" si="495">AQ107</f>
        <v>350</v>
      </c>
      <c r="CQ107" s="74">
        <f t="shared" ref="CQ107:CQ141" si="496">AU107</f>
        <v>389</v>
      </c>
      <c r="CR107" s="74">
        <f t="shared" ref="CR107:CR141" si="497">AY107</f>
        <v>401</v>
      </c>
      <c r="CS107" s="23" t="e">
        <f t="shared" ref="CS107:CS141" si="498">M107-K107</f>
        <v>#VALUE!</v>
      </c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</row>
    <row r="108" spans="1:1028" x14ac:dyDescent="0.2">
      <c r="A108" s="3" t="str">
        <f t="shared" si="222"/>
        <v>ednrb_human_5GLI</v>
      </c>
      <c r="B108" s="2" t="s">
        <v>196</v>
      </c>
      <c r="C108" s="2" t="s">
        <v>1333</v>
      </c>
      <c r="D108" s="3" t="str">
        <f>IFERROR(MID(VLOOKUP($B108,Seqs!$A:$B,2,0),E108,1),"")</f>
        <v>Q</v>
      </c>
      <c r="E108" s="2">
        <v>91</v>
      </c>
      <c r="F108" s="3" t="str">
        <f>IFERROR(MID(VLOOKUP($B108,Seqs!$A:$B,2,0),G108,1),"")</f>
        <v>N</v>
      </c>
      <c r="G108" s="2">
        <v>129</v>
      </c>
      <c r="H108" s="3" t="str">
        <f>IFERROR(MID(VLOOKUP($B108,Seqs!$A:$B,2,0),I108,1),"")</f>
        <v>K</v>
      </c>
      <c r="I108" s="57">
        <v>130</v>
      </c>
      <c r="J108" s="3" t="str">
        <f>IFERROR(MID(VLOOKUP($B108,Seqs!$A:$B,2,0),K108,1),"")</f>
        <v>N</v>
      </c>
      <c r="K108" s="57">
        <v>134</v>
      </c>
      <c r="L108" s="3" t="str">
        <f>IFERROR(MID(VLOOKUP($B108,Seqs!$A:$B,2,0),M108,1),"")</f>
        <v>G</v>
      </c>
      <c r="M108" s="2">
        <v>135</v>
      </c>
      <c r="N108" s="3" t="str">
        <f>IFERROR(MID(VLOOKUP($B108,Seqs!$A:$B,2,0),O108,1),"")</f>
        <v>A</v>
      </c>
      <c r="O108" s="2">
        <v>164</v>
      </c>
      <c r="P108" s="3" t="str">
        <f>IFERROR(MID(VLOOKUP($B108,Seqs!$A:$B,2,0),Q108,1),"")</f>
        <v>D</v>
      </c>
      <c r="Q108" s="2">
        <v>166</v>
      </c>
      <c r="R108" s="3" t="str">
        <f>IFERROR(MID(VLOOKUP($B108,Seqs!$A:$B,2,0),S108,1),"")</f>
        <v>F</v>
      </c>
      <c r="S108" s="2">
        <v>169</v>
      </c>
      <c r="T108" s="3" t="str">
        <f>IFERROR(MID(VLOOKUP($B108,Seqs!$A:$B,2,0),U108,1),"")</f>
        <v>G</v>
      </c>
      <c r="U108" s="4">
        <v>170</v>
      </c>
      <c r="V108" s="3" t="str">
        <f>IFERROR(MID(VLOOKUP($B108,Seqs!$A:$B,2,0),W108,1),"")</f>
        <v>S</v>
      </c>
      <c r="W108" s="2">
        <v>205</v>
      </c>
      <c r="X108" s="3" t="str">
        <f>IFERROR(MID(VLOOKUP($B108,Seqs!$A:$B,2,0),Y108,1),"")</f>
        <v/>
      </c>
      <c r="Y108" s="2" t="s">
        <v>23</v>
      </c>
      <c r="Z108" s="3" t="str">
        <f>IFERROR(MID(VLOOKUP($B108,Seqs!$A:$B,2,0),AA108,1),"")</f>
        <v/>
      </c>
      <c r="AA108" s="2" t="s">
        <v>23</v>
      </c>
      <c r="AB108" s="3" t="str">
        <f>IFERROR(MID(VLOOKUP($B108,Seqs!$A:$B,2,0),AC108,1),"")</f>
        <v>K</v>
      </c>
      <c r="AC108" s="41">
        <v>216</v>
      </c>
      <c r="AD108" s="3" t="str">
        <f>IFERROR(MID(VLOOKUP($B108,Seqs!$A:$B,2,0),AE108,1),"")</f>
        <v>F</v>
      </c>
      <c r="AE108" s="2">
        <v>240</v>
      </c>
      <c r="AF108" s="3" t="str">
        <f>IFERROR(MID(VLOOKUP($B108,Seqs!$A:$B,2,0),AG108,1),"")</f>
        <v>C</v>
      </c>
      <c r="AG108" s="2">
        <v>255</v>
      </c>
      <c r="AH108" s="3" t="str">
        <f>IFERROR(MID(VLOOKUP($B108,Seqs!$A:$B,2,0),AI108,1),"")</f>
        <v>L</v>
      </c>
      <c r="AI108" s="2">
        <v>257</v>
      </c>
      <c r="AJ108" s="3" t="str">
        <f>IFERROR(MID(VLOOKUP($B108,Seqs!$A:$B,2,0),AK108,1),"")</f>
        <v>A</v>
      </c>
      <c r="AK108" s="2">
        <v>264</v>
      </c>
      <c r="AL108" s="3" t="str">
        <f>IFERROR(MID(VLOOKUP($B108,Seqs!$A:$B,2,0),AM108,1),"")</f>
        <v>K</v>
      </c>
      <c r="AM108" s="2">
        <v>303</v>
      </c>
      <c r="AN108" s="3" t="str">
        <f>IFERROR(MID(VLOOKUP($B108,Seqs!$A:$B,2,0),AO108,1),"")</f>
        <v>N</v>
      </c>
      <c r="AO108" s="2">
        <v>312</v>
      </c>
      <c r="AP108" s="3" t="str">
        <f>IFERROR(MID(VLOOKUP($B108,Seqs!$A:$B,2,0),AQ108,1),"")</f>
        <v>Y</v>
      </c>
      <c r="AQ108" s="2">
        <v>350</v>
      </c>
      <c r="AR108" s="3" t="str">
        <f>IFERROR(MID(VLOOKUP($B108,Seqs!$A:$B,2,0),AS108,1),"")</f>
        <v>R</v>
      </c>
      <c r="AS108" s="2">
        <v>357</v>
      </c>
      <c r="AT108" s="3" t="str">
        <f>IFERROR(MID(VLOOKUP($B108,Seqs!$A:$B,2,0),AU108,1),"")</f>
        <v>V</v>
      </c>
      <c r="AU108" s="2">
        <v>389</v>
      </c>
      <c r="AV108" s="3" t="str">
        <f>IFERROR(MID(VLOOKUP($B108,Seqs!$A:$B,2,0),AW108,1),"")</f>
        <v>S</v>
      </c>
      <c r="AW108" s="2">
        <v>390</v>
      </c>
      <c r="AX108" s="3" t="str">
        <f>IFERROR(MID(VLOOKUP($B108,Seqs!$A:$B,2,0),AY108,1),"")</f>
        <v>C</v>
      </c>
      <c r="AY108" s="2">
        <v>403</v>
      </c>
      <c r="AZ108" s="79" t="str">
        <f>VLOOKUP(B108,Classification!A:D,2,0)</f>
        <v>A</v>
      </c>
      <c r="BA108" s="97" t="str">
        <f>VLOOKUP(B108,Classification!A:D,4,0)</f>
        <v>Endothelin</v>
      </c>
      <c r="BB108" s="27" t="b">
        <f t="shared" si="223"/>
        <v>1</v>
      </c>
      <c r="BC108" s="23">
        <f t="shared" si="473"/>
        <v>269</v>
      </c>
      <c r="BD108" s="2" t="s">
        <v>1383</v>
      </c>
      <c r="BE108" s="3" t="s">
        <v>1381</v>
      </c>
      <c r="BF108" s="50" t="s">
        <v>1384</v>
      </c>
      <c r="BG108" s="50" t="s">
        <v>1384</v>
      </c>
      <c r="BH108" s="2"/>
      <c r="BI108" s="72" t="s">
        <v>1293</v>
      </c>
      <c r="BJ108" s="58" t="s">
        <v>1293</v>
      </c>
      <c r="BK108" s="58" t="s">
        <v>1293</v>
      </c>
      <c r="BL108" s="58" t="s">
        <v>1293</v>
      </c>
      <c r="BM108" s="58" t="s">
        <v>1293</v>
      </c>
      <c r="BN108" s="58" t="s">
        <v>1293</v>
      </c>
      <c r="BO108" s="58" t="s">
        <v>1293</v>
      </c>
      <c r="BP108" s="58" t="s">
        <v>1293</v>
      </c>
      <c r="BQ108" s="58" t="s">
        <v>1293</v>
      </c>
      <c r="BR108" s="58" t="s">
        <v>1293</v>
      </c>
      <c r="BS108" s="58" t="s">
        <v>1293</v>
      </c>
      <c r="BT108" s="58" t="s">
        <v>1293</v>
      </c>
      <c r="BU108" s="72">
        <f t="shared" si="474"/>
        <v>91</v>
      </c>
      <c r="BV108" s="73">
        <f t="shared" si="475"/>
        <v>130</v>
      </c>
      <c r="BW108" s="74">
        <f t="shared" si="476"/>
        <v>135</v>
      </c>
      <c r="BX108" s="73">
        <f t="shared" si="477"/>
        <v>166</v>
      </c>
      <c r="BY108" s="74">
        <f t="shared" si="478"/>
        <v>170</v>
      </c>
      <c r="BZ108" s="73" t="str">
        <f t="shared" si="479"/>
        <v>-</v>
      </c>
      <c r="CA108" s="74">
        <f t="shared" si="480"/>
        <v>216</v>
      </c>
      <c r="CB108" s="73">
        <f t="shared" si="481"/>
        <v>255</v>
      </c>
      <c r="CC108" s="74">
        <f t="shared" si="482"/>
        <v>264</v>
      </c>
      <c r="CD108" s="73">
        <f t="shared" si="483"/>
        <v>312</v>
      </c>
      <c r="CE108" s="74">
        <f t="shared" si="484"/>
        <v>357</v>
      </c>
      <c r="CF108" s="73">
        <f t="shared" si="485"/>
        <v>390</v>
      </c>
      <c r="CG108" s="72">
        <f t="shared" si="486"/>
        <v>129</v>
      </c>
      <c r="CH108" s="73">
        <f t="shared" si="487"/>
        <v>134</v>
      </c>
      <c r="CI108" s="74">
        <f t="shared" si="488"/>
        <v>164</v>
      </c>
      <c r="CJ108" s="74">
        <f t="shared" si="489"/>
        <v>169</v>
      </c>
      <c r="CK108" s="74">
        <f t="shared" si="490"/>
        <v>205</v>
      </c>
      <c r="CL108" s="74" t="str">
        <f t="shared" si="491"/>
        <v>-</v>
      </c>
      <c r="CM108" s="74">
        <f t="shared" si="492"/>
        <v>240</v>
      </c>
      <c r="CN108" s="74">
        <f t="shared" si="493"/>
        <v>257</v>
      </c>
      <c r="CO108" s="74">
        <f t="shared" si="494"/>
        <v>303</v>
      </c>
      <c r="CP108" s="74">
        <f t="shared" si="495"/>
        <v>350</v>
      </c>
      <c r="CQ108" s="74">
        <f t="shared" si="496"/>
        <v>389</v>
      </c>
      <c r="CR108" s="74">
        <f t="shared" si="497"/>
        <v>403</v>
      </c>
      <c r="CS108" s="23">
        <f t="shared" si="498"/>
        <v>1</v>
      </c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</row>
    <row r="109" spans="1:1028" x14ac:dyDescent="0.2">
      <c r="A109" s="3" t="str">
        <f t="shared" si="222"/>
        <v>ffar1_human__wt</v>
      </c>
      <c r="B109" s="3" t="s">
        <v>1173</v>
      </c>
      <c r="C109" s="3" t="s">
        <v>100</v>
      </c>
      <c r="D109" s="3" t="str">
        <f>IFERROR(MID(VLOOKUP($B109,Seqs!$A:$B,2,0),E109,1),"")</f>
        <v>P</v>
      </c>
      <c r="E109" s="3">
        <v>4</v>
      </c>
      <c r="F109" s="3" t="str">
        <f>IFERROR(MID(VLOOKUP($B109,Seqs!$A:$B,2,0),G109,1),"")</f>
        <v>R</v>
      </c>
      <c r="G109" s="3">
        <v>37</v>
      </c>
      <c r="H109" s="3" t="str">
        <f>IFERROR(MID(VLOOKUP($B109,Seqs!$A:$B,2,0),I109,1),"")</f>
        <v/>
      </c>
      <c r="I109" s="23" t="s">
        <v>23</v>
      </c>
      <c r="J109" s="3" t="str">
        <f>IFERROR(MID(VLOOKUP($B109,Seqs!$A:$B,2,0),K109,1),"")</f>
        <v/>
      </c>
      <c r="K109" s="23" t="s">
        <v>23</v>
      </c>
      <c r="L109" s="3" t="str">
        <f>IFERROR(MID(VLOOKUP($B109,Seqs!$A:$B,2,0),M109,1),"")</f>
        <v>T</v>
      </c>
      <c r="M109" s="3">
        <v>39</v>
      </c>
      <c r="N109" s="3" t="str">
        <f>IFERROR(MID(VLOOKUP($B109,Seqs!$A:$B,2,0),O109,1),"")</f>
        <v>S</v>
      </c>
      <c r="O109" s="3">
        <v>69</v>
      </c>
      <c r="P109" s="3" t="str">
        <f>IFERROR(MID(VLOOKUP($B109,Seqs!$A:$B,2,0),Q109,1),"")</f>
        <v>A</v>
      </c>
      <c r="Q109" s="3">
        <v>71</v>
      </c>
      <c r="R109" s="3" t="str">
        <f>IFERROR(MID(VLOOKUP($B109,Seqs!$A:$B,2,0),S109,1),"")</f>
        <v>L</v>
      </c>
      <c r="S109" s="3">
        <v>74</v>
      </c>
      <c r="T109" s="3" t="str">
        <f>IFERROR(MID(VLOOKUP($B109,Seqs!$A:$B,2,0),U109,1),"")</f>
        <v>P</v>
      </c>
      <c r="U109" s="3">
        <v>75</v>
      </c>
      <c r="V109" s="3" t="str">
        <f>IFERROR(MID(VLOOKUP($B109,Seqs!$A:$B,2,0),W109,1),"")</f>
        <v>F</v>
      </c>
      <c r="W109" s="3">
        <v>110</v>
      </c>
      <c r="X109" s="3" t="str">
        <f>IFERROR(MID(VLOOKUP($B109,Seqs!$A:$B,2,0),Y109,1),"")</f>
        <v>P</v>
      </c>
      <c r="Y109" s="3">
        <v>111</v>
      </c>
      <c r="Z109" s="3" t="str">
        <f>IFERROR(MID(VLOOKUP($B109,Seqs!$A:$B,2,0),AA109,1),"")</f>
        <v>R</v>
      </c>
      <c r="AA109" s="3">
        <v>118</v>
      </c>
      <c r="AB109" s="3" t="str">
        <f>IFERROR(MID(VLOOKUP($B109,Seqs!$A:$B,2,0),AC109,1),"")</f>
        <v>R</v>
      </c>
      <c r="AC109" s="9">
        <v>119</v>
      </c>
      <c r="AD109" s="3" t="str">
        <f>IFERROR(MID(VLOOKUP($B109,Seqs!$A:$B,2,0),AE109,1),"")</f>
        <v>A</v>
      </c>
      <c r="AE109" s="3">
        <v>146</v>
      </c>
      <c r="AF109" s="3" t="str">
        <f>IFERROR(MID(VLOOKUP($B109,Seqs!$A:$B,2,0),AG109,1),"")</f>
        <v>C</v>
      </c>
      <c r="AG109" s="3">
        <v>170</v>
      </c>
      <c r="AH109" s="3" t="str">
        <f>IFERROR(MID(VLOOKUP($B109,Seqs!$A:$B,2,0),AI109,1),"")</f>
        <v>E</v>
      </c>
      <c r="AI109" s="3">
        <v>172</v>
      </c>
      <c r="AJ109" s="3" t="str">
        <f>IFERROR(MID(VLOOKUP($B109,Seqs!$A:$B,2,0),AK109,1),"")</f>
        <v>D</v>
      </c>
      <c r="AK109" s="3">
        <v>175</v>
      </c>
      <c r="AL109" s="3" t="str">
        <f>IFERROR(MID(VLOOKUP($B109,Seqs!$A:$B,2,0),AM109,1),"")</f>
        <v>R</v>
      </c>
      <c r="AM109" s="3">
        <v>211</v>
      </c>
      <c r="AN109" s="3" t="str">
        <f>IFERROR(MID(VLOOKUP($B109,Seqs!$A:$B,2,0),AO109,1),"")</f>
        <v>R</v>
      </c>
      <c r="AO109" s="3">
        <v>217</v>
      </c>
      <c r="AP109" s="3" t="str">
        <f>IFERROR(MID(VLOOKUP($B109,Seqs!$A:$B,2,0),AQ109,1),"")</f>
        <v>Y</v>
      </c>
      <c r="AQ109" s="3">
        <v>250</v>
      </c>
      <c r="AR109" s="3" t="str">
        <f>IFERROR(MID(VLOOKUP($B109,Seqs!$A:$B,2,0),AS109,1),"")</f>
        <v>G</v>
      </c>
      <c r="AS109" s="3">
        <v>255</v>
      </c>
      <c r="AT109" s="3" t="str">
        <f>IFERROR(MID(VLOOKUP($B109,Seqs!$A:$B,2,0),AU109,1),"")</f>
        <v>L</v>
      </c>
      <c r="AU109" s="3">
        <v>279</v>
      </c>
      <c r="AV109" s="3" t="str">
        <f>IFERROR(MID(VLOOKUP($B109,Seqs!$A:$B,2,0),AW109,1),"")</f>
        <v>G</v>
      </c>
      <c r="AW109" s="3">
        <v>280</v>
      </c>
      <c r="AX109" s="3" t="str">
        <f>IFERROR(MID(VLOOKUP($B109,Seqs!$A:$B,2,0),AY109,1),"")</f>
        <v>Q</v>
      </c>
      <c r="AY109" s="3">
        <v>294</v>
      </c>
      <c r="AZ109" s="79" t="str">
        <f>VLOOKUP(B109,Classification!A:D,2,0)</f>
        <v>A</v>
      </c>
      <c r="BA109" s="97" t="str">
        <f>VLOOKUP(B109,Classification!A:D,4,0)</f>
        <v>Freefattyacid</v>
      </c>
      <c r="BB109" s="27" t="b">
        <f t="shared" si="223"/>
        <v>1</v>
      </c>
      <c r="BC109" s="23">
        <f t="shared" si="473"/>
        <v>256</v>
      </c>
      <c r="BD109" s="35" t="s">
        <v>1379</v>
      </c>
      <c r="BE109" s="3" t="s">
        <v>1381</v>
      </c>
      <c r="BF109" s="50" t="s">
        <v>1379</v>
      </c>
      <c r="BG109" s="50" t="s">
        <v>1384</v>
      </c>
      <c r="BH109" s="1"/>
      <c r="BI109" s="72" t="s">
        <v>1293</v>
      </c>
      <c r="BJ109" s="58" t="s">
        <v>1293</v>
      </c>
      <c r="BK109" s="58" t="s">
        <v>1293</v>
      </c>
      <c r="BL109" s="58" t="s">
        <v>1293</v>
      </c>
      <c r="BM109" s="58" t="s">
        <v>1293</v>
      </c>
      <c r="BN109" s="58" t="s">
        <v>1293</v>
      </c>
      <c r="BO109" s="58" t="s">
        <v>1293</v>
      </c>
      <c r="BP109" s="58" t="s">
        <v>1293</v>
      </c>
      <c r="BQ109" s="58" t="s">
        <v>1293</v>
      </c>
      <c r="BR109" s="58" t="s">
        <v>1293</v>
      </c>
      <c r="BS109" s="58" t="s">
        <v>1293</v>
      </c>
      <c r="BT109" s="58" t="s">
        <v>1293</v>
      </c>
      <c r="BU109" s="72">
        <f t="shared" si="474"/>
        <v>4</v>
      </c>
      <c r="BV109" s="73" t="str">
        <f t="shared" si="475"/>
        <v>-</v>
      </c>
      <c r="BW109" s="74">
        <f t="shared" si="476"/>
        <v>39</v>
      </c>
      <c r="BX109" s="73">
        <f t="shared" si="477"/>
        <v>71</v>
      </c>
      <c r="BY109" s="74">
        <f t="shared" si="478"/>
        <v>75</v>
      </c>
      <c r="BZ109" s="73">
        <f t="shared" si="479"/>
        <v>111</v>
      </c>
      <c r="CA109" s="74">
        <f t="shared" si="480"/>
        <v>119</v>
      </c>
      <c r="CB109" s="73">
        <f t="shared" si="481"/>
        <v>170</v>
      </c>
      <c r="CC109" s="74">
        <f t="shared" si="482"/>
        <v>175</v>
      </c>
      <c r="CD109" s="73">
        <f t="shared" si="483"/>
        <v>217</v>
      </c>
      <c r="CE109" s="74">
        <f t="shared" si="484"/>
        <v>255</v>
      </c>
      <c r="CF109" s="73">
        <f t="shared" si="485"/>
        <v>280</v>
      </c>
      <c r="CG109" s="72">
        <f t="shared" si="486"/>
        <v>37</v>
      </c>
      <c r="CH109" s="73" t="str">
        <f t="shared" si="487"/>
        <v>-</v>
      </c>
      <c r="CI109" s="74">
        <f t="shared" si="488"/>
        <v>69</v>
      </c>
      <c r="CJ109" s="74">
        <f t="shared" si="489"/>
        <v>74</v>
      </c>
      <c r="CK109" s="74">
        <f t="shared" si="490"/>
        <v>110</v>
      </c>
      <c r="CL109" s="74">
        <f t="shared" si="491"/>
        <v>118</v>
      </c>
      <c r="CM109" s="74">
        <f t="shared" si="492"/>
        <v>146</v>
      </c>
      <c r="CN109" s="74">
        <f t="shared" si="493"/>
        <v>172</v>
      </c>
      <c r="CO109" s="74">
        <f t="shared" si="494"/>
        <v>211</v>
      </c>
      <c r="CP109" s="74">
        <f t="shared" si="495"/>
        <v>250</v>
      </c>
      <c r="CQ109" s="74">
        <f t="shared" si="496"/>
        <v>279</v>
      </c>
      <c r="CR109" s="74">
        <f t="shared" si="497"/>
        <v>294</v>
      </c>
      <c r="CS109" s="23" t="e">
        <f t="shared" si="498"/>
        <v>#VALUE!</v>
      </c>
    </row>
    <row r="110" spans="1:1028" x14ac:dyDescent="0.2">
      <c r="A110" s="3" t="str">
        <f t="shared" si="222"/>
        <v>ffar1_human_4PHU</v>
      </c>
      <c r="B110" s="3" t="s">
        <v>1173</v>
      </c>
      <c r="C110" s="3" t="s">
        <v>52</v>
      </c>
      <c r="D110" s="3" t="str">
        <f>IFERROR(MID(VLOOKUP($B110,Seqs!$A:$B,2,0),E110,1),"")</f>
        <v>P</v>
      </c>
      <c r="E110" s="3">
        <v>4</v>
      </c>
      <c r="F110" s="3" t="str">
        <f>IFERROR(MID(VLOOKUP($B110,Seqs!$A:$B,2,0),G110,1),"")</f>
        <v>R</v>
      </c>
      <c r="G110" s="3">
        <v>37</v>
      </c>
      <c r="H110" s="3" t="str">
        <f>IFERROR(MID(VLOOKUP($B110,Seqs!$A:$B,2,0),I110,1),"")</f>
        <v/>
      </c>
      <c r="I110" s="23" t="s">
        <v>23</v>
      </c>
      <c r="J110" s="3" t="str">
        <f>IFERROR(MID(VLOOKUP($B110,Seqs!$A:$B,2,0),K110,1),"")</f>
        <v/>
      </c>
      <c r="K110" s="23" t="s">
        <v>23</v>
      </c>
      <c r="L110" s="3" t="str">
        <f>IFERROR(MID(VLOOKUP($B110,Seqs!$A:$B,2,0),M110,1),"")</f>
        <v>T</v>
      </c>
      <c r="M110" s="3">
        <v>39</v>
      </c>
      <c r="N110" s="3" t="str">
        <f>IFERROR(MID(VLOOKUP($B110,Seqs!$A:$B,2,0),O110,1),"")</f>
        <v>S</v>
      </c>
      <c r="O110" s="3">
        <v>69</v>
      </c>
      <c r="P110" s="3" t="str">
        <f>IFERROR(MID(VLOOKUP($B110,Seqs!$A:$B,2,0),Q110,1),"")</f>
        <v>A</v>
      </c>
      <c r="Q110" s="3">
        <v>71</v>
      </c>
      <c r="R110" s="3" t="str">
        <f>IFERROR(MID(VLOOKUP($B110,Seqs!$A:$B,2,0),S110,1),"")</f>
        <v>L</v>
      </c>
      <c r="S110" s="3">
        <v>74</v>
      </c>
      <c r="T110" s="3" t="str">
        <f>IFERROR(MID(VLOOKUP($B110,Seqs!$A:$B,2,0),U110,1),"")</f>
        <v>P</v>
      </c>
      <c r="U110" s="3">
        <v>75</v>
      </c>
      <c r="V110" s="3" t="str">
        <f>IFERROR(MID(VLOOKUP($B110,Seqs!$A:$B,2,0),W110,1),"")</f>
        <v>F</v>
      </c>
      <c r="W110" s="3">
        <v>110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C</v>
      </c>
      <c r="AC110" s="9">
        <v>121</v>
      </c>
      <c r="AD110" s="3" t="str">
        <f>IFERROR(MID(VLOOKUP($B110,Seqs!$A:$B,2,0),AE110,1),"")</f>
        <v>A</v>
      </c>
      <c r="AE110" s="3">
        <v>146</v>
      </c>
      <c r="AF110" s="3" t="str">
        <f>IFERROR(MID(VLOOKUP($B110,Seqs!$A:$B,2,0),AG110,1),"")</f>
        <v>C</v>
      </c>
      <c r="AG110" s="3">
        <v>170</v>
      </c>
      <c r="AH110" s="3" t="str">
        <f>IFERROR(MID(VLOOKUP($B110,Seqs!$A:$B,2,0),AI110,1),"")</f>
        <v>E</v>
      </c>
      <c r="AI110" s="3">
        <v>172</v>
      </c>
      <c r="AJ110" s="3" t="str">
        <f>IFERROR(MID(VLOOKUP($B110,Seqs!$A:$B,2,0),AK110,1),"")</f>
        <v>D</v>
      </c>
      <c r="AK110" s="3">
        <v>175</v>
      </c>
      <c r="AL110" s="3" t="str">
        <f>IFERROR(MID(VLOOKUP($B110,Seqs!$A:$B,2,0),AM110,1),"")</f>
        <v>A</v>
      </c>
      <c r="AM110" s="3">
        <v>210</v>
      </c>
      <c r="AN110" s="3" t="str">
        <f>IFERROR(MID(VLOOKUP($B110,Seqs!$A:$B,2,0),AO110,1),"")</f>
        <v>L</v>
      </c>
      <c r="AO110" s="3">
        <v>214</v>
      </c>
      <c r="AP110" s="3" t="str">
        <f>IFERROR(MID(VLOOKUP($B110,Seqs!$A:$B,2,0),AQ110,1),"")</f>
        <v>Y</v>
      </c>
      <c r="AQ110" s="3">
        <v>250</v>
      </c>
      <c r="AR110" s="3" t="str">
        <f>IFERROR(MID(VLOOKUP($B110,Seqs!$A:$B,2,0),AS110,1),"")</f>
        <v>G</v>
      </c>
      <c r="AS110" s="3">
        <v>255</v>
      </c>
      <c r="AT110" s="3" t="str">
        <f>IFERROR(MID(VLOOKUP($B110,Seqs!$A:$B,2,0),AU110,1),"")</f>
        <v>T</v>
      </c>
      <c r="AU110" s="3">
        <v>276</v>
      </c>
      <c r="AV110" s="3" t="str">
        <f>IFERROR(MID(VLOOKUP($B110,Seqs!$A:$B,2,0),AW110,1),"")</f>
        <v/>
      </c>
      <c r="AW110" s="3" t="s">
        <v>23</v>
      </c>
      <c r="AX110" s="3" t="str">
        <f>IFERROR(MID(VLOOKUP($B110,Seqs!$A:$B,2,0),AY110,1),"")</f>
        <v/>
      </c>
      <c r="AY110" s="3" t="s">
        <v>23</v>
      </c>
      <c r="AZ110" s="79" t="str">
        <f>VLOOKUP(B110,Classification!A:D,2,0)</f>
        <v>A</v>
      </c>
      <c r="BA110" s="97" t="str">
        <f>VLOOKUP(B110,Classification!A:D,4,0)</f>
        <v>Freefattyacid</v>
      </c>
      <c r="BB110" s="27" t="b">
        <f t="shared" si="223"/>
        <v>1</v>
      </c>
      <c r="BC110" s="23">
        <f t="shared" si="473"/>
        <v>232</v>
      </c>
      <c r="BD110" s="16" t="s">
        <v>1383</v>
      </c>
      <c r="BE110" s="3" t="s">
        <v>1381</v>
      </c>
      <c r="BF110" s="50" t="s">
        <v>1384</v>
      </c>
      <c r="BG110" s="50" t="s">
        <v>1384</v>
      </c>
      <c r="BH110" s="1"/>
      <c r="BI110" s="72" t="s">
        <v>1293</v>
      </c>
      <c r="BJ110" s="58" t="s">
        <v>1293</v>
      </c>
      <c r="BK110" s="58" t="s">
        <v>1293</v>
      </c>
      <c r="BL110" s="58" t="s">
        <v>1293</v>
      </c>
      <c r="BM110" s="58" t="s">
        <v>1293</v>
      </c>
      <c r="BN110" s="58" t="s">
        <v>1293</v>
      </c>
      <c r="BO110" s="58" t="s">
        <v>1293</v>
      </c>
      <c r="BP110" s="58" t="s">
        <v>1293</v>
      </c>
      <c r="BQ110" s="58" t="s">
        <v>1293</v>
      </c>
      <c r="BR110" s="58" t="s">
        <v>1293</v>
      </c>
      <c r="BS110" s="58" t="s">
        <v>1293</v>
      </c>
      <c r="BT110" s="58" t="s">
        <v>1293</v>
      </c>
      <c r="BU110" s="72">
        <f t="shared" si="474"/>
        <v>4</v>
      </c>
      <c r="BV110" s="73" t="str">
        <f t="shared" si="475"/>
        <v>-</v>
      </c>
      <c r="BW110" s="74">
        <f t="shared" si="476"/>
        <v>39</v>
      </c>
      <c r="BX110" s="73">
        <f t="shared" si="477"/>
        <v>71</v>
      </c>
      <c r="BY110" s="74">
        <f t="shared" si="478"/>
        <v>75</v>
      </c>
      <c r="BZ110" s="73" t="str">
        <f t="shared" si="479"/>
        <v>-</v>
      </c>
      <c r="CA110" s="74">
        <f t="shared" si="480"/>
        <v>121</v>
      </c>
      <c r="CB110" s="73">
        <f t="shared" si="481"/>
        <v>170</v>
      </c>
      <c r="CC110" s="74">
        <f t="shared" si="482"/>
        <v>175</v>
      </c>
      <c r="CD110" s="73">
        <f t="shared" si="483"/>
        <v>214</v>
      </c>
      <c r="CE110" s="74">
        <f t="shared" si="484"/>
        <v>255</v>
      </c>
      <c r="CF110" s="73" t="str">
        <f t="shared" si="485"/>
        <v>-</v>
      </c>
      <c r="CG110" s="72">
        <f t="shared" si="486"/>
        <v>37</v>
      </c>
      <c r="CH110" s="73" t="str">
        <f t="shared" si="487"/>
        <v>-</v>
      </c>
      <c r="CI110" s="74">
        <f t="shared" si="488"/>
        <v>69</v>
      </c>
      <c r="CJ110" s="74">
        <f t="shared" si="489"/>
        <v>74</v>
      </c>
      <c r="CK110" s="74">
        <f t="shared" si="490"/>
        <v>110</v>
      </c>
      <c r="CL110" s="74" t="str">
        <f t="shared" si="491"/>
        <v>-</v>
      </c>
      <c r="CM110" s="74">
        <f t="shared" si="492"/>
        <v>146</v>
      </c>
      <c r="CN110" s="74">
        <f t="shared" si="493"/>
        <v>172</v>
      </c>
      <c r="CO110" s="74">
        <f t="shared" si="494"/>
        <v>210</v>
      </c>
      <c r="CP110" s="74">
        <f t="shared" si="495"/>
        <v>250</v>
      </c>
      <c r="CQ110" s="74">
        <f t="shared" si="496"/>
        <v>276</v>
      </c>
      <c r="CR110" s="74" t="str">
        <f t="shared" si="497"/>
        <v>-</v>
      </c>
      <c r="CS110" s="23" t="e">
        <f t="shared" si="498"/>
        <v>#VALUE!</v>
      </c>
    </row>
    <row r="111" spans="1:1028" s="12" customFormat="1" x14ac:dyDescent="0.2">
      <c r="A111" s="9" t="str">
        <f t="shared" ref="A111" si="499">CONCATENATE(B111,"_",C111)</f>
        <v>ffar1_human_5TZR</v>
      </c>
      <c r="B111" s="9" t="s">
        <v>1173</v>
      </c>
      <c r="C111" s="9" t="s">
        <v>1426</v>
      </c>
      <c r="D111" s="9" t="str">
        <f>IFERROR(MID(VLOOKUP($B111,Seqs!$A:$B,2,0),E111,1),"")</f>
        <v>P</v>
      </c>
      <c r="E111" s="9">
        <v>4</v>
      </c>
      <c r="F111" s="9" t="str">
        <f>IFERROR(MID(VLOOKUP($B111,Seqs!$A:$B,2,0),G111,1),"")</f>
        <v>R</v>
      </c>
      <c r="G111" s="9">
        <v>37</v>
      </c>
      <c r="H111" s="9" t="str">
        <f>IFERROR(MID(VLOOKUP($B111,Seqs!$A:$B,2,0),I111,1),"")</f>
        <v/>
      </c>
      <c r="I111" s="112" t="s">
        <v>23</v>
      </c>
      <c r="J111" s="9" t="str">
        <f>IFERROR(MID(VLOOKUP($B111,Seqs!$A:$B,2,0),K111,1),"")</f>
        <v/>
      </c>
      <c r="K111" s="112" t="s">
        <v>23</v>
      </c>
      <c r="L111" s="9" t="str">
        <f>IFERROR(MID(VLOOKUP($B111,Seqs!$A:$B,2,0),M111,1),"")</f>
        <v>T</v>
      </c>
      <c r="M111" s="9">
        <v>39</v>
      </c>
      <c r="N111" s="9" t="str">
        <f>IFERROR(MID(VLOOKUP($B111,Seqs!$A:$B,2,0),O111,1),"")</f>
        <v>S</v>
      </c>
      <c r="O111" s="9">
        <v>69</v>
      </c>
      <c r="P111" s="9" t="str">
        <f>IFERROR(MID(VLOOKUP($B111,Seqs!$A:$B,2,0),Q111,1),"")</f>
        <v>A</v>
      </c>
      <c r="Q111" s="9">
        <v>71</v>
      </c>
      <c r="R111" s="9" t="str">
        <f>IFERROR(MID(VLOOKUP($B111,Seqs!$A:$B,2,0),S111,1),"")</f>
        <v>L</v>
      </c>
      <c r="S111" s="9">
        <v>74</v>
      </c>
      <c r="T111" s="9" t="str">
        <f>IFERROR(MID(VLOOKUP($B111,Seqs!$A:$B,2,0),U111,1),"")</f>
        <v>P</v>
      </c>
      <c r="U111" s="9">
        <v>75</v>
      </c>
      <c r="V111" s="9" t="str">
        <f>IFERROR(MID(VLOOKUP($B111,Seqs!$A:$B,2,0),W111,1),"")</f>
        <v>F</v>
      </c>
      <c r="W111" s="9">
        <v>110</v>
      </c>
      <c r="X111" s="9" t="str">
        <f>IFERROR(MID(VLOOKUP($B111,Seqs!$A:$B,2,0),Y111,1),"")</f>
        <v/>
      </c>
      <c r="Y111" s="9" t="s">
        <v>23</v>
      </c>
      <c r="Z111" s="9" t="str">
        <f>IFERROR(MID(VLOOKUP($B111,Seqs!$A:$B,2,0),AA111,1),"")</f>
        <v/>
      </c>
      <c r="AA111" s="9" t="s">
        <v>23</v>
      </c>
      <c r="AB111" s="9" t="str">
        <f>IFERROR(MID(VLOOKUP($B111,Seqs!$A:$B,2,0),AC111,1),"")</f>
        <v>C</v>
      </c>
      <c r="AC111" s="9">
        <v>121</v>
      </c>
      <c r="AD111" s="9" t="str">
        <f>IFERROR(MID(VLOOKUP($B111,Seqs!$A:$B,2,0),AE111,1),"")</f>
        <v>A</v>
      </c>
      <c r="AE111" s="9">
        <v>146</v>
      </c>
      <c r="AF111" s="9" t="str">
        <f>IFERROR(MID(VLOOKUP($B111,Seqs!$A:$B,2,0),AG111,1),"")</f>
        <v>C</v>
      </c>
      <c r="AG111" s="9">
        <v>170</v>
      </c>
      <c r="AH111" s="9" t="str">
        <f>IFERROR(MID(VLOOKUP($B111,Seqs!$A:$B,2,0),AI111,1),"")</f>
        <v>E</v>
      </c>
      <c r="AI111" s="9">
        <v>172</v>
      </c>
      <c r="AJ111" s="9" t="str">
        <f>IFERROR(MID(VLOOKUP($B111,Seqs!$A:$B,2,0),AK111,1),"")</f>
        <v>D</v>
      </c>
      <c r="AK111" s="9">
        <v>175</v>
      </c>
      <c r="AL111" s="9" t="str">
        <f>IFERROR(MID(VLOOKUP($B111,Seqs!$A:$B,2,0),AM111,1),"")</f>
        <v>R</v>
      </c>
      <c r="AM111" s="9">
        <v>211</v>
      </c>
      <c r="AN111" s="9" t="str">
        <f>IFERROR(MID(VLOOKUP($B111,Seqs!$A:$B,2,0),AO111,1),"")</f>
        <v>L</v>
      </c>
      <c r="AO111" s="9">
        <v>214</v>
      </c>
      <c r="AP111" s="9" t="str">
        <f>IFERROR(MID(VLOOKUP($B111,Seqs!$A:$B,2,0),AQ111,1),"")</f>
        <v>Y</v>
      </c>
      <c r="AQ111" s="9">
        <v>250</v>
      </c>
      <c r="AR111" s="9" t="str">
        <f>IFERROR(MID(VLOOKUP($B111,Seqs!$A:$B,2,0),AS111,1),"")</f>
        <v>G</v>
      </c>
      <c r="AS111" s="9">
        <v>255</v>
      </c>
      <c r="AT111" s="9" t="str">
        <f>IFERROR(MID(VLOOKUP($B111,Seqs!$A:$B,2,0),AU111,1),"")</f>
        <v>T</v>
      </c>
      <c r="AU111" s="9">
        <v>276</v>
      </c>
      <c r="AV111" s="9" t="str">
        <f>IFERROR(MID(VLOOKUP($B111,Seqs!$A:$B,2,0),AW111,1),"")</f>
        <v/>
      </c>
      <c r="AW111" s="9" t="s">
        <v>23</v>
      </c>
      <c r="AX111" s="9" t="str">
        <f>IFERROR(MID(VLOOKUP($B111,Seqs!$A:$B,2,0),AY111,1),"")</f>
        <v/>
      </c>
      <c r="AY111" s="9" t="s">
        <v>23</v>
      </c>
      <c r="AZ111" s="113" t="str">
        <f>VLOOKUP(B111,Classification!A:D,2,0)</f>
        <v>A</v>
      </c>
      <c r="BA111" s="101" t="str">
        <f>VLOOKUP(B111,Classification!A:D,4,0)</f>
        <v>Freefattyacid</v>
      </c>
      <c r="BB111" s="37" t="b">
        <f t="shared" ref="BB111" si="500">AND(E111&lt;G111,OR(G111&lt;I111,I111="-"),OR(I111&lt;K111,I111="-"),OR(K111&lt;M111,K111="-"),M111&lt;O111,OR(O111&lt;Q111,Q111="-"),OR(Q111&lt;S111,Q111="-"),OR(S111&lt;U111,S111="-"),U111&lt;W111,OR(W111&lt;Y111,Y111="-"),OR(Y111&lt;AA111,Y111="-"),OR(AA111&lt;AC111,AA111="-"),AC111&lt;AE111,OR(AE111&lt;AG111,AG111="-"),OR(AG111&lt;AI111,AG111="-"),OR(AI111&lt;AK111,AI111="-"),AK111&lt;AM111,AM111&lt;AO111,AO111&lt;AQ111,AQ111&lt;AS111,AS111&lt;AU111,OR(AU111&lt;AW111,AW111="-"),OR(AW111&lt;AY111,AW111="-"))</f>
        <v>1</v>
      </c>
      <c r="BC111" s="112">
        <f t="shared" ref="BC111" si="501">_xlfn.AGGREGATE(9,6,CG111:CR111)-_xlfn.AGGREGATE(9,6,BU111:CF111)+12</f>
        <v>233</v>
      </c>
      <c r="BD111" s="122" t="s">
        <v>23</v>
      </c>
      <c r="BE111" s="9" t="s">
        <v>1297</v>
      </c>
      <c r="BF111" s="52" t="s">
        <v>1</v>
      </c>
      <c r="BG111" s="52" t="s">
        <v>1</v>
      </c>
      <c r="BI111" s="114" t="s">
        <v>1293</v>
      </c>
      <c r="BJ111" s="115" t="s">
        <v>1293</v>
      </c>
      <c r="BK111" s="115" t="s">
        <v>1293</v>
      </c>
      <c r="BL111" s="115" t="s">
        <v>1293</v>
      </c>
      <c r="BM111" s="115" t="s">
        <v>1293</v>
      </c>
      <c r="BN111" s="115" t="s">
        <v>1293</v>
      </c>
      <c r="BO111" s="115" t="s">
        <v>1293</v>
      </c>
      <c r="BP111" s="115" t="s">
        <v>1293</v>
      </c>
      <c r="BQ111" s="115" t="s">
        <v>1293</v>
      </c>
      <c r="BR111" s="115" t="s">
        <v>1293</v>
      </c>
      <c r="BS111" s="115" t="s">
        <v>1293</v>
      </c>
      <c r="BT111" s="115" t="s">
        <v>1293</v>
      </c>
      <c r="BU111" s="114">
        <f t="shared" ref="BU111" si="502">E111</f>
        <v>4</v>
      </c>
      <c r="BV111" s="116" t="str">
        <f t="shared" ref="BV111" si="503">I111</f>
        <v>-</v>
      </c>
      <c r="BW111" s="117">
        <f t="shared" ref="BW111" si="504">M111</f>
        <v>39</v>
      </c>
      <c r="BX111" s="116">
        <f t="shared" ref="BX111" si="505">Q111</f>
        <v>71</v>
      </c>
      <c r="BY111" s="117">
        <f t="shared" ref="BY111" si="506">U111</f>
        <v>75</v>
      </c>
      <c r="BZ111" s="116" t="str">
        <f t="shared" ref="BZ111" si="507">Y111</f>
        <v>-</v>
      </c>
      <c r="CA111" s="117">
        <f t="shared" ref="CA111" si="508">AC111</f>
        <v>121</v>
      </c>
      <c r="CB111" s="116">
        <f t="shared" ref="CB111" si="509">AG111</f>
        <v>170</v>
      </c>
      <c r="CC111" s="117">
        <f t="shared" ref="CC111" si="510">AK111</f>
        <v>175</v>
      </c>
      <c r="CD111" s="116">
        <f t="shared" ref="CD111" si="511">AO111</f>
        <v>214</v>
      </c>
      <c r="CE111" s="117">
        <f t="shared" ref="CE111" si="512">AS111</f>
        <v>255</v>
      </c>
      <c r="CF111" s="116" t="str">
        <f t="shared" ref="CF111" si="513">AW111</f>
        <v>-</v>
      </c>
      <c r="CG111" s="114">
        <f t="shared" ref="CG111" si="514">G111</f>
        <v>37</v>
      </c>
      <c r="CH111" s="116" t="str">
        <f t="shared" ref="CH111" si="515">K111</f>
        <v>-</v>
      </c>
      <c r="CI111" s="117">
        <f t="shared" ref="CI111" si="516">O111</f>
        <v>69</v>
      </c>
      <c r="CJ111" s="117">
        <f t="shared" ref="CJ111" si="517">S111</f>
        <v>74</v>
      </c>
      <c r="CK111" s="117">
        <f t="shared" ref="CK111" si="518">W111</f>
        <v>110</v>
      </c>
      <c r="CL111" s="117" t="str">
        <f t="shared" ref="CL111" si="519">AA111</f>
        <v>-</v>
      </c>
      <c r="CM111" s="117">
        <f t="shared" ref="CM111" si="520">AE111</f>
        <v>146</v>
      </c>
      <c r="CN111" s="117">
        <f t="shared" ref="CN111" si="521">AI111</f>
        <v>172</v>
      </c>
      <c r="CO111" s="117">
        <f t="shared" ref="CO111" si="522">AM111</f>
        <v>211</v>
      </c>
      <c r="CP111" s="117">
        <f t="shared" ref="CP111" si="523">AQ111</f>
        <v>250</v>
      </c>
      <c r="CQ111" s="117">
        <f t="shared" ref="CQ111" si="524">AU111</f>
        <v>276</v>
      </c>
      <c r="CR111" s="117" t="str">
        <f t="shared" ref="CR111" si="525">AY111</f>
        <v>-</v>
      </c>
      <c r="CS111" s="112" t="e">
        <f t="shared" ref="CS111" si="526">M111-K111</f>
        <v>#VALUE!</v>
      </c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9"/>
      <c r="JE111" s="9"/>
      <c r="JF111" s="9"/>
      <c r="JG111" s="9"/>
      <c r="JH111" s="9"/>
      <c r="JI111" s="9"/>
      <c r="JJ111" s="9"/>
      <c r="JK111" s="9"/>
      <c r="JL111" s="9"/>
      <c r="JM111" s="9"/>
      <c r="JN111" s="9"/>
      <c r="JO111" s="9"/>
      <c r="JP111" s="9"/>
      <c r="JQ111" s="9"/>
      <c r="JR111" s="9"/>
      <c r="JS111" s="9"/>
      <c r="JT111" s="9"/>
      <c r="JU111" s="9"/>
      <c r="JV111" s="9"/>
      <c r="JW111" s="9"/>
      <c r="JX111" s="9"/>
      <c r="JY111" s="9"/>
      <c r="JZ111" s="9"/>
      <c r="KA111" s="9"/>
      <c r="KB111" s="9"/>
      <c r="KC111" s="9"/>
      <c r="KD111" s="9"/>
      <c r="KE111" s="9"/>
      <c r="KF111" s="9"/>
      <c r="KG111" s="9"/>
      <c r="KH111" s="9"/>
      <c r="KI111" s="9"/>
      <c r="KJ111" s="9"/>
      <c r="KK111" s="9"/>
      <c r="KL111" s="9"/>
      <c r="KM111" s="9"/>
      <c r="KN111" s="9"/>
      <c r="KO111" s="9"/>
      <c r="KP111" s="9"/>
      <c r="KQ111" s="9"/>
      <c r="KR111" s="9"/>
      <c r="KS111" s="9"/>
      <c r="KT111" s="9"/>
      <c r="KU111" s="9"/>
      <c r="KV111" s="9"/>
      <c r="KW111" s="9"/>
      <c r="KX111" s="9"/>
      <c r="KY111" s="9"/>
      <c r="KZ111" s="9"/>
      <c r="LA111" s="9"/>
      <c r="LB111" s="9"/>
      <c r="LC111" s="9"/>
      <c r="LD111" s="9"/>
      <c r="LE111" s="9"/>
      <c r="LF111" s="9"/>
      <c r="LG111" s="9"/>
      <c r="LH111" s="9"/>
      <c r="LI111" s="9"/>
      <c r="LJ111" s="9"/>
      <c r="LK111" s="9"/>
      <c r="LL111" s="9"/>
      <c r="LM111" s="9"/>
      <c r="LN111" s="9"/>
      <c r="LO111" s="9"/>
      <c r="LP111" s="9"/>
      <c r="LQ111" s="9"/>
      <c r="LR111" s="9"/>
      <c r="LS111" s="9"/>
      <c r="LT111" s="9"/>
      <c r="LU111" s="9"/>
      <c r="LV111" s="9"/>
      <c r="LW111" s="9"/>
      <c r="LX111" s="9"/>
      <c r="LY111" s="9"/>
      <c r="LZ111" s="9"/>
      <c r="MA111" s="9"/>
      <c r="MB111" s="9"/>
      <c r="MC111" s="9"/>
      <c r="MD111" s="9"/>
      <c r="ME111" s="9"/>
      <c r="MF111" s="9"/>
      <c r="MG111" s="9"/>
      <c r="MH111" s="9"/>
      <c r="MI111" s="9"/>
      <c r="MJ111" s="9"/>
      <c r="MK111" s="9"/>
      <c r="ML111" s="9"/>
      <c r="MM111" s="9"/>
      <c r="MN111" s="9"/>
      <c r="MO111" s="9"/>
      <c r="MP111" s="9"/>
      <c r="MQ111" s="9"/>
      <c r="MR111" s="9"/>
      <c r="MS111" s="9"/>
      <c r="MT111" s="9"/>
      <c r="MU111" s="9"/>
      <c r="MV111" s="9"/>
      <c r="MW111" s="9"/>
      <c r="MX111" s="9"/>
      <c r="MY111" s="9"/>
      <c r="MZ111" s="9"/>
      <c r="NA111" s="9"/>
      <c r="NB111" s="9"/>
      <c r="NC111" s="9"/>
      <c r="ND111" s="9"/>
      <c r="NE111" s="9"/>
      <c r="NF111" s="9"/>
      <c r="NG111" s="9"/>
      <c r="NH111" s="9"/>
      <c r="NI111" s="9"/>
      <c r="NJ111" s="9"/>
      <c r="NK111" s="9"/>
      <c r="NL111" s="9"/>
      <c r="NM111" s="9"/>
      <c r="NN111" s="9"/>
      <c r="NO111" s="9"/>
      <c r="NP111" s="9"/>
      <c r="NQ111" s="9"/>
      <c r="NR111" s="9"/>
      <c r="NS111" s="9"/>
      <c r="NT111" s="9"/>
      <c r="NU111" s="9"/>
      <c r="NV111" s="9"/>
      <c r="NW111" s="9"/>
      <c r="NX111" s="9"/>
      <c r="NY111" s="9"/>
      <c r="NZ111" s="9"/>
      <c r="OA111" s="9"/>
      <c r="OB111" s="9"/>
      <c r="OC111" s="9"/>
      <c r="OD111" s="9"/>
      <c r="OE111" s="9"/>
      <c r="OF111" s="9"/>
      <c r="OG111" s="9"/>
      <c r="OH111" s="9"/>
      <c r="OI111" s="9"/>
      <c r="OJ111" s="9"/>
      <c r="OK111" s="9"/>
      <c r="OL111" s="9"/>
      <c r="OM111" s="9"/>
      <c r="ON111" s="9"/>
      <c r="OO111" s="9"/>
      <c r="OP111" s="9"/>
      <c r="OQ111" s="9"/>
      <c r="OR111" s="9"/>
      <c r="OS111" s="9"/>
      <c r="OT111" s="9"/>
      <c r="OU111" s="9"/>
      <c r="OV111" s="9"/>
      <c r="OW111" s="9"/>
      <c r="OX111" s="9"/>
      <c r="OY111" s="9"/>
      <c r="OZ111" s="9"/>
      <c r="PA111" s="9"/>
      <c r="PB111" s="9"/>
      <c r="PC111" s="9"/>
      <c r="PD111" s="9"/>
      <c r="PE111" s="9"/>
      <c r="PF111" s="9"/>
      <c r="PG111" s="9"/>
      <c r="PH111" s="9"/>
      <c r="PI111" s="9"/>
      <c r="PJ111" s="9"/>
      <c r="PK111" s="9"/>
      <c r="PL111" s="9"/>
      <c r="PM111" s="9"/>
      <c r="PN111" s="9"/>
      <c r="PO111" s="9"/>
      <c r="PP111" s="9"/>
      <c r="PQ111" s="9"/>
      <c r="PR111" s="9"/>
      <c r="PS111" s="9"/>
      <c r="PT111" s="9"/>
      <c r="PU111" s="9"/>
      <c r="PV111" s="9"/>
      <c r="PW111" s="9"/>
      <c r="PX111" s="9"/>
      <c r="PY111" s="9"/>
      <c r="PZ111" s="9"/>
      <c r="QA111" s="9"/>
      <c r="QB111" s="9"/>
      <c r="QC111" s="9"/>
      <c r="QD111" s="9"/>
      <c r="QE111" s="9"/>
      <c r="QF111" s="9"/>
      <c r="QG111" s="9"/>
      <c r="QH111" s="9"/>
      <c r="QI111" s="9"/>
      <c r="QJ111" s="9"/>
      <c r="QK111" s="9"/>
      <c r="QL111" s="9"/>
      <c r="QM111" s="9"/>
      <c r="QN111" s="9"/>
      <c r="QO111" s="9"/>
      <c r="QP111" s="9"/>
      <c r="QQ111" s="9"/>
      <c r="QR111" s="9"/>
      <c r="QS111" s="9"/>
      <c r="QT111" s="9"/>
      <c r="QU111" s="9"/>
      <c r="QV111" s="9"/>
      <c r="QW111" s="9"/>
      <c r="QX111" s="9"/>
      <c r="QY111" s="9"/>
      <c r="QZ111" s="9"/>
      <c r="RA111" s="9"/>
      <c r="RB111" s="9"/>
      <c r="RC111" s="9"/>
      <c r="RD111" s="9"/>
      <c r="RE111" s="9"/>
      <c r="RF111" s="9"/>
      <c r="RG111" s="9"/>
      <c r="RH111" s="9"/>
      <c r="RI111" s="9"/>
      <c r="RJ111" s="9"/>
      <c r="RK111" s="9"/>
      <c r="RL111" s="9"/>
      <c r="RM111" s="9"/>
      <c r="RN111" s="9"/>
      <c r="RO111" s="9"/>
      <c r="RP111" s="9"/>
      <c r="RQ111" s="9"/>
      <c r="RR111" s="9"/>
      <c r="RS111" s="9"/>
      <c r="RT111" s="9"/>
      <c r="RU111" s="9"/>
      <c r="RV111" s="9"/>
      <c r="RW111" s="9"/>
      <c r="RX111" s="9"/>
      <c r="RY111" s="9"/>
      <c r="RZ111" s="9"/>
      <c r="SA111" s="9"/>
      <c r="SB111" s="9"/>
      <c r="SC111" s="9"/>
      <c r="SD111" s="9"/>
      <c r="SE111" s="9"/>
      <c r="SF111" s="9"/>
      <c r="SG111" s="9"/>
      <c r="SH111" s="9"/>
      <c r="SI111" s="9"/>
      <c r="SJ111" s="9"/>
      <c r="SK111" s="9"/>
      <c r="SL111" s="9"/>
      <c r="SM111" s="9"/>
      <c r="SN111" s="9"/>
      <c r="SO111" s="9"/>
      <c r="SP111" s="9"/>
      <c r="SQ111" s="9"/>
      <c r="SR111" s="9"/>
      <c r="SS111" s="9"/>
      <c r="ST111" s="9"/>
      <c r="SU111" s="9"/>
      <c r="SV111" s="9"/>
      <c r="SW111" s="9"/>
      <c r="SX111" s="9"/>
      <c r="SY111" s="9"/>
      <c r="SZ111" s="9"/>
      <c r="TA111" s="9"/>
      <c r="TB111" s="9"/>
      <c r="TC111" s="9"/>
      <c r="TD111" s="9"/>
      <c r="TE111" s="9"/>
      <c r="TF111" s="9"/>
      <c r="TG111" s="9"/>
      <c r="TH111" s="9"/>
      <c r="TI111" s="9"/>
      <c r="TJ111" s="9"/>
      <c r="TK111" s="9"/>
      <c r="TL111" s="9"/>
      <c r="TM111" s="9"/>
      <c r="TN111" s="9"/>
      <c r="TO111" s="9"/>
      <c r="TP111" s="9"/>
      <c r="TQ111" s="9"/>
      <c r="TR111" s="9"/>
      <c r="TS111" s="9"/>
      <c r="TT111" s="9"/>
      <c r="TU111" s="9"/>
      <c r="TV111" s="9"/>
      <c r="TW111" s="9"/>
      <c r="TX111" s="9"/>
      <c r="TY111" s="9"/>
      <c r="TZ111" s="9"/>
      <c r="UA111" s="9"/>
      <c r="UB111" s="9"/>
      <c r="UC111" s="9"/>
      <c r="UD111" s="9"/>
      <c r="UE111" s="9"/>
      <c r="UF111" s="9"/>
      <c r="UG111" s="9"/>
      <c r="UH111" s="9"/>
      <c r="UI111" s="9"/>
      <c r="UJ111" s="9"/>
      <c r="UK111" s="9"/>
      <c r="UL111" s="9"/>
      <c r="UM111" s="9"/>
      <c r="UN111" s="9"/>
      <c r="UO111" s="9"/>
      <c r="UP111" s="9"/>
      <c r="UQ111" s="9"/>
      <c r="UR111" s="9"/>
      <c r="US111" s="9"/>
      <c r="UT111" s="9"/>
      <c r="UU111" s="9"/>
      <c r="UV111" s="9"/>
      <c r="UW111" s="9"/>
      <c r="UX111" s="9"/>
      <c r="UY111" s="9"/>
      <c r="UZ111" s="9"/>
      <c r="VA111" s="9"/>
      <c r="VB111" s="9"/>
      <c r="VC111" s="9"/>
      <c r="VD111" s="9"/>
      <c r="VE111" s="9"/>
      <c r="VF111" s="9"/>
      <c r="VG111" s="9"/>
      <c r="VH111" s="9"/>
      <c r="VI111" s="9"/>
      <c r="VJ111" s="9"/>
      <c r="VK111" s="9"/>
      <c r="VL111" s="9"/>
      <c r="VM111" s="9"/>
      <c r="VN111" s="9"/>
      <c r="VO111" s="9"/>
      <c r="VP111" s="9"/>
      <c r="VQ111" s="9"/>
      <c r="VR111" s="9"/>
      <c r="VS111" s="9"/>
      <c r="VT111" s="9"/>
      <c r="VU111" s="9"/>
      <c r="VV111" s="9"/>
      <c r="VW111" s="9"/>
      <c r="VX111" s="9"/>
      <c r="VY111" s="9"/>
      <c r="VZ111" s="9"/>
      <c r="WA111" s="9"/>
      <c r="WB111" s="9"/>
      <c r="WC111" s="9"/>
      <c r="WD111" s="9"/>
      <c r="WE111" s="9"/>
      <c r="WF111" s="9"/>
      <c r="WG111" s="9"/>
      <c r="WH111" s="9"/>
      <c r="WI111" s="9"/>
      <c r="WJ111" s="9"/>
      <c r="WK111" s="9"/>
      <c r="WL111" s="9"/>
      <c r="WM111" s="9"/>
      <c r="WN111" s="9"/>
      <c r="WO111" s="9"/>
      <c r="WP111" s="9"/>
      <c r="WQ111" s="9"/>
      <c r="WR111" s="9"/>
      <c r="WS111" s="9"/>
      <c r="WT111" s="9"/>
      <c r="WU111" s="9"/>
      <c r="WV111" s="9"/>
      <c r="WW111" s="9"/>
      <c r="WX111" s="9"/>
      <c r="WY111" s="9"/>
      <c r="WZ111" s="9"/>
      <c r="XA111" s="9"/>
      <c r="XB111" s="9"/>
      <c r="XC111" s="9"/>
      <c r="XD111" s="9"/>
      <c r="XE111" s="9"/>
      <c r="XF111" s="9"/>
      <c r="XG111" s="9"/>
      <c r="XH111" s="9"/>
      <c r="XI111" s="9"/>
      <c r="XJ111" s="9"/>
      <c r="XK111" s="9"/>
      <c r="XL111" s="9"/>
      <c r="XM111" s="9"/>
      <c r="XN111" s="9"/>
      <c r="XO111" s="9"/>
      <c r="XP111" s="9"/>
      <c r="XQ111" s="9"/>
      <c r="XR111" s="9"/>
      <c r="XS111" s="9"/>
      <c r="XT111" s="9"/>
      <c r="XU111" s="9"/>
      <c r="XV111" s="9"/>
      <c r="XW111" s="9"/>
      <c r="XX111" s="9"/>
      <c r="XY111" s="9"/>
      <c r="XZ111" s="9"/>
      <c r="YA111" s="9"/>
      <c r="YB111" s="9"/>
      <c r="YC111" s="9"/>
      <c r="YD111" s="9"/>
      <c r="YE111" s="9"/>
      <c r="YF111" s="9"/>
      <c r="YG111" s="9"/>
      <c r="YH111" s="9"/>
      <c r="YI111" s="9"/>
      <c r="YJ111" s="9"/>
      <c r="YK111" s="9"/>
      <c r="YL111" s="9"/>
      <c r="YM111" s="9"/>
      <c r="YN111" s="9"/>
      <c r="YO111" s="9"/>
      <c r="YP111" s="9"/>
      <c r="YQ111" s="9"/>
      <c r="YR111" s="9"/>
      <c r="YS111" s="9"/>
      <c r="YT111" s="9"/>
      <c r="YU111" s="9"/>
      <c r="YV111" s="9"/>
      <c r="YW111" s="9"/>
      <c r="YX111" s="9"/>
      <c r="YY111" s="9"/>
      <c r="YZ111" s="9"/>
      <c r="ZA111" s="9"/>
      <c r="ZB111" s="9"/>
      <c r="ZC111" s="9"/>
      <c r="ZD111" s="9"/>
      <c r="ZE111" s="9"/>
      <c r="ZF111" s="9"/>
      <c r="ZG111" s="9"/>
      <c r="ZH111" s="9"/>
      <c r="ZI111" s="9"/>
      <c r="ZJ111" s="9"/>
      <c r="ZK111" s="9"/>
      <c r="ZL111" s="9"/>
      <c r="ZM111" s="9"/>
      <c r="ZN111" s="9"/>
      <c r="ZO111" s="9"/>
      <c r="ZP111" s="9"/>
      <c r="ZQ111" s="9"/>
      <c r="ZR111" s="9"/>
      <c r="ZS111" s="9"/>
      <c r="ZT111" s="9"/>
      <c r="ZU111" s="9"/>
      <c r="ZV111" s="9"/>
      <c r="ZW111" s="9"/>
      <c r="ZX111" s="9"/>
      <c r="ZY111" s="9"/>
      <c r="ZZ111" s="9"/>
      <c r="AAA111" s="9"/>
      <c r="AAB111" s="9"/>
      <c r="AAC111" s="9"/>
      <c r="AAD111" s="9"/>
      <c r="AAE111" s="9"/>
      <c r="AAF111" s="9"/>
      <c r="AAG111" s="9"/>
      <c r="AAH111" s="9"/>
      <c r="AAI111" s="9"/>
      <c r="AAJ111" s="9"/>
      <c r="AAK111" s="9"/>
      <c r="AAL111" s="9"/>
      <c r="AAM111" s="9"/>
      <c r="AAN111" s="9"/>
      <c r="AAO111" s="9"/>
      <c r="AAP111" s="9"/>
      <c r="AAQ111" s="9"/>
      <c r="AAR111" s="9"/>
      <c r="AAS111" s="9"/>
      <c r="AAT111" s="9"/>
      <c r="AAU111" s="9"/>
      <c r="AAV111" s="9"/>
      <c r="AAW111" s="9"/>
      <c r="AAX111" s="9"/>
      <c r="AAY111" s="9"/>
      <c r="AAZ111" s="9"/>
      <c r="ABA111" s="9"/>
      <c r="ABB111" s="9"/>
      <c r="ABC111" s="9"/>
      <c r="ABD111" s="9"/>
      <c r="ABE111" s="9"/>
      <c r="ABF111" s="9"/>
      <c r="ABG111" s="9"/>
      <c r="ABH111" s="9"/>
      <c r="ABI111" s="9"/>
      <c r="ABJ111" s="9"/>
      <c r="ABK111" s="9"/>
      <c r="ABL111" s="9"/>
      <c r="ABM111" s="9"/>
      <c r="ABN111" s="9"/>
      <c r="ABO111" s="9"/>
      <c r="ABP111" s="9"/>
      <c r="ABQ111" s="9"/>
      <c r="ABR111" s="9"/>
      <c r="ABS111" s="9"/>
      <c r="ABT111" s="9"/>
      <c r="ABU111" s="9"/>
      <c r="ABV111" s="9"/>
      <c r="ABW111" s="9"/>
      <c r="ABX111" s="9"/>
      <c r="ABY111" s="9"/>
      <c r="ABZ111" s="9"/>
      <c r="ACA111" s="9"/>
      <c r="ACB111" s="9"/>
      <c r="ACC111" s="9"/>
      <c r="ACD111" s="9"/>
      <c r="ACE111" s="9"/>
      <c r="ACF111" s="9"/>
      <c r="ACG111" s="9"/>
      <c r="ACH111" s="9"/>
      <c r="ACI111" s="9"/>
      <c r="ACJ111" s="9"/>
      <c r="ACK111" s="9"/>
      <c r="ACL111" s="9"/>
      <c r="ACM111" s="9"/>
      <c r="ACN111" s="9"/>
      <c r="ACO111" s="9"/>
      <c r="ACP111" s="9"/>
      <c r="ACQ111" s="9"/>
      <c r="ACR111" s="9"/>
      <c r="ACS111" s="9"/>
      <c r="ACT111" s="9"/>
      <c r="ACU111" s="9"/>
      <c r="ACV111" s="9"/>
      <c r="ACW111" s="9"/>
      <c r="ACX111" s="9"/>
      <c r="ACY111" s="9"/>
      <c r="ACZ111" s="9"/>
      <c r="ADA111" s="9"/>
      <c r="ADB111" s="9"/>
      <c r="ADC111" s="9"/>
      <c r="ADD111" s="9"/>
      <c r="ADE111" s="9"/>
      <c r="ADF111" s="9"/>
      <c r="ADG111" s="9"/>
      <c r="ADH111" s="9"/>
      <c r="ADI111" s="9"/>
      <c r="ADJ111" s="9"/>
      <c r="ADK111" s="9"/>
      <c r="ADL111" s="9"/>
      <c r="ADM111" s="9"/>
      <c r="ADN111" s="9"/>
      <c r="ADO111" s="9"/>
      <c r="ADP111" s="9"/>
      <c r="ADQ111" s="9"/>
      <c r="ADR111" s="9"/>
      <c r="ADS111" s="9"/>
      <c r="ADT111" s="9"/>
      <c r="ADU111" s="9"/>
      <c r="ADV111" s="9"/>
      <c r="ADW111" s="9"/>
      <c r="ADX111" s="9"/>
      <c r="ADY111" s="9"/>
      <c r="ADZ111" s="9"/>
      <c r="AEA111" s="9"/>
      <c r="AEB111" s="9"/>
      <c r="AEC111" s="9"/>
      <c r="AED111" s="9"/>
      <c r="AEE111" s="9"/>
      <c r="AEF111" s="9"/>
      <c r="AEG111" s="9"/>
      <c r="AEH111" s="9"/>
      <c r="AEI111" s="9"/>
      <c r="AEJ111" s="9"/>
      <c r="AEK111" s="9"/>
      <c r="AEL111" s="9"/>
      <c r="AEM111" s="9"/>
      <c r="AEN111" s="9"/>
      <c r="AEO111" s="9"/>
      <c r="AEP111" s="9"/>
      <c r="AEQ111" s="9"/>
      <c r="AER111" s="9"/>
      <c r="AES111" s="9"/>
      <c r="AET111" s="9"/>
      <c r="AEU111" s="9"/>
      <c r="AEV111" s="9"/>
      <c r="AEW111" s="9"/>
      <c r="AEX111" s="9"/>
      <c r="AEY111" s="9"/>
      <c r="AEZ111" s="9"/>
      <c r="AFA111" s="9"/>
      <c r="AFB111" s="9"/>
      <c r="AFC111" s="9"/>
      <c r="AFD111" s="9"/>
      <c r="AFE111" s="9"/>
      <c r="AFF111" s="9"/>
      <c r="AFG111" s="9"/>
      <c r="AFH111" s="9"/>
      <c r="AFI111" s="9"/>
      <c r="AFJ111" s="9"/>
      <c r="AFK111" s="9"/>
      <c r="AFL111" s="9"/>
      <c r="AFM111" s="9"/>
      <c r="AFN111" s="9"/>
      <c r="AFO111" s="9"/>
      <c r="AFP111" s="9"/>
      <c r="AFQ111" s="9"/>
      <c r="AFR111" s="9"/>
      <c r="AFS111" s="9"/>
      <c r="AFT111" s="9"/>
      <c r="AFU111" s="9"/>
      <c r="AFV111" s="9"/>
      <c r="AFW111" s="9"/>
      <c r="AFX111" s="9"/>
      <c r="AFY111" s="9"/>
      <c r="AFZ111" s="9"/>
      <c r="AGA111" s="9"/>
      <c r="AGB111" s="9"/>
      <c r="AGC111" s="9"/>
      <c r="AGD111" s="9"/>
      <c r="AGE111" s="9"/>
      <c r="AGF111" s="9"/>
      <c r="AGG111" s="9"/>
      <c r="AGH111" s="9"/>
      <c r="AGI111" s="9"/>
      <c r="AGJ111" s="9"/>
      <c r="AGK111" s="9"/>
      <c r="AGL111" s="9"/>
      <c r="AGM111" s="9"/>
      <c r="AGN111" s="9"/>
      <c r="AGO111" s="9"/>
      <c r="AGP111" s="9"/>
      <c r="AGQ111" s="9"/>
      <c r="AGR111" s="9"/>
      <c r="AGS111" s="9"/>
      <c r="AGT111" s="9"/>
      <c r="AGU111" s="9"/>
      <c r="AGV111" s="9"/>
      <c r="AGW111" s="9"/>
      <c r="AGX111" s="9"/>
      <c r="AGY111" s="9"/>
      <c r="AGZ111" s="9"/>
      <c r="AHA111" s="9"/>
      <c r="AHB111" s="9"/>
      <c r="AHC111" s="9"/>
      <c r="AHD111" s="9"/>
      <c r="AHE111" s="9"/>
      <c r="AHF111" s="9"/>
      <c r="AHG111" s="9"/>
      <c r="AHH111" s="9"/>
      <c r="AHI111" s="9"/>
      <c r="AHJ111" s="9"/>
      <c r="AHK111" s="9"/>
      <c r="AHL111" s="9"/>
      <c r="AHM111" s="9"/>
      <c r="AHN111" s="9"/>
      <c r="AHO111" s="9"/>
      <c r="AHP111" s="9"/>
      <c r="AHQ111" s="9"/>
      <c r="AHR111" s="9"/>
      <c r="AHS111" s="9"/>
      <c r="AHT111" s="9"/>
      <c r="AHU111" s="9"/>
      <c r="AHV111" s="9"/>
      <c r="AHW111" s="9"/>
      <c r="AHX111" s="9"/>
      <c r="AHY111" s="9"/>
      <c r="AHZ111" s="9"/>
      <c r="AIA111" s="9"/>
      <c r="AIB111" s="9"/>
      <c r="AIC111" s="9"/>
      <c r="AID111" s="9"/>
      <c r="AIE111" s="9"/>
      <c r="AIF111" s="9"/>
      <c r="AIG111" s="9"/>
      <c r="AIH111" s="9"/>
      <c r="AII111" s="9"/>
      <c r="AIJ111" s="9"/>
      <c r="AIK111" s="9"/>
      <c r="AIL111" s="9"/>
      <c r="AIM111" s="9"/>
      <c r="AIN111" s="9"/>
      <c r="AIO111" s="9"/>
      <c r="AIP111" s="9"/>
      <c r="AIQ111" s="9"/>
      <c r="AIR111" s="9"/>
      <c r="AIS111" s="9"/>
      <c r="AIT111" s="9"/>
      <c r="AIU111" s="9"/>
      <c r="AIV111" s="9"/>
      <c r="AIW111" s="9"/>
      <c r="AIX111" s="9"/>
      <c r="AIY111" s="9"/>
      <c r="AIZ111" s="9"/>
      <c r="AJA111" s="9"/>
      <c r="AJB111" s="9"/>
      <c r="AJC111" s="9"/>
      <c r="AJD111" s="9"/>
      <c r="AJE111" s="9"/>
      <c r="AJF111" s="9"/>
      <c r="AJG111" s="9"/>
      <c r="AJH111" s="9"/>
      <c r="AJI111" s="9"/>
      <c r="AJJ111" s="9"/>
      <c r="AJK111" s="9"/>
      <c r="AJL111" s="9"/>
      <c r="AJM111" s="9"/>
      <c r="AJN111" s="9"/>
      <c r="AJO111" s="9"/>
      <c r="AJP111" s="9"/>
      <c r="AJQ111" s="9"/>
      <c r="AJR111" s="9"/>
      <c r="AJS111" s="9"/>
      <c r="AJT111" s="9"/>
      <c r="AJU111" s="9"/>
      <c r="AJV111" s="9"/>
      <c r="AJW111" s="9"/>
      <c r="AJX111" s="9"/>
      <c r="AJY111" s="9"/>
      <c r="AJZ111" s="9"/>
      <c r="AKA111" s="9"/>
      <c r="AKB111" s="9"/>
      <c r="AKC111" s="9"/>
      <c r="AKD111" s="9"/>
      <c r="AKE111" s="9"/>
      <c r="AKF111" s="9"/>
      <c r="AKG111" s="9"/>
      <c r="AKH111" s="9"/>
      <c r="AKI111" s="9"/>
      <c r="AKJ111" s="9"/>
      <c r="AKK111" s="9"/>
      <c r="AKL111" s="9"/>
      <c r="AKM111" s="9"/>
      <c r="AKN111" s="9"/>
      <c r="AKO111" s="9"/>
      <c r="AKP111" s="9"/>
      <c r="AKQ111" s="9"/>
      <c r="AKR111" s="9"/>
      <c r="AKS111" s="9"/>
      <c r="AKT111" s="9"/>
      <c r="AKU111" s="9"/>
      <c r="AKV111" s="9"/>
      <c r="AKW111" s="9"/>
      <c r="AKX111" s="9"/>
      <c r="AKY111" s="9"/>
      <c r="AKZ111" s="9"/>
      <c r="ALA111" s="9"/>
      <c r="ALB111" s="9"/>
      <c r="ALC111" s="9"/>
      <c r="ALD111" s="9"/>
      <c r="ALE111" s="9"/>
      <c r="ALF111" s="9"/>
      <c r="ALG111" s="9"/>
      <c r="ALH111" s="9"/>
      <c r="ALI111" s="9"/>
      <c r="ALJ111" s="9"/>
      <c r="ALK111" s="9"/>
      <c r="ALL111" s="9"/>
      <c r="ALM111" s="9"/>
      <c r="ALN111" s="9"/>
      <c r="ALO111" s="9"/>
      <c r="ALP111" s="9"/>
      <c r="ALQ111" s="9"/>
      <c r="ALR111" s="9"/>
      <c r="ALS111" s="9"/>
      <c r="ALT111" s="9"/>
      <c r="ALU111" s="9"/>
      <c r="ALV111" s="9"/>
      <c r="ALW111" s="9"/>
      <c r="ALX111" s="9"/>
      <c r="ALY111" s="9"/>
      <c r="ALZ111" s="9"/>
      <c r="AMA111" s="9"/>
      <c r="AMB111" s="9"/>
      <c r="AMC111" s="9"/>
      <c r="AMD111" s="9"/>
      <c r="AME111" s="9"/>
      <c r="AMF111" s="9"/>
      <c r="AMG111" s="9"/>
      <c r="AMH111" s="9"/>
      <c r="AMI111" s="9"/>
      <c r="AMJ111" s="9"/>
      <c r="AMK111" s="9"/>
      <c r="AML111" s="9"/>
      <c r="AMM111" s="9"/>
      <c r="AMN111" s="9"/>
    </row>
    <row r="112" spans="1:1028" s="12" customFormat="1" x14ac:dyDescent="0.2">
      <c r="A112" s="9" t="str">
        <f t="shared" ref="A112" si="527">CONCATENATE(B112,"_",C112)</f>
        <v>ffar1_human_5TZY</v>
      </c>
      <c r="B112" s="9" t="s">
        <v>1173</v>
      </c>
      <c r="C112" s="9" t="s">
        <v>1427</v>
      </c>
      <c r="D112" s="9" t="str">
        <f>IFERROR(MID(VLOOKUP($B112,Seqs!$A:$B,2,0),E112,1),"")</f>
        <v>P</v>
      </c>
      <c r="E112" s="9">
        <v>4</v>
      </c>
      <c r="F112" s="9" t="str">
        <f>IFERROR(MID(VLOOKUP($B112,Seqs!$A:$B,2,0),G112,1),"")</f>
        <v>R</v>
      </c>
      <c r="G112" s="9">
        <v>37</v>
      </c>
      <c r="H112" s="9" t="str">
        <f>IFERROR(MID(VLOOKUP($B112,Seqs!$A:$B,2,0),I112,1),"")</f>
        <v/>
      </c>
      <c r="I112" s="112" t="s">
        <v>23</v>
      </c>
      <c r="J112" s="9" t="str">
        <f>IFERROR(MID(VLOOKUP($B112,Seqs!$A:$B,2,0),K112,1),"")</f>
        <v/>
      </c>
      <c r="K112" s="112" t="s">
        <v>23</v>
      </c>
      <c r="L112" s="9" t="str">
        <f>IFERROR(MID(VLOOKUP($B112,Seqs!$A:$B,2,0),M112,1),"")</f>
        <v>T</v>
      </c>
      <c r="M112" s="9">
        <v>39</v>
      </c>
      <c r="N112" s="9" t="str">
        <f>IFERROR(MID(VLOOKUP($B112,Seqs!$A:$B,2,0),O112,1),"")</f>
        <v>A</v>
      </c>
      <c r="O112" s="9">
        <v>68</v>
      </c>
      <c r="P112" s="9" t="str">
        <f>IFERROR(MID(VLOOKUP($B112,Seqs!$A:$B,2,0),Q112,1),"")</f>
        <v>A</v>
      </c>
      <c r="Q112" s="9">
        <v>71</v>
      </c>
      <c r="R112" s="9" t="str">
        <f>IFERROR(MID(VLOOKUP($B112,Seqs!$A:$B,2,0),S112,1),"")</f>
        <v>L</v>
      </c>
      <c r="S112" s="9">
        <v>74</v>
      </c>
      <c r="T112" s="9" t="str">
        <f>IFERROR(MID(VLOOKUP($B112,Seqs!$A:$B,2,0),U112,1),"")</f>
        <v>P</v>
      </c>
      <c r="U112" s="9">
        <v>75</v>
      </c>
      <c r="V112" s="9" t="str">
        <f>IFERROR(MID(VLOOKUP($B112,Seqs!$A:$B,2,0),W112,1),"")</f>
        <v>F</v>
      </c>
      <c r="W112" s="9">
        <v>110</v>
      </c>
      <c r="X112" s="9" t="str">
        <f>IFERROR(MID(VLOOKUP($B112,Seqs!$A:$B,2,0),Y112,1),"")</f>
        <v>P</v>
      </c>
      <c r="Y112" s="9">
        <v>111</v>
      </c>
      <c r="Z112" s="9" t="str">
        <f>IFERROR(MID(VLOOKUP($B112,Seqs!$A:$B,2,0),AA112,1),"")</f>
        <v>R</v>
      </c>
      <c r="AA112" s="9">
        <v>118</v>
      </c>
      <c r="AB112" s="9" t="str">
        <f>IFERROR(MID(VLOOKUP($B112,Seqs!$A:$B,2,0),AC112,1),"")</f>
        <v>R</v>
      </c>
      <c r="AC112" s="9">
        <v>119</v>
      </c>
      <c r="AD112" s="9" t="str">
        <f>IFERROR(MID(VLOOKUP($B112,Seqs!$A:$B,2,0),AE112,1),"")</f>
        <v>A</v>
      </c>
      <c r="AE112" s="9">
        <v>146</v>
      </c>
      <c r="AF112" s="9" t="str">
        <f>IFERROR(MID(VLOOKUP($B112,Seqs!$A:$B,2,0),AG112,1),"")</f>
        <v>C</v>
      </c>
      <c r="AG112" s="9">
        <v>170</v>
      </c>
      <c r="AH112" s="9" t="str">
        <f>IFERROR(MID(VLOOKUP($B112,Seqs!$A:$B,2,0),AI112,1),"")</f>
        <v>E</v>
      </c>
      <c r="AI112" s="9">
        <v>172</v>
      </c>
      <c r="AJ112" s="9" t="str">
        <f>IFERROR(MID(VLOOKUP($B112,Seqs!$A:$B,2,0),AK112,1),"")</f>
        <v>D</v>
      </c>
      <c r="AK112" s="9">
        <v>175</v>
      </c>
      <c r="AL112" s="9" t="str">
        <f>IFERROR(MID(VLOOKUP($B112,Seqs!$A:$B,2,0),AM112,1),"")</f>
        <v>R</v>
      </c>
      <c r="AM112" s="9">
        <v>211</v>
      </c>
      <c r="AN112" s="9" t="str">
        <f>IFERROR(MID(VLOOKUP($B112,Seqs!$A:$B,2,0),AO112,1),"")</f>
        <v>T</v>
      </c>
      <c r="AO112" s="9">
        <v>215</v>
      </c>
      <c r="AP112" s="9" t="str">
        <f>IFERROR(MID(VLOOKUP($B112,Seqs!$A:$B,2,0),AQ112,1),"")</f>
        <v>Y</v>
      </c>
      <c r="AQ112" s="9">
        <v>250</v>
      </c>
      <c r="AR112" s="9" t="str">
        <f>IFERROR(MID(VLOOKUP($B112,Seqs!$A:$B,2,0),AS112,1),"")</f>
        <v>G</v>
      </c>
      <c r="AS112" s="9">
        <v>254</v>
      </c>
      <c r="AT112" s="9" t="str">
        <f>IFERROR(MID(VLOOKUP($B112,Seqs!$A:$B,2,0),AU112,1),"")</f>
        <v>G</v>
      </c>
      <c r="AU112" s="9">
        <v>277</v>
      </c>
      <c r="AV112" s="9" t="str">
        <f>IFERROR(MID(VLOOKUP($B112,Seqs!$A:$B,2,0),AW112,1),"")</f>
        <v/>
      </c>
      <c r="AW112" s="9" t="s">
        <v>23</v>
      </c>
      <c r="AX112" s="9" t="str">
        <f>IFERROR(MID(VLOOKUP($B112,Seqs!$A:$B,2,0),AY112,1),"")</f>
        <v/>
      </c>
      <c r="AY112" s="9" t="s">
        <v>23</v>
      </c>
      <c r="AZ112" s="113" t="str">
        <f>VLOOKUP(B112,Classification!A:D,2,0)</f>
        <v>A</v>
      </c>
      <c r="BA112" s="101" t="str">
        <f>VLOOKUP(B112,Classification!A:D,4,0)</f>
        <v>Freefattyacid</v>
      </c>
      <c r="BB112" s="37" t="b">
        <f t="shared" ref="BB112" si="528">AND(E112&lt;G112,OR(G112&lt;I112,I112="-"),OR(I112&lt;K112,I112="-"),OR(K112&lt;M112,K112="-"),M112&lt;O112,OR(O112&lt;Q112,Q112="-"),OR(Q112&lt;S112,Q112="-"),OR(S112&lt;U112,S112="-"),U112&lt;W112,OR(W112&lt;Y112,Y112="-"),OR(Y112&lt;AA112,Y112="-"),OR(AA112&lt;AC112,AA112="-"),AC112&lt;AE112,OR(AE112&lt;AG112,AG112="-"),OR(AG112&lt;AI112,AG112="-"),OR(AI112&lt;AK112,AI112="-"),AK112&lt;AM112,AM112&lt;AO112,AO112&lt;AQ112,AQ112&lt;AS112,AS112&lt;AU112,OR(AU112&lt;AW112,AW112="-"),OR(AW112&lt;AY112,AW112="-"))</f>
        <v>1</v>
      </c>
      <c r="BC112" s="112">
        <f t="shared" ref="BC112" si="529">_xlfn.AGGREGATE(9,6,CG112:CR112)-_xlfn.AGGREGATE(9,6,BU112:CF112)+12</f>
        <v>242</v>
      </c>
      <c r="BD112" s="122" t="s">
        <v>1382</v>
      </c>
      <c r="BE112" s="9" t="s">
        <v>1297</v>
      </c>
      <c r="BF112" s="52" t="s">
        <v>1</v>
      </c>
      <c r="BG112" s="52" t="s">
        <v>1</v>
      </c>
      <c r="BI112" s="114" t="s">
        <v>1293</v>
      </c>
      <c r="BJ112" s="115" t="s">
        <v>1293</v>
      </c>
      <c r="BK112" s="115" t="s">
        <v>1293</v>
      </c>
      <c r="BL112" s="115" t="s">
        <v>1293</v>
      </c>
      <c r="BM112" s="115" t="s">
        <v>1293</v>
      </c>
      <c r="BN112" s="115" t="s">
        <v>1293</v>
      </c>
      <c r="BO112" s="115" t="s">
        <v>1293</v>
      </c>
      <c r="BP112" s="115" t="s">
        <v>1293</v>
      </c>
      <c r="BQ112" s="115" t="s">
        <v>1293</v>
      </c>
      <c r="BR112" s="115" t="s">
        <v>1293</v>
      </c>
      <c r="BS112" s="115" t="s">
        <v>1293</v>
      </c>
      <c r="BT112" s="115" t="s">
        <v>1293</v>
      </c>
      <c r="BU112" s="114">
        <f t="shared" ref="BU112" si="530">E112</f>
        <v>4</v>
      </c>
      <c r="BV112" s="116" t="str">
        <f t="shared" ref="BV112" si="531">I112</f>
        <v>-</v>
      </c>
      <c r="BW112" s="117">
        <f t="shared" ref="BW112" si="532">M112</f>
        <v>39</v>
      </c>
      <c r="BX112" s="116">
        <f t="shared" ref="BX112" si="533">Q112</f>
        <v>71</v>
      </c>
      <c r="BY112" s="117">
        <f t="shared" ref="BY112" si="534">U112</f>
        <v>75</v>
      </c>
      <c r="BZ112" s="116">
        <f t="shared" ref="BZ112" si="535">Y112</f>
        <v>111</v>
      </c>
      <c r="CA112" s="117">
        <f t="shared" ref="CA112" si="536">AC112</f>
        <v>119</v>
      </c>
      <c r="CB112" s="116">
        <f t="shared" ref="CB112" si="537">AG112</f>
        <v>170</v>
      </c>
      <c r="CC112" s="117">
        <f t="shared" ref="CC112" si="538">AK112</f>
        <v>175</v>
      </c>
      <c r="CD112" s="116">
        <f t="shared" ref="CD112" si="539">AO112</f>
        <v>215</v>
      </c>
      <c r="CE112" s="117">
        <f t="shared" ref="CE112" si="540">AS112</f>
        <v>254</v>
      </c>
      <c r="CF112" s="116" t="str">
        <f t="shared" ref="CF112" si="541">AW112</f>
        <v>-</v>
      </c>
      <c r="CG112" s="114">
        <f t="shared" ref="CG112" si="542">G112</f>
        <v>37</v>
      </c>
      <c r="CH112" s="116" t="str">
        <f t="shared" ref="CH112" si="543">K112</f>
        <v>-</v>
      </c>
      <c r="CI112" s="117">
        <f t="shared" ref="CI112" si="544">O112</f>
        <v>68</v>
      </c>
      <c r="CJ112" s="117">
        <f t="shared" ref="CJ112" si="545">S112</f>
        <v>74</v>
      </c>
      <c r="CK112" s="117">
        <f t="shared" ref="CK112" si="546">W112</f>
        <v>110</v>
      </c>
      <c r="CL112" s="117">
        <f t="shared" ref="CL112" si="547">AA112</f>
        <v>118</v>
      </c>
      <c r="CM112" s="117">
        <f t="shared" ref="CM112" si="548">AE112</f>
        <v>146</v>
      </c>
      <c r="CN112" s="117">
        <f t="shared" ref="CN112" si="549">AI112</f>
        <v>172</v>
      </c>
      <c r="CO112" s="117">
        <f t="shared" ref="CO112" si="550">AM112</f>
        <v>211</v>
      </c>
      <c r="CP112" s="117">
        <f t="shared" ref="CP112" si="551">AQ112</f>
        <v>250</v>
      </c>
      <c r="CQ112" s="117">
        <f t="shared" ref="CQ112" si="552">AU112</f>
        <v>277</v>
      </c>
      <c r="CR112" s="117" t="str">
        <f t="shared" ref="CR112" si="553">AY112</f>
        <v>-</v>
      </c>
      <c r="CS112" s="112" t="e">
        <f t="shared" ref="CS112" si="554">M112-K112</f>
        <v>#VALUE!</v>
      </c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9"/>
      <c r="JE112" s="9"/>
      <c r="JF112" s="9"/>
      <c r="JG112" s="9"/>
      <c r="JH112" s="9"/>
      <c r="JI112" s="9"/>
      <c r="JJ112" s="9"/>
      <c r="JK112" s="9"/>
      <c r="JL112" s="9"/>
      <c r="JM112" s="9"/>
      <c r="JN112" s="9"/>
      <c r="JO112" s="9"/>
      <c r="JP112" s="9"/>
      <c r="JQ112" s="9"/>
      <c r="JR112" s="9"/>
      <c r="JS112" s="9"/>
      <c r="JT112" s="9"/>
      <c r="JU112" s="9"/>
      <c r="JV112" s="9"/>
      <c r="JW112" s="9"/>
      <c r="JX112" s="9"/>
      <c r="JY112" s="9"/>
      <c r="JZ112" s="9"/>
      <c r="KA112" s="9"/>
      <c r="KB112" s="9"/>
      <c r="KC112" s="9"/>
      <c r="KD112" s="9"/>
      <c r="KE112" s="9"/>
      <c r="KF112" s="9"/>
      <c r="KG112" s="9"/>
      <c r="KH112" s="9"/>
      <c r="KI112" s="9"/>
      <c r="KJ112" s="9"/>
      <c r="KK112" s="9"/>
      <c r="KL112" s="9"/>
      <c r="KM112" s="9"/>
      <c r="KN112" s="9"/>
      <c r="KO112" s="9"/>
      <c r="KP112" s="9"/>
      <c r="KQ112" s="9"/>
      <c r="KR112" s="9"/>
      <c r="KS112" s="9"/>
      <c r="KT112" s="9"/>
      <c r="KU112" s="9"/>
      <c r="KV112" s="9"/>
      <c r="KW112" s="9"/>
      <c r="KX112" s="9"/>
      <c r="KY112" s="9"/>
      <c r="KZ112" s="9"/>
      <c r="LA112" s="9"/>
      <c r="LB112" s="9"/>
      <c r="LC112" s="9"/>
      <c r="LD112" s="9"/>
      <c r="LE112" s="9"/>
      <c r="LF112" s="9"/>
      <c r="LG112" s="9"/>
      <c r="LH112" s="9"/>
      <c r="LI112" s="9"/>
      <c r="LJ112" s="9"/>
      <c r="LK112" s="9"/>
      <c r="LL112" s="9"/>
      <c r="LM112" s="9"/>
      <c r="LN112" s="9"/>
      <c r="LO112" s="9"/>
      <c r="LP112" s="9"/>
      <c r="LQ112" s="9"/>
      <c r="LR112" s="9"/>
      <c r="LS112" s="9"/>
      <c r="LT112" s="9"/>
      <c r="LU112" s="9"/>
      <c r="LV112" s="9"/>
      <c r="LW112" s="9"/>
      <c r="LX112" s="9"/>
      <c r="LY112" s="9"/>
      <c r="LZ112" s="9"/>
      <c r="MA112" s="9"/>
      <c r="MB112" s="9"/>
      <c r="MC112" s="9"/>
      <c r="MD112" s="9"/>
      <c r="ME112" s="9"/>
      <c r="MF112" s="9"/>
      <c r="MG112" s="9"/>
      <c r="MH112" s="9"/>
      <c r="MI112" s="9"/>
      <c r="MJ112" s="9"/>
      <c r="MK112" s="9"/>
      <c r="ML112" s="9"/>
      <c r="MM112" s="9"/>
      <c r="MN112" s="9"/>
      <c r="MO112" s="9"/>
      <c r="MP112" s="9"/>
      <c r="MQ112" s="9"/>
      <c r="MR112" s="9"/>
      <c r="MS112" s="9"/>
      <c r="MT112" s="9"/>
      <c r="MU112" s="9"/>
      <c r="MV112" s="9"/>
      <c r="MW112" s="9"/>
      <c r="MX112" s="9"/>
      <c r="MY112" s="9"/>
      <c r="MZ112" s="9"/>
      <c r="NA112" s="9"/>
      <c r="NB112" s="9"/>
      <c r="NC112" s="9"/>
      <c r="ND112" s="9"/>
      <c r="NE112" s="9"/>
      <c r="NF112" s="9"/>
      <c r="NG112" s="9"/>
      <c r="NH112" s="9"/>
      <c r="NI112" s="9"/>
      <c r="NJ112" s="9"/>
      <c r="NK112" s="9"/>
      <c r="NL112" s="9"/>
      <c r="NM112" s="9"/>
      <c r="NN112" s="9"/>
      <c r="NO112" s="9"/>
      <c r="NP112" s="9"/>
      <c r="NQ112" s="9"/>
      <c r="NR112" s="9"/>
      <c r="NS112" s="9"/>
      <c r="NT112" s="9"/>
      <c r="NU112" s="9"/>
      <c r="NV112" s="9"/>
      <c r="NW112" s="9"/>
      <c r="NX112" s="9"/>
      <c r="NY112" s="9"/>
      <c r="NZ112" s="9"/>
      <c r="OA112" s="9"/>
      <c r="OB112" s="9"/>
      <c r="OC112" s="9"/>
      <c r="OD112" s="9"/>
      <c r="OE112" s="9"/>
      <c r="OF112" s="9"/>
      <c r="OG112" s="9"/>
      <c r="OH112" s="9"/>
      <c r="OI112" s="9"/>
      <c r="OJ112" s="9"/>
      <c r="OK112" s="9"/>
      <c r="OL112" s="9"/>
      <c r="OM112" s="9"/>
      <c r="ON112" s="9"/>
      <c r="OO112" s="9"/>
      <c r="OP112" s="9"/>
      <c r="OQ112" s="9"/>
      <c r="OR112" s="9"/>
      <c r="OS112" s="9"/>
      <c r="OT112" s="9"/>
      <c r="OU112" s="9"/>
      <c r="OV112" s="9"/>
      <c r="OW112" s="9"/>
      <c r="OX112" s="9"/>
      <c r="OY112" s="9"/>
      <c r="OZ112" s="9"/>
      <c r="PA112" s="9"/>
      <c r="PB112" s="9"/>
      <c r="PC112" s="9"/>
      <c r="PD112" s="9"/>
      <c r="PE112" s="9"/>
      <c r="PF112" s="9"/>
      <c r="PG112" s="9"/>
      <c r="PH112" s="9"/>
      <c r="PI112" s="9"/>
      <c r="PJ112" s="9"/>
      <c r="PK112" s="9"/>
      <c r="PL112" s="9"/>
      <c r="PM112" s="9"/>
      <c r="PN112" s="9"/>
      <c r="PO112" s="9"/>
      <c r="PP112" s="9"/>
      <c r="PQ112" s="9"/>
      <c r="PR112" s="9"/>
      <c r="PS112" s="9"/>
      <c r="PT112" s="9"/>
      <c r="PU112" s="9"/>
      <c r="PV112" s="9"/>
      <c r="PW112" s="9"/>
      <c r="PX112" s="9"/>
      <c r="PY112" s="9"/>
      <c r="PZ112" s="9"/>
      <c r="QA112" s="9"/>
      <c r="QB112" s="9"/>
      <c r="QC112" s="9"/>
      <c r="QD112" s="9"/>
      <c r="QE112" s="9"/>
      <c r="QF112" s="9"/>
      <c r="QG112" s="9"/>
      <c r="QH112" s="9"/>
      <c r="QI112" s="9"/>
      <c r="QJ112" s="9"/>
      <c r="QK112" s="9"/>
      <c r="QL112" s="9"/>
      <c r="QM112" s="9"/>
      <c r="QN112" s="9"/>
      <c r="QO112" s="9"/>
      <c r="QP112" s="9"/>
      <c r="QQ112" s="9"/>
      <c r="QR112" s="9"/>
      <c r="QS112" s="9"/>
      <c r="QT112" s="9"/>
      <c r="QU112" s="9"/>
      <c r="QV112" s="9"/>
      <c r="QW112" s="9"/>
      <c r="QX112" s="9"/>
      <c r="QY112" s="9"/>
      <c r="QZ112" s="9"/>
      <c r="RA112" s="9"/>
      <c r="RB112" s="9"/>
      <c r="RC112" s="9"/>
      <c r="RD112" s="9"/>
      <c r="RE112" s="9"/>
      <c r="RF112" s="9"/>
      <c r="RG112" s="9"/>
      <c r="RH112" s="9"/>
      <c r="RI112" s="9"/>
      <c r="RJ112" s="9"/>
      <c r="RK112" s="9"/>
      <c r="RL112" s="9"/>
      <c r="RM112" s="9"/>
      <c r="RN112" s="9"/>
      <c r="RO112" s="9"/>
      <c r="RP112" s="9"/>
      <c r="RQ112" s="9"/>
      <c r="RR112" s="9"/>
      <c r="RS112" s="9"/>
      <c r="RT112" s="9"/>
      <c r="RU112" s="9"/>
      <c r="RV112" s="9"/>
      <c r="RW112" s="9"/>
      <c r="RX112" s="9"/>
      <c r="RY112" s="9"/>
      <c r="RZ112" s="9"/>
      <c r="SA112" s="9"/>
      <c r="SB112" s="9"/>
      <c r="SC112" s="9"/>
      <c r="SD112" s="9"/>
      <c r="SE112" s="9"/>
      <c r="SF112" s="9"/>
      <c r="SG112" s="9"/>
      <c r="SH112" s="9"/>
      <c r="SI112" s="9"/>
      <c r="SJ112" s="9"/>
      <c r="SK112" s="9"/>
      <c r="SL112" s="9"/>
      <c r="SM112" s="9"/>
      <c r="SN112" s="9"/>
      <c r="SO112" s="9"/>
      <c r="SP112" s="9"/>
      <c r="SQ112" s="9"/>
      <c r="SR112" s="9"/>
      <c r="SS112" s="9"/>
      <c r="ST112" s="9"/>
      <c r="SU112" s="9"/>
      <c r="SV112" s="9"/>
      <c r="SW112" s="9"/>
      <c r="SX112" s="9"/>
      <c r="SY112" s="9"/>
      <c r="SZ112" s="9"/>
      <c r="TA112" s="9"/>
      <c r="TB112" s="9"/>
      <c r="TC112" s="9"/>
      <c r="TD112" s="9"/>
      <c r="TE112" s="9"/>
      <c r="TF112" s="9"/>
      <c r="TG112" s="9"/>
      <c r="TH112" s="9"/>
      <c r="TI112" s="9"/>
      <c r="TJ112" s="9"/>
      <c r="TK112" s="9"/>
      <c r="TL112" s="9"/>
      <c r="TM112" s="9"/>
      <c r="TN112" s="9"/>
      <c r="TO112" s="9"/>
      <c r="TP112" s="9"/>
      <c r="TQ112" s="9"/>
      <c r="TR112" s="9"/>
      <c r="TS112" s="9"/>
      <c r="TT112" s="9"/>
      <c r="TU112" s="9"/>
      <c r="TV112" s="9"/>
      <c r="TW112" s="9"/>
      <c r="TX112" s="9"/>
      <c r="TY112" s="9"/>
      <c r="TZ112" s="9"/>
      <c r="UA112" s="9"/>
      <c r="UB112" s="9"/>
      <c r="UC112" s="9"/>
      <c r="UD112" s="9"/>
      <c r="UE112" s="9"/>
      <c r="UF112" s="9"/>
      <c r="UG112" s="9"/>
      <c r="UH112" s="9"/>
      <c r="UI112" s="9"/>
      <c r="UJ112" s="9"/>
      <c r="UK112" s="9"/>
      <c r="UL112" s="9"/>
      <c r="UM112" s="9"/>
      <c r="UN112" s="9"/>
      <c r="UO112" s="9"/>
      <c r="UP112" s="9"/>
      <c r="UQ112" s="9"/>
      <c r="UR112" s="9"/>
      <c r="US112" s="9"/>
      <c r="UT112" s="9"/>
      <c r="UU112" s="9"/>
      <c r="UV112" s="9"/>
      <c r="UW112" s="9"/>
      <c r="UX112" s="9"/>
      <c r="UY112" s="9"/>
      <c r="UZ112" s="9"/>
      <c r="VA112" s="9"/>
      <c r="VB112" s="9"/>
      <c r="VC112" s="9"/>
      <c r="VD112" s="9"/>
      <c r="VE112" s="9"/>
      <c r="VF112" s="9"/>
      <c r="VG112" s="9"/>
      <c r="VH112" s="9"/>
      <c r="VI112" s="9"/>
      <c r="VJ112" s="9"/>
      <c r="VK112" s="9"/>
      <c r="VL112" s="9"/>
      <c r="VM112" s="9"/>
      <c r="VN112" s="9"/>
      <c r="VO112" s="9"/>
      <c r="VP112" s="9"/>
      <c r="VQ112" s="9"/>
      <c r="VR112" s="9"/>
      <c r="VS112" s="9"/>
      <c r="VT112" s="9"/>
      <c r="VU112" s="9"/>
      <c r="VV112" s="9"/>
      <c r="VW112" s="9"/>
      <c r="VX112" s="9"/>
      <c r="VY112" s="9"/>
      <c r="VZ112" s="9"/>
      <c r="WA112" s="9"/>
      <c r="WB112" s="9"/>
      <c r="WC112" s="9"/>
      <c r="WD112" s="9"/>
      <c r="WE112" s="9"/>
      <c r="WF112" s="9"/>
      <c r="WG112" s="9"/>
      <c r="WH112" s="9"/>
      <c r="WI112" s="9"/>
      <c r="WJ112" s="9"/>
      <c r="WK112" s="9"/>
      <c r="WL112" s="9"/>
      <c r="WM112" s="9"/>
      <c r="WN112" s="9"/>
      <c r="WO112" s="9"/>
      <c r="WP112" s="9"/>
      <c r="WQ112" s="9"/>
      <c r="WR112" s="9"/>
      <c r="WS112" s="9"/>
      <c r="WT112" s="9"/>
      <c r="WU112" s="9"/>
      <c r="WV112" s="9"/>
      <c r="WW112" s="9"/>
      <c r="WX112" s="9"/>
      <c r="WY112" s="9"/>
      <c r="WZ112" s="9"/>
      <c r="XA112" s="9"/>
      <c r="XB112" s="9"/>
      <c r="XC112" s="9"/>
      <c r="XD112" s="9"/>
      <c r="XE112" s="9"/>
      <c r="XF112" s="9"/>
      <c r="XG112" s="9"/>
      <c r="XH112" s="9"/>
      <c r="XI112" s="9"/>
      <c r="XJ112" s="9"/>
      <c r="XK112" s="9"/>
      <c r="XL112" s="9"/>
      <c r="XM112" s="9"/>
      <c r="XN112" s="9"/>
      <c r="XO112" s="9"/>
      <c r="XP112" s="9"/>
      <c r="XQ112" s="9"/>
      <c r="XR112" s="9"/>
      <c r="XS112" s="9"/>
      <c r="XT112" s="9"/>
      <c r="XU112" s="9"/>
      <c r="XV112" s="9"/>
      <c r="XW112" s="9"/>
      <c r="XX112" s="9"/>
      <c r="XY112" s="9"/>
      <c r="XZ112" s="9"/>
      <c r="YA112" s="9"/>
      <c r="YB112" s="9"/>
      <c r="YC112" s="9"/>
      <c r="YD112" s="9"/>
      <c r="YE112" s="9"/>
      <c r="YF112" s="9"/>
      <c r="YG112" s="9"/>
      <c r="YH112" s="9"/>
      <c r="YI112" s="9"/>
      <c r="YJ112" s="9"/>
      <c r="YK112" s="9"/>
      <c r="YL112" s="9"/>
      <c r="YM112" s="9"/>
      <c r="YN112" s="9"/>
      <c r="YO112" s="9"/>
      <c r="YP112" s="9"/>
      <c r="YQ112" s="9"/>
      <c r="YR112" s="9"/>
      <c r="YS112" s="9"/>
      <c r="YT112" s="9"/>
      <c r="YU112" s="9"/>
      <c r="YV112" s="9"/>
      <c r="YW112" s="9"/>
      <c r="YX112" s="9"/>
      <c r="YY112" s="9"/>
      <c r="YZ112" s="9"/>
      <c r="ZA112" s="9"/>
      <c r="ZB112" s="9"/>
      <c r="ZC112" s="9"/>
      <c r="ZD112" s="9"/>
      <c r="ZE112" s="9"/>
      <c r="ZF112" s="9"/>
      <c r="ZG112" s="9"/>
      <c r="ZH112" s="9"/>
      <c r="ZI112" s="9"/>
      <c r="ZJ112" s="9"/>
      <c r="ZK112" s="9"/>
      <c r="ZL112" s="9"/>
      <c r="ZM112" s="9"/>
      <c r="ZN112" s="9"/>
      <c r="ZO112" s="9"/>
      <c r="ZP112" s="9"/>
      <c r="ZQ112" s="9"/>
      <c r="ZR112" s="9"/>
      <c r="ZS112" s="9"/>
      <c r="ZT112" s="9"/>
      <c r="ZU112" s="9"/>
      <c r="ZV112" s="9"/>
      <c r="ZW112" s="9"/>
      <c r="ZX112" s="9"/>
      <c r="ZY112" s="9"/>
      <c r="ZZ112" s="9"/>
      <c r="AAA112" s="9"/>
      <c r="AAB112" s="9"/>
      <c r="AAC112" s="9"/>
      <c r="AAD112" s="9"/>
      <c r="AAE112" s="9"/>
      <c r="AAF112" s="9"/>
      <c r="AAG112" s="9"/>
      <c r="AAH112" s="9"/>
      <c r="AAI112" s="9"/>
      <c r="AAJ112" s="9"/>
      <c r="AAK112" s="9"/>
      <c r="AAL112" s="9"/>
      <c r="AAM112" s="9"/>
      <c r="AAN112" s="9"/>
      <c r="AAO112" s="9"/>
      <c r="AAP112" s="9"/>
      <c r="AAQ112" s="9"/>
      <c r="AAR112" s="9"/>
      <c r="AAS112" s="9"/>
      <c r="AAT112" s="9"/>
      <c r="AAU112" s="9"/>
      <c r="AAV112" s="9"/>
      <c r="AAW112" s="9"/>
      <c r="AAX112" s="9"/>
      <c r="AAY112" s="9"/>
      <c r="AAZ112" s="9"/>
      <c r="ABA112" s="9"/>
      <c r="ABB112" s="9"/>
      <c r="ABC112" s="9"/>
      <c r="ABD112" s="9"/>
      <c r="ABE112" s="9"/>
      <c r="ABF112" s="9"/>
      <c r="ABG112" s="9"/>
      <c r="ABH112" s="9"/>
      <c r="ABI112" s="9"/>
      <c r="ABJ112" s="9"/>
      <c r="ABK112" s="9"/>
      <c r="ABL112" s="9"/>
      <c r="ABM112" s="9"/>
      <c r="ABN112" s="9"/>
      <c r="ABO112" s="9"/>
      <c r="ABP112" s="9"/>
      <c r="ABQ112" s="9"/>
      <c r="ABR112" s="9"/>
      <c r="ABS112" s="9"/>
      <c r="ABT112" s="9"/>
      <c r="ABU112" s="9"/>
      <c r="ABV112" s="9"/>
      <c r="ABW112" s="9"/>
      <c r="ABX112" s="9"/>
      <c r="ABY112" s="9"/>
      <c r="ABZ112" s="9"/>
      <c r="ACA112" s="9"/>
      <c r="ACB112" s="9"/>
      <c r="ACC112" s="9"/>
      <c r="ACD112" s="9"/>
      <c r="ACE112" s="9"/>
      <c r="ACF112" s="9"/>
      <c r="ACG112" s="9"/>
      <c r="ACH112" s="9"/>
      <c r="ACI112" s="9"/>
      <c r="ACJ112" s="9"/>
      <c r="ACK112" s="9"/>
      <c r="ACL112" s="9"/>
      <c r="ACM112" s="9"/>
      <c r="ACN112" s="9"/>
      <c r="ACO112" s="9"/>
      <c r="ACP112" s="9"/>
      <c r="ACQ112" s="9"/>
      <c r="ACR112" s="9"/>
      <c r="ACS112" s="9"/>
      <c r="ACT112" s="9"/>
      <c r="ACU112" s="9"/>
      <c r="ACV112" s="9"/>
      <c r="ACW112" s="9"/>
      <c r="ACX112" s="9"/>
      <c r="ACY112" s="9"/>
      <c r="ACZ112" s="9"/>
      <c r="ADA112" s="9"/>
      <c r="ADB112" s="9"/>
      <c r="ADC112" s="9"/>
      <c r="ADD112" s="9"/>
      <c r="ADE112" s="9"/>
      <c r="ADF112" s="9"/>
      <c r="ADG112" s="9"/>
      <c r="ADH112" s="9"/>
      <c r="ADI112" s="9"/>
      <c r="ADJ112" s="9"/>
      <c r="ADK112" s="9"/>
      <c r="ADL112" s="9"/>
      <c r="ADM112" s="9"/>
      <c r="ADN112" s="9"/>
      <c r="ADO112" s="9"/>
      <c r="ADP112" s="9"/>
      <c r="ADQ112" s="9"/>
      <c r="ADR112" s="9"/>
      <c r="ADS112" s="9"/>
      <c r="ADT112" s="9"/>
      <c r="ADU112" s="9"/>
      <c r="ADV112" s="9"/>
      <c r="ADW112" s="9"/>
      <c r="ADX112" s="9"/>
      <c r="ADY112" s="9"/>
      <c r="ADZ112" s="9"/>
      <c r="AEA112" s="9"/>
      <c r="AEB112" s="9"/>
      <c r="AEC112" s="9"/>
      <c r="AED112" s="9"/>
      <c r="AEE112" s="9"/>
      <c r="AEF112" s="9"/>
      <c r="AEG112" s="9"/>
      <c r="AEH112" s="9"/>
      <c r="AEI112" s="9"/>
      <c r="AEJ112" s="9"/>
      <c r="AEK112" s="9"/>
      <c r="AEL112" s="9"/>
      <c r="AEM112" s="9"/>
      <c r="AEN112" s="9"/>
      <c r="AEO112" s="9"/>
      <c r="AEP112" s="9"/>
      <c r="AEQ112" s="9"/>
      <c r="AER112" s="9"/>
      <c r="AES112" s="9"/>
      <c r="AET112" s="9"/>
      <c r="AEU112" s="9"/>
      <c r="AEV112" s="9"/>
      <c r="AEW112" s="9"/>
      <c r="AEX112" s="9"/>
      <c r="AEY112" s="9"/>
      <c r="AEZ112" s="9"/>
      <c r="AFA112" s="9"/>
      <c r="AFB112" s="9"/>
      <c r="AFC112" s="9"/>
      <c r="AFD112" s="9"/>
      <c r="AFE112" s="9"/>
      <c r="AFF112" s="9"/>
      <c r="AFG112" s="9"/>
      <c r="AFH112" s="9"/>
      <c r="AFI112" s="9"/>
      <c r="AFJ112" s="9"/>
      <c r="AFK112" s="9"/>
      <c r="AFL112" s="9"/>
      <c r="AFM112" s="9"/>
      <c r="AFN112" s="9"/>
      <c r="AFO112" s="9"/>
      <c r="AFP112" s="9"/>
      <c r="AFQ112" s="9"/>
      <c r="AFR112" s="9"/>
      <c r="AFS112" s="9"/>
      <c r="AFT112" s="9"/>
      <c r="AFU112" s="9"/>
      <c r="AFV112" s="9"/>
      <c r="AFW112" s="9"/>
      <c r="AFX112" s="9"/>
      <c r="AFY112" s="9"/>
      <c r="AFZ112" s="9"/>
      <c r="AGA112" s="9"/>
      <c r="AGB112" s="9"/>
      <c r="AGC112" s="9"/>
      <c r="AGD112" s="9"/>
      <c r="AGE112" s="9"/>
      <c r="AGF112" s="9"/>
      <c r="AGG112" s="9"/>
      <c r="AGH112" s="9"/>
      <c r="AGI112" s="9"/>
      <c r="AGJ112" s="9"/>
      <c r="AGK112" s="9"/>
      <c r="AGL112" s="9"/>
      <c r="AGM112" s="9"/>
      <c r="AGN112" s="9"/>
      <c r="AGO112" s="9"/>
      <c r="AGP112" s="9"/>
      <c r="AGQ112" s="9"/>
      <c r="AGR112" s="9"/>
      <c r="AGS112" s="9"/>
      <c r="AGT112" s="9"/>
      <c r="AGU112" s="9"/>
      <c r="AGV112" s="9"/>
      <c r="AGW112" s="9"/>
      <c r="AGX112" s="9"/>
      <c r="AGY112" s="9"/>
      <c r="AGZ112" s="9"/>
      <c r="AHA112" s="9"/>
      <c r="AHB112" s="9"/>
      <c r="AHC112" s="9"/>
      <c r="AHD112" s="9"/>
      <c r="AHE112" s="9"/>
      <c r="AHF112" s="9"/>
      <c r="AHG112" s="9"/>
      <c r="AHH112" s="9"/>
      <c r="AHI112" s="9"/>
      <c r="AHJ112" s="9"/>
      <c r="AHK112" s="9"/>
      <c r="AHL112" s="9"/>
      <c r="AHM112" s="9"/>
      <c r="AHN112" s="9"/>
      <c r="AHO112" s="9"/>
      <c r="AHP112" s="9"/>
      <c r="AHQ112" s="9"/>
      <c r="AHR112" s="9"/>
      <c r="AHS112" s="9"/>
      <c r="AHT112" s="9"/>
      <c r="AHU112" s="9"/>
      <c r="AHV112" s="9"/>
      <c r="AHW112" s="9"/>
      <c r="AHX112" s="9"/>
      <c r="AHY112" s="9"/>
      <c r="AHZ112" s="9"/>
      <c r="AIA112" s="9"/>
      <c r="AIB112" s="9"/>
      <c r="AIC112" s="9"/>
      <c r="AID112" s="9"/>
      <c r="AIE112" s="9"/>
      <c r="AIF112" s="9"/>
      <c r="AIG112" s="9"/>
      <c r="AIH112" s="9"/>
      <c r="AII112" s="9"/>
      <c r="AIJ112" s="9"/>
      <c r="AIK112" s="9"/>
      <c r="AIL112" s="9"/>
      <c r="AIM112" s="9"/>
      <c r="AIN112" s="9"/>
      <c r="AIO112" s="9"/>
      <c r="AIP112" s="9"/>
      <c r="AIQ112" s="9"/>
      <c r="AIR112" s="9"/>
      <c r="AIS112" s="9"/>
      <c r="AIT112" s="9"/>
      <c r="AIU112" s="9"/>
      <c r="AIV112" s="9"/>
      <c r="AIW112" s="9"/>
      <c r="AIX112" s="9"/>
      <c r="AIY112" s="9"/>
      <c r="AIZ112" s="9"/>
      <c r="AJA112" s="9"/>
      <c r="AJB112" s="9"/>
      <c r="AJC112" s="9"/>
      <c r="AJD112" s="9"/>
      <c r="AJE112" s="9"/>
      <c r="AJF112" s="9"/>
      <c r="AJG112" s="9"/>
      <c r="AJH112" s="9"/>
      <c r="AJI112" s="9"/>
      <c r="AJJ112" s="9"/>
      <c r="AJK112" s="9"/>
      <c r="AJL112" s="9"/>
      <c r="AJM112" s="9"/>
      <c r="AJN112" s="9"/>
      <c r="AJO112" s="9"/>
      <c r="AJP112" s="9"/>
      <c r="AJQ112" s="9"/>
      <c r="AJR112" s="9"/>
      <c r="AJS112" s="9"/>
      <c r="AJT112" s="9"/>
      <c r="AJU112" s="9"/>
      <c r="AJV112" s="9"/>
      <c r="AJW112" s="9"/>
      <c r="AJX112" s="9"/>
      <c r="AJY112" s="9"/>
      <c r="AJZ112" s="9"/>
      <c r="AKA112" s="9"/>
      <c r="AKB112" s="9"/>
      <c r="AKC112" s="9"/>
      <c r="AKD112" s="9"/>
      <c r="AKE112" s="9"/>
      <c r="AKF112" s="9"/>
      <c r="AKG112" s="9"/>
      <c r="AKH112" s="9"/>
      <c r="AKI112" s="9"/>
      <c r="AKJ112" s="9"/>
      <c r="AKK112" s="9"/>
      <c r="AKL112" s="9"/>
      <c r="AKM112" s="9"/>
      <c r="AKN112" s="9"/>
      <c r="AKO112" s="9"/>
      <c r="AKP112" s="9"/>
      <c r="AKQ112" s="9"/>
      <c r="AKR112" s="9"/>
      <c r="AKS112" s="9"/>
      <c r="AKT112" s="9"/>
      <c r="AKU112" s="9"/>
      <c r="AKV112" s="9"/>
      <c r="AKW112" s="9"/>
      <c r="AKX112" s="9"/>
      <c r="AKY112" s="9"/>
      <c r="AKZ112" s="9"/>
      <c r="ALA112" s="9"/>
      <c r="ALB112" s="9"/>
      <c r="ALC112" s="9"/>
      <c r="ALD112" s="9"/>
      <c r="ALE112" s="9"/>
      <c r="ALF112" s="9"/>
      <c r="ALG112" s="9"/>
      <c r="ALH112" s="9"/>
      <c r="ALI112" s="9"/>
      <c r="ALJ112" s="9"/>
      <c r="ALK112" s="9"/>
      <c r="ALL112" s="9"/>
      <c r="ALM112" s="9"/>
      <c r="ALN112" s="9"/>
      <c r="ALO112" s="9"/>
      <c r="ALP112" s="9"/>
      <c r="ALQ112" s="9"/>
      <c r="ALR112" s="9"/>
      <c r="ALS112" s="9"/>
      <c r="ALT112" s="9"/>
      <c r="ALU112" s="9"/>
      <c r="ALV112" s="9"/>
      <c r="ALW112" s="9"/>
      <c r="ALX112" s="9"/>
      <c r="ALY112" s="9"/>
      <c r="ALZ112" s="9"/>
      <c r="AMA112" s="9"/>
      <c r="AMB112" s="9"/>
      <c r="AMC112" s="9"/>
      <c r="AMD112" s="9"/>
      <c r="AME112" s="9"/>
      <c r="AMF112" s="9"/>
      <c r="AMG112" s="9"/>
      <c r="AMH112" s="9"/>
      <c r="AMI112" s="9"/>
      <c r="AMJ112" s="9"/>
      <c r="AMK112" s="9"/>
      <c r="AML112" s="9"/>
      <c r="AMM112" s="9"/>
      <c r="AMN112" s="9"/>
    </row>
    <row r="113" spans="1:1029" x14ac:dyDescent="0.2">
      <c r="A113" s="3" t="str">
        <f t="shared" si="222"/>
        <v>hrh1_human__wt</v>
      </c>
      <c r="B113" s="3" t="s">
        <v>278</v>
      </c>
      <c r="C113" s="3" t="s">
        <v>100</v>
      </c>
      <c r="D113" s="3" t="str">
        <f>IFERROR(MID(VLOOKUP($B113,Seqs!$A:$B,2,0),E113,1),"")</f>
        <v>P</v>
      </c>
      <c r="E113" s="3">
        <v>29</v>
      </c>
      <c r="F113" s="3" t="str">
        <f>IFERROR(MID(VLOOKUP($B113,Seqs!$A:$B,2,0),G113,1),"")</f>
        <v>E</v>
      </c>
      <c r="G113" s="3">
        <v>55</v>
      </c>
      <c r="H113" s="3" t="str">
        <f>IFERROR(MID(VLOOKUP($B113,Seqs!$A:$B,2,0),I113,1),"")</f>
        <v>R</v>
      </c>
      <c r="I113" s="23">
        <v>56</v>
      </c>
      <c r="J113" s="3" t="str">
        <f>IFERROR(MID(VLOOKUP($B113,Seqs!$A:$B,2,0),K113,1),"")</f>
        <v>H</v>
      </c>
      <c r="K113" s="23">
        <v>59</v>
      </c>
      <c r="L113" s="3" t="str">
        <f>IFERROR(MID(VLOOKUP($B113,Seqs!$A:$B,2,0),M113,1),"")</f>
        <v>T</v>
      </c>
      <c r="M113" s="3">
        <v>60</v>
      </c>
      <c r="N113" s="3" t="str">
        <f>IFERROR(MID(VLOOKUP($B113,Seqs!$A:$B,2,0),O113,1),"")</f>
        <v>M</v>
      </c>
      <c r="O113" s="3">
        <v>90</v>
      </c>
      <c r="P113" s="3" t="str">
        <f>IFERROR(MID(VLOOKUP($B113,Seqs!$A:$B,2,0),Q113,1),"")</f>
        <v>K</v>
      </c>
      <c r="Q113" s="3">
        <v>92</v>
      </c>
      <c r="R113" s="3" t="str">
        <f>IFERROR(MID(VLOOKUP($B113,Seqs!$A:$B,2,0),S113,1),"")</f>
        <v>L</v>
      </c>
      <c r="S113" s="3">
        <v>95</v>
      </c>
      <c r="T113" s="3" t="str">
        <f>IFERROR(MID(VLOOKUP($B113,Seqs!$A:$B,2,0),U113,1),"")</f>
        <v>G</v>
      </c>
      <c r="U113" s="3">
        <v>96</v>
      </c>
      <c r="V113" s="3" t="str">
        <f>IFERROR(MID(VLOOKUP($B113,Seqs!$A:$B,2,0),W113,1),"")</f>
        <v>Q</v>
      </c>
      <c r="W113" s="3">
        <v>131</v>
      </c>
      <c r="X113" s="3" t="str">
        <f>IFERROR(MID(VLOOKUP($B113,Seqs!$A:$B,2,0),Y113,1),"")</f>
        <v>P</v>
      </c>
      <c r="Y113" s="3">
        <v>132</v>
      </c>
      <c r="Z113" s="3" t="str">
        <f>IFERROR(MID(VLOOKUP($B113,Seqs!$A:$B,2,0),AA113,1),"")</f>
        <v>R</v>
      </c>
      <c r="AA113" s="3">
        <v>139</v>
      </c>
      <c r="AB113" s="3" t="str">
        <f>IFERROR(MID(VLOOKUP($B113,Seqs!$A:$B,2,0),AC113,1),"")</f>
        <v>T</v>
      </c>
      <c r="AC113" s="9">
        <v>140</v>
      </c>
      <c r="AD113" s="3" t="str">
        <f>IFERROR(MID(VLOOKUP($B113,Seqs!$A:$B,2,0),AE113,1),"")</f>
        <v>G</v>
      </c>
      <c r="AE113" s="3">
        <v>164</v>
      </c>
      <c r="AF113" s="3" t="str">
        <f>IFERROR(MID(VLOOKUP($B113,Seqs!$A:$B,2,0),AG113,1),"")</f>
        <v>C</v>
      </c>
      <c r="AG113" s="3">
        <v>180</v>
      </c>
      <c r="AH113" s="3" t="str">
        <f>IFERROR(MID(VLOOKUP($B113,Seqs!$A:$B,2,0),AI113,1),"")</f>
        <v>T</v>
      </c>
      <c r="AI113" s="3">
        <v>182</v>
      </c>
      <c r="AJ113" s="3" t="str">
        <f>IFERROR(MID(VLOOKUP($B113,Seqs!$A:$B,2,0),AK113,1),"")</f>
        <v>V</v>
      </c>
      <c r="AK113" s="3">
        <v>187</v>
      </c>
      <c r="AL113" s="3" t="str">
        <f>IFERROR(MID(VLOOKUP($B113,Seqs!$A:$B,2,0),AM113,1),"")</f>
        <v>N</v>
      </c>
      <c r="AM113" s="3">
        <v>228</v>
      </c>
      <c r="AN113" s="3" t="str">
        <f>IFERROR(MID(VLOOKUP($B113,Seqs!$A:$B,2,0),AO113,1),"")</f>
        <v>G</v>
      </c>
      <c r="AO113" s="3">
        <v>404</v>
      </c>
      <c r="AP113" s="3" t="str">
        <f>IFERROR(MID(VLOOKUP($B113,Seqs!$A:$B,2,0),AQ113,1),"")</f>
        <v>C</v>
      </c>
      <c r="AQ113" s="3">
        <v>441</v>
      </c>
      <c r="AR113" s="3" t="str">
        <f>IFERROR(MID(VLOOKUP($B113,Seqs!$A:$B,2,0),AS113,1),"")</f>
        <v>N</v>
      </c>
      <c r="AS113" s="3">
        <v>446</v>
      </c>
      <c r="AT113" s="3" t="str">
        <f>IFERROR(MID(VLOOKUP($B113,Seqs!$A:$B,2,0),AU113,1),"")</f>
        <v>C</v>
      </c>
      <c r="AU113" s="3">
        <v>471</v>
      </c>
      <c r="AV113" s="3" t="str">
        <f>IFERROR(MID(VLOOKUP($B113,Seqs!$A:$B,2,0),AW113,1),"")</f>
        <v>N</v>
      </c>
      <c r="AW113" s="3">
        <v>472</v>
      </c>
      <c r="AX113" s="3" t="str">
        <f>IFERROR(MID(VLOOKUP($B113,Seqs!$A:$B,2,0),AY113,1),"")</f>
        <v>H</v>
      </c>
      <c r="AY113" s="3">
        <v>484</v>
      </c>
      <c r="AZ113" s="79" t="str">
        <f>VLOOKUP(B113,Classification!A:D,2,0)</f>
        <v>A</v>
      </c>
      <c r="BA113" s="97" t="str">
        <f>VLOOKUP(B113,Classification!A:D,4,0)</f>
        <v>Histamine</v>
      </c>
      <c r="BB113" s="27" t="b">
        <f t="shared" si="223"/>
        <v>1</v>
      </c>
      <c r="BC113" s="23">
        <f t="shared" si="473"/>
        <v>257</v>
      </c>
      <c r="BD113" s="35" t="s">
        <v>1379</v>
      </c>
      <c r="BE113" s="3" t="s">
        <v>1381</v>
      </c>
      <c r="BF113" s="50" t="s">
        <v>1379</v>
      </c>
      <c r="BG113" s="50" t="s">
        <v>1384</v>
      </c>
      <c r="BH113" s="1"/>
      <c r="BI113" s="72" t="s">
        <v>1293</v>
      </c>
      <c r="BJ113" s="58" t="s">
        <v>1293</v>
      </c>
      <c r="BK113" s="58" t="s">
        <v>1293</v>
      </c>
      <c r="BL113" s="58" t="s">
        <v>1293</v>
      </c>
      <c r="BM113" s="58" t="s">
        <v>1293</v>
      </c>
      <c r="BN113" s="58" t="s">
        <v>1293</v>
      </c>
      <c r="BO113" s="58" t="s">
        <v>1293</v>
      </c>
      <c r="BP113" s="58" t="s">
        <v>1293</v>
      </c>
      <c r="BQ113" s="58" t="s">
        <v>1293</v>
      </c>
      <c r="BR113" s="58" t="s">
        <v>1293</v>
      </c>
      <c r="BS113" s="58" t="s">
        <v>1293</v>
      </c>
      <c r="BT113" s="58" t="s">
        <v>1293</v>
      </c>
      <c r="BU113" s="72">
        <f t="shared" si="474"/>
        <v>29</v>
      </c>
      <c r="BV113" s="73">
        <f t="shared" si="475"/>
        <v>56</v>
      </c>
      <c r="BW113" s="74">
        <f t="shared" si="476"/>
        <v>60</v>
      </c>
      <c r="BX113" s="73">
        <f t="shared" si="477"/>
        <v>92</v>
      </c>
      <c r="BY113" s="74">
        <f t="shared" si="478"/>
        <v>96</v>
      </c>
      <c r="BZ113" s="73">
        <f t="shared" si="479"/>
        <v>132</v>
      </c>
      <c r="CA113" s="74">
        <f t="shared" si="480"/>
        <v>140</v>
      </c>
      <c r="CB113" s="73">
        <f t="shared" si="481"/>
        <v>180</v>
      </c>
      <c r="CC113" s="74">
        <f t="shared" si="482"/>
        <v>187</v>
      </c>
      <c r="CD113" s="73">
        <f t="shared" si="483"/>
        <v>404</v>
      </c>
      <c r="CE113" s="74">
        <f t="shared" si="484"/>
        <v>446</v>
      </c>
      <c r="CF113" s="73">
        <f t="shared" si="485"/>
        <v>472</v>
      </c>
      <c r="CG113" s="72">
        <f t="shared" si="486"/>
        <v>55</v>
      </c>
      <c r="CH113" s="73">
        <f t="shared" si="487"/>
        <v>59</v>
      </c>
      <c r="CI113" s="74">
        <f t="shared" si="488"/>
        <v>90</v>
      </c>
      <c r="CJ113" s="74">
        <f t="shared" si="489"/>
        <v>95</v>
      </c>
      <c r="CK113" s="74">
        <f t="shared" si="490"/>
        <v>131</v>
      </c>
      <c r="CL113" s="74">
        <f t="shared" si="491"/>
        <v>139</v>
      </c>
      <c r="CM113" s="74">
        <f t="shared" si="492"/>
        <v>164</v>
      </c>
      <c r="CN113" s="74">
        <f t="shared" si="493"/>
        <v>182</v>
      </c>
      <c r="CO113" s="74">
        <f t="shared" si="494"/>
        <v>228</v>
      </c>
      <c r="CP113" s="74">
        <f t="shared" si="495"/>
        <v>441</v>
      </c>
      <c r="CQ113" s="74">
        <f t="shared" si="496"/>
        <v>471</v>
      </c>
      <c r="CR113" s="74">
        <f t="shared" si="497"/>
        <v>484</v>
      </c>
      <c r="CS113" s="23">
        <f t="shared" si="498"/>
        <v>1</v>
      </c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</row>
    <row r="114" spans="1:1029" x14ac:dyDescent="0.2">
      <c r="A114" s="3" t="str">
        <f t="shared" si="222"/>
        <v>hrh1_human_3RZE</v>
      </c>
      <c r="B114" s="3" t="s">
        <v>278</v>
      </c>
      <c r="C114" s="3" t="s">
        <v>73</v>
      </c>
      <c r="D114" s="3" t="str">
        <f>IFERROR(MID(VLOOKUP($B114,Seqs!$A:$B,2,0),E114,1),"")</f>
        <v>V</v>
      </c>
      <c r="E114" s="3">
        <v>33</v>
      </c>
      <c r="F114" s="3" t="str">
        <f>IFERROR(MID(VLOOKUP($B114,Seqs!$A:$B,2,0),G114,1),"")</f>
        <v>E</v>
      </c>
      <c r="G114" s="3">
        <v>55</v>
      </c>
      <c r="H114" s="3" t="str">
        <f>IFERROR(MID(VLOOKUP($B114,Seqs!$A:$B,2,0),I114,1),"")</f>
        <v>R</v>
      </c>
      <c r="I114" s="23">
        <v>56</v>
      </c>
      <c r="J114" s="3" t="str">
        <f>IFERROR(MID(VLOOKUP($B114,Seqs!$A:$B,2,0),K114,1),"")</f>
        <v>H</v>
      </c>
      <c r="K114" s="23">
        <v>59</v>
      </c>
      <c r="L114" s="3" t="str">
        <f>IFERROR(MID(VLOOKUP($B114,Seqs!$A:$B,2,0),M114,1),"")</f>
        <v>T</v>
      </c>
      <c r="M114" s="3">
        <v>60</v>
      </c>
      <c r="N114" s="3" t="str">
        <f>IFERROR(MID(VLOOKUP($B114,Seqs!$A:$B,2,0),O114,1),"")</f>
        <v>M</v>
      </c>
      <c r="O114" s="3">
        <v>90</v>
      </c>
      <c r="P114" s="3" t="str">
        <f>IFERROR(MID(VLOOKUP($B114,Seqs!$A:$B,2,0),Q114,1),"")</f>
        <v>K</v>
      </c>
      <c r="Q114" s="3">
        <v>92</v>
      </c>
      <c r="R114" s="3" t="str">
        <f>IFERROR(MID(VLOOKUP($B114,Seqs!$A:$B,2,0),S114,1),"")</f>
        <v>L</v>
      </c>
      <c r="S114" s="3">
        <v>95</v>
      </c>
      <c r="T114" s="3" t="str">
        <f>IFERROR(MID(VLOOKUP($B114,Seqs!$A:$B,2,0),U114,1),"")</f>
        <v>G</v>
      </c>
      <c r="U114" s="3">
        <v>96</v>
      </c>
      <c r="V114" s="3" t="str">
        <f>IFERROR(MID(VLOOKUP($B114,Seqs!$A:$B,2,0),W114,1),"")</f>
        <v>Q</v>
      </c>
      <c r="W114" s="3">
        <v>131</v>
      </c>
      <c r="X114" s="3" t="str">
        <f>IFERROR(MID(VLOOKUP($B114,Seqs!$A:$B,2,0),Y114,1),"")</f>
        <v/>
      </c>
      <c r="Y114" s="3" t="s">
        <v>23</v>
      </c>
      <c r="Z114" s="3" t="str">
        <f>IFERROR(MID(VLOOKUP($B114,Seqs!$A:$B,2,0),AA114,1),"")</f>
        <v/>
      </c>
      <c r="AA114" s="3" t="s">
        <v>23</v>
      </c>
      <c r="AB114" s="3" t="str">
        <f>IFERROR(MID(VLOOKUP($B114,Seqs!$A:$B,2,0),AC114,1),"")</f>
        <v>T</v>
      </c>
      <c r="AC114" s="9">
        <v>140</v>
      </c>
      <c r="AD114" s="3" t="str">
        <f>IFERROR(MID(VLOOKUP($B114,Seqs!$A:$B,2,0),AE114,1),"")</f>
        <v>G</v>
      </c>
      <c r="AE114" s="3">
        <v>164</v>
      </c>
      <c r="AF114" s="3" t="str">
        <f>IFERROR(MID(VLOOKUP($B114,Seqs!$A:$B,2,0),AG114,1),"")</f>
        <v>C</v>
      </c>
      <c r="AG114" s="3">
        <v>180</v>
      </c>
      <c r="AH114" s="3" t="str">
        <f>IFERROR(MID(VLOOKUP($B114,Seqs!$A:$B,2,0),AI114,1),"")</f>
        <v>T</v>
      </c>
      <c r="AI114" s="3">
        <v>182</v>
      </c>
      <c r="AJ114" s="3" t="str">
        <f>IFERROR(MID(VLOOKUP($B114,Seqs!$A:$B,2,0),AK114,1),"")</f>
        <v>V</v>
      </c>
      <c r="AK114" s="3">
        <v>187</v>
      </c>
      <c r="AL114" s="3" t="str">
        <f>IFERROR(MID(VLOOKUP($B114,Seqs!$A:$B,2,0),AM114,1),"")</f>
        <v>V</v>
      </c>
      <c r="AM114" s="3">
        <v>217</v>
      </c>
      <c r="AN114" s="3" t="str">
        <f>IFERROR(MID(VLOOKUP($B114,Seqs!$A:$B,2,0),AO114,1),"")</f>
        <v>N</v>
      </c>
      <c r="AO114" s="3">
        <v>408</v>
      </c>
      <c r="AP114" s="3" t="str">
        <f>IFERROR(MID(VLOOKUP($B114,Seqs!$A:$B,2,0),AQ114,1),"")</f>
        <v>C</v>
      </c>
      <c r="AQ114" s="3">
        <v>441</v>
      </c>
      <c r="AR114" s="3" t="str">
        <f>IFERROR(MID(VLOOKUP($B114,Seqs!$A:$B,2,0),AS114,1),"")</f>
        <v>N</v>
      </c>
      <c r="AS114" s="3">
        <v>446</v>
      </c>
      <c r="AT114" s="3" t="str">
        <f>IFERROR(MID(VLOOKUP($B114,Seqs!$A:$B,2,0),AU114,1),"")</f>
        <v>C</v>
      </c>
      <c r="AU114" s="3">
        <v>471</v>
      </c>
      <c r="AV114" s="3" t="str">
        <f>IFERROR(MID(VLOOKUP($B114,Seqs!$A:$B,2,0),AW114,1),"")</f>
        <v>N</v>
      </c>
      <c r="AW114" s="3">
        <v>472</v>
      </c>
      <c r="AX114" s="3" t="str">
        <f>IFERROR(MID(VLOOKUP($B114,Seqs!$A:$B,2,0),AY114,1),"")</f>
        <v>H</v>
      </c>
      <c r="AY114" s="3">
        <v>484</v>
      </c>
      <c r="AZ114" s="79" t="str">
        <f>VLOOKUP(B114,Classification!A:D,2,0)</f>
        <v>A</v>
      </c>
      <c r="BA114" s="97" t="str">
        <f>VLOOKUP(B114,Classification!A:D,4,0)</f>
        <v>Histamine</v>
      </c>
      <c r="BB114" s="27" t="b">
        <f t="shared" si="223"/>
        <v>1</v>
      </c>
      <c r="BC114" s="23">
        <f t="shared" si="473"/>
        <v>231</v>
      </c>
      <c r="BD114" s="16" t="s">
        <v>1383</v>
      </c>
      <c r="BE114" s="3" t="s">
        <v>1381</v>
      </c>
      <c r="BF114" s="50" t="s">
        <v>1384</v>
      </c>
      <c r="BG114" s="50" t="s">
        <v>1384</v>
      </c>
      <c r="BH114" s="1"/>
      <c r="BI114" s="72" t="s">
        <v>1293</v>
      </c>
      <c r="BJ114" s="58" t="s">
        <v>1293</v>
      </c>
      <c r="BK114" s="58" t="s">
        <v>1293</v>
      </c>
      <c r="BL114" s="58" t="s">
        <v>1293</v>
      </c>
      <c r="BM114" s="58" t="s">
        <v>1293</v>
      </c>
      <c r="BN114" s="58" t="s">
        <v>1293</v>
      </c>
      <c r="BO114" s="58" t="s">
        <v>1293</v>
      </c>
      <c r="BP114" s="58" t="s">
        <v>1293</v>
      </c>
      <c r="BQ114" s="58" t="s">
        <v>1293</v>
      </c>
      <c r="BR114" s="58" t="s">
        <v>1293</v>
      </c>
      <c r="BS114" s="58" t="s">
        <v>1293</v>
      </c>
      <c r="BT114" s="58" t="s">
        <v>1293</v>
      </c>
      <c r="BU114" s="72">
        <f t="shared" si="474"/>
        <v>33</v>
      </c>
      <c r="BV114" s="73">
        <f t="shared" si="475"/>
        <v>56</v>
      </c>
      <c r="BW114" s="74">
        <f t="shared" si="476"/>
        <v>60</v>
      </c>
      <c r="BX114" s="73">
        <f t="shared" si="477"/>
        <v>92</v>
      </c>
      <c r="BY114" s="74">
        <f t="shared" si="478"/>
        <v>96</v>
      </c>
      <c r="BZ114" s="73" t="str">
        <f t="shared" si="479"/>
        <v>-</v>
      </c>
      <c r="CA114" s="74">
        <f t="shared" si="480"/>
        <v>140</v>
      </c>
      <c r="CB114" s="73">
        <f t="shared" si="481"/>
        <v>180</v>
      </c>
      <c r="CC114" s="74">
        <f t="shared" si="482"/>
        <v>187</v>
      </c>
      <c r="CD114" s="73">
        <f t="shared" si="483"/>
        <v>408</v>
      </c>
      <c r="CE114" s="74">
        <f t="shared" si="484"/>
        <v>446</v>
      </c>
      <c r="CF114" s="73">
        <f t="shared" si="485"/>
        <v>472</v>
      </c>
      <c r="CG114" s="72">
        <f t="shared" si="486"/>
        <v>55</v>
      </c>
      <c r="CH114" s="73">
        <f t="shared" si="487"/>
        <v>59</v>
      </c>
      <c r="CI114" s="74">
        <f t="shared" si="488"/>
        <v>90</v>
      </c>
      <c r="CJ114" s="74">
        <f t="shared" si="489"/>
        <v>95</v>
      </c>
      <c r="CK114" s="74">
        <f t="shared" si="490"/>
        <v>131</v>
      </c>
      <c r="CL114" s="74" t="str">
        <f t="shared" si="491"/>
        <v>-</v>
      </c>
      <c r="CM114" s="74">
        <f t="shared" si="492"/>
        <v>164</v>
      </c>
      <c r="CN114" s="74">
        <f t="shared" si="493"/>
        <v>182</v>
      </c>
      <c r="CO114" s="74">
        <f t="shared" si="494"/>
        <v>217</v>
      </c>
      <c r="CP114" s="74">
        <f t="shared" si="495"/>
        <v>441</v>
      </c>
      <c r="CQ114" s="74">
        <f t="shared" si="496"/>
        <v>471</v>
      </c>
      <c r="CR114" s="74">
        <f t="shared" si="497"/>
        <v>484</v>
      </c>
      <c r="CS114" s="23">
        <f t="shared" si="498"/>
        <v>1</v>
      </c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</row>
    <row r="115" spans="1:1029" x14ac:dyDescent="0.2">
      <c r="A115" s="3" t="str">
        <f t="shared" ref="A115:A147" si="555">CONCATENATE(B115,"_",C115)</f>
        <v>lpar1_human__wt</v>
      </c>
      <c r="B115" s="3" t="s">
        <v>103</v>
      </c>
      <c r="C115" s="3" t="s">
        <v>100</v>
      </c>
      <c r="D115" s="3" t="str">
        <f>IFERROR(MID(VLOOKUP($B115,Seqs!$A:$B,2,0),E115,1),"")</f>
        <v>T</v>
      </c>
      <c r="E115" s="3">
        <v>47</v>
      </c>
      <c r="F115" s="3" t="str">
        <f>IFERROR(MID(VLOOKUP($B115,Seqs!$A:$B,2,0),G115,1),"")</f>
        <v>N</v>
      </c>
      <c r="G115" s="3">
        <v>77</v>
      </c>
      <c r="H115" s="3" t="str">
        <f>IFERROR(MID(VLOOKUP($B115,Seqs!$A:$B,2,0),I115,1),"")</f>
        <v>R</v>
      </c>
      <c r="I115" s="23">
        <v>78</v>
      </c>
      <c r="J115" s="3" t="str">
        <f>IFERROR(MID(VLOOKUP($B115,Seqs!$A:$B,2,0),K115,1),"")</f>
        <v>H</v>
      </c>
      <c r="K115" s="23">
        <v>81</v>
      </c>
      <c r="L115" s="3" t="str">
        <f>IFERROR(MID(VLOOKUP($B115,Seqs!$A:$B,2,0),M115,1),"")</f>
        <v>F</v>
      </c>
      <c r="M115" s="3">
        <v>82</v>
      </c>
      <c r="N115" s="3" t="str">
        <f>IFERROR(MID(VLOOKUP($B115,Seqs!$A:$B,2,0),O115,1),"")</f>
        <v>N</v>
      </c>
      <c r="O115" s="3">
        <v>108</v>
      </c>
      <c r="P115" s="3" t="str">
        <f>IFERROR(MID(VLOOKUP($B115,Seqs!$A:$B,2,0),Q115,1),"")</f>
        <v>G</v>
      </c>
      <c r="Q115" s="3">
        <v>110</v>
      </c>
      <c r="R115" s="3" t="str">
        <f>IFERROR(MID(VLOOKUP($B115,Seqs!$A:$B,2,0),S115,1),"")</f>
        <v>L</v>
      </c>
      <c r="S115" s="3">
        <v>116</v>
      </c>
      <c r="T115" s="3" t="str">
        <f>IFERROR(MID(VLOOKUP($B115,Seqs!$A:$B,2,0),U115,1),"")</f>
        <v>T</v>
      </c>
      <c r="U115" s="3">
        <v>117</v>
      </c>
      <c r="V115" s="3" t="str">
        <f>IFERROR(MID(VLOOKUP($B115,Seqs!$A:$B,2,0),W115,1),"")</f>
        <v>R</v>
      </c>
      <c r="W115" s="3">
        <v>152</v>
      </c>
      <c r="X115" s="3" t="str">
        <f>IFERROR(MID(VLOOKUP($B115,Seqs!$A:$B,2,0),Y115,1),"")</f>
        <v>M</v>
      </c>
      <c r="Y115" s="108">
        <v>153</v>
      </c>
      <c r="Z115" s="3" t="str">
        <f>IFERROR(MID(VLOOKUP($B115,Seqs!$A:$B,2,0),AA115,1),"")</f>
        <v>M</v>
      </c>
      <c r="AA115" s="108">
        <v>159</v>
      </c>
      <c r="AB115" s="3" t="str">
        <f>IFERROR(MID(VLOOKUP($B115,Seqs!$A:$B,2,0),AC115,1),"")</f>
        <v>S</v>
      </c>
      <c r="AC115" s="108">
        <v>160</v>
      </c>
      <c r="AD115" s="3" t="str">
        <f>IFERROR(MID(VLOOKUP($B115,Seqs!$A:$B,2,0),AE115,1),"")</f>
        <v>G</v>
      </c>
      <c r="AE115" s="3">
        <v>185</v>
      </c>
      <c r="AF115" s="3" t="str">
        <f>IFERROR(MID(VLOOKUP($B115,Seqs!$A:$B,2,0),AG115,1),"")</f>
        <v/>
      </c>
      <c r="AG115" s="3" t="s">
        <v>23</v>
      </c>
      <c r="AH115" s="3" t="str">
        <f>IFERROR(MID(VLOOKUP($B115,Seqs!$A:$B,2,0),AI115,1),"")</f>
        <v/>
      </c>
      <c r="AI115" s="3" t="s">
        <v>23</v>
      </c>
      <c r="AJ115" s="3" t="str">
        <f>IFERROR(MID(VLOOKUP($B115,Seqs!$A:$B,2,0),AK115,1),"")</f>
        <v>S</v>
      </c>
      <c r="AK115" s="3">
        <v>203</v>
      </c>
      <c r="AL115" s="3" t="str">
        <f>IFERROR(MID(VLOOKUP($B115,Seqs!$A:$B,2,0),AM115,1),"")</f>
        <v>S</v>
      </c>
      <c r="AM115" s="3">
        <v>240</v>
      </c>
      <c r="AN115" s="3" t="str">
        <f>IFERROR(MID(VLOOKUP($B115,Seqs!$A:$B,2,0),AO115,1),"")</f>
        <v>G</v>
      </c>
      <c r="AO115" s="3">
        <v>245</v>
      </c>
      <c r="AP115" s="3" t="str">
        <f>IFERROR(MID(VLOOKUP($B115,Seqs!$A:$B,2,0),AQ115,1),"")</f>
        <v>C</v>
      </c>
      <c r="AQ115" s="3">
        <v>284</v>
      </c>
      <c r="AR115" s="3" t="str">
        <f>IFERROR(MID(VLOOKUP($B115,Seqs!$A:$B,2,0),AS115,1),"")</f>
        <v>D</v>
      </c>
      <c r="AS115" s="3">
        <v>288</v>
      </c>
      <c r="AT115" s="3" t="str">
        <f>IFERROR(MID(VLOOKUP($B115,Seqs!$A:$B,2,0),AU115,1),"")</f>
        <v>R</v>
      </c>
      <c r="AU115" s="3">
        <v>314</v>
      </c>
      <c r="AV115" s="3" t="str">
        <f>IFERROR(MID(VLOOKUP($B115,Seqs!$A:$B,2,0),AW115,1),"")</f>
        <v>D</v>
      </c>
      <c r="AW115" s="3">
        <v>315</v>
      </c>
      <c r="AX115" s="3" t="str">
        <f>IFERROR(MID(VLOOKUP($B115,Seqs!$A:$B,2,0),AY115,1),"")</f>
        <v>C</v>
      </c>
      <c r="AY115" s="3">
        <v>327</v>
      </c>
      <c r="AZ115" s="79" t="str">
        <f>VLOOKUP(B115,Classification!A:D,2,0)</f>
        <v>A</v>
      </c>
      <c r="BA115" s="97" t="str">
        <f>VLOOKUP(B115,Classification!A:D,4,0)</f>
        <v>Lysophospholipid(LPA)</v>
      </c>
      <c r="BB115" s="27" t="b">
        <f t="shared" ref="BB115:BB147" si="556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23">
        <f t="shared" si="473"/>
        <v>257</v>
      </c>
      <c r="BD115" s="57" t="s">
        <v>1379</v>
      </c>
      <c r="BE115" s="3" t="s">
        <v>1381</v>
      </c>
      <c r="BF115" s="50" t="s">
        <v>1379</v>
      </c>
      <c r="BG115" s="50" t="s">
        <v>1384</v>
      </c>
      <c r="BH115" s="1"/>
      <c r="BI115" s="72" t="s">
        <v>1293</v>
      </c>
      <c r="BJ115" s="58" t="s">
        <v>1293</v>
      </c>
      <c r="BK115" s="58" t="s">
        <v>1293</v>
      </c>
      <c r="BL115" s="58" t="s">
        <v>1293</v>
      </c>
      <c r="BM115" s="58" t="s">
        <v>1293</v>
      </c>
      <c r="BN115" s="58" t="s">
        <v>1293</v>
      </c>
      <c r="BO115" s="58" t="s">
        <v>1293</v>
      </c>
      <c r="BP115" s="58" t="s">
        <v>1293</v>
      </c>
      <c r="BQ115" s="58" t="s">
        <v>1293</v>
      </c>
      <c r="BR115" s="58" t="s">
        <v>1293</v>
      </c>
      <c r="BS115" s="58" t="s">
        <v>1293</v>
      </c>
      <c r="BT115" s="58" t="s">
        <v>1293</v>
      </c>
      <c r="BU115" s="72">
        <f t="shared" si="474"/>
        <v>47</v>
      </c>
      <c r="BV115" s="73">
        <f t="shared" si="475"/>
        <v>78</v>
      </c>
      <c r="BW115" s="74">
        <f t="shared" si="476"/>
        <v>82</v>
      </c>
      <c r="BX115" s="73">
        <f t="shared" si="477"/>
        <v>110</v>
      </c>
      <c r="BY115" s="74">
        <f t="shared" si="478"/>
        <v>117</v>
      </c>
      <c r="BZ115" s="73">
        <f t="shared" si="479"/>
        <v>153</v>
      </c>
      <c r="CA115" s="74">
        <f t="shared" si="480"/>
        <v>160</v>
      </c>
      <c r="CB115" s="73" t="str">
        <f t="shared" si="481"/>
        <v>-</v>
      </c>
      <c r="CC115" s="74">
        <f t="shared" si="482"/>
        <v>203</v>
      </c>
      <c r="CD115" s="73">
        <f t="shared" si="483"/>
        <v>245</v>
      </c>
      <c r="CE115" s="74">
        <f t="shared" si="484"/>
        <v>288</v>
      </c>
      <c r="CF115" s="73">
        <f t="shared" si="485"/>
        <v>315</v>
      </c>
      <c r="CG115" s="72">
        <f t="shared" si="486"/>
        <v>77</v>
      </c>
      <c r="CH115" s="73">
        <f t="shared" si="487"/>
        <v>81</v>
      </c>
      <c r="CI115" s="74">
        <f t="shared" si="488"/>
        <v>108</v>
      </c>
      <c r="CJ115" s="74">
        <f t="shared" si="489"/>
        <v>116</v>
      </c>
      <c r="CK115" s="74">
        <f t="shared" si="490"/>
        <v>152</v>
      </c>
      <c r="CL115" s="74">
        <f t="shared" si="491"/>
        <v>159</v>
      </c>
      <c r="CM115" s="74">
        <f t="shared" si="492"/>
        <v>185</v>
      </c>
      <c r="CN115" s="74" t="str">
        <f t="shared" si="493"/>
        <v>-</v>
      </c>
      <c r="CO115" s="74">
        <f t="shared" si="494"/>
        <v>240</v>
      </c>
      <c r="CP115" s="74">
        <f t="shared" si="495"/>
        <v>284</v>
      </c>
      <c r="CQ115" s="74">
        <f t="shared" si="496"/>
        <v>314</v>
      </c>
      <c r="CR115" s="74">
        <f t="shared" si="497"/>
        <v>327</v>
      </c>
      <c r="CS115" s="23">
        <f t="shared" si="498"/>
        <v>1</v>
      </c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</row>
    <row r="116" spans="1:1029" x14ac:dyDescent="0.2">
      <c r="A116" s="3" t="str">
        <f t="shared" si="555"/>
        <v>lpar1_human_4Z34</v>
      </c>
      <c r="B116" s="3" t="s">
        <v>103</v>
      </c>
      <c r="C116" s="3" t="s">
        <v>1057</v>
      </c>
      <c r="D116" s="3" t="str">
        <f>IFERROR(MID(VLOOKUP($B116,Seqs!$A:$B,2,0),E116,1),"")</f>
        <v>T</v>
      </c>
      <c r="E116" s="3">
        <v>47</v>
      </c>
      <c r="F116" s="3" t="str">
        <f>IFERROR(MID(VLOOKUP($B116,Seqs!$A:$B,2,0),G116,1),"")</f>
        <v>N</v>
      </c>
      <c r="G116" s="3">
        <v>77</v>
      </c>
      <c r="H116" s="3" t="str">
        <f>IFERROR(MID(VLOOKUP($B116,Seqs!$A:$B,2,0),I116,1),"")</f>
        <v>R</v>
      </c>
      <c r="I116" s="23">
        <v>78</v>
      </c>
      <c r="J116" s="3" t="str">
        <f>IFERROR(MID(VLOOKUP($B116,Seqs!$A:$B,2,0),K116,1),"")</f>
        <v>H</v>
      </c>
      <c r="K116" s="23">
        <v>81</v>
      </c>
      <c r="L116" s="3" t="str">
        <f>IFERROR(MID(VLOOKUP($B116,Seqs!$A:$B,2,0),M116,1),"")</f>
        <v>F</v>
      </c>
      <c r="M116" s="3">
        <v>82</v>
      </c>
      <c r="N116" s="3" t="str">
        <f>IFERROR(MID(VLOOKUP($B116,Seqs!$A:$B,2,0),O116,1),"")</f>
        <v>N</v>
      </c>
      <c r="O116" s="3">
        <v>108</v>
      </c>
      <c r="P116" s="3" t="str">
        <f>IFERROR(MID(VLOOKUP($B116,Seqs!$A:$B,2,0),Q116,1),"")</f>
        <v>G</v>
      </c>
      <c r="Q116" s="3">
        <v>110</v>
      </c>
      <c r="R116" s="3" t="str">
        <f>IFERROR(MID(VLOOKUP($B116,Seqs!$A:$B,2,0),S116,1),"")</f>
        <v>L</v>
      </c>
      <c r="S116" s="3">
        <v>116</v>
      </c>
      <c r="T116" s="3" t="str">
        <f>IFERROR(MID(VLOOKUP($B116,Seqs!$A:$B,2,0),U116,1),"")</f>
        <v>T</v>
      </c>
      <c r="U116" s="3">
        <v>117</v>
      </c>
      <c r="V116" s="3" t="str">
        <f>IFERROR(MID(VLOOKUP($B116,Seqs!$A:$B,2,0),W116,1),"")</f>
        <v>R</v>
      </c>
      <c r="W116" s="3">
        <v>152</v>
      </c>
      <c r="X116" s="3" t="str">
        <f>IFERROR(MID(VLOOKUP($B116,Seqs!$A:$B,2,0),Y116,1),"")</f>
        <v/>
      </c>
      <c r="Y116" s="3" t="s">
        <v>23</v>
      </c>
      <c r="Z116" s="3" t="str">
        <f>IFERROR(MID(VLOOKUP($B116,Seqs!$A:$B,2,0),AA116,1),"")</f>
        <v/>
      </c>
      <c r="AA116" s="3" t="s">
        <v>23</v>
      </c>
      <c r="AB116" s="3" t="str">
        <f>IFERROR(MID(VLOOKUP($B116,Seqs!$A:$B,2,0),AC116,1),"")</f>
        <v>T</v>
      </c>
      <c r="AC116" s="9">
        <v>157</v>
      </c>
      <c r="AD116" s="3" t="str">
        <f>IFERROR(MID(VLOOKUP($B116,Seqs!$A:$B,2,0),AE116,1),"")</f>
        <v>G</v>
      </c>
      <c r="AE116" s="3">
        <v>185</v>
      </c>
      <c r="AF116" s="3" t="str">
        <f>IFERROR(MID(VLOOKUP($B116,Seqs!$A:$B,2,0),AG116,1),"")</f>
        <v/>
      </c>
      <c r="AG116" s="3" t="s">
        <v>23</v>
      </c>
      <c r="AH116" s="3" t="str">
        <f>IFERROR(MID(VLOOKUP($B116,Seqs!$A:$B,2,0),AI116,1),"")</f>
        <v/>
      </c>
      <c r="AI116" s="3" t="s">
        <v>23</v>
      </c>
      <c r="AJ116" s="3" t="str">
        <f>IFERROR(MID(VLOOKUP($B116,Seqs!$A:$B,2,0),AK116,1),"")</f>
        <v>S</v>
      </c>
      <c r="AK116" s="3">
        <v>203</v>
      </c>
      <c r="AL116" s="3" t="str">
        <f>IFERROR(MID(VLOOKUP($B116,Seqs!$A:$B,2,0),AM116,1),"")</f>
        <v>R</v>
      </c>
      <c r="AM116" s="3">
        <v>235</v>
      </c>
      <c r="AN116" s="3" t="str">
        <f>IFERROR(MID(VLOOKUP($B116,Seqs!$A:$B,2,0),AO116,1),"")</f>
        <v>G</v>
      </c>
      <c r="AO116" s="3">
        <v>245</v>
      </c>
      <c r="AP116" s="3" t="str">
        <f>IFERROR(MID(VLOOKUP($B116,Seqs!$A:$B,2,0),AQ116,1),"")</f>
        <v>C</v>
      </c>
      <c r="AQ116" s="3">
        <v>284</v>
      </c>
      <c r="AR116" s="3" t="str">
        <f>IFERROR(MID(VLOOKUP($B116,Seqs!$A:$B,2,0),AS116,1),"")</f>
        <v>E</v>
      </c>
      <c r="AS116" s="3">
        <v>293</v>
      </c>
      <c r="AT116" s="3" t="str">
        <f>IFERROR(MID(VLOOKUP($B116,Seqs!$A:$B,2,0),AU116,1),"")</f>
        <v>R</v>
      </c>
      <c r="AU116" s="3">
        <v>314</v>
      </c>
      <c r="AV116" s="3" t="str">
        <f>IFERROR(MID(VLOOKUP($B116,Seqs!$A:$B,2,0),AW116,1),"")</f>
        <v>D</v>
      </c>
      <c r="AW116" s="3">
        <v>315</v>
      </c>
      <c r="AX116" s="3" t="str">
        <f>IFERROR(MID(VLOOKUP($B116,Seqs!$A:$B,2,0),AY116,1),"")</f>
        <v>C</v>
      </c>
      <c r="AY116" s="3">
        <v>327</v>
      </c>
      <c r="AZ116" s="79" t="str">
        <f>VLOOKUP(B116,Classification!A:D,2,0)</f>
        <v>A</v>
      </c>
      <c r="BA116" s="97" t="str">
        <f>VLOOKUP(B116,Classification!A:D,4,0)</f>
        <v>Lysophospholipid(LPA)</v>
      </c>
      <c r="BB116" s="27" t="b">
        <f t="shared" si="556"/>
        <v>1</v>
      </c>
      <c r="BC116" s="23">
        <f t="shared" si="473"/>
        <v>244</v>
      </c>
      <c r="BD116" s="16" t="s">
        <v>1383</v>
      </c>
      <c r="BE116" s="3" t="s">
        <v>1381</v>
      </c>
      <c r="BF116" s="50" t="s">
        <v>1384</v>
      </c>
      <c r="BG116" s="50" t="s">
        <v>1384</v>
      </c>
      <c r="BH116" s="1"/>
      <c r="BI116" s="72" t="s">
        <v>1293</v>
      </c>
      <c r="BJ116" s="58" t="s">
        <v>1293</v>
      </c>
      <c r="BK116" s="58" t="s">
        <v>1293</v>
      </c>
      <c r="BL116" s="58" t="s">
        <v>1293</v>
      </c>
      <c r="BM116" s="58" t="s">
        <v>1293</v>
      </c>
      <c r="BN116" s="58" t="s">
        <v>1293</v>
      </c>
      <c r="BO116" s="58" t="s">
        <v>1293</v>
      </c>
      <c r="BP116" s="58" t="s">
        <v>1293</v>
      </c>
      <c r="BQ116" s="58" t="s">
        <v>1293</v>
      </c>
      <c r="BR116" s="58" t="s">
        <v>1293</v>
      </c>
      <c r="BS116" s="58" t="s">
        <v>1293</v>
      </c>
      <c r="BT116" s="58" t="s">
        <v>1293</v>
      </c>
      <c r="BU116" s="72">
        <f t="shared" si="474"/>
        <v>47</v>
      </c>
      <c r="BV116" s="73">
        <f t="shared" si="475"/>
        <v>78</v>
      </c>
      <c r="BW116" s="74">
        <f t="shared" si="476"/>
        <v>82</v>
      </c>
      <c r="BX116" s="73">
        <f t="shared" si="477"/>
        <v>110</v>
      </c>
      <c r="BY116" s="74">
        <f t="shared" si="478"/>
        <v>117</v>
      </c>
      <c r="BZ116" s="73" t="str">
        <f t="shared" si="479"/>
        <v>-</v>
      </c>
      <c r="CA116" s="74">
        <f t="shared" si="480"/>
        <v>157</v>
      </c>
      <c r="CB116" s="73" t="str">
        <f t="shared" si="481"/>
        <v>-</v>
      </c>
      <c r="CC116" s="74">
        <f t="shared" si="482"/>
        <v>203</v>
      </c>
      <c r="CD116" s="73">
        <f t="shared" si="483"/>
        <v>245</v>
      </c>
      <c r="CE116" s="74">
        <f t="shared" si="484"/>
        <v>293</v>
      </c>
      <c r="CF116" s="73">
        <f t="shared" si="485"/>
        <v>315</v>
      </c>
      <c r="CG116" s="72">
        <f t="shared" si="486"/>
        <v>77</v>
      </c>
      <c r="CH116" s="73">
        <f t="shared" si="487"/>
        <v>81</v>
      </c>
      <c r="CI116" s="74">
        <f t="shared" si="488"/>
        <v>108</v>
      </c>
      <c r="CJ116" s="74">
        <f t="shared" si="489"/>
        <v>116</v>
      </c>
      <c r="CK116" s="74">
        <f t="shared" si="490"/>
        <v>152</v>
      </c>
      <c r="CL116" s="74" t="str">
        <f t="shared" si="491"/>
        <v>-</v>
      </c>
      <c r="CM116" s="74">
        <f t="shared" si="492"/>
        <v>185</v>
      </c>
      <c r="CN116" s="74" t="str">
        <f t="shared" si="493"/>
        <v>-</v>
      </c>
      <c r="CO116" s="74">
        <f t="shared" si="494"/>
        <v>235</v>
      </c>
      <c r="CP116" s="74">
        <f t="shared" si="495"/>
        <v>284</v>
      </c>
      <c r="CQ116" s="74">
        <f t="shared" si="496"/>
        <v>314</v>
      </c>
      <c r="CR116" s="74">
        <f t="shared" si="497"/>
        <v>327</v>
      </c>
      <c r="CS116" s="23">
        <f t="shared" si="498"/>
        <v>1</v>
      </c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</row>
    <row r="117" spans="1:1029" x14ac:dyDescent="0.2">
      <c r="A117" s="3" t="str">
        <f t="shared" si="555"/>
        <v>lpar1_human_4Z35</v>
      </c>
      <c r="B117" s="3" t="s">
        <v>103</v>
      </c>
      <c r="C117" s="3" t="s">
        <v>89</v>
      </c>
      <c r="D117" s="3" t="str">
        <f>IFERROR(MID(VLOOKUP($B117,Seqs!$A:$B,2,0),E117,1),"")</f>
        <v>T</v>
      </c>
      <c r="E117" s="3">
        <v>47</v>
      </c>
      <c r="F117" s="3" t="str">
        <f>IFERROR(MID(VLOOKUP($B117,Seqs!$A:$B,2,0),G117,1),"")</f>
        <v>N</v>
      </c>
      <c r="G117" s="3">
        <v>77</v>
      </c>
      <c r="H117" s="3" t="str">
        <f>IFERROR(MID(VLOOKUP($B117,Seqs!$A:$B,2,0),I117,1),"")</f>
        <v>R</v>
      </c>
      <c r="I117" s="23">
        <v>78</v>
      </c>
      <c r="J117" s="3" t="str">
        <f>IFERROR(MID(VLOOKUP($B117,Seqs!$A:$B,2,0),K117,1),"")</f>
        <v>H</v>
      </c>
      <c r="K117" s="23">
        <v>81</v>
      </c>
      <c r="L117" s="3" t="str">
        <f>IFERROR(MID(VLOOKUP($B117,Seqs!$A:$B,2,0),M117,1),"")</f>
        <v>F</v>
      </c>
      <c r="M117" s="3">
        <v>82</v>
      </c>
      <c r="N117" s="3" t="str">
        <f>IFERROR(MID(VLOOKUP($B117,Seqs!$A:$B,2,0),O117,1),"")</f>
        <v>N</v>
      </c>
      <c r="O117" s="3">
        <v>108</v>
      </c>
      <c r="P117" s="3" t="str">
        <f>IFERROR(MID(VLOOKUP($B117,Seqs!$A:$B,2,0),Q117,1),"")</f>
        <v>G</v>
      </c>
      <c r="Q117" s="3">
        <v>110</v>
      </c>
      <c r="R117" s="3" t="str">
        <f>IFERROR(MID(VLOOKUP($B117,Seqs!$A:$B,2,0),S117,1),"")</f>
        <v>L</v>
      </c>
      <c r="S117" s="3">
        <v>116</v>
      </c>
      <c r="T117" s="3" t="str">
        <f>IFERROR(MID(VLOOKUP($B117,Seqs!$A:$B,2,0),U117,1),"")</f>
        <v>T</v>
      </c>
      <c r="U117" s="3">
        <v>117</v>
      </c>
      <c r="V117" s="3" t="str">
        <f>IFERROR(MID(VLOOKUP($B117,Seqs!$A:$B,2,0),W117,1),"")</f>
        <v>R</v>
      </c>
      <c r="W117" s="3">
        <v>152</v>
      </c>
      <c r="X117" s="3" t="str">
        <f>IFERROR(MID(VLOOKUP($B117,Seqs!$A:$B,2,0),Y117,1),"")</f>
        <v/>
      </c>
      <c r="Y117" s="3" t="s">
        <v>23</v>
      </c>
      <c r="Z117" s="3" t="str">
        <f>IFERROR(MID(VLOOKUP($B117,Seqs!$A:$B,2,0),AA117,1),"")</f>
        <v/>
      </c>
      <c r="AA117" s="3" t="s">
        <v>23</v>
      </c>
      <c r="AB117" s="3" t="str">
        <f>IFERROR(MID(VLOOKUP($B117,Seqs!$A:$B,2,0),AC117,1),"")</f>
        <v>T</v>
      </c>
      <c r="AC117" s="9">
        <v>157</v>
      </c>
      <c r="AD117" s="3" t="str">
        <f>IFERROR(MID(VLOOKUP($B117,Seqs!$A:$B,2,0),AE117,1),"")</f>
        <v>G</v>
      </c>
      <c r="AE117" s="3">
        <v>185</v>
      </c>
      <c r="AF117" s="3" t="str">
        <f>IFERROR(MID(VLOOKUP($B117,Seqs!$A:$B,2,0),AG117,1),"")</f>
        <v/>
      </c>
      <c r="AG117" s="3" t="s">
        <v>23</v>
      </c>
      <c r="AH117" s="3" t="str">
        <f>IFERROR(MID(VLOOKUP($B117,Seqs!$A:$B,2,0),AI117,1),"")</f>
        <v/>
      </c>
      <c r="AI117" s="3" t="s">
        <v>23</v>
      </c>
      <c r="AJ117" s="3" t="str">
        <f>IFERROR(MID(VLOOKUP($B117,Seqs!$A:$B,2,0),AK117,1),"")</f>
        <v>S</v>
      </c>
      <c r="AK117" s="3">
        <v>203</v>
      </c>
      <c r="AL117" s="3" t="str">
        <f>IFERROR(MID(VLOOKUP($B117,Seqs!$A:$B,2,0),AM117,1),"")</f>
        <v>R</v>
      </c>
      <c r="AM117" s="3">
        <v>235</v>
      </c>
      <c r="AN117" s="3" t="str">
        <f>IFERROR(MID(VLOOKUP($B117,Seqs!$A:$B,2,0),AO117,1),"")</f>
        <v>G</v>
      </c>
      <c r="AO117" s="3">
        <v>245</v>
      </c>
      <c r="AP117" s="3" t="str">
        <f>IFERROR(MID(VLOOKUP($B117,Seqs!$A:$B,2,0),AQ117,1),"")</f>
        <v>C</v>
      </c>
      <c r="AQ117" s="3">
        <v>284</v>
      </c>
      <c r="AR117" s="3" t="str">
        <f>IFERROR(MID(VLOOKUP($B117,Seqs!$A:$B,2,0),AS117,1),"")</f>
        <v>E</v>
      </c>
      <c r="AS117" s="3">
        <v>293</v>
      </c>
      <c r="AT117" s="3" t="str">
        <f>IFERROR(MID(VLOOKUP($B117,Seqs!$A:$B,2,0),AU117,1),"")</f>
        <v>R</v>
      </c>
      <c r="AU117" s="3">
        <v>314</v>
      </c>
      <c r="AV117" s="3" t="str">
        <f>IFERROR(MID(VLOOKUP($B117,Seqs!$A:$B,2,0),AW117,1),"")</f>
        <v>D</v>
      </c>
      <c r="AW117" s="3">
        <v>315</v>
      </c>
      <c r="AX117" s="3" t="str">
        <f>IFERROR(MID(VLOOKUP($B117,Seqs!$A:$B,2,0),AY117,1),"")</f>
        <v>C</v>
      </c>
      <c r="AY117" s="3">
        <v>327</v>
      </c>
      <c r="AZ117" s="79" t="str">
        <f>VLOOKUP(B117,Classification!A:D,2,0)</f>
        <v>A</v>
      </c>
      <c r="BA117" s="97" t="str">
        <f>VLOOKUP(B117,Classification!A:D,4,0)</f>
        <v>Lysophospholipid(LPA)</v>
      </c>
      <c r="BB117" s="27" t="b">
        <f t="shared" si="556"/>
        <v>1</v>
      </c>
      <c r="BC117" s="23">
        <f t="shared" si="473"/>
        <v>244</v>
      </c>
      <c r="BD117" s="5" t="s">
        <v>23</v>
      </c>
      <c r="BE117" s="3" t="s">
        <v>1381</v>
      </c>
      <c r="BF117" s="50" t="s">
        <v>1384</v>
      </c>
      <c r="BG117" s="50" t="s">
        <v>1384</v>
      </c>
      <c r="BH117" s="1"/>
      <c r="BI117" s="72" t="s">
        <v>1293</v>
      </c>
      <c r="BJ117" s="58" t="s">
        <v>1293</v>
      </c>
      <c r="BK117" s="58" t="s">
        <v>1293</v>
      </c>
      <c r="BL117" s="58" t="s">
        <v>1293</v>
      </c>
      <c r="BM117" s="58" t="s">
        <v>1293</v>
      </c>
      <c r="BN117" s="58" t="s">
        <v>1293</v>
      </c>
      <c r="BO117" s="58" t="s">
        <v>1293</v>
      </c>
      <c r="BP117" s="58" t="s">
        <v>1293</v>
      </c>
      <c r="BQ117" s="58" t="s">
        <v>1293</v>
      </c>
      <c r="BR117" s="58" t="s">
        <v>1293</v>
      </c>
      <c r="BS117" s="58" t="s">
        <v>1293</v>
      </c>
      <c r="BT117" s="58" t="s">
        <v>1293</v>
      </c>
      <c r="BU117" s="72">
        <f t="shared" si="474"/>
        <v>47</v>
      </c>
      <c r="BV117" s="73">
        <f t="shared" si="475"/>
        <v>78</v>
      </c>
      <c r="BW117" s="74">
        <f t="shared" si="476"/>
        <v>82</v>
      </c>
      <c r="BX117" s="73">
        <f t="shared" si="477"/>
        <v>110</v>
      </c>
      <c r="BY117" s="74">
        <f t="shared" si="478"/>
        <v>117</v>
      </c>
      <c r="BZ117" s="73" t="str">
        <f t="shared" si="479"/>
        <v>-</v>
      </c>
      <c r="CA117" s="74">
        <f t="shared" si="480"/>
        <v>157</v>
      </c>
      <c r="CB117" s="73" t="str">
        <f t="shared" si="481"/>
        <v>-</v>
      </c>
      <c r="CC117" s="74">
        <f t="shared" si="482"/>
        <v>203</v>
      </c>
      <c r="CD117" s="73">
        <f t="shared" si="483"/>
        <v>245</v>
      </c>
      <c r="CE117" s="74">
        <f t="shared" si="484"/>
        <v>293</v>
      </c>
      <c r="CF117" s="73">
        <f t="shared" si="485"/>
        <v>315</v>
      </c>
      <c r="CG117" s="72">
        <f t="shared" si="486"/>
        <v>77</v>
      </c>
      <c r="CH117" s="73">
        <f t="shared" si="487"/>
        <v>81</v>
      </c>
      <c r="CI117" s="74">
        <f t="shared" si="488"/>
        <v>108</v>
      </c>
      <c r="CJ117" s="74">
        <f t="shared" si="489"/>
        <v>116</v>
      </c>
      <c r="CK117" s="74">
        <f t="shared" si="490"/>
        <v>152</v>
      </c>
      <c r="CL117" s="74" t="str">
        <f t="shared" si="491"/>
        <v>-</v>
      </c>
      <c r="CM117" s="74">
        <f t="shared" si="492"/>
        <v>185</v>
      </c>
      <c r="CN117" s="74" t="str">
        <f t="shared" si="493"/>
        <v>-</v>
      </c>
      <c r="CO117" s="74">
        <f t="shared" si="494"/>
        <v>235</v>
      </c>
      <c r="CP117" s="74">
        <f t="shared" si="495"/>
        <v>284</v>
      </c>
      <c r="CQ117" s="74">
        <f t="shared" si="496"/>
        <v>314</v>
      </c>
      <c r="CR117" s="74">
        <f t="shared" si="497"/>
        <v>327</v>
      </c>
      <c r="CS117" s="23">
        <f t="shared" si="498"/>
        <v>1</v>
      </c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</row>
    <row r="118" spans="1:1029" x14ac:dyDescent="0.2">
      <c r="A118" s="3" t="str">
        <f t="shared" si="555"/>
        <v>lpar1_human_4Z36</v>
      </c>
      <c r="B118" s="3" t="s">
        <v>103</v>
      </c>
      <c r="C118" s="3" t="s">
        <v>1058</v>
      </c>
      <c r="D118" s="3" t="str">
        <f>IFERROR(MID(VLOOKUP($B118,Seqs!$A:$B,2,0),E118,1),"")</f>
        <v>T</v>
      </c>
      <c r="E118" s="3">
        <v>47</v>
      </c>
      <c r="F118" s="3" t="str">
        <f>IFERROR(MID(VLOOKUP($B118,Seqs!$A:$B,2,0),G118,1),"")</f>
        <v>N</v>
      </c>
      <c r="G118" s="3">
        <v>77</v>
      </c>
      <c r="H118" s="3" t="str">
        <f>IFERROR(MID(VLOOKUP($B118,Seqs!$A:$B,2,0),I118,1),"")</f>
        <v>R</v>
      </c>
      <c r="I118" s="23">
        <v>78</v>
      </c>
      <c r="J118" s="3" t="str">
        <f>IFERROR(MID(VLOOKUP($B118,Seqs!$A:$B,2,0),K118,1),"")</f>
        <v>H</v>
      </c>
      <c r="K118" s="23">
        <v>81</v>
      </c>
      <c r="L118" s="3" t="str">
        <f>IFERROR(MID(VLOOKUP($B118,Seqs!$A:$B,2,0),M118,1),"")</f>
        <v>F</v>
      </c>
      <c r="M118" s="3">
        <v>82</v>
      </c>
      <c r="N118" s="3" t="str">
        <f>IFERROR(MID(VLOOKUP($B118,Seqs!$A:$B,2,0),O118,1),"")</f>
        <v>N</v>
      </c>
      <c r="O118" s="3">
        <v>108</v>
      </c>
      <c r="P118" s="3" t="str">
        <f>IFERROR(MID(VLOOKUP($B118,Seqs!$A:$B,2,0),Q118,1),"")</f>
        <v>G</v>
      </c>
      <c r="Q118" s="3">
        <v>110</v>
      </c>
      <c r="R118" s="3" t="str">
        <f>IFERROR(MID(VLOOKUP($B118,Seqs!$A:$B,2,0),S118,1),"")</f>
        <v>L</v>
      </c>
      <c r="S118" s="3">
        <v>116</v>
      </c>
      <c r="T118" s="3" t="str">
        <f>IFERROR(MID(VLOOKUP($B118,Seqs!$A:$B,2,0),U118,1),"")</f>
        <v>T</v>
      </c>
      <c r="U118" s="3">
        <v>117</v>
      </c>
      <c r="V118" s="3" t="str">
        <f>IFERROR(MID(VLOOKUP($B118,Seqs!$A:$B,2,0),W118,1),"")</f>
        <v>R</v>
      </c>
      <c r="W118" s="3">
        <v>152</v>
      </c>
      <c r="X118" s="3" t="str">
        <f>IFERROR(MID(VLOOKUP($B118,Seqs!$A:$B,2,0),Y118,1),"")</f>
        <v/>
      </c>
      <c r="Y118" s="3" t="s">
        <v>23</v>
      </c>
      <c r="Z118" s="3" t="str">
        <f>IFERROR(MID(VLOOKUP($B118,Seqs!$A:$B,2,0),AA118,1),"")</f>
        <v/>
      </c>
      <c r="AA118" s="3" t="s">
        <v>23</v>
      </c>
      <c r="AB118" s="3" t="str">
        <f>IFERROR(MID(VLOOKUP($B118,Seqs!$A:$B,2,0),AC118,1),"")</f>
        <v>T</v>
      </c>
      <c r="AC118" s="9">
        <v>157</v>
      </c>
      <c r="AD118" s="3" t="str">
        <f>IFERROR(MID(VLOOKUP($B118,Seqs!$A:$B,2,0),AE118,1),"")</f>
        <v>G</v>
      </c>
      <c r="AE118" s="3">
        <v>185</v>
      </c>
      <c r="AF118" s="3" t="str">
        <f>IFERROR(MID(VLOOKUP($B118,Seqs!$A:$B,2,0),AG118,1),"")</f>
        <v/>
      </c>
      <c r="AG118" s="3" t="s">
        <v>23</v>
      </c>
      <c r="AH118" s="3" t="str">
        <f>IFERROR(MID(VLOOKUP($B118,Seqs!$A:$B,2,0),AI118,1),"")</f>
        <v/>
      </c>
      <c r="AI118" s="3" t="s">
        <v>23</v>
      </c>
      <c r="AJ118" s="3" t="str">
        <f>IFERROR(MID(VLOOKUP($B118,Seqs!$A:$B,2,0),AK118,1),"")</f>
        <v>S</v>
      </c>
      <c r="AK118" s="3">
        <v>203</v>
      </c>
      <c r="AL118" s="3" t="str">
        <f>IFERROR(MID(VLOOKUP($B118,Seqs!$A:$B,2,0),AM118,1),"")</f>
        <v>R</v>
      </c>
      <c r="AM118" s="3">
        <v>235</v>
      </c>
      <c r="AN118" s="3" t="str">
        <f>IFERROR(MID(VLOOKUP($B118,Seqs!$A:$B,2,0),AO118,1),"")</f>
        <v>G</v>
      </c>
      <c r="AO118" s="3">
        <v>245</v>
      </c>
      <c r="AP118" s="3" t="str">
        <f>IFERROR(MID(VLOOKUP($B118,Seqs!$A:$B,2,0),AQ118,1),"")</f>
        <v>C</v>
      </c>
      <c r="AQ118" s="3">
        <v>284</v>
      </c>
      <c r="AR118" s="3" t="str">
        <f>IFERROR(MID(VLOOKUP($B118,Seqs!$A:$B,2,0),AS118,1),"")</f>
        <v>E</v>
      </c>
      <c r="AS118" s="3">
        <v>293</v>
      </c>
      <c r="AT118" s="3" t="str">
        <f>IFERROR(MID(VLOOKUP($B118,Seqs!$A:$B,2,0),AU118,1),"")</f>
        <v>R</v>
      </c>
      <c r="AU118" s="3">
        <v>314</v>
      </c>
      <c r="AV118" s="3" t="str">
        <f>IFERROR(MID(VLOOKUP($B118,Seqs!$A:$B,2,0),AW118,1),"")</f>
        <v>D</v>
      </c>
      <c r="AW118" s="3">
        <v>315</v>
      </c>
      <c r="AX118" s="3" t="str">
        <f>IFERROR(MID(VLOOKUP($B118,Seqs!$A:$B,2,0),AY118,1),"")</f>
        <v>C</v>
      </c>
      <c r="AY118" s="3">
        <v>327</v>
      </c>
      <c r="AZ118" s="79" t="str">
        <f>VLOOKUP(B118,Classification!A:D,2,0)</f>
        <v>A</v>
      </c>
      <c r="BA118" s="97" t="str">
        <f>VLOOKUP(B118,Classification!A:D,4,0)</f>
        <v>Lysophospholipid(LPA)</v>
      </c>
      <c r="BB118" s="27" t="b">
        <f t="shared" si="556"/>
        <v>1</v>
      </c>
      <c r="BC118" s="23">
        <f t="shared" si="473"/>
        <v>244</v>
      </c>
      <c r="BD118" s="5" t="s">
        <v>23</v>
      </c>
      <c r="BE118" s="3" t="s">
        <v>1381</v>
      </c>
      <c r="BF118" s="50" t="s">
        <v>1384</v>
      </c>
      <c r="BG118" s="50" t="s">
        <v>1384</v>
      </c>
      <c r="BH118" s="1"/>
      <c r="BI118" s="72" t="s">
        <v>1293</v>
      </c>
      <c r="BJ118" s="58" t="s">
        <v>1293</v>
      </c>
      <c r="BK118" s="58" t="s">
        <v>1293</v>
      </c>
      <c r="BL118" s="58" t="s">
        <v>1293</v>
      </c>
      <c r="BM118" s="58" t="s">
        <v>1293</v>
      </c>
      <c r="BN118" s="58" t="s">
        <v>1293</v>
      </c>
      <c r="BO118" s="58" t="s">
        <v>1293</v>
      </c>
      <c r="BP118" s="58" t="s">
        <v>1293</v>
      </c>
      <c r="BQ118" s="58" t="s">
        <v>1293</v>
      </c>
      <c r="BR118" s="58" t="s">
        <v>1293</v>
      </c>
      <c r="BS118" s="58" t="s">
        <v>1293</v>
      </c>
      <c r="BT118" s="58" t="s">
        <v>1293</v>
      </c>
      <c r="BU118" s="72">
        <f t="shared" si="474"/>
        <v>47</v>
      </c>
      <c r="BV118" s="73">
        <f t="shared" si="475"/>
        <v>78</v>
      </c>
      <c r="BW118" s="74">
        <f t="shared" si="476"/>
        <v>82</v>
      </c>
      <c r="BX118" s="73">
        <f t="shared" si="477"/>
        <v>110</v>
      </c>
      <c r="BY118" s="74">
        <f t="shared" si="478"/>
        <v>117</v>
      </c>
      <c r="BZ118" s="73" t="str">
        <f t="shared" si="479"/>
        <v>-</v>
      </c>
      <c r="CA118" s="74">
        <f t="shared" si="480"/>
        <v>157</v>
      </c>
      <c r="CB118" s="73" t="str">
        <f t="shared" si="481"/>
        <v>-</v>
      </c>
      <c r="CC118" s="74">
        <f t="shared" si="482"/>
        <v>203</v>
      </c>
      <c r="CD118" s="73">
        <f t="shared" si="483"/>
        <v>245</v>
      </c>
      <c r="CE118" s="74">
        <f t="shared" si="484"/>
        <v>293</v>
      </c>
      <c r="CF118" s="73">
        <f t="shared" si="485"/>
        <v>315</v>
      </c>
      <c r="CG118" s="72">
        <f t="shared" si="486"/>
        <v>77</v>
      </c>
      <c r="CH118" s="73">
        <f t="shared" si="487"/>
        <v>81</v>
      </c>
      <c r="CI118" s="74">
        <f t="shared" si="488"/>
        <v>108</v>
      </c>
      <c r="CJ118" s="74">
        <f t="shared" si="489"/>
        <v>116</v>
      </c>
      <c r="CK118" s="74">
        <f t="shared" si="490"/>
        <v>152</v>
      </c>
      <c r="CL118" s="74" t="str">
        <f t="shared" si="491"/>
        <v>-</v>
      </c>
      <c r="CM118" s="74">
        <f t="shared" si="492"/>
        <v>185</v>
      </c>
      <c r="CN118" s="74" t="str">
        <f t="shared" si="493"/>
        <v>-</v>
      </c>
      <c r="CO118" s="74">
        <f t="shared" si="494"/>
        <v>235</v>
      </c>
      <c r="CP118" s="74">
        <f t="shared" si="495"/>
        <v>284</v>
      </c>
      <c r="CQ118" s="74">
        <f t="shared" si="496"/>
        <v>314</v>
      </c>
      <c r="CR118" s="74">
        <f t="shared" si="497"/>
        <v>327</v>
      </c>
      <c r="CS118" s="23">
        <f t="shared" si="498"/>
        <v>1</v>
      </c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</row>
    <row r="119" spans="1:1029" x14ac:dyDescent="0.2">
      <c r="A119" s="3" t="str">
        <f t="shared" si="555"/>
        <v>ntr1_rat__wt</v>
      </c>
      <c r="B119" s="3" t="s">
        <v>914</v>
      </c>
      <c r="C119" s="3" t="s">
        <v>100</v>
      </c>
      <c r="D119" s="3" t="str">
        <f>IFERROR(MID(VLOOKUP($B119,Seqs!$A:$B,2,0),E119,1),"")</f>
        <v>I</v>
      </c>
      <c r="E119" s="3">
        <v>61</v>
      </c>
      <c r="F119" s="3" t="str">
        <f>IFERROR(MID(VLOOKUP($B119,Seqs!$A:$B,2,0),G119,1),"")</f>
        <v>K</v>
      </c>
      <c r="G119" s="3">
        <v>92</v>
      </c>
      <c r="H119" s="3" t="str">
        <f>IFERROR(MID(VLOOKUP($B119,Seqs!$A:$B,2,0),I119,1),"")</f>
        <v>K</v>
      </c>
      <c r="I119" s="23">
        <v>93</v>
      </c>
      <c r="J119" s="3" t="str">
        <f>IFERROR(MID(VLOOKUP($B119,Seqs!$A:$B,2,0),K119,1),"")</f>
        <v>Q</v>
      </c>
      <c r="K119" s="23">
        <v>96</v>
      </c>
      <c r="L119" s="3" t="str">
        <f>IFERROR(MID(VLOOKUP($B119,Seqs!$A:$B,2,0),M119,1),"")</f>
        <v>S</v>
      </c>
      <c r="M119" s="3">
        <v>97</v>
      </c>
      <c r="N119" s="3" t="str">
        <f>IFERROR(MID(VLOOKUP($B119,Seqs!$A:$B,2,0),O119,1),"")</f>
        <v>V</v>
      </c>
      <c r="O119" s="3">
        <v>131</v>
      </c>
      <c r="P119" s="3" t="str">
        <f>IFERROR(MID(VLOOKUP($B119,Seqs!$A:$B,2,0),Q119,1),"")</f>
        <v>P</v>
      </c>
      <c r="Q119" s="3">
        <v>134</v>
      </c>
      <c r="R119" s="3" t="str">
        <f>IFERROR(MID(VLOOKUP($B119,Seqs!$A:$B,2,0),S119,1),"")</f>
        <v>F</v>
      </c>
      <c r="S119" s="3">
        <v>137</v>
      </c>
      <c r="T119" s="3" t="str">
        <f>IFERROR(MID(VLOOKUP($B119,Seqs!$A:$B,2,0),U119,1),"")</f>
        <v>G</v>
      </c>
      <c r="U119" s="3">
        <v>138</v>
      </c>
      <c r="V119" s="3" t="str">
        <f>IFERROR(MID(VLOOKUP($B119,Seqs!$A:$B,2,0),W119,1),"")</f>
        <v>H</v>
      </c>
      <c r="W119" s="3">
        <v>173</v>
      </c>
      <c r="X119" s="3" t="str">
        <f>IFERROR(MID(VLOOKUP($B119,Seqs!$A:$B,2,0),Y119,1),"")</f>
        <v>P</v>
      </c>
      <c r="Y119" s="3">
        <v>174</v>
      </c>
      <c r="Z119" s="3" t="str">
        <f>IFERROR(MID(VLOOKUP($B119,Seqs!$A:$B,2,0),AA119,1),"")</f>
        <v>M</v>
      </c>
      <c r="AA119" s="3">
        <v>181</v>
      </c>
      <c r="AB119" s="3" t="str">
        <f>IFERROR(MID(VLOOKUP($B119,Seqs!$A:$B,2,0),AC119,1),"")</f>
        <v>S</v>
      </c>
      <c r="AC119" s="9">
        <v>182</v>
      </c>
      <c r="AD119" s="3" t="str">
        <f>IFERROR(MID(VLOOKUP($B119,Seqs!$A:$B,2,0),AE119,1),"")</f>
        <v>M</v>
      </c>
      <c r="AE119" s="3">
        <v>208</v>
      </c>
      <c r="AF119" s="3" t="str">
        <f>IFERROR(MID(VLOOKUP($B119,Seqs!$A:$B,2,0),AG119,1),"")</f>
        <v>C</v>
      </c>
      <c r="AG119" s="3">
        <v>225</v>
      </c>
      <c r="AH119" s="3" t="str">
        <f>IFERROR(MID(VLOOKUP($B119,Seqs!$A:$B,2,0),AI119,1),"")</f>
        <v>P</v>
      </c>
      <c r="AI119" s="3">
        <v>227</v>
      </c>
      <c r="AJ119" s="3" t="str">
        <f>IFERROR(MID(VLOOKUP($B119,Seqs!$A:$B,2,0),AK119,1),"")</f>
        <v>T</v>
      </c>
      <c r="AK119" s="3">
        <v>231</v>
      </c>
      <c r="AL119" s="3" t="str">
        <f>IFERROR(MID(VLOOKUP($B119,Seqs!$A:$B,2,0),AM119,1),"")</f>
        <v>G</v>
      </c>
      <c r="AM119" s="3">
        <v>275</v>
      </c>
      <c r="AN119" s="3" t="str">
        <f>IFERROR(MID(VLOOKUP($B119,Seqs!$A:$B,2,0),AO119,1),"")</f>
        <v>P</v>
      </c>
      <c r="AO119" s="3">
        <v>297</v>
      </c>
      <c r="AP119" s="3" t="str">
        <f>IFERROR(MID(VLOOKUP($B119,Seqs!$A:$B,2,0),AQ119,1),"")</f>
        <v>I</v>
      </c>
      <c r="AQ119" s="3">
        <v>334</v>
      </c>
      <c r="AR119" s="3" t="str">
        <f>IFERROR(MID(VLOOKUP($B119,Seqs!$A:$B,2,0),AS119,1),"")</f>
        <v>T</v>
      </c>
      <c r="AS119" s="3">
        <v>340</v>
      </c>
      <c r="AT119" s="3" t="str">
        <f>IFERROR(MID(VLOOKUP($B119,Seqs!$A:$B,2,0),AU119,1),"")</f>
        <v>V</v>
      </c>
      <c r="AU119" s="3">
        <v>372</v>
      </c>
      <c r="AV119" s="3" t="str">
        <f>IFERROR(MID(VLOOKUP($B119,Seqs!$A:$B,2,0),AW119,1),"")</f>
        <v>S</v>
      </c>
      <c r="AW119" s="3">
        <v>373</v>
      </c>
      <c r="AX119" s="3" t="str">
        <f>IFERROR(MID(VLOOKUP($B119,Seqs!$A:$B,2,0),AY119,1),"")</f>
        <v>L</v>
      </c>
      <c r="AY119" s="3">
        <v>384</v>
      </c>
      <c r="AZ119" s="79" t="str">
        <f>VLOOKUP(B119,Classification!A:D,2,0)</f>
        <v>A</v>
      </c>
      <c r="BA119" s="97" t="str">
        <f>VLOOKUP(B119,Classification!A:D,4,0)</f>
        <v>Neurotensin</v>
      </c>
      <c r="BB119" s="27" t="b">
        <f t="shared" si="556"/>
        <v>1</v>
      </c>
      <c r="BC119" s="23">
        <f t="shared" si="473"/>
        <v>277</v>
      </c>
      <c r="BD119" s="57" t="s">
        <v>1379</v>
      </c>
      <c r="BE119" s="3" t="s">
        <v>1381</v>
      </c>
      <c r="BF119" s="50" t="s">
        <v>1379</v>
      </c>
      <c r="BG119" s="50" t="s">
        <v>1384</v>
      </c>
      <c r="BH119" s="3" t="s">
        <v>1170</v>
      </c>
      <c r="BI119" s="72" t="s">
        <v>1293</v>
      </c>
      <c r="BJ119" s="58" t="s">
        <v>1293</v>
      </c>
      <c r="BK119" s="58" t="s">
        <v>1293</v>
      </c>
      <c r="BL119" s="58" t="s">
        <v>1293</v>
      </c>
      <c r="BM119" s="58" t="s">
        <v>1293</v>
      </c>
      <c r="BN119" s="58" t="s">
        <v>1293</v>
      </c>
      <c r="BO119" s="58" t="s">
        <v>1293</v>
      </c>
      <c r="BP119" s="58" t="s">
        <v>1293</v>
      </c>
      <c r="BQ119" s="58" t="s">
        <v>1293</v>
      </c>
      <c r="BR119" s="58" t="s">
        <v>1293</v>
      </c>
      <c r="BS119" s="58" t="s">
        <v>1293</v>
      </c>
      <c r="BT119" s="58" t="s">
        <v>1293</v>
      </c>
      <c r="BU119" s="72">
        <f t="shared" si="474"/>
        <v>61</v>
      </c>
      <c r="BV119" s="73">
        <f t="shared" si="475"/>
        <v>93</v>
      </c>
      <c r="BW119" s="74">
        <f t="shared" si="476"/>
        <v>97</v>
      </c>
      <c r="BX119" s="73">
        <f t="shared" si="477"/>
        <v>134</v>
      </c>
      <c r="BY119" s="74">
        <f t="shared" si="478"/>
        <v>138</v>
      </c>
      <c r="BZ119" s="73">
        <f t="shared" si="479"/>
        <v>174</v>
      </c>
      <c r="CA119" s="74">
        <f t="shared" si="480"/>
        <v>182</v>
      </c>
      <c r="CB119" s="73">
        <f t="shared" si="481"/>
        <v>225</v>
      </c>
      <c r="CC119" s="74">
        <f t="shared" si="482"/>
        <v>231</v>
      </c>
      <c r="CD119" s="73">
        <f t="shared" si="483"/>
        <v>297</v>
      </c>
      <c r="CE119" s="74">
        <f t="shared" si="484"/>
        <v>340</v>
      </c>
      <c r="CF119" s="73">
        <f t="shared" si="485"/>
        <v>373</v>
      </c>
      <c r="CG119" s="72">
        <f t="shared" si="486"/>
        <v>92</v>
      </c>
      <c r="CH119" s="73">
        <f t="shared" si="487"/>
        <v>96</v>
      </c>
      <c r="CI119" s="74">
        <f t="shared" si="488"/>
        <v>131</v>
      </c>
      <c r="CJ119" s="74">
        <f t="shared" si="489"/>
        <v>137</v>
      </c>
      <c r="CK119" s="74">
        <f t="shared" si="490"/>
        <v>173</v>
      </c>
      <c r="CL119" s="74">
        <f t="shared" si="491"/>
        <v>181</v>
      </c>
      <c r="CM119" s="74">
        <f t="shared" si="492"/>
        <v>208</v>
      </c>
      <c r="CN119" s="74">
        <f t="shared" si="493"/>
        <v>227</v>
      </c>
      <c r="CO119" s="74">
        <f t="shared" si="494"/>
        <v>275</v>
      </c>
      <c r="CP119" s="74">
        <f t="shared" si="495"/>
        <v>334</v>
      </c>
      <c r="CQ119" s="74">
        <f t="shared" si="496"/>
        <v>372</v>
      </c>
      <c r="CR119" s="74">
        <f t="shared" si="497"/>
        <v>384</v>
      </c>
      <c r="CS119" s="23">
        <f t="shared" si="498"/>
        <v>1</v>
      </c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</row>
    <row r="120" spans="1:1029" x14ac:dyDescent="0.2">
      <c r="A120" s="3" t="str">
        <f t="shared" si="555"/>
        <v>ntr1_rat_4BUO</v>
      </c>
      <c r="B120" s="3" t="s">
        <v>914</v>
      </c>
      <c r="C120" s="3" t="s">
        <v>1338</v>
      </c>
      <c r="D120" s="3" t="str">
        <f>IFERROR(MID(VLOOKUP($B120,Seqs!$A:$B,2,0),E120,1),"")</f>
        <v>I</v>
      </c>
      <c r="E120" s="3">
        <v>61</v>
      </c>
      <c r="F120" s="3" t="str">
        <f>IFERROR(MID(VLOOKUP($B120,Seqs!$A:$B,2,0),G120,1),"")</f>
        <v>R</v>
      </c>
      <c r="G120" s="3">
        <v>91</v>
      </c>
      <c r="H120" s="3" t="str">
        <f>IFERROR(MID(VLOOKUP($B120,Seqs!$A:$B,2,0),I120,1),"")</f>
        <v/>
      </c>
      <c r="I120" s="23" t="s">
        <v>23</v>
      </c>
      <c r="J120" s="3" t="str">
        <f>IFERROR(MID(VLOOKUP($B120,Seqs!$A:$B,2,0),K120,1),"")</f>
        <v/>
      </c>
      <c r="K120" s="23" t="s">
        <v>23</v>
      </c>
      <c r="L120" s="3" t="str">
        <f>IFERROR(MID(VLOOKUP($B120,Seqs!$A:$B,2,0),M120,1),"")</f>
        <v>S</v>
      </c>
      <c r="M120" s="3">
        <v>97</v>
      </c>
      <c r="N120" s="3" t="str">
        <f>IFERROR(MID(VLOOKUP($B120,Seqs!$A:$B,2,0),O120,1),"")</f>
        <v>V</v>
      </c>
      <c r="O120" s="3">
        <v>131</v>
      </c>
      <c r="P120" s="3" t="str">
        <f>IFERROR(MID(VLOOKUP($B120,Seqs!$A:$B,2,0),Q120,1),"")</f>
        <v>P</v>
      </c>
      <c r="Q120" s="3">
        <v>134</v>
      </c>
      <c r="R120" s="3" t="str">
        <f>IFERROR(MID(VLOOKUP($B120,Seqs!$A:$B,2,0),S120,1),"")</f>
        <v>F</v>
      </c>
      <c r="S120" s="3">
        <v>137</v>
      </c>
      <c r="T120" s="3" t="str">
        <f>IFERROR(MID(VLOOKUP($B120,Seqs!$A:$B,2,0),U120,1),"")</f>
        <v>G</v>
      </c>
      <c r="U120" s="3">
        <v>138</v>
      </c>
      <c r="V120" s="3" t="str">
        <f>IFERROR(MID(VLOOKUP($B120,Seqs!$A:$B,2,0),W120,1),"")</f>
        <v>H</v>
      </c>
      <c r="W120" s="3">
        <v>173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S</v>
      </c>
      <c r="AC120" s="9">
        <v>182</v>
      </c>
      <c r="AD120" s="3" t="str">
        <f>IFERROR(MID(VLOOKUP($B120,Seqs!$A:$B,2,0),AE120,1),"")</f>
        <v>M</v>
      </c>
      <c r="AE120" s="3">
        <v>208</v>
      </c>
      <c r="AF120" s="3" t="str">
        <f>IFERROR(MID(VLOOKUP($B120,Seqs!$A:$B,2,0),AG120,1),"")</f>
        <v>C</v>
      </c>
      <c r="AG120" s="3">
        <v>225</v>
      </c>
      <c r="AH120" s="3" t="str">
        <f>IFERROR(MID(VLOOKUP($B120,Seqs!$A:$B,2,0),AI120,1),"")</f>
        <v>P</v>
      </c>
      <c r="AI120" s="3">
        <v>227</v>
      </c>
      <c r="AJ120" s="3" t="str">
        <f>IFERROR(MID(VLOOKUP($B120,Seqs!$A:$B,2,0),AK120,1),"")</f>
        <v>T</v>
      </c>
      <c r="AK120" s="3">
        <v>231</v>
      </c>
      <c r="AL120" s="3" t="str">
        <f>IFERROR(MID(VLOOKUP($B120,Seqs!$A:$B,2,0),AM120,1),"")</f>
        <v>Q</v>
      </c>
      <c r="AM120" s="3">
        <v>270</v>
      </c>
      <c r="AN120" s="3" t="str">
        <f>IFERROR(MID(VLOOKUP($B120,Seqs!$A:$B,2,0),AO120,1),"")</f>
        <v>G</v>
      </c>
      <c r="AO120" s="3">
        <v>298</v>
      </c>
      <c r="AP120" s="3" t="str">
        <f>IFERROR(MID(VLOOKUP($B120,Seqs!$A:$B,2,0),AQ120,1),"")</f>
        <v>I</v>
      </c>
      <c r="AQ120" s="3">
        <v>334</v>
      </c>
      <c r="AR120" s="3" t="str">
        <f>IFERROR(MID(VLOOKUP($B120,Seqs!$A:$B,2,0),AS120,1),"")</f>
        <v>T</v>
      </c>
      <c r="AS120" s="3">
        <v>340</v>
      </c>
      <c r="AT120" s="3" t="str">
        <f>IFERROR(MID(VLOOKUP($B120,Seqs!$A:$B,2,0),AU120,1),"")</f>
        <v>V</v>
      </c>
      <c r="AU120" s="3">
        <v>372</v>
      </c>
      <c r="AV120" s="3" t="str">
        <f>IFERROR(MID(VLOOKUP($B120,Seqs!$A:$B,2,0),AW120,1),"")</f>
        <v>S</v>
      </c>
      <c r="AW120" s="3">
        <v>373</v>
      </c>
      <c r="AX120" s="3" t="str">
        <f>IFERROR(MID(VLOOKUP($B120,Seqs!$A:$B,2,0),AY120,1),"")</f>
        <v>L</v>
      </c>
      <c r="AY120" s="3">
        <v>384</v>
      </c>
      <c r="AZ120" s="79" t="str">
        <f>VLOOKUP(B120,Classification!A:D,2,0)</f>
        <v>A</v>
      </c>
      <c r="BA120" s="97" t="str">
        <f>VLOOKUP(B120,Classification!A:D,4,0)</f>
        <v>Neurotensin</v>
      </c>
      <c r="BB120" s="27" t="b">
        <f t="shared" si="556"/>
        <v>1</v>
      </c>
      <c r="BC120" s="23">
        <f t="shared" si="473"/>
        <v>260</v>
      </c>
      <c r="BD120" s="16" t="s">
        <v>1383</v>
      </c>
      <c r="BE120" s="3" t="s">
        <v>1381</v>
      </c>
      <c r="BF120" s="50" t="s">
        <v>1384</v>
      </c>
      <c r="BG120" s="50" t="s">
        <v>1384</v>
      </c>
      <c r="BH120" s="1"/>
      <c r="BI120" s="72" t="s">
        <v>1293</v>
      </c>
      <c r="BJ120" s="58" t="s">
        <v>1293</v>
      </c>
      <c r="BK120" s="58" t="s">
        <v>1293</v>
      </c>
      <c r="BL120" s="58" t="s">
        <v>1293</v>
      </c>
      <c r="BM120" s="58" t="s">
        <v>1293</v>
      </c>
      <c r="BN120" s="58" t="s">
        <v>1293</v>
      </c>
      <c r="BO120" s="58" t="s">
        <v>1293</v>
      </c>
      <c r="BP120" s="58" t="s">
        <v>1293</v>
      </c>
      <c r="BQ120" s="58" t="s">
        <v>1293</v>
      </c>
      <c r="BR120" s="58" t="s">
        <v>1293</v>
      </c>
      <c r="BS120" s="58" t="s">
        <v>1293</v>
      </c>
      <c r="BT120" s="58" t="s">
        <v>1293</v>
      </c>
      <c r="BU120" s="72">
        <f t="shared" si="474"/>
        <v>61</v>
      </c>
      <c r="BV120" s="73" t="str">
        <f t="shared" si="475"/>
        <v>-</v>
      </c>
      <c r="BW120" s="74">
        <f t="shared" si="476"/>
        <v>97</v>
      </c>
      <c r="BX120" s="73">
        <f t="shared" si="477"/>
        <v>134</v>
      </c>
      <c r="BY120" s="74">
        <f t="shared" si="478"/>
        <v>138</v>
      </c>
      <c r="BZ120" s="73" t="str">
        <f t="shared" si="479"/>
        <v>-</v>
      </c>
      <c r="CA120" s="74">
        <f t="shared" si="480"/>
        <v>182</v>
      </c>
      <c r="CB120" s="73">
        <f t="shared" si="481"/>
        <v>225</v>
      </c>
      <c r="CC120" s="74">
        <f t="shared" si="482"/>
        <v>231</v>
      </c>
      <c r="CD120" s="73">
        <f t="shared" si="483"/>
        <v>298</v>
      </c>
      <c r="CE120" s="74">
        <f t="shared" si="484"/>
        <v>340</v>
      </c>
      <c r="CF120" s="73">
        <f t="shared" si="485"/>
        <v>373</v>
      </c>
      <c r="CG120" s="72">
        <f t="shared" si="486"/>
        <v>91</v>
      </c>
      <c r="CH120" s="73" t="str">
        <f t="shared" si="487"/>
        <v>-</v>
      </c>
      <c r="CI120" s="74">
        <f t="shared" si="488"/>
        <v>131</v>
      </c>
      <c r="CJ120" s="74">
        <f t="shared" si="489"/>
        <v>137</v>
      </c>
      <c r="CK120" s="74">
        <f t="shared" si="490"/>
        <v>173</v>
      </c>
      <c r="CL120" s="74" t="str">
        <f t="shared" si="491"/>
        <v>-</v>
      </c>
      <c r="CM120" s="74">
        <f t="shared" si="492"/>
        <v>208</v>
      </c>
      <c r="CN120" s="74">
        <f t="shared" si="493"/>
        <v>227</v>
      </c>
      <c r="CO120" s="74">
        <f t="shared" si="494"/>
        <v>270</v>
      </c>
      <c r="CP120" s="74">
        <f t="shared" si="495"/>
        <v>334</v>
      </c>
      <c r="CQ120" s="74">
        <f t="shared" si="496"/>
        <v>372</v>
      </c>
      <c r="CR120" s="74">
        <f t="shared" si="497"/>
        <v>384</v>
      </c>
      <c r="CS120" s="23" t="e">
        <f t="shared" si="498"/>
        <v>#VALUE!</v>
      </c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</row>
    <row r="121" spans="1:1029" x14ac:dyDescent="0.2">
      <c r="A121" s="3" t="str">
        <f t="shared" si="555"/>
        <v>ntr1_rat_4GRV</v>
      </c>
      <c r="B121" s="3" t="s">
        <v>914</v>
      </c>
      <c r="C121" s="3" t="s">
        <v>50</v>
      </c>
      <c r="D121" s="3" t="str">
        <f>IFERROR(MID(VLOOKUP($B121,Seqs!$A:$B,2,0),E121,1),"")</f>
        <v>I</v>
      </c>
      <c r="E121" s="3">
        <v>61</v>
      </c>
      <c r="F121" s="3" t="str">
        <f>IFERROR(MID(VLOOKUP($B121,Seqs!$A:$B,2,0),G121,1),"")</f>
        <v>T</v>
      </c>
      <c r="G121" s="3">
        <v>88</v>
      </c>
      <c r="H121" s="3" t="str">
        <f>IFERROR(MID(VLOOKUP($B121,Seqs!$A:$B,2,0),I121,1),"")</f>
        <v/>
      </c>
      <c r="I121" s="23" t="s">
        <v>23</v>
      </c>
      <c r="J121" s="3" t="str">
        <f>IFERROR(MID(VLOOKUP($B121,Seqs!$A:$B,2,0),K121,1),"")</f>
        <v/>
      </c>
      <c r="K121" s="23" t="s">
        <v>23</v>
      </c>
      <c r="L121" s="3" t="str">
        <f>IFERROR(MID(VLOOKUP($B121,Seqs!$A:$B,2,0),M121,1),"")</f>
        <v>Q</v>
      </c>
      <c r="M121" s="3">
        <v>99</v>
      </c>
      <c r="N121" s="3" t="str">
        <f>IFERROR(MID(VLOOKUP($B121,Seqs!$A:$B,2,0),O121,1),"")</f>
        <v>V</v>
      </c>
      <c r="O121" s="3">
        <v>131</v>
      </c>
      <c r="P121" s="3" t="str">
        <f>IFERROR(MID(VLOOKUP($B121,Seqs!$A:$B,2,0),Q121,1),"")</f>
        <v>P</v>
      </c>
      <c r="Q121" s="3">
        <v>134</v>
      </c>
      <c r="R121" s="3" t="str">
        <f>IFERROR(MID(VLOOKUP($B121,Seqs!$A:$B,2,0),S121,1),"")</f>
        <v>F</v>
      </c>
      <c r="S121" s="3">
        <v>137</v>
      </c>
      <c r="T121" s="3" t="str">
        <f>IFERROR(MID(VLOOKUP($B121,Seqs!$A:$B,2,0),U121,1),"")</f>
        <v>G</v>
      </c>
      <c r="U121" s="3">
        <v>138</v>
      </c>
      <c r="V121" s="3" t="str">
        <f>IFERROR(MID(VLOOKUP($B121,Seqs!$A:$B,2,0),W121,1),"")</f>
        <v>H</v>
      </c>
      <c r="W121" s="3">
        <v>173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>T</v>
      </c>
      <c r="AC121" s="9">
        <v>186</v>
      </c>
      <c r="AD121" s="3" t="str">
        <f>IFERROR(MID(VLOOKUP($B121,Seqs!$A:$B,2,0),AE121,1),"")</f>
        <v>M</v>
      </c>
      <c r="AE121" s="3">
        <v>208</v>
      </c>
      <c r="AF121" s="3" t="str">
        <f>IFERROR(MID(VLOOKUP($B121,Seqs!$A:$B,2,0),AG121,1),"")</f>
        <v>C</v>
      </c>
      <c r="AG121" s="3">
        <v>225</v>
      </c>
      <c r="AH121" s="3" t="str">
        <f>IFERROR(MID(VLOOKUP($B121,Seqs!$A:$B,2,0),AI121,1),"")</f>
        <v>P</v>
      </c>
      <c r="AI121" s="3">
        <v>227</v>
      </c>
      <c r="AJ121" s="3" t="str">
        <f>IFERROR(MID(VLOOKUP($B121,Seqs!$A:$B,2,0),AK121,1),"")</f>
        <v>T</v>
      </c>
      <c r="AK121" s="3">
        <v>231</v>
      </c>
      <c r="AL121" s="3" t="str">
        <f>IFERROR(MID(VLOOKUP($B121,Seqs!$A:$B,2,0),AM121,1),"")</f>
        <v>T</v>
      </c>
      <c r="AM121" s="3">
        <v>265</v>
      </c>
      <c r="AN121" s="3" t="str">
        <f>IFERROR(MID(VLOOKUP($B121,Seqs!$A:$B,2,0),AO121,1),"")</f>
        <v>A</v>
      </c>
      <c r="AO121" s="3">
        <v>302</v>
      </c>
      <c r="AP121" s="3" t="str">
        <f>IFERROR(MID(VLOOKUP($B121,Seqs!$A:$B,2,0),AQ121,1),"")</f>
        <v>I</v>
      </c>
      <c r="AQ121" s="3">
        <v>334</v>
      </c>
      <c r="AR121" s="3" t="str">
        <f>IFERROR(MID(VLOOKUP($B121,Seqs!$A:$B,2,0),AS121,1),"")</f>
        <v>T</v>
      </c>
      <c r="AS121" s="3">
        <v>340</v>
      </c>
      <c r="AT121" s="3" t="str">
        <f>IFERROR(MID(VLOOKUP($B121,Seqs!$A:$B,2,0),AU121,1),"")</f>
        <v>S</v>
      </c>
      <c r="AU121" s="3">
        <v>361</v>
      </c>
      <c r="AV121" s="3" t="str">
        <f>IFERROR(MID(VLOOKUP($B121,Seqs!$A:$B,2,0),AW121,1),"")</f>
        <v/>
      </c>
      <c r="AW121" s="3" t="s">
        <v>23</v>
      </c>
      <c r="AX121" s="3" t="str">
        <f>IFERROR(MID(VLOOKUP($B121,Seqs!$A:$B,2,0),AY121,1),"")</f>
        <v/>
      </c>
      <c r="AY121" s="3" t="s">
        <v>23</v>
      </c>
      <c r="AZ121" s="79" t="str">
        <f>VLOOKUP(B121,Classification!A:D,2,0)</f>
        <v>A</v>
      </c>
      <c r="BA121" s="97" t="str">
        <f>VLOOKUP(B121,Classification!A:D,4,0)</f>
        <v>Neurotensin</v>
      </c>
      <c r="BB121" s="27" t="b">
        <f t="shared" si="556"/>
        <v>1</v>
      </c>
      <c r="BC121" s="23">
        <f t="shared" si="473"/>
        <v>220</v>
      </c>
      <c r="BD121" s="5" t="s">
        <v>23</v>
      </c>
      <c r="BE121" s="3" t="s">
        <v>1381</v>
      </c>
      <c r="BF121" s="50" t="s">
        <v>1384</v>
      </c>
      <c r="BG121" s="50" t="s">
        <v>1384</v>
      </c>
      <c r="BH121" s="1"/>
      <c r="BI121" s="72" t="s">
        <v>1293</v>
      </c>
      <c r="BJ121" s="58" t="s">
        <v>1293</v>
      </c>
      <c r="BK121" s="58" t="s">
        <v>1293</v>
      </c>
      <c r="BL121" s="58" t="s">
        <v>1293</v>
      </c>
      <c r="BM121" s="58" t="s">
        <v>1293</v>
      </c>
      <c r="BN121" s="58" t="s">
        <v>1293</v>
      </c>
      <c r="BO121" s="58" t="s">
        <v>1293</v>
      </c>
      <c r="BP121" s="58" t="s">
        <v>1293</v>
      </c>
      <c r="BQ121" s="58" t="s">
        <v>1293</v>
      </c>
      <c r="BR121" s="58" t="s">
        <v>1293</v>
      </c>
      <c r="BS121" s="58" t="s">
        <v>1293</v>
      </c>
      <c r="BT121" s="58" t="s">
        <v>1293</v>
      </c>
      <c r="BU121" s="72">
        <f t="shared" si="474"/>
        <v>61</v>
      </c>
      <c r="BV121" s="73" t="str">
        <f t="shared" si="475"/>
        <v>-</v>
      </c>
      <c r="BW121" s="74">
        <f t="shared" si="476"/>
        <v>99</v>
      </c>
      <c r="BX121" s="73">
        <f t="shared" si="477"/>
        <v>134</v>
      </c>
      <c r="BY121" s="74">
        <f t="shared" si="478"/>
        <v>138</v>
      </c>
      <c r="BZ121" s="73" t="str">
        <f t="shared" si="479"/>
        <v>-</v>
      </c>
      <c r="CA121" s="74">
        <f t="shared" si="480"/>
        <v>186</v>
      </c>
      <c r="CB121" s="73">
        <f t="shared" si="481"/>
        <v>225</v>
      </c>
      <c r="CC121" s="74">
        <f t="shared" si="482"/>
        <v>231</v>
      </c>
      <c r="CD121" s="73">
        <f t="shared" si="483"/>
        <v>302</v>
      </c>
      <c r="CE121" s="74">
        <f t="shared" si="484"/>
        <v>340</v>
      </c>
      <c r="CF121" s="73" t="str">
        <f t="shared" si="485"/>
        <v>-</v>
      </c>
      <c r="CG121" s="72">
        <f t="shared" si="486"/>
        <v>88</v>
      </c>
      <c r="CH121" s="73" t="str">
        <f t="shared" si="487"/>
        <v>-</v>
      </c>
      <c r="CI121" s="74">
        <f t="shared" si="488"/>
        <v>131</v>
      </c>
      <c r="CJ121" s="74">
        <f t="shared" si="489"/>
        <v>137</v>
      </c>
      <c r="CK121" s="74">
        <f t="shared" si="490"/>
        <v>173</v>
      </c>
      <c r="CL121" s="74" t="str">
        <f t="shared" si="491"/>
        <v>-</v>
      </c>
      <c r="CM121" s="74">
        <f t="shared" si="492"/>
        <v>208</v>
      </c>
      <c r="CN121" s="74">
        <f t="shared" si="493"/>
        <v>227</v>
      </c>
      <c r="CO121" s="74">
        <f t="shared" si="494"/>
        <v>265</v>
      </c>
      <c r="CP121" s="74">
        <f t="shared" si="495"/>
        <v>334</v>
      </c>
      <c r="CQ121" s="74">
        <f t="shared" si="496"/>
        <v>361</v>
      </c>
      <c r="CR121" s="74" t="str">
        <f t="shared" si="497"/>
        <v>-</v>
      </c>
      <c r="CS121" s="23" t="e">
        <f t="shared" si="498"/>
        <v>#VALUE!</v>
      </c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</row>
    <row r="122" spans="1:1029" x14ac:dyDescent="0.2">
      <c r="A122" s="3" t="str">
        <f t="shared" si="555"/>
        <v>ntr1_rat_4XEE</v>
      </c>
      <c r="B122" s="3" t="s">
        <v>914</v>
      </c>
      <c r="C122" s="3" t="s">
        <v>1356</v>
      </c>
      <c r="D122" s="3" t="str">
        <f>IFERROR(MID(VLOOKUP($B122,Seqs!$A:$B,2,0),E122,1),"")</f>
        <v>I</v>
      </c>
      <c r="E122" s="3">
        <v>61</v>
      </c>
      <c r="F122" s="3" t="str">
        <f>IFERROR(MID(VLOOKUP($B122,Seqs!$A:$B,2,0),G122,1),"")</f>
        <v>R</v>
      </c>
      <c r="G122" s="3">
        <v>91</v>
      </c>
      <c r="H122" s="3" t="str">
        <f>IFERROR(MID(VLOOKUP($B122,Seqs!$A:$B,2,0),I122,1),"")</f>
        <v/>
      </c>
      <c r="I122" s="23" t="s">
        <v>23</v>
      </c>
      <c r="J122" s="3" t="str">
        <f>IFERROR(MID(VLOOKUP($B122,Seqs!$A:$B,2,0),K122,1),"")</f>
        <v/>
      </c>
      <c r="K122" s="23" t="s">
        <v>23</v>
      </c>
      <c r="L122" s="3" t="str">
        <f>IFERROR(MID(VLOOKUP($B122,Seqs!$A:$B,2,0),M122,1),"")</f>
        <v>S</v>
      </c>
      <c r="M122" s="3">
        <v>100</v>
      </c>
      <c r="N122" s="3" t="str">
        <f>IFERROR(MID(VLOOKUP($B122,Seqs!$A:$B,2,0),O122,1),"")</f>
        <v>V</v>
      </c>
      <c r="O122" s="3">
        <v>131</v>
      </c>
      <c r="P122" s="3" t="str">
        <f>IFERROR(MID(VLOOKUP($B122,Seqs!$A:$B,2,0),Q122,1),"")</f>
        <v>P</v>
      </c>
      <c r="Q122" s="3">
        <v>134</v>
      </c>
      <c r="R122" s="3" t="str">
        <f>IFERROR(MID(VLOOKUP($B122,Seqs!$A:$B,2,0),S122,1),"")</f>
        <v>F</v>
      </c>
      <c r="S122" s="3">
        <v>137</v>
      </c>
      <c r="T122" s="3" t="str">
        <f>IFERROR(MID(VLOOKUP($B122,Seqs!$A:$B,2,0),U122,1),"")</f>
        <v>G</v>
      </c>
      <c r="U122" s="3">
        <v>138</v>
      </c>
      <c r="V122" s="3" t="str">
        <f>IFERROR(MID(VLOOKUP($B122,Seqs!$A:$B,2,0),W122,1),"")</f>
        <v>H</v>
      </c>
      <c r="W122" s="3">
        <v>173</v>
      </c>
      <c r="X122" s="3" t="str">
        <f>IFERROR(MID(VLOOKUP($B122,Seqs!$A:$B,2,0),Y122,1),"")</f>
        <v>P</v>
      </c>
      <c r="Y122" s="3">
        <v>174</v>
      </c>
      <c r="Z122" s="3" t="str">
        <f>IFERROR(MID(VLOOKUP($B122,Seqs!$A:$B,2,0),AA122,1),"")</f>
        <v>M</v>
      </c>
      <c r="AA122" s="3">
        <v>181</v>
      </c>
      <c r="AB122" s="3" t="str">
        <f>IFERROR(MID(VLOOKUP($B122,Seqs!$A:$B,2,0),AC122,1),"")</f>
        <v>S</v>
      </c>
      <c r="AC122" s="9">
        <v>182</v>
      </c>
      <c r="AD122" s="3" t="str">
        <f>IFERROR(MID(VLOOKUP($B122,Seqs!$A:$B,2,0),AE122,1),"")</f>
        <v>M</v>
      </c>
      <c r="AE122" s="3">
        <v>208</v>
      </c>
      <c r="AF122" s="3" t="str">
        <f>IFERROR(MID(VLOOKUP($B122,Seqs!$A:$B,2,0),AG122,1),"")</f>
        <v>C</v>
      </c>
      <c r="AG122" s="3">
        <v>225</v>
      </c>
      <c r="AH122" s="3" t="str">
        <f>IFERROR(MID(VLOOKUP($B122,Seqs!$A:$B,2,0),AI122,1),"")</f>
        <v>P</v>
      </c>
      <c r="AI122" s="3">
        <v>227</v>
      </c>
      <c r="AJ122" s="3" t="str">
        <f>IFERROR(MID(VLOOKUP($B122,Seqs!$A:$B,2,0),AK122,1),"")</f>
        <v>T</v>
      </c>
      <c r="AK122" s="3">
        <v>231</v>
      </c>
      <c r="AL122" s="3" t="str">
        <f>IFERROR(MID(VLOOKUP($B122,Seqs!$A:$B,2,0),AM122,1),"")</f>
        <v>V</v>
      </c>
      <c r="AM122" s="3">
        <v>268</v>
      </c>
      <c r="AN122" s="3" t="str">
        <f>IFERROR(MID(VLOOKUP($B122,Seqs!$A:$B,2,0),AO122,1),"")</f>
        <v>Q</v>
      </c>
      <c r="AO122" s="3">
        <v>301</v>
      </c>
      <c r="AP122" s="3" t="str">
        <f>IFERROR(MID(VLOOKUP($B122,Seqs!$A:$B,2,0),AQ122,1),"")</f>
        <v>I</v>
      </c>
      <c r="AQ122" s="3">
        <v>334</v>
      </c>
      <c r="AR122" s="3" t="str">
        <f>IFERROR(MID(VLOOKUP($B122,Seqs!$A:$B,2,0),AS122,1),"")</f>
        <v>T</v>
      </c>
      <c r="AS122" s="3">
        <v>340</v>
      </c>
      <c r="AT122" s="3" t="str">
        <f>IFERROR(MID(VLOOKUP($B122,Seqs!$A:$B,2,0),AU122,1),"")</f>
        <v>I</v>
      </c>
      <c r="AU122" s="3">
        <v>364</v>
      </c>
      <c r="AV122" s="3" t="str">
        <f>IFERROR(MID(VLOOKUP($B122,Seqs!$A:$B,2,0),AW122,1),"")</f>
        <v/>
      </c>
      <c r="AW122" s="3" t="s">
        <v>23</v>
      </c>
      <c r="AX122" s="3" t="str">
        <f>IFERROR(MID(VLOOKUP($B122,Seqs!$A:$B,2,0),AY122,1),"")</f>
        <v/>
      </c>
      <c r="AY122" s="3" t="s">
        <v>23</v>
      </c>
      <c r="AZ122" s="79" t="str">
        <f>VLOOKUP(B122,Classification!A:D,2,0)</f>
        <v>A</v>
      </c>
      <c r="BA122" s="97" t="str">
        <f>VLOOKUP(B122,Classification!A:D,4,0)</f>
        <v>Neurotensin</v>
      </c>
      <c r="BB122" s="27" t="b">
        <f t="shared" si="556"/>
        <v>1</v>
      </c>
      <c r="BC122" s="23">
        <f t="shared" si="473"/>
        <v>240</v>
      </c>
      <c r="BD122" s="4" t="s">
        <v>23</v>
      </c>
      <c r="BE122" s="3" t="s">
        <v>1381</v>
      </c>
      <c r="BF122" s="50" t="s">
        <v>1384</v>
      </c>
      <c r="BG122" s="50" t="s">
        <v>1384</v>
      </c>
      <c r="BH122" s="1"/>
      <c r="BI122" s="72" t="s">
        <v>1293</v>
      </c>
      <c r="BJ122" s="58" t="s">
        <v>1293</v>
      </c>
      <c r="BK122" s="58" t="s">
        <v>1293</v>
      </c>
      <c r="BL122" s="58" t="s">
        <v>1293</v>
      </c>
      <c r="BM122" s="58" t="s">
        <v>1293</v>
      </c>
      <c r="BN122" s="58" t="s">
        <v>1293</v>
      </c>
      <c r="BO122" s="58" t="s">
        <v>1293</v>
      </c>
      <c r="BP122" s="58" t="s">
        <v>1293</v>
      </c>
      <c r="BQ122" s="58" t="s">
        <v>1293</v>
      </c>
      <c r="BR122" s="58" t="s">
        <v>1293</v>
      </c>
      <c r="BS122" s="58" t="s">
        <v>1293</v>
      </c>
      <c r="BT122" s="58" t="s">
        <v>1293</v>
      </c>
      <c r="BU122" s="72">
        <f t="shared" si="474"/>
        <v>61</v>
      </c>
      <c r="BV122" s="73" t="str">
        <f t="shared" si="475"/>
        <v>-</v>
      </c>
      <c r="BW122" s="74">
        <f t="shared" si="476"/>
        <v>100</v>
      </c>
      <c r="BX122" s="73">
        <f t="shared" si="477"/>
        <v>134</v>
      </c>
      <c r="BY122" s="74">
        <f t="shared" si="478"/>
        <v>138</v>
      </c>
      <c r="BZ122" s="73">
        <f t="shared" si="479"/>
        <v>174</v>
      </c>
      <c r="CA122" s="74">
        <f t="shared" si="480"/>
        <v>182</v>
      </c>
      <c r="CB122" s="73">
        <f t="shared" si="481"/>
        <v>225</v>
      </c>
      <c r="CC122" s="74">
        <f t="shared" si="482"/>
        <v>231</v>
      </c>
      <c r="CD122" s="73">
        <f t="shared" si="483"/>
        <v>301</v>
      </c>
      <c r="CE122" s="74">
        <f t="shared" si="484"/>
        <v>340</v>
      </c>
      <c r="CF122" s="73" t="str">
        <f t="shared" si="485"/>
        <v>-</v>
      </c>
      <c r="CG122" s="72">
        <f t="shared" si="486"/>
        <v>91</v>
      </c>
      <c r="CH122" s="73" t="str">
        <f t="shared" si="487"/>
        <v>-</v>
      </c>
      <c r="CI122" s="74">
        <f t="shared" si="488"/>
        <v>131</v>
      </c>
      <c r="CJ122" s="74">
        <f t="shared" si="489"/>
        <v>137</v>
      </c>
      <c r="CK122" s="74">
        <f t="shared" si="490"/>
        <v>173</v>
      </c>
      <c r="CL122" s="74">
        <f t="shared" si="491"/>
        <v>181</v>
      </c>
      <c r="CM122" s="74">
        <f t="shared" si="492"/>
        <v>208</v>
      </c>
      <c r="CN122" s="74">
        <f t="shared" si="493"/>
        <v>227</v>
      </c>
      <c r="CO122" s="74">
        <f t="shared" si="494"/>
        <v>268</v>
      </c>
      <c r="CP122" s="74">
        <f t="shared" si="495"/>
        <v>334</v>
      </c>
      <c r="CQ122" s="74">
        <f t="shared" si="496"/>
        <v>364</v>
      </c>
      <c r="CR122" s="74" t="str">
        <f t="shared" si="497"/>
        <v>-</v>
      </c>
      <c r="CS122" s="23" t="e">
        <f t="shared" si="498"/>
        <v>#VALUE!</v>
      </c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</row>
    <row r="123" spans="1:1029" x14ac:dyDescent="0.2">
      <c r="A123" s="3" t="str">
        <f t="shared" si="555"/>
        <v>ntr1_rat_4XES</v>
      </c>
      <c r="B123" s="3" t="s">
        <v>914</v>
      </c>
      <c r="C123" s="3" t="s">
        <v>1357</v>
      </c>
      <c r="D123" s="3" t="str">
        <f>IFERROR(MID(VLOOKUP($B123,Seqs!$A:$B,2,0),E123,1),"")</f>
        <v>I</v>
      </c>
      <c r="E123" s="3">
        <v>61</v>
      </c>
      <c r="F123" s="3" t="str">
        <f>IFERROR(MID(VLOOKUP($B123,Seqs!$A:$B,2,0),G123,1),"")</f>
        <v>K</v>
      </c>
      <c r="G123" s="3">
        <v>92</v>
      </c>
      <c r="H123" s="3" t="str">
        <f>IFERROR(MID(VLOOKUP($B123,Seqs!$A:$B,2,0),I123,1),"")</f>
        <v/>
      </c>
      <c r="I123" s="23" t="s">
        <v>23</v>
      </c>
      <c r="J123" s="3" t="str">
        <f>IFERROR(MID(VLOOKUP($B123,Seqs!$A:$B,2,0),K123,1),"")</f>
        <v/>
      </c>
      <c r="K123" s="23" t="s">
        <v>23</v>
      </c>
      <c r="L123" s="3" t="str">
        <f>IFERROR(MID(VLOOKUP($B123,Seqs!$A:$B,2,0),M123,1),"")</f>
        <v>S</v>
      </c>
      <c r="M123" s="3">
        <v>97</v>
      </c>
      <c r="N123" s="3" t="str">
        <f>IFERROR(MID(VLOOKUP($B123,Seqs!$A:$B,2,0),O123,1),"")</f>
        <v>V</v>
      </c>
      <c r="O123" s="3">
        <v>131</v>
      </c>
      <c r="P123" s="3" t="str">
        <f>IFERROR(MID(VLOOKUP($B123,Seqs!$A:$B,2,0),Q123,1),"")</f>
        <v>P</v>
      </c>
      <c r="Q123" s="3">
        <v>134</v>
      </c>
      <c r="R123" s="3" t="str">
        <f>IFERROR(MID(VLOOKUP($B123,Seqs!$A:$B,2,0),S123,1),"")</f>
        <v>F</v>
      </c>
      <c r="S123" s="3">
        <v>137</v>
      </c>
      <c r="T123" s="3" t="str">
        <f>IFERROR(MID(VLOOKUP($B123,Seqs!$A:$B,2,0),U123,1),"")</f>
        <v>G</v>
      </c>
      <c r="U123" s="3">
        <v>138</v>
      </c>
      <c r="V123" s="3" t="str">
        <f>IFERROR(MID(VLOOKUP($B123,Seqs!$A:$B,2,0),W123,1),"")</f>
        <v>H</v>
      </c>
      <c r="W123" s="3">
        <v>173</v>
      </c>
      <c r="X123" s="3" t="str">
        <f>IFERROR(MID(VLOOKUP($B123,Seqs!$A:$B,2,0),Y123,1),"")</f>
        <v>P</v>
      </c>
      <c r="Y123" s="3">
        <v>174</v>
      </c>
      <c r="Z123" s="3" t="str">
        <f>IFERROR(MID(VLOOKUP($B123,Seqs!$A:$B,2,0),AA123,1),"")</f>
        <v>M</v>
      </c>
      <c r="AA123" s="3">
        <v>181</v>
      </c>
      <c r="AB123" s="3" t="str">
        <f>IFERROR(MID(VLOOKUP($B123,Seqs!$A:$B,2,0),AC123,1),"")</f>
        <v>S</v>
      </c>
      <c r="AC123" s="9">
        <v>182</v>
      </c>
      <c r="AD123" s="3" t="str">
        <f>IFERROR(MID(VLOOKUP($B123,Seqs!$A:$B,2,0),AE123,1),"")</f>
        <v>M</v>
      </c>
      <c r="AE123" s="3">
        <v>208</v>
      </c>
      <c r="AF123" s="3" t="str">
        <f>IFERROR(MID(VLOOKUP($B123,Seqs!$A:$B,2,0),AG123,1),"")</f>
        <v>C</v>
      </c>
      <c r="AG123" s="3">
        <v>225</v>
      </c>
      <c r="AH123" s="3" t="str">
        <f>IFERROR(MID(VLOOKUP($B123,Seqs!$A:$B,2,0),AI123,1),"")</f>
        <v>P</v>
      </c>
      <c r="AI123" s="3">
        <v>227</v>
      </c>
      <c r="AJ123" s="3" t="str">
        <f>IFERROR(MID(VLOOKUP($B123,Seqs!$A:$B,2,0),AK123,1),"")</f>
        <v>T</v>
      </c>
      <c r="AK123" s="3">
        <v>231</v>
      </c>
      <c r="AL123" s="3" t="str">
        <f>IFERROR(MID(VLOOKUP($B123,Seqs!$A:$B,2,0),AM123,1),"")</f>
        <v>V</v>
      </c>
      <c r="AM123" s="3">
        <v>268</v>
      </c>
      <c r="AN123" s="3" t="str">
        <f>IFERROR(MID(VLOOKUP($B123,Seqs!$A:$B,2,0),AO123,1),"")</f>
        <v>A</v>
      </c>
      <c r="AO123" s="3">
        <v>302</v>
      </c>
      <c r="AP123" s="3" t="str">
        <f>IFERROR(MID(VLOOKUP($B123,Seqs!$A:$B,2,0),AQ123,1),"")</f>
        <v>I</v>
      </c>
      <c r="AQ123" s="3">
        <v>334</v>
      </c>
      <c r="AR123" s="3" t="str">
        <f>IFERROR(MID(VLOOKUP($B123,Seqs!$A:$B,2,0),AS123,1),"")</f>
        <v>T</v>
      </c>
      <c r="AS123" s="3">
        <v>340</v>
      </c>
      <c r="AT123" s="3" t="str">
        <f>IFERROR(MID(VLOOKUP($B123,Seqs!$A:$B,2,0),AU123,1),"")</f>
        <v>I</v>
      </c>
      <c r="AU123" s="3">
        <v>364</v>
      </c>
      <c r="AV123" s="3" t="str">
        <f>IFERROR(MID(VLOOKUP($B123,Seqs!$A:$B,2,0),AW123,1),"")</f>
        <v/>
      </c>
      <c r="AW123" s="3" t="s">
        <v>23</v>
      </c>
      <c r="AX123" s="3" t="str">
        <f>IFERROR(MID(VLOOKUP($B123,Seqs!$A:$B,2,0),AY123,1),"")</f>
        <v/>
      </c>
      <c r="AY123" s="3" t="s">
        <v>23</v>
      </c>
      <c r="AZ123" s="79" t="str">
        <f>VLOOKUP(B123,Classification!A:D,2,0)</f>
        <v>A</v>
      </c>
      <c r="BA123" s="97" t="str">
        <f>VLOOKUP(B123,Classification!A:D,4,0)</f>
        <v>Neurotensin</v>
      </c>
      <c r="BB123" s="27" t="b">
        <f t="shared" si="556"/>
        <v>1</v>
      </c>
      <c r="BC123" s="23">
        <f t="shared" si="473"/>
        <v>243</v>
      </c>
      <c r="BD123" s="5" t="s">
        <v>23</v>
      </c>
      <c r="BE123" s="3" t="s">
        <v>1381</v>
      </c>
      <c r="BF123" s="50" t="s">
        <v>1384</v>
      </c>
      <c r="BG123" s="50" t="s">
        <v>1384</v>
      </c>
      <c r="BH123" s="1"/>
      <c r="BI123" s="72" t="s">
        <v>1293</v>
      </c>
      <c r="BJ123" s="58" t="s">
        <v>1293</v>
      </c>
      <c r="BK123" s="58" t="s">
        <v>1293</v>
      </c>
      <c r="BL123" s="58" t="s">
        <v>1293</v>
      </c>
      <c r="BM123" s="58" t="s">
        <v>1293</v>
      </c>
      <c r="BN123" s="58" t="s">
        <v>1293</v>
      </c>
      <c r="BO123" s="58" t="s">
        <v>1293</v>
      </c>
      <c r="BP123" s="58" t="s">
        <v>1293</v>
      </c>
      <c r="BQ123" s="58" t="s">
        <v>1293</v>
      </c>
      <c r="BR123" s="58" t="s">
        <v>1293</v>
      </c>
      <c r="BS123" s="58" t="s">
        <v>1293</v>
      </c>
      <c r="BT123" s="58" t="s">
        <v>1293</v>
      </c>
      <c r="BU123" s="72">
        <f t="shared" si="474"/>
        <v>61</v>
      </c>
      <c r="BV123" s="73" t="str">
        <f t="shared" si="475"/>
        <v>-</v>
      </c>
      <c r="BW123" s="74">
        <f t="shared" si="476"/>
        <v>97</v>
      </c>
      <c r="BX123" s="73">
        <f t="shared" si="477"/>
        <v>134</v>
      </c>
      <c r="BY123" s="74">
        <f t="shared" si="478"/>
        <v>138</v>
      </c>
      <c r="BZ123" s="73">
        <f t="shared" si="479"/>
        <v>174</v>
      </c>
      <c r="CA123" s="74">
        <f t="shared" si="480"/>
        <v>182</v>
      </c>
      <c r="CB123" s="73">
        <f t="shared" si="481"/>
        <v>225</v>
      </c>
      <c r="CC123" s="74">
        <f t="shared" si="482"/>
        <v>231</v>
      </c>
      <c r="CD123" s="73">
        <f t="shared" si="483"/>
        <v>302</v>
      </c>
      <c r="CE123" s="74">
        <f t="shared" si="484"/>
        <v>340</v>
      </c>
      <c r="CF123" s="73" t="str">
        <f t="shared" si="485"/>
        <v>-</v>
      </c>
      <c r="CG123" s="72">
        <f t="shared" si="486"/>
        <v>92</v>
      </c>
      <c r="CH123" s="73" t="str">
        <f t="shared" si="487"/>
        <v>-</v>
      </c>
      <c r="CI123" s="74">
        <f t="shared" si="488"/>
        <v>131</v>
      </c>
      <c r="CJ123" s="74">
        <f t="shared" si="489"/>
        <v>137</v>
      </c>
      <c r="CK123" s="74">
        <f t="shared" si="490"/>
        <v>173</v>
      </c>
      <c r="CL123" s="74">
        <f t="shared" si="491"/>
        <v>181</v>
      </c>
      <c r="CM123" s="74">
        <f t="shared" si="492"/>
        <v>208</v>
      </c>
      <c r="CN123" s="74">
        <f t="shared" si="493"/>
        <v>227</v>
      </c>
      <c r="CO123" s="74">
        <f t="shared" si="494"/>
        <v>268</v>
      </c>
      <c r="CP123" s="74">
        <f t="shared" si="495"/>
        <v>334</v>
      </c>
      <c r="CQ123" s="74">
        <f t="shared" si="496"/>
        <v>364</v>
      </c>
      <c r="CR123" s="74" t="str">
        <f t="shared" si="497"/>
        <v>-</v>
      </c>
      <c r="CS123" s="23" t="e">
        <f t="shared" si="498"/>
        <v>#VALUE!</v>
      </c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</row>
    <row r="124" spans="1:1029" x14ac:dyDescent="0.2">
      <c r="A124" s="3" t="str">
        <f t="shared" ref="A124" si="557">CONCATENATE(B124,"_",C124)</f>
        <v>ntr1_rat_5T04</v>
      </c>
      <c r="B124" s="3" t="s">
        <v>914</v>
      </c>
      <c r="C124" s="3" t="s">
        <v>1392</v>
      </c>
      <c r="D124" s="3" t="str">
        <f>IFERROR(MID(VLOOKUP($B124,Seqs!$A:$B,2,0),E124,1),"")</f>
        <v>I</v>
      </c>
      <c r="E124" s="3">
        <v>61</v>
      </c>
      <c r="F124" s="3" t="str">
        <f>IFERROR(MID(VLOOKUP($B124,Seqs!$A:$B,2,0),G124,1),"")</f>
        <v>T</v>
      </c>
      <c r="G124" s="3">
        <v>88</v>
      </c>
      <c r="H124" s="3" t="str">
        <f>IFERROR(MID(VLOOKUP($B124,Seqs!$A:$B,2,0),I124,1),"")</f>
        <v/>
      </c>
      <c r="I124" s="23" t="s">
        <v>23</v>
      </c>
      <c r="J124" s="3" t="str">
        <f>IFERROR(MID(VLOOKUP($B124,Seqs!$A:$B,2,0),K124,1),"")</f>
        <v/>
      </c>
      <c r="K124" s="23" t="s">
        <v>23</v>
      </c>
      <c r="L124" s="3" t="str">
        <f>IFERROR(MID(VLOOKUP($B124,Seqs!$A:$B,2,0),M124,1),"")</f>
        <v>H</v>
      </c>
      <c r="M124" s="3">
        <v>103</v>
      </c>
      <c r="N124" s="3" t="str">
        <f>IFERROR(MID(VLOOKUP($B124,Seqs!$A:$B,2,0),O124,1),"")</f>
        <v>V</v>
      </c>
      <c r="O124" s="3">
        <v>131</v>
      </c>
      <c r="P124" s="3" t="str">
        <f>IFERROR(MID(VLOOKUP($B124,Seqs!$A:$B,2,0),Q124,1),"")</f>
        <v>P</v>
      </c>
      <c r="Q124" s="3">
        <v>134</v>
      </c>
      <c r="R124" s="3" t="str">
        <f>IFERROR(MID(VLOOKUP($B124,Seqs!$A:$B,2,0),S124,1),"")</f>
        <v>F</v>
      </c>
      <c r="S124" s="3">
        <v>137</v>
      </c>
      <c r="T124" s="3" t="str">
        <f>IFERROR(MID(VLOOKUP($B124,Seqs!$A:$B,2,0),U124,1),"")</f>
        <v>G</v>
      </c>
      <c r="U124" s="3">
        <v>138</v>
      </c>
      <c r="V124" s="3" t="str">
        <f>IFERROR(MID(VLOOKUP($B124,Seqs!$A:$B,2,0),W124,1),"")</f>
        <v>H</v>
      </c>
      <c r="W124" s="3">
        <v>173</v>
      </c>
      <c r="X124" s="3" t="str">
        <f>IFERROR(MID(VLOOKUP($B124,Seqs!$A:$B,2,0),Y124,1),"")</f>
        <v>P</v>
      </c>
      <c r="Y124" s="3">
        <v>174</v>
      </c>
      <c r="Z124" s="3" t="str">
        <f>IFERROR(MID(VLOOKUP($B124,Seqs!$A:$B,2,0),AA124,1),"")</f>
        <v>M</v>
      </c>
      <c r="AA124" s="3">
        <v>181</v>
      </c>
      <c r="AB124" s="3" t="str">
        <f>IFERROR(MID(VLOOKUP($B124,Seqs!$A:$B,2,0),AC124,1),"")</f>
        <v>S</v>
      </c>
      <c r="AC124" s="3">
        <v>182</v>
      </c>
      <c r="AD124" s="3" t="str">
        <f>IFERROR(MID(VLOOKUP($B124,Seqs!$A:$B,2,0),AE124,1),"")</f>
        <v>M</v>
      </c>
      <c r="AE124" s="3">
        <v>208</v>
      </c>
      <c r="AF124" s="3" t="str">
        <f>IFERROR(MID(VLOOKUP($B124,Seqs!$A:$B,2,0),AG124,1),"")</f>
        <v>C</v>
      </c>
      <c r="AG124" s="3">
        <v>225</v>
      </c>
      <c r="AH124" s="3" t="str">
        <f>IFERROR(MID(VLOOKUP($B124,Seqs!$A:$B,2,0),AI124,1),"")</f>
        <v>P</v>
      </c>
      <c r="AI124" s="3">
        <v>227</v>
      </c>
      <c r="AJ124" s="3" t="str">
        <f>IFERROR(MID(VLOOKUP($B124,Seqs!$A:$B,2,0),AK124,1),"")</f>
        <v>T</v>
      </c>
      <c r="AK124" s="3">
        <v>231</v>
      </c>
      <c r="AL124" s="3" t="str">
        <f>IFERROR(MID(VLOOKUP($B124,Seqs!$A:$B,2,0),AM124,1),"")</f>
        <v>V</v>
      </c>
      <c r="AM124" s="3">
        <v>268</v>
      </c>
      <c r="AN124" s="3" t="str">
        <f>IFERROR(MID(VLOOKUP($B124,Seqs!$A:$B,2,0),AO124,1),"")</f>
        <v>P</v>
      </c>
      <c r="AO124" s="3">
        <v>297</v>
      </c>
      <c r="AP124" s="3" t="str">
        <f>IFERROR(MID(VLOOKUP($B124,Seqs!$A:$B,2,0),AQ124,1),"")</f>
        <v>I</v>
      </c>
      <c r="AQ124" s="3">
        <v>334</v>
      </c>
      <c r="AR124" s="3" t="str">
        <f>IFERROR(MID(VLOOKUP($B124,Seqs!$A:$B,2,0),AS124,1),"")</f>
        <v>T</v>
      </c>
      <c r="AS124" s="3">
        <v>340</v>
      </c>
      <c r="AT124" s="3" t="str">
        <f>IFERROR(MID(VLOOKUP($B124,Seqs!$A:$B,2,0),AU124,1),"")</f>
        <v>I</v>
      </c>
      <c r="AU124" s="3">
        <v>364</v>
      </c>
      <c r="AV124" s="3" t="str">
        <f>IFERROR(MID(VLOOKUP($B124,Seqs!$A:$B,2,0),AW124,1),"")</f>
        <v/>
      </c>
      <c r="AW124" s="3" t="s">
        <v>23</v>
      </c>
      <c r="AX124" s="3" t="str">
        <f>IFERROR(MID(VLOOKUP($B124,Seqs!$A:$B,2,0),AY124,1),"")</f>
        <v/>
      </c>
      <c r="AY124" s="3" t="s">
        <v>23</v>
      </c>
      <c r="AZ124" s="79" t="str">
        <f>VLOOKUP(B124,Classification!A:D,2,0)</f>
        <v>A</v>
      </c>
      <c r="BA124" s="97" t="str">
        <f>VLOOKUP(B124,Classification!A:D,4,0)</f>
        <v>Neurotensin</v>
      </c>
      <c r="BB124" s="27" t="b">
        <f t="shared" ref="BB124" si="558">AND(E124&lt;G124,OR(G124&lt;I124,I124="-"),OR(I124&lt;K124,I124="-"),OR(K124&lt;M124,K124="-"),M124&lt;O124,OR(O124&lt;Q124,Q124="-"),OR(Q124&lt;S124,Q124="-"),OR(S124&lt;U124,S124="-"),U124&lt;W124,OR(W124&lt;Y124,Y124="-"),OR(Y124&lt;AA124,Y124="-"),OR(AA124&lt;AC124,AA124="-"),AC124&lt;AE124,OR(AE124&lt;AG124,AG124="-"),OR(AG124&lt;AI124,AG124="-"),OR(AI124&lt;AK124,AI124="-"),AK124&lt;AM124,AM124&lt;AO124,AO124&lt;AQ124,AQ124&lt;AS124,AS124&lt;AU124,OR(AU124&lt;AW124,AW124="-"),OR(AW124&lt;AY124,AW124="-"))</f>
        <v>1</v>
      </c>
      <c r="BC124" s="23">
        <f t="shared" ref="BC124" si="559">_xlfn.AGGREGATE(9,6,CG124:CR124)-_xlfn.AGGREGATE(9,6,BU124:CF124)+12</f>
        <v>238</v>
      </c>
      <c r="BD124" s="5" t="s">
        <v>1382</v>
      </c>
      <c r="BE124" s="3" t="s">
        <v>1297</v>
      </c>
      <c r="BF124" s="50" t="s">
        <v>1384</v>
      </c>
      <c r="BG124" s="50" t="s">
        <v>1384</v>
      </c>
      <c r="BH124" s="1"/>
      <c r="BI124" s="72" t="s">
        <v>1293</v>
      </c>
      <c r="BJ124" s="58" t="s">
        <v>1293</v>
      </c>
      <c r="BK124" s="58" t="s">
        <v>1293</v>
      </c>
      <c r="BL124" s="58" t="s">
        <v>1293</v>
      </c>
      <c r="BM124" s="58" t="s">
        <v>1293</v>
      </c>
      <c r="BN124" s="58" t="s">
        <v>1293</v>
      </c>
      <c r="BO124" s="58" t="s">
        <v>1293</v>
      </c>
      <c r="BP124" s="58" t="s">
        <v>1293</v>
      </c>
      <c r="BQ124" s="58" t="s">
        <v>1293</v>
      </c>
      <c r="BR124" s="58" t="s">
        <v>1293</v>
      </c>
      <c r="BS124" s="58" t="s">
        <v>1293</v>
      </c>
      <c r="BT124" s="58" t="s">
        <v>1293</v>
      </c>
      <c r="BU124" s="72">
        <f t="shared" ref="BU124" si="560">E124</f>
        <v>61</v>
      </c>
      <c r="BV124" s="73" t="str">
        <f t="shared" ref="BV124" si="561">I124</f>
        <v>-</v>
      </c>
      <c r="BW124" s="74">
        <f t="shared" ref="BW124" si="562">M124</f>
        <v>103</v>
      </c>
      <c r="BX124" s="73">
        <f t="shared" ref="BX124" si="563">Q124</f>
        <v>134</v>
      </c>
      <c r="BY124" s="74">
        <f t="shared" ref="BY124" si="564">U124</f>
        <v>138</v>
      </c>
      <c r="BZ124" s="73">
        <f t="shared" ref="BZ124" si="565">Y124</f>
        <v>174</v>
      </c>
      <c r="CA124" s="74">
        <f t="shared" ref="CA124" si="566">AC124</f>
        <v>182</v>
      </c>
      <c r="CB124" s="73">
        <f t="shared" ref="CB124" si="567">AG124</f>
        <v>225</v>
      </c>
      <c r="CC124" s="74">
        <f t="shared" ref="CC124" si="568">AK124</f>
        <v>231</v>
      </c>
      <c r="CD124" s="73">
        <f t="shared" ref="CD124" si="569">AO124</f>
        <v>297</v>
      </c>
      <c r="CE124" s="74">
        <f t="shared" ref="CE124" si="570">AS124</f>
        <v>340</v>
      </c>
      <c r="CF124" s="73" t="str">
        <f t="shared" ref="CF124" si="571">AW124</f>
        <v>-</v>
      </c>
      <c r="CG124" s="72">
        <f t="shared" ref="CG124" si="572">G124</f>
        <v>88</v>
      </c>
      <c r="CH124" s="73" t="str">
        <f t="shared" ref="CH124" si="573">K124</f>
        <v>-</v>
      </c>
      <c r="CI124" s="74">
        <f t="shared" ref="CI124" si="574">O124</f>
        <v>131</v>
      </c>
      <c r="CJ124" s="74">
        <f t="shared" ref="CJ124" si="575">S124</f>
        <v>137</v>
      </c>
      <c r="CK124" s="74">
        <f t="shared" ref="CK124" si="576">W124</f>
        <v>173</v>
      </c>
      <c r="CL124" s="74">
        <f t="shared" ref="CL124" si="577">AA124</f>
        <v>181</v>
      </c>
      <c r="CM124" s="74">
        <f t="shared" ref="CM124" si="578">AE124</f>
        <v>208</v>
      </c>
      <c r="CN124" s="74">
        <f t="shared" ref="CN124" si="579">AI124</f>
        <v>227</v>
      </c>
      <c r="CO124" s="74">
        <f t="shared" ref="CO124" si="580">AM124</f>
        <v>268</v>
      </c>
      <c r="CP124" s="74">
        <f t="shared" ref="CP124" si="581">AQ124</f>
        <v>334</v>
      </c>
      <c r="CQ124" s="74">
        <f t="shared" ref="CQ124" si="582">AU124</f>
        <v>364</v>
      </c>
      <c r="CR124" s="74" t="str">
        <f t="shared" ref="CR124" si="583">AY124</f>
        <v>-</v>
      </c>
      <c r="CS124" s="23" t="e">
        <f t="shared" ref="CS124" si="584">M124-K124</f>
        <v>#VALUE!</v>
      </c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</row>
    <row r="125" spans="1:1029" x14ac:dyDescent="0.2">
      <c r="A125" s="3" t="str">
        <f t="shared" si="555"/>
        <v>oprd_human__wt</v>
      </c>
      <c r="B125" s="3" t="s">
        <v>335</v>
      </c>
      <c r="C125" s="3" t="s">
        <v>100</v>
      </c>
      <c r="D125" s="3" t="str">
        <f>IFERROR(MID(VLOOKUP($B125,Seqs!$A:$B,2,0),E125,1),"")</f>
        <v>G</v>
      </c>
      <c r="E125" s="3">
        <v>39</v>
      </c>
      <c r="F125" s="3" t="str">
        <f>IFERROR(MID(VLOOKUP($B125,Seqs!$A:$B,2,0),G125,1),"")</f>
        <v>Y</v>
      </c>
      <c r="G125" s="3">
        <v>77</v>
      </c>
      <c r="H125" s="3" t="str">
        <f>IFERROR(MID(VLOOKUP($B125,Seqs!$A:$B,2,0),I125,1),"")</f>
        <v>T</v>
      </c>
      <c r="I125" s="23">
        <v>78</v>
      </c>
      <c r="J125" s="3" t="str">
        <f>IFERROR(MID(VLOOKUP($B125,Seqs!$A:$B,2,0),K125,1),"")</f>
        <v>K</v>
      </c>
      <c r="K125" s="23">
        <v>81</v>
      </c>
      <c r="L125" s="3" t="str">
        <f>IFERROR(MID(VLOOKUP($B125,Seqs!$A:$B,2,0),M125,1),"")</f>
        <v>T</v>
      </c>
      <c r="M125" s="3">
        <v>82</v>
      </c>
      <c r="N125" s="3" t="str">
        <f>IFERROR(MID(VLOOKUP($B125,Seqs!$A:$B,2,0),O125,1),"")</f>
        <v>M</v>
      </c>
      <c r="O125" s="3">
        <v>111</v>
      </c>
      <c r="P125" s="3" t="str">
        <f>IFERROR(MID(VLOOKUP($B125,Seqs!$A:$B,2,0),Q125,1),"")</f>
        <v>T</v>
      </c>
      <c r="Q125" s="3">
        <v>113</v>
      </c>
      <c r="R125" s="3" t="str">
        <f>IFERROR(MID(VLOOKUP($B125,Seqs!$A:$B,2,0),S125,1),"")</f>
        <v>F</v>
      </c>
      <c r="S125" s="3">
        <v>116</v>
      </c>
      <c r="T125" s="3" t="str">
        <f>IFERROR(MID(VLOOKUP($B125,Seqs!$A:$B,2,0),U125,1),"")</f>
        <v>G</v>
      </c>
      <c r="U125" s="3">
        <v>117</v>
      </c>
      <c r="V125" s="3" t="str">
        <f>IFERROR(MID(VLOOKUP($B125,Seqs!$A:$B,2,0),W125,1),"")</f>
        <v>H</v>
      </c>
      <c r="W125" s="3">
        <v>152</v>
      </c>
      <c r="X125" s="3" t="str">
        <f>IFERROR(MID(VLOOKUP($B125,Seqs!$A:$B,2,0),Y125,1),"")</f>
        <v>P</v>
      </c>
      <c r="Y125" s="3">
        <v>153</v>
      </c>
      <c r="Z125" s="3" t="str">
        <f>IFERROR(MID(VLOOKUP($B125,Seqs!$A:$B,2,0),AA125,1),"")</f>
        <v>R</v>
      </c>
      <c r="AA125" s="3">
        <v>160</v>
      </c>
      <c r="AB125" s="3" t="str">
        <f>IFERROR(MID(VLOOKUP($B125,Seqs!$A:$B,2,0),AC125,1),"")</f>
        <v>T</v>
      </c>
      <c r="AC125" s="9">
        <v>161</v>
      </c>
      <c r="AD125" s="3" t="str">
        <f>IFERROR(MID(VLOOKUP($B125,Seqs!$A:$B,2,0),AE125,1),"")</f>
        <v>A</v>
      </c>
      <c r="AE125" s="3">
        <v>187</v>
      </c>
      <c r="AF125" s="3" t="str">
        <f>IFERROR(MID(VLOOKUP($B125,Seqs!$A:$B,2,0),AG125,1),"")</f>
        <v>C</v>
      </c>
      <c r="AG125" s="3">
        <v>198</v>
      </c>
      <c r="AH125" s="3" t="str">
        <f>IFERROR(MID(VLOOKUP($B125,Seqs!$A:$B,2,0),AI125,1),"")</f>
        <v>L</v>
      </c>
      <c r="AI125" s="3">
        <v>200</v>
      </c>
      <c r="AJ125" s="3" t="str">
        <f>IFERROR(MID(VLOOKUP($B125,Seqs!$A:$B,2,0),AK125,1),"")</f>
        <v>S</v>
      </c>
      <c r="AK125" s="3">
        <v>206</v>
      </c>
      <c r="AL125" s="3" t="str">
        <f>IFERROR(MID(VLOOKUP($B125,Seqs!$A:$B,2,0),AM125,1),"")</f>
        <v>V</v>
      </c>
      <c r="AM125" s="3">
        <v>243</v>
      </c>
      <c r="AN125" s="3" t="str">
        <f>IFERROR(MID(VLOOKUP($B125,Seqs!$A:$B,2,0),AO125,1),"")</f>
        <v>S</v>
      </c>
      <c r="AO125" s="3">
        <v>249</v>
      </c>
      <c r="AP125" s="3" t="str">
        <f>IFERROR(MID(VLOOKUP($B125,Seqs!$A:$B,2,0),AQ125,1),"")</f>
        <v>V</v>
      </c>
      <c r="AQ125" s="3">
        <v>287</v>
      </c>
      <c r="AR125" s="3" t="str">
        <f>IFERROR(MID(VLOOKUP($B125,Seqs!$A:$B,2,0),AS125,1),"")</f>
        <v>D</v>
      </c>
      <c r="AS125" s="3">
        <v>293</v>
      </c>
      <c r="AT125" s="3" t="str">
        <f>IFERROR(MID(VLOOKUP($B125,Seqs!$A:$B,2,0),AU125,1),"")</f>
        <v>L</v>
      </c>
      <c r="AU125" s="3">
        <v>321</v>
      </c>
      <c r="AV125" s="3" t="str">
        <f>IFERROR(MID(VLOOKUP($B125,Seqs!$A:$B,2,0),AW125,1),"")</f>
        <v>D</v>
      </c>
      <c r="AW125" s="3">
        <v>322</v>
      </c>
      <c r="AX125" s="3" t="str">
        <f>IFERROR(MID(VLOOKUP($B125,Seqs!$A:$B,2,0),AY125,1),"")</f>
        <v>K</v>
      </c>
      <c r="AY125" s="3">
        <v>335</v>
      </c>
      <c r="AZ125" s="79" t="str">
        <f>VLOOKUP(B125,Classification!A:D,2,0)</f>
        <v>A</v>
      </c>
      <c r="BA125" s="97" t="str">
        <f>VLOOKUP(B125,Classification!A:D,4,0)</f>
        <v>Opioid</v>
      </c>
      <c r="BB125" s="27" t="b">
        <f t="shared" si="556"/>
        <v>1</v>
      </c>
      <c r="BC125" s="23">
        <f t="shared" si="473"/>
        <v>271</v>
      </c>
      <c r="BD125" s="57" t="s">
        <v>1379</v>
      </c>
      <c r="BE125" s="3" t="s">
        <v>1381</v>
      </c>
      <c r="BF125" s="50" t="s">
        <v>1379</v>
      </c>
      <c r="BG125" s="50" t="s">
        <v>1384</v>
      </c>
      <c r="BH125" s="1"/>
      <c r="BI125" s="72" t="s">
        <v>1293</v>
      </c>
      <c r="BJ125" s="58" t="s">
        <v>1293</v>
      </c>
      <c r="BK125" s="58" t="s">
        <v>1293</v>
      </c>
      <c r="BL125" s="58" t="s">
        <v>1293</v>
      </c>
      <c r="BM125" s="58" t="s">
        <v>1293</v>
      </c>
      <c r="BN125" s="58" t="s">
        <v>1293</v>
      </c>
      <c r="BO125" s="58" t="s">
        <v>1293</v>
      </c>
      <c r="BP125" s="58" t="s">
        <v>1293</v>
      </c>
      <c r="BQ125" s="58" t="s">
        <v>1293</v>
      </c>
      <c r="BR125" s="58" t="s">
        <v>1293</v>
      </c>
      <c r="BS125" s="58" t="s">
        <v>1293</v>
      </c>
      <c r="BT125" s="58" t="s">
        <v>1293</v>
      </c>
      <c r="BU125" s="72">
        <f t="shared" si="474"/>
        <v>39</v>
      </c>
      <c r="BV125" s="73">
        <f t="shared" si="475"/>
        <v>78</v>
      </c>
      <c r="BW125" s="74">
        <f t="shared" si="476"/>
        <v>82</v>
      </c>
      <c r="BX125" s="73">
        <f t="shared" si="477"/>
        <v>113</v>
      </c>
      <c r="BY125" s="74">
        <f t="shared" si="478"/>
        <v>117</v>
      </c>
      <c r="BZ125" s="73">
        <f t="shared" si="479"/>
        <v>153</v>
      </c>
      <c r="CA125" s="74">
        <f t="shared" si="480"/>
        <v>161</v>
      </c>
      <c r="CB125" s="73">
        <f t="shared" si="481"/>
        <v>198</v>
      </c>
      <c r="CC125" s="74">
        <f t="shared" si="482"/>
        <v>206</v>
      </c>
      <c r="CD125" s="73">
        <f t="shared" si="483"/>
        <v>249</v>
      </c>
      <c r="CE125" s="74">
        <f t="shared" si="484"/>
        <v>293</v>
      </c>
      <c r="CF125" s="73">
        <f t="shared" si="485"/>
        <v>322</v>
      </c>
      <c r="CG125" s="72">
        <f t="shared" si="486"/>
        <v>77</v>
      </c>
      <c r="CH125" s="73">
        <f t="shared" si="487"/>
        <v>81</v>
      </c>
      <c r="CI125" s="74">
        <f t="shared" si="488"/>
        <v>111</v>
      </c>
      <c r="CJ125" s="74">
        <f t="shared" si="489"/>
        <v>116</v>
      </c>
      <c r="CK125" s="74">
        <f t="shared" si="490"/>
        <v>152</v>
      </c>
      <c r="CL125" s="74">
        <f t="shared" si="491"/>
        <v>160</v>
      </c>
      <c r="CM125" s="74">
        <f t="shared" si="492"/>
        <v>187</v>
      </c>
      <c r="CN125" s="74">
        <f t="shared" si="493"/>
        <v>200</v>
      </c>
      <c r="CO125" s="74">
        <f t="shared" si="494"/>
        <v>243</v>
      </c>
      <c r="CP125" s="74">
        <f t="shared" si="495"/>
        <v>287</v>
      </c>
      <c r="CQ125" s="74">
        <f t="shared" si="496"/>
        <v>321</v>
      </c>
      <c r="CR125" s="74">
        <f t="shared" si="497"/>
        <v>335</v>
      </c>
      <c r="CS125" s="23">
        <f t="shared" si="498"/>
        <v>1</v>
      </c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</row>
    <row r="126" spans="1:1029" x14ac:dyDescent="0.2">
      <c r="A126" s="3" t="str">
        <f t="shared" si="555"/>
        <v>oprd_human_4N6H</v>
      </c>
      <c r="B126" s="3" t="s">
        <v>335</v>
      </c>
      <c r="C126" s="3" t="s">
        <v>87</v>
      </c>
      <c r="D126" s="3" t="str">
        <f>IFERROR(MID(VLOOKUP($B126,Seqs!$A:$B,2,0),E126,1),"")</f>
        <v>G</v>
      </c>
      <c r="E126" s="3">
        <v>39</v>
      </c>
      <c r="F126" s="3" t="str">
        <f>IFERROR(MID(VLOOKUP($B126,Seqs!$A:$B,2,0),G126,1),"")</f>
        <v>Y</v>
      </c>
      <c r="G126" s="3">
        <v>77</v>
      </c>
      <c r="H126" s="3" t="str">
        <f>IFERROR(MID(VLOOKUP($B126,Seqs!$A:$B,2,0),I126,1),"")</f>
        <v>T</v>
      </c>
      <c r="I126" s="23">
        <v>78</v>
      </c>
      <c r="J126" s="3" t="str">
        <f>IFERROR(MID(VLOOKUP($B126,Seqs!$A:$B,2,0),K126,1),"")</f>
        <v>K</v>
      </c>
      <c r="K126" s="23">
        <v>81</v>
      </c>
      <c r="L126" s="3" t="str">
        <f>IFERROR(MID(VLOOKUP($B126,Seqs!$A:$B,2,0),M126,1),"")</f>
        <v>T</v>
      </c>
      <c r="M126" s="3">
        <v>82</v>
      </c>
      <c r="N126" s="3" t="str">
        <f>IFERROR(MID(VLOOKUP($B126,Seqs!$A:$B,2,0),O126,1),"")</f>
        <v>M</v>
      </c>
      <c r="O126" s="3">
        <v>111</v>
      </c>
      <c r="P126" s="3" t="str">
        <f>IFERROR(MID(VLOOKUP($B126,Seqs!$A:$B,2,0),Q126,1),"")</f>
        <v>T</v>
      </c>
      <c r="Q126" s="3">
        <v>113</v>
      </c>
      <c r="R126" s="3" t="str">
        <f>IFERROR(MID(VLOOKUP($B126,Seqs!$A:$B,2,0),S126,1),"")</f>
        <v>F</v>
      </c>
      <c r="S126" s="3">
        <v>116</v>
      </c>
      <c r="T126" s="3" t="str">
        <f>IFERROR(MID(VLOOKUP($B126,Seqs!$A:$B,2,0),U126,1),"")</f>
        <v>G</v>
      </c>
      <c r="U126" s="3">
        <v>117</v>
      </c>
      <c r="V126" s="3" t="str">
        <f>IFERROR(MID(VLOOKUP($B126,Seqs!$A:$B,2,0),W126,1),"")</f>
        <v>H</v>
      </c>
      <c r="W126" s="3">
        <v>152</v>
      </c>
      <c r="X126" s="3" t="str">
        <f>IFERROR(MID(VLOOKUP($B126,Seqs!$A:$B,2,0),Y126,1),"")</f>
        <v>P</v>
      </c>
      <c r="Y126" s="3">
        <v>153</v>
      </c>
      <c r="Z126" s="3" t="str">
        <f>IFERROR(MID(VLOOKUP($B126,Seqs!$A:$B,2,0),AA126,1),"")</f>
        <v>R</v>
      </c>
      <c r="AA126" s="3">
        <v>160</v>
      </c>
      <c r="AB126" s="3" t="str">
        <f>IFERROR(MID(VLOOKUP($B126,Seqs!$A:$B,2,0),AC126,1),"")</f>
        <v>T</v>
      </c>
      <c r="AC126" s="9">
        <v>161</v>
      </c>
      <c r="AD126" s="3" t="str">
        <f>IFERROR(MID(VLOOKUP($B126,Seqs!$A:$B,2,0),AE126,1),"")</f>
        <v>A</v>
      </c>
      <c r="AE126" s="3">
        <v>187</v>
      </c>
      <c r="AF126" s="3" t="str">
        <f>IFERROR(MID(VLOOKUP($B126,Seqs!$A:$B,2,0),AG126,1),"")</f>
        <v>C</v>
      </c>
      <c r="AG126" s="3">
        <v>198</v>
      </c>
      <c r="AH126" s="3" t="str">
        <f>IFERROR(MID(VLOOKUP($B126,Seqs!$A:$B,2,0),AI126,1),"")</f>
        <v>L</v>
      </c>
      <c r="AI126" s="3">
        <v>200</v>
      </c>
      <c r="AJ126" s="3" t="str">
        <f>IFERROR(MID(VLOOKUP($B126,Seqs!$A:$B,2,0),AK126,1),"")</f>
        <v>S</v>
      </c>
      <c r="AK126" s="3">
        <v>206</v>
      </c>
      <c r="AL126" s="3" t="str">
        <f>IFERROR(MID(VLOOKUP($B126,Seqs!$A:$B,2,0),AM126,1),"")</f>
        <v>V</v>
      </c>
      <c r="AM126" s="3">
        <v>243</v>
      </c>
      <c r="AN126" s="3" t="str">
        <f>IFERROR(MID(VLOOKUP($B126,Seqs!$A:$B,2,0),AO126,1),"")</f>
        <v>S</v>
      </c>
      <c r="AO126" s="3">
        <v>249</v>
      </c>
      <c r="AP126" s="3" t="str">
        <f>IFERROR(MID(VLOOKUP($B126,Seqs!$A:$B,2,0),AQ126,1),"")</f>
        <v>V</v>
      </c>
      <c r="AQ126" s="3">
        <v>287</v>
      </c>
      <c r="AR126" s="3" t="str">
        <f>IFERROR(MID(VLOOKUP($B126,Seqs!$A:$B,2,0),AS126,1),"")</f>
        <v>D</v>
      </c>
      <c r="AS126" s="3">
        <v>293</v>
      </c>
      <c r="AT126" s="3" t="str">
        <f>IFERROR(MID(VLOOKUP($B126,Seqs!$A:$B,2,0),AU126,1),"")</f>
        <v>L</v>
      </c>
      <c r="AU126" s="3">
        <v>321</v>
      </c>
      <c r="AV126" s="3" t="str">
        <f>IFERROR(MID(VLOOKUP($B126,Seqs!$A:$B,2,0),AW126,1),"")</f>
        <v>D</v>
      </c>
      <c r="AW126" s="3">
        <v>322</v>
      </c>
      <c r="AX126" s="3" t="str">
        <f>IFERROR(MID(VLOOKUP($B126,Seqs!$A:$B,2,0),AY126,1),"")</f>
        <v>K</v>
      </c>
      <c r="AY126" s="3">
        <v>335</v>
      </c>
      <c r="AZ126" s="79" t="str">
        <f>VLOOKUP(B126,Classification!A:D,2,0)</f>
        <v>A</v>
      </c>
      <c r="BA126" s="97" t="str">
        <f>VLOOKUP(B126,Classification!A:D,4,0)</f>
        <v>Opioid</v>
      </c>
      <c r="BB126" s="27" t="b">
        <f t="shared" si="556"/>
        <v>1</v>
      </c>
      <c r="BC126" s="23">
        <f t="shared" si="473"/>
        <v>271</v>
      </c>
      <c r="BD126" s="16" t="s">
        <v>1383</v>
      </c>
      <c r="BE126" s="3" t="s">
        <v>1381</v>
      </c>
      <c r="BF126" s="50" t="s">
        <v>1384</v>
      </c>
      <c r="BG126" s="50" t="s">
        <v>1384</v>
      </c>
      <c r="BI126" s="72" t="s">
        <v>1293</v>
      </c>
      <c r="BJ126" s="58" t="s">
        <v>1293</v>
      </c>
      <c r="BK126" s="58" t="s">
        <v>1293</v>
      </c>
      <c r="BL126" s="58" t="s">
        <v>1293</v>
      </c>
      <c r="BM126" s="58" t="s">
        <v>1293</v>
      </c>
      <c r="BN126" s="58" t="s">
        <v>1293</v>
      </c>
      <c r="BO126" s="58" t="s">
        <v>1293</v>
      </c>
      <c r="BP126" s="58" t="s">
        <v>1293</v>
      </c>
      <c r="BQ126" s="58" t="s">
        <v>1293</v>
      </c>
      <c r="BR126" s="58" t="s">
        <v>1293</v>
      </c>
      <c r="BS126" s="58" t="s">
        <v>1293</v>
      </c>
      <c r="BT126" s="58" t="s">
        <v>1293</v>
      </c>
      <c r="BU126" s="72">
        <f t="shared" si="474"/>
        <v>39</v>
      </c>
      <c r="BV126" s="73">
        <f t="shared" si="475"/>
        <v>78</v>
      </c>
      <c r="BW126" s="74">
        <f t="shared" si="476"/>
        <v>82</v>
      </c>
      <c r="BX126" s="73">
        <f t="shared" si="477"/>
        <v>113</v>
      </c>
      <c r="BY126" s="74">
        <f t="shared" si="478"/>
        <v>117</v>
      </c>
      <c r="BZ126" s="73">
        <f t="shared" si="479"/>
        <v>153</v>
      </c>
      <c r="CA126" s="74">
        <f t="shared" si="480"/>
        <v>161</v>
      </c>
      <c r="CB126" s="73">
        <f t="shared" si="481"/>
        <v>198</v>
      </c>
      <c r="CC126" s="74">
        <f t="shared" si="482"/>
        <v>206</v>
      </c>
      <c r="CD126" s="73">
        <f t="shared" si="483"/>
        <v>249</v>
      </c>
      <c r="CE126" s="74">
        <f t="shared" si="484"/>
        <v>293</v>
      </c>
      <c r="CF126" s="73">
        <f t="shared" si="485"/>
        <v>322</v>
      </c>
      <c r="CG126" s="72">
        <f t="shared" si="486"/>
        <v>77</v>
      </c>
      <c r="CH126" s="73">
        <f t="shared" si="487"/>
        <v>81</v>
      </c>
      <c r="CI126" s="74">
        <f t="shared" si="488"/>
        <v>111</v>
      </c>
      <c r="CJ126" s="74">
        <f t="shared" si="489"/>
        <v>116</v>
      </c>
      <c r="CK126" s="74">
        <f t="shared" si="490"/>
        <v>152</v>
      </c>
      <c r="CL126" s="74">
        <f t="shared" si="491"/>
        <v>160</v>
      </c>
      <c r="CM126" s="74">
        <f t="shared" si="492"/>
        <v>187</v>
      </c>
      <c r="CN126" s="74">
        <f t="shared" si="493"/>
        <v>200</v>
      </c>
      <c r="CO126" s="74">
        <f t="shared" si="494"/>
        <v>243</v>
      </c>
      <c r="CP126" s="74">
        <f t="shared" si="495"/>
        <v>287</v>
      </c>
      <c r="CQ126" s="74">
        <f t="shared" si="496"/>
        <v>321</v>
      </c>
      <c r="CR126" s="74">
        <f t="shared" si="497"/>
        <v>335</v>
      </c>
      <c r="CS126" s="23">
        <f t="shared" si="498"/>
        <v>1</v>
      </c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</row>
    <row r="127" spans="1:1029" s="2" customFormat="1" x14ac:dyDescent="0.2">
      <c r="A127" s="3" t="str">
        <f t="shared" si="555"/>
        <v>oprd_human_4RWD</v>
      </c>
      <c r="B127" s="1" t="s">
        <v>335</v>
      </c>
      <c r="C127" s="1" t="s">
        <v>1344</v>
      </c>
      <c r="D127" s="3" t="str">
        <f>IFERROR(MID(VLOOKUP($B127,Seqs!$A:$B,2,0),E127,1),"")</f>
        <v>A</v>
      </c>
      <c r="E127" s="3">
        <v>43</v>
      </c>
      <c r="F127" s="3" t="str">
        <f>IFERROR(MID(VLOOKUP($B127,Seqs!$A:$B,2,0),G127,1),"")</f>
        <v>Y</v>
      </c>
      <c r="G127" s="3">
        <v>77</v>
      </c>
      <c r="H127" s="3" t="str">
        <f>IFERROR(MID(VLOOKUP($B127,Seqs!$A:$B,2,0),I127,1),"")</f>
        <v>T</v>
      </c>
      <c r="I127" s="23">
        <v>78</v>
      </c>
      <c r="J127" s="3" t="str">
        <f>IFERROR(MID(VLOOKUP($B127,Seqs!$A:$B,2,0),K127,1),"")</f>
        <v>K</v>
      </c>
      <c r="K127" s="23">
        <v>81</v>
      </c>
      <c r="L127" s="3" t="str">
        <f>IFERROR(MID(VLOOKUP($B127,Seqs!$A:$B,2,0),M127,1),"")</f>
        <v>T</v>
      </c>
      <c r="M127" s="3">
        <v>82</v>
      </c>
      <c r="N127" s="3" t="str">
        <f>IFERROR(MID(VLOOKUP($B127,Seqs!$A:$B,2,0),O127,1),"")</f>
        <v>M</v>
      </c>
      <c r="O127" s="3">
        <v>111</v>
      </c>
      <c r="P127" s="3" t="str">
        <f>IFERROR(MID(VLOOKUP($B127,Seqs!$A:$B,2,0),Q127,1),"")</f>
        <v>T</v>
      </c>
      <c r="Q127" s="3">
        <v>113</v>
      </c>
      <c r="R127" s="3" t="str">
        <f>IFERROR(MID(VLOOKUP($B127,Seqs!$A:$B,2,0),S127,1),"")</f>
        <v>F</v>
      </c>
      <c r="S127" s="3">
        <v>116</v>
      </c>
      <c r="T127" s="3" t="str">
        <f>IFERROR(MID(VLOOKUP($B127,Seqs!$A:$B,2,0),U127,1),"")</f>
        <v>G</v>
      </c>
      <c r="U127" s="3">
        <v>117</v>
      </c>
      <c r="V127" s="3" t="str">
        <f>IFERROR(MID(VLOOKUP($B127,Seqs!$A:$B,2,0),W127,1),"")</f>
        <v>H</v>
      </c>
      <c r="W127" s="3">
        <v>152</v>
      </c>
      <c r="X127" s="3" t="str">
        <f>IFERROR(MID(VLOOKUP($B127,Seqs!$A:$B,2,0),Y127,1),"")</f>
        <v>P</v>
      </c>
      <c r="Y127" s="3">
        <v>153</v>
      </c>
      <c r="Z127" s="3" t="str">
        <f>IFERROR(MID(VLOOKUP($B127,Seqs!$A:$B,2,0),AA127,1),"")</f>
        <v>R</v>
      </c>
      <c r="AA127" s="3">
        <v>160</v>
      </c>
      <c r="AB127" s="3" t="str">
        <f>IFERROR(MID(VLOOKUP($B127,Seqs!$A:$B,2,0),AC127,1),"")</f>
        <v>T</v>
      </c>
      <c r="AC127" s="9">
        <v>161</v>
      </c>
      <c r="AD127" s="3" t="str">
        <f>IFERROR(MID(VLOOKUP($B127,Seqs!$A:$B,2,0),AE127,1),"")</f>
        <v>A</v>
      </c>
      <c r="AE127" s="3">
        <v>187</v>
      </c>
      <c r="AF127" s="3" t="str">
        <f>IFERROR(MID(VLOOKUP($B127,Seqs!$A:$B,2,0),AG127,1),"")</f>
        <v>C</v>
      </c>
      <c r="AG127" s="3">
        <v>198</v>
      </c>
      <c r="AH127" s="3" t="str">
        <f>IFERROR(MID(VLOOKUP($B127,Seqs!$A:$B,2,0),AI127,1),"")</f>
        <v>L</v>
      </c>
      <c r="AI127" s="3">
        <v>200</v>
      </c>
      <c r="AJ127" s="3" t="str">
        <f>IFERROR(MID(VLOOKUP($B127,Seqs!$A:$B,2,0),AK127,1),"")</f>
        <v>S</v>
      </c>
      <c r="AK127" s="3">
        <v>206</v>
      </c>
      <c r="AL127" s="3" t="str">
        <f>IFERROR(MID(VLOOKUP($B127,Seqs!$A:$B,2,0),AM127,1),"")</f>
        <v>V</v>
      </c>
      <c r="AM127" s="3">
        <v>243</v>
      </c>
      <c r="AN127" s="3" t="str">
        <f>IFERROR(MID(VLOOKUP($B127,Seqs!$A:$B,2,0),AO127,1),"")</f>
        <v>S</v>
      </c>
      <c r="AO127" s="3">
        <v>249</v>
      </c>
      <c r="AP127" s="3" t="str">
        <f>IFERROR(MID(VLOOKUP($B127,Seqs!$A:$B,2,0),AQ127,1),"")</f>
        <v>V</v>
      </c>
      <c r="AQ127" s="3">
        <v>287</v>
      </c>
      <c r="AR127" s="3" t="str">
        <f>IFERROR(MID(VLOOKUP($B127,Seqs!$A:$B,2,0),AS127,1),"")</f>
        <v>D</v>
      </c>
      <c r="AS127" s="3">
        <v>293</v>
      </c>
      <c r="AT127" s="3" t="str">
        <f>IFERROR(MID(VLOOKUP($B127,Seqs!$A:$B,2,0),AU127,1),"")</f>
        <v>L</v>
      </c>
      <c r="AU127" s="3">
        <v>321</v>
      </c>
      <c r="AV127" s="3" t="str">
        <f>IFERROR(MID(VLOOKUP($B127,Seqs!$A:$B,2,0),AW127,1),"")</f>
        <v>D</v>
      </c>
      <c r="AW127" s="3">
        <v>322</v>
      </c>
      <c r="AX127" s="3" t="str">
        <f>IFERROR(MID(VLOOKUP($B127,Seqs!$A:$B,2,0),AY127,1),"")</f>
        <v>C</v>
      </c>
      <c r="AY127" s="3">
        <v>333</v>
      </c>
      <c r="AZ127" s="79" t="str">
        <f>VLOOKUP(B127,Classification!A:D,2,0)</f>
        <v>A</v>
      </c>
      <c r="BA127" s="97" t="str">
        <f>VLOOKUP(B127,Classification!A:D,4,0)</f>
        <v>Opioid</v>
      </c>
      <c r="BB127" s="27" t="b">
        <f t="shared" si="556"/>
        <v>1</v>
      </c>
      <c r="BC127" s="23">
        <f t="shared" si="473"/>
        <v>265</v>
      </c>
      <c r="BD127" s="16" t="s">
        <v>23</v>
      </c>
      <c r="BE127" s="3" t="s">
        <v>1381</v>
      </c>
      <c r="BF127" s="50" t="s">
        <v>1384</v>
      </c>
      <c r="BG127" s="50" t="s">
        <v>1384</v>
      </c>
      <c r="BH127" s="3"/>
      <c r="BI127" s="72" t="s">
        <v>1293</v>
      </c>
      <c r="BJ127" s="58" t="s">
        <v>1293</v>
      </c>
      <c r="BK127" s="58" t="s">
        <v>1293</v>
      </c>
      <c r="BL127" s="58" t="s">
        <v>1293</v>
      </c>
      <c r="BM127" s="58" t="s">
        <v>1293</v>
      </c>
      <c r="BN127" s="58" t="s">
        <v>1293</v>
      </c>
      <c r="BO127" s="58" t="s">
        <v>1293</v>
      </c>
      <c r="BP127" s="58" t="s">
        <v>1293</v>
      </c>
      <c r="BQ127" s="58" t="s">
        <v>1293</v>
      </c>
      <c r="BR127" s="58" t="s">
        <v>1293</v>
      </c>
      <c r="BS127" s="58" t="s">
        <v>1293</v>
      </c>
      <c r="BT127" s="58" t="s">
        <v>1293</v>
      </c>
      <c r="BU127" s="72">
        <f t="shared" si="474"/>
        <v>43</v>
      </c>
      <c r="BV127" s="73">
        <f t="shared" si="475"/>
        <v>78</v>
      </c>
      <c r="BW127" s="74">
        <f t="shared" si="476"/>
        <v>82</v>
      </c>
      <c r="BX127" s="73">
        <f t="shared" si="477"/>
        <v>113</v>
      </c>
      <c r="BY127" s="74">
        <f t="shared" si="478"/>
        <v>117</v>
      </c>
      <c r="BZ127" s="73">
        <f t="shared" si="479"/>
        <v>153</v>
      </c>
      <c r="CA127" s="74">
        <f t="shared" si="480"/>
        <v>161</v>
      </c>
      <c r="CB127" s="73">
        <f t="shared" si="481"/>
        <v>198</v>
      </c>
      <c r="CC127" s="74">
        <f t="shared" si="482"/>
        <v>206</v>
      </c>
      <c r="CD127" s="73">
        <f t="shared" si="483"/>
        <v>249</v>
      </c>
      <c r="CE127" s="74">
        <f t="shared" si="484"/>
        <v>293</v>
      </c>
      <c r="CF127" s="73">
        <f t="shared" si="485"/>
        <v>322</v>
      </c>
      <c r="CG127" s="72">
        <f t="shared" si="486"/>
        <v>77</v>
      </c>
      <c r="CH127" s="73">
        <f t="shared" si="487"/>
        <v>81</v>
      </c>
      <c r="CI127" s="74">
        <f t="shared" si="488"/>
        <v>111</v>
      </c>
      <c r="CJ127" s="74">
        <f t="shared" si="489"/>
        <v>116</v>
      </c>
      <c r="CK127" s="74">
        <f t="shared" si="490"/>
        <v>152</v>
      </c>
      <c r="CL127" s="74">
        <f t="shared" si="491"/>
        <v>160</v>
      </c>
      <c r="CM127" s="74">
        <f t="shared" si="492"/>
        <v>187</v>
      </c>
      <c r="CN127" s="74">
        <f t="shared" si="493"/>
        <v>200</v>
      </c>
      <c r="CO127" s="74">
        <f t="shared" si="494"/>
        <v>243</v>
      </c>
      <c r="CP127" s="74">
        <f t="shared" si="495"/>
        <v>287</v>
      </c>
      <c r="CQ127" s="74">
        <f t="shared" si="496"/>
        <v>321</v>
      </c>
      <c r="CR127" s="74">
        <f t="shared" si="497"/>
        <v>333</v>
      </c>
      <c r="CS127" s="23">
        <f t="shared" si="498"/>
        <v>1</v>
      </c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2" customFormat="1" x14ac:dyDescent="0.2">
      <c r="A128" s="3" t="str">
        <f t="shared" si="555"/>
        <v>oprd_mouse__wt</v>
      </c>
      <c r="B128" s="3" t="s">
        <v>916</v>
      </c>
      <c r="C128" s="3" t="s">
        <v>100</v>
      </c>
      <c r="D128" s="3" t="str">
        <f>IFERROR(MID(VLOOKUP($B128,Seqs!$A:$B,2,0),E128,1),"")</f>
        <v>R</v>
      </c>
      <c r="E128" s="3">
        <v>41</v>
      </c>
      <c r="F128" s="3" t="str">
        <f>IFERROR(MID(VLOOKUP($B128,Seqs!$A:$B,2,0),G128,1),"")</f>
        <v>Y</v>
      </c>
      <c r="G128" s="3">
        <v>77</v>
      </c>
      <c r="H128" s="3" t="str">
        <f>IFERROR(MID(VLOOKUP($B128,Seqs!$A:$B,2,0),I128,1),"")</f>
        <v>T</v>
      </c>
      <c r="I128" s="23">
        <v>78</v>
      </c>
      <c r="J128" s="3" t="str">
        <f>IFERROR(MID(VLOOKUP($B128,Seqs!$A:$B,2,0),K128,1),"")</f>
        <v>K</v>
      </c>
      <c r="K128" s="23">
        <v>81</v>
      </c>
      <c r="L128" s="3" t="str">
        <f>IFERROR(MID(VLOOKUP($B128,Seqs!$A:$B,2,0),M128,1),"")</f>
        <v>T</v>
      </c>
      <c r="M128" s="3">
        <v>82</v>
      </c>
      <c r="N128" s="3" t="str">
        <f>IFERROR(MID(VLOOKUP($B128,Seqs!$A:$B,2,0),O128,1),"")</f>
        <v>M</v>
      </c>
      <c r="O128" s="3">
        <v>111</v>
      </c>
      <c r="P128" s="3" t="str">
        <f>IFERROR(MID(VLOOKUP($B128,Seqs!$A:$B,2,0),Q128,1),"")</f>
        <v>T</v>
      </c>
      <c r="Q128" s="3">
        <v>113</v>
      </c>
      <c r="R128" s="3" t="str">
        <f>IFERROR(MID(VLOOKUP($B128,Seqs!$A:$B,2,0),S128,1),"")</f>
        <v>F</v>
      </c>
      <c r="S128" s="3">
        <v>116</v>
      </c>
      <c r="T128" s="3" t="str">
        <f>IFERROR(MID(VLOOKUP($B128,Seqs!$A:$B,2,0),U128,1),"")</f>
        <v>G</v>
      </c>
      <c r="U128" s="3">
        <v>117</v>
      </c>
      <c r="V128" s="3" t="str">
        <f>IFERROR(MID(VLOOKUP($B128,Seqs!$A:$B,2,0),W128,1),"")</f>
        <v>H</v>
      </c>
      <c r="W128" s="3">
        <v>152</v>
      </c>
      <c r="X128" s="3" t="str">
        <f>IFERROR(MID(VLOOKUP($B128,Seqs!$A:$B,2,0),Y128,1),"")</f>
        <v>P</v>
      </c>
      <c r="Y128" s="3">
        <v>153</v>
      </c>
      <c r="Z128" s="3" t="str">
        <f>IFERROR(MID(VLOOKUP($B128,Seqs!$A:$B,2,0),AA128,1),"")</f>
        <v>R</v>
      </c>
      <c r="AA128" s="3">
        <v>160</v>
      </c>
      <c r="AB128" s="3" t="str">
        <f>IFERROR(MID(VLOOKUP($B128,Seqs!$A:$B,2,0),AC128,1),"")</f>
        <v>T</v>
      </c>
      <c r="AC128" s="9">
        <v>161</v>
      </c>
      <c r="AD128" s="3" t="str">
        <f>IFERROR(MID(VLOOKUP($B128,Seqs!$A:$B,2,0),AE128,1),"")</f>
        <v>A</v>
      </c>
      <c r="AE128" s="3">
        <v>187</v>
      </c>
      <c r="AF128" s="3" t="str">
        <f>IFERROR(MID(VLOOKUP($B128,Seqs!$A:$B,2,0),AG128,1),"")</f>
        <v>C</v>
      </c>
      <c r="AG128" s="3">
        <v>198</v>
      </c>
      <c r="AH128" s="3" t="str">
        <f>IFERROR(MID(VLOOKUP($B128,Seqs!$A:$B,2,0),AI128,1),"")</f>
        <v>L</v>
      </c>
      <c r="AI128" s="3">
        <v>200</v>
      </c>
      <c r="AJ128" s="3" t="str">
        <f>IFERROR(MID(VLOOKUP($B128,Seqs!$A:$B,2,0),AK128,1),"")</f>
        <v>S</v>
      </c>
      <c r="AK128" s="3">
        <v>206</v>
      </c>
      <c r="AL128" s="3" t="str">
        <f>IFERROR(MID(VLOOKUP($B128,Seqs!$A:$B,2,0),AM128,1),"")</f>
        <v>V</v>
      </c>
      <c r="AM128" s="3">
        <v>243</v>
      </c>
      <c r="AN128" s="3" t="str">
        <f>IFERROR(MID(VLOOKUP($B128,Seqs!$A:$B,2,0),AO128,1),"")</f>
        <v>S</v>
      </c>
      <c r="AO128" s="3">
        <v>249</v>
      </c>
      <c r="AP128" s="3" t="str">
        <f>IFERROR(MID(VLOOKUP($B128,Seqs!$A:$B,2,0),AQ128,1),"")</f>
        <v>V</v>
      </c>
      <c r="AQ128" s="3">
        <v>287</v>
      </c>
      <c r="AR128" s="3" t="str">
        <f>IFERROR(MID(VLOOKUP($B128,Seqs!$A:$B,2,0),AS128,1),"")</f>
        <v>D</v>
      </c>
      <c r="AS128" s="3">
        <v>293</v>
      </c>
      <c r="AT128" s="3" t="str">
        <f>IFERROR(MID(VLOOKUP($B128,Seqs!$A:$B,2,0),AU128,1),"")</f>
        <v>L</v>
      </c>
      <c r="AU128" s="3">
        <v>321</v>
      </c>
      <c r="AV128" s="3" t="str">
        <f>IFERROR(MID(VLOOKUP($B128,Seqs!$A:$B,2,0),AW128,1),"")</f>
        <v>D</v>
      </c>
      <c r="AW128" s="3">
        <v>322</v>
      </c>
      <c r="AX128" s="3" t="str">
        <f>IFERROR(MID(VLOOKUP($B128,Seqs!$A:$B,2,0),AY128,1),"")</f>
        <v>T</v>
      </c>
      <c r="AY128" s="3">
        <v>335</v>
      </c>
      <c r="AZ128" s="79" t="str">
        <f>VLOOKUP(B128,Classification!A:D,2,0)</f>
        <v>A</v>
      </c>
      <c r="BA128" s="97" t="str">
        <f>VLOOKUP(B128,Classification!A:D,4,0)</f>
        <v>Opioid</v>
      </c>
      <c r="BB128" s="27" t="b">
        <f t="shared" si="556"/>
        <v>1</v>
      </c>
      <c r="BC128" s="23">
        <f t="shared" si="473"/>
        <v>269</v>
      </c>
      <c r="BD128" s="57" t="s">
        <v>1379</v>
      </c>
      <c r="BE128" s="3" t="s">
        <v>1381</v>
      </c>
      <c r="BF128" s="50" t="s">
        <v>1379</v>
      </c>
      <c r="BG128" s="50" t="s">
        <v>1384</v>
      </c>
      <c r="BH128" s="1"/>
      <c r="BI128" s="72" t="s">
        <v>1293</v>
      </c>
      <c r="BJ128" s="58" t="s">
        <v>1293</v>
      </c>
      <c r="BK128" s="58" t="s">
        <v>1293</v>
      </c>
      <c r="BL128" s="58" t="s">
        <v>1293</v>
      </c>
      <c r="BM128" s="58" t="s">
        <v>1293</v>
      </c>
      <c r="BN128" s="58" t="s">
        <v>1293</v>
      </c>
      <c r="BO128" s="58" t="s">
        <v>1293</v>
      </c>
      <c r="BP128" s="58" t="s">
        <v>1293</v>
      </c>
      <c r="BQ128" s="58" t="s">
        <v>1293</v>
      </c>
      <c r="BR128" s="58" t="s">
        <v>1293</v>
      </c>
      <c r="BS128" s="58" t="s">
        <v>1293</v>
      </c>
      <c r="BT128" s="58" t="s">
        <v>1293</v>
      </c>
      <c r="BU128" s="72">
        <f t="shared" si="474"/>
        <v>41</v>
      </c>
      <c r="BV128" s="73">
        <f t="shared" si="475"/>
        <v>78</v>
      </c>
      <c r="BW128" s="74">
        <f t="shared" si="476"/>
        <v>82</v>
      </c>
      <c r="BX128" s="73">
        <f t="shared" si="477"/>
        <v>113</v>
      </c>
      <c r="BY128" s="74">
        <f t="shared" si="478"/>
        <v>117</v>
      </c>
      <c r="BZ128" s="73">
        <f t="shared" si="479"/>
        <v>153</v>
      </c>
      <c r="CA128" s="74">
        <f t="shared" si="480"/>
        <v>161</v>
      </c>
      <c r="CB128" s="73">
        <f t="shared" si="481"/>
        <v>198</v>
      </c>
      <c r="CC128" s="74">
        <f t="shared" si="482"/>
        <v>206</v>
      </c>
      <c r="CD128" s="73">
        <f t="shared" si="483"/>
        <v>249</v>
      </c>
      <c r="CE128" s="74">
        <f t="shared" si="484"/>
        <v>293</v>
      </c>
      <c r="CF128" s="73">
        <f t="shared" si="485"/>
        <v>322</v>
      </c>
      <c r="CG128" s="72">
        <f t="shared" si="486"/>
        <v>77</v>
      </c>
      <c r="CH128" s="73">
        <f t="shared" si="487"/>
        <v>81</v>
      </c>
      <c r="CI128" s="74">
        <f t="shared" si="488"/>
        <v>111</v>
      </c>
      <c r="CJ128" s="74">
        <f t="shared" si="489"/>
        <v>116</v>
      </c>
      <c r="CK128" s="74">
        <f t="shared" si="490"/>
        <v>152</v>
      </c>
      <c r="CL128" s="74">
        <f t="shared" si="491"/>
        <v>160</v>
      </c>
      <c r="CM128" s="74">
        <f t="shared" si="492"/>
        <v>187</v>
      </c>
      <c r="CN128" s="74">
        <f t="shared" si="493"/>
        <v>200</v>
      </c>
      <c r="CO128" s="74">
        <f t="shared" si="494"/>
        <v>243</v>
      </c>
      <c r="CP128" s="74">
        <f t="shared" si="495"/>
        <v>287</v>
      </c>
      <c r="CQ128" s="74">
        <f t="shared" si="496"/>
        <v>321</v>
      </c>
      <c r="CR128" s="74">
        <f t="shared" si="497"/>
        <v>335</v>
      </c>
      <c r="CS128" s="23">
        <f t="shared" si="498"/>
        <v>1</v>
      </c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</row>
    <row r="129" spans="1:1029" s="2" customFormat="1" x14ac:dyDescent="0.2">
      <c r="A129" s="3" t="str">
        <f t="shared" si="555"/>
        <v>oprd_mouse_4EJ4</v>
      </c>
      <c r="B129" s="3" t="s">
        <v>916</v>
      </c>
      <c r="C129" s="3" t="s">
        <v>64</v>
      </c>
      <c r="D129" s="3" t="str">
        <f>IFERROR(MID(VLOOKUP($B129,Seqs!$A:$B,2,0),E129,1),"")</f>
        <v>R</v>
      </c>
      <c r="E129" s="3">
        <v>41</v>
      </c>
      <c r="F129" s="3" t="str">
        <f>IFERROR(MID(VLOOKUP($B129,Seqs!$A:$B,2,0),G129,1),"")</f>
        <v>Y</v>
      </c>
      <c r="G129" s="3">
        <v>77</v>
      </c>
      <c r="H129" s="3" t="str">
        <f>IFERROR(MID(VLOOKUP($B129,Seqs!$A:$B,2,0),I129,1),"")</f>
        <v>T</v>
      </c>
      <c r="I129" s="23">
        <v>78</v>
      </c>
      <c r="J129" s="3" t="str">
        <f>IFERROR(MID(VLOOKUP($B129,Seqs!$A:$B,2,0),K129,1),"")</f>
        <v>K</v>
      </c>
      <c r="K129" s="23">
        <v>81</v>
      </c>
      <c r="L129" s="3" t="str">
        <f>IFERROR(MID(VLOOKUP($B129,Seqs!$A:$B,2,0),M129,1),"")</f>
        <v>T</v>
      </c>
      <c r="M129" s="3">
        <v>82</v>
      </c>
      <c r="N129" s="3" t="str">
        <f>IFERROR(MID(VLOOKUP($B129,Seqs!$A:$B,2,0),O129,1),"")</f>
        <v>M</v>
      </c>
      <c r="O129" s="3">
        <v>111</v>
      </c>
      <c r="P129" s="3" t="str">
        <f>IFERROR(MID(VLOOKUP($B129,Seqs!$A:$B,2,0),Q129,1),"")</f>
        <v>T</v>
      </c>
      <c r="Q129" s="3">
        <v>113</v>
      </c>
      <c r="R129" s="3" t="str">
        <f>IFERROR(MID(VLOOKUP($B129,Seqs!$A:$B,2,0),S129,1),"")</f>
        <v>F</v>
      </c>
      <c r="S129" s="3">
        <v>116</v>
      </c>
      <c r="T129" s="3" t="str">
        <f>IFERROR(MID(VLOOKUP($B129,Seqs!$A:$B,2,0),U129,1),"")</f>
        <v>G</v>
      </c>
      <c r="U129" s="3">
        <v>117</v>
      </c>
      <c r="V129" s="3" t="str">
        <f>IFERROR(MID(VLOOKUP($B129,Seqs!$A:$B,2,0),W129,1),"")</f>
        <v>H</v>
      </c>
      <c r="W129" s="3">
        <v>152</v>
      </c>
      <c r="X129" s="3" t="str">
        <f>IFERROR(MID(VLOOKUP($B129,Seqs!$A:$B,2,0),Y129,1),"")</f>
        <v>P</v>
      </c>
      <c r="Y129" s="3">
        <v>153</v>
      </c>
      <c r="Z129" s="3" t="str">
        <f>IFERROR(MID(VLOOKUP($B129,Seqs!$A:$B,2,0),AA129,1),"")</f>
        <v>R</v>
      </c>
      <c r="AA129" s="3">
        <v>160</v>
      </c>
      <c r="AB129" s="3" t="str">
        <f>IFERROR(MID(VLOOKUP($B129,Seqs!$A:$B,2,0),AC129,1),"")</f>
        <v>T</v>
      </c>
      <c r="AC129" s="9">
        <v>161</v>
      </c>
      <c r="AD129" s="3" t="str">
        <f>IFERROR(MID(VLOOKUP($B129,Seqs!$A:$B,2,0),AE129,1),"")</f>
        <v>A</v>
      </c>
      <c r="AE129" s="3">
        <v>187</v>
      </c>
      <c r="AF129" s="3" t="str">
        <f>IFERROR(MID(VLOOKUP($B129,Seqs!$A:$B,2,0),AG129,1),"")</f>
        <v>C</v>
      </c>
      <c r="AG129" s="3">
        <v>198</v>
      </c>
      <c r="AH129" s="3" t="str">
        <f>IFERROR(MID(VLOOKUP($B129,Seqs!$A:$B,2,0),AI129,1),"")</f>
        <v>L</v>
      </c>
      <c r="AI129" s="3">
        <v>200</v>
      </c>
      <c r="AJ129" s="3" t="str">
        <f>IFERROR(MID(VLOOKUP($B129,Seqs!$A:$B,2,0),AK129,1),"")</f>
        <v>S</v>
      </c>
      <c r="AK129" s="3">
        <v>206</v>
      </c>
      <c r="AL129" s="3" t="str">
        <f>IFERROR(MID(VLOOKUP($B129,Seqs!$A:$B,2,0),AM129,1),"")</f>
        <v>L</v>
      </c>
      <c r="AM129" s="3">
        <v>238</v>
      </c>
      <c r="AN129" s="3" t="str">
        <f>IFERROR(MID(VLOOKUP($B129,Seqs!$A:$B,2,0),AO129,1),"")</f>
        <v>R</v>
      </c>
      <c r="AO129" s="3">
        <v>258</v>
      </c>
      <c r="AP129" s="3" t="str">
        <f>IFERROR(MID(VLOOKUP($B129,Seqs!$A:$B,2,0),AQ129,1),"")</f>
        <v>V</v>
      </c>
      <c r="AQ129" s="3">
        <v>287</v>
      </c>
      <c r="AR129" s="3" t="str">
        <f>IFERROR(MID(VLOOKUP($B129,Seqs!$A:$B,2,0),AS129,1),"")</f>
        <v>D</v>
      </c>
      <c r="AS129" s="3">
        <v>293</v>
      </c>
      <c r="AT129" s="3" t="str">
        <f>IFERROR(MID(VLOOKUP($B129,Seqs!$A:$B,2,0),AU129,1),"")</f>
        <v>L</v>
      </c>
      <c r="AU129" s="3">
        <v>321</v>
      </c>
      <c r="AV129" s="3" t="str">
        <f>IFERROR(MID(VLOOKUP($B129,Seqs!$A:$B,2,0),AW129,1),"")</f>
        <v>D</v>
      </c>
      <c r="AW129" s="3">
        <v>322</v>
      </c>
      <c r="AX129" s="3" t="str">
        <f>IFERROR(MID(VLOOKUP($B129,Seqs!$A:$B,2,0),AY129,1),"")</f>
        <v>C</v>
      </c>
      <c r="AY129" s="3">
        <v>328</v>
      </c>
      <c r="AZ129" s="79" t="str">
        <f>VLOOKUP(B129,Classification!A:D,2,0)</f>
        <v>A</v>
      </c>
      <c r="BA129" s="97" t="str">
        <f>VLOOKUP(B129,Classification!A:D,4,0)</f>
        <v>Opioid</v>
      </c>
      <c r="BB129" s="27" t="b">
        <f t="shared" si="556"/>
        <v>1</v>
      </c>
      <c r="BC129" s="23">
        <f t="shared" si="473"/>
        <v>248</v>
      </c>
      <c r="BD129" s="2" t="s">
        <v>1383</v>
      </c>
      <c r="BE129" s="3" t="s">
        <v>1381</v>
      </c>
      <c r="BF129" s="50" t="s">
        <v>1384</v>
      </c>
      <c r="BG129" s="50" t="s">
        <v>1384</v>
      </c>
      <c r="BH129" s="1"/>
      <c r="BI129" s="72" t="s">
        <v>1293</v>
      </c>
      <c r="BJ129" s="58" t="s">
        <v>1293</v>
      </c>
      <c r="BK129" s="58" t="s">
        <v>1293</v>
      </c>
      <c r="BL129" s="58" t="s">
        <v>1293</v>
      </c>
      <c r="BM129" s="58" t="s">
        <v>1293</v>
      </c>
      <c r="BN129" s="58" t="s">
        <v>1293</v>
      </c>
      <c r="BO129" s="58" t="s">
        <v>1293</v>
      </c>
      <c r="BP129" s="58" t="s">
        <v>1293</v>
      </c>
      <c r="BQ129" s="58" t="s">
        <v>1293</v>
      </c>
      <c r="BR129" s="58" t="s">
        <v>1293</v>
      </c>
      <c r="BS129" s="58" t="s">
        <v>1293</v>
      </c>
      <c r="BT129" s="58" t="s">
        <v>1293</v>
      </c>
      <c r="BU129" s="72">
        <f t="shared" si="474"/>
        <v>41</v>
      </c>
      <c r="BV129" s="73">
        <f t="shared" si="475"/>
        <v>78</v>
      </c>
      <c r="BW129" s="74">
        <f t="shared" si="476"/>
        <v>82</v>
      </c>
      <c r="BX129" s="73">
        <f t="shared" si="477"/>
        <v>113</v>
      </c>
      <c r="BY129" s="74">
        <f t="shared" si="478"/>
        <v>117</v>
      </c>
      <c r="BZ129" s="73">
        <f t="shared" si="479"/>
        <v>153</v>
      </c>
      <c r="CA129" s="74">
        <f t="shared" si="480"/>
        <v>161</v>
      </c>
      <c r="CB129" s="73">
        <f t="shared" si="481"/>
        <v>198</v>
      </c>
      <c r="CC129" s="74">
        <f t="shared" si="482"/>
        <v>206</v>
      </c>
      <c r="CD129" s="73">
        <f t="shared" si="483"/>
        <v>258</v>
      </c>
      <c r="CE129" s="74">
        <f t="shared" si="484"/>
        <v>293</v>
      </c>
      <c r="CF129" s="73">
        <f t="shared" si="485"/>
        <v>322</v>
      </c>
      <c r="CG129" s="72">
        <f t="shared" si="486"/>
        <v>77</v>
      </c>
      <c r="CH129" s="73">
        <f t="shared" si="487"/>
        <v>81</v>
      </c>
      <c r="CI129" s="74">
        <f t="shared" si="488"/>
        <v>111</v>
      </c>
      <c r="CJ129" s="74">
        <f t="shared" si="489"/>
        <v>116</v>
      </c>
      <c r="CK129" s="74">
        <f t="shared" si="490"/>
        <v>152</v>
      </c>
      <c r="CL129" s="74">
        <f t="shared" si="491"/>
        <v>160</v>
      </c>
      <c r="CM129" s="74">
        <f t="shared" si="492"/>
        <v>187</v>
      </c>
      <c r="CN129" s="74">
        <f t="shared" si="493"/>
        <v>200</v>
      </c>
      <c r="CO129" s="74">
        <f t="shared" si="494"/>
        <v>238</v>
      </c>
      <c r="CP129" s="74">
        <f t="shared" si="495"/>
        <v>287</v>
      </c>
      <c r="CQ129" s="74">
        <f t="shared" si="496"/>
        <v>321</v>
      </c>
      <c r="CR129" s="74">
        <f t="shared" si="497"/>
        <v>328</v>
      </c>
      <c r="CS129" s="23">
        <f t="shared" si="498"/>
        <v>1</v>
      </c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29" x14ac:dyDescent="0.2">
      <c r="A130" s="3" t="str">
        <f t="shared" si="555"/>
        <v>oprk_human__wt</v>
      </c>
      <c r="B130" s="3" t="s">
        <v>336</v>
      </c>
      <c r="C130" s="3" t="s">
        <v>100</v>
      </c>
      <c r="D130" s="3" t="str">
        <f>IFERROR(MID(VLOOKUP($B130,Seqs!$A:$B,2,0),E130,1),"")</f>
        <v>A</v>
      </c>
      <c r="E130" s="3">
        <v>57</v>
      </c>
      <c r="F130" s="3" t="str">
        <f>IFERROR(MID(VLOOKUP($B130,Seqs!$A:$B,2,0),G130,1),"")</f>
        <v>Y</v>
      </c>
      <c r="G130" s="3">
        <v>87</v>
      </c>
      <c r="H130" s="3" t="str">
        <f>IFERROR(MID(VLOOKUP($B130,Seqs!$A:$B,2,0),I130,1),"")</f>
        <v>T</v>
      </c>
      <c r="I130" s="23">
        <v>88</v>
      </c>
      <c r="J130" s="3" t="str">
        <f>IFERROR(MID(VLOOKUP($B130,Seqs!$A:$B,2,0),K130,1),"")</f>
        <v>K</v>
      </c>
      <c r="K130" s="23">
        <v>91</v>
      </c>
      <c r="L130" s="3" t="str">
        <f>IFERROR(MID(VLOOKUP($B130,Seqs!$A:$B,2,0),M130,1),"")</f>
        <v>T</v>
      </c>
      <c r="M130" s="3">
        <v>92</v>
      </c>
      <c r="N130" s="3" t="str">
        <f>IFERROR(MID(VLOOKUP($B130,Seqs!$A:$B,2,0),O130,1),"")</f>
        <v>M</v>
      </c>
      <c r="O130" s="3">
        <v>121</v>
      </c>
      <c r="P130" s="3" t="str">
        <f>IFERROR(MID(VLOOKUP($B130,Seqs!$A:$B,2,0),Q130,1),"")</f>
        <v>S</v>
      </c>
      <c r="Q130" s="3">
        <v>123</v>
      </c>
      <c r="R130" s="3" t="str">
        <f>IFERROR(MID(VLOOKUP($B130,Seqs!$A:$B,2,0),S130,1),"")</f>
        <v>F</v>
      </c>
      <c r="S130" s="3">
        <v>126</v>
      </c>
      <c r="T130" s="3" t="str">
        <f>IFERROR(MID(VLOOKUP($B130,Seqs!$A:$B,2,0),U130,1),"")</f>
        <v>G</v>
      </c>
      <c r="U130" s="3">
        <v>127</v>
      </c>
      <c r="V130" s="3" t="str">
        <f>IFERROR(MID(VLOOKUP($B130,Seqs!$A:$B,2,0),W130,1),"")</f>
        <v>H</v>
      </c>
      <c r="W130" s="3">
        <v>162</v>
      </c>
      <c r="X130" s="3" t="str">
        <f>IFERROR(MID(VLOOKUP($B130,Seqs!$A:$B,2,0),Y130,1),"")</f>
        <v>P</v>
      </c>
      <c r="Y130" s="3">
        <v>163</v>
      </c>
      <c r="Z130" s="3" t="str">
        <f>IFERROR(MID(VLOOKUP($B130,Seqs!$A:$B,2,0),AA130,1),"")</f>
        <v>R</v>
      </c>
      <c r="AA130" s="3">
        <v>170</v>
      </c>
      <c r="AB130" s="3" t="str">
        <f>IFERROR(MID(VLOOKUP($B130,Seqs!$A:$B,2,0),AC130,1),"")</f>
        <v>T</v>
      </c>
      <c r="AC130" s="9">
        <v>171</v>
      </c>
      <c r="AD130" s="3" t="str">
        <f>IFERROR(MID(VLOOKUP($B130,Seqs!$A:$B,2,0),AE130,1),"")</f>
        <v>G</v>
      </c>
      <c r="AE130" s="3">
        <v>197</v>
      </c>
      <c r="AF130" s="3" t="str">
        <f>IFERROR(MID(VLOOKUP($B130,Seqs!$A:$B,2,0),AG130,1),"")</f>
        <v>C</v>
      </c>
      <c r="AG130" s="3">
        <v>210</v>
      </c>
      <c r="AH130" s="3" t="str">
        <f>IFERROR(MID(VLOOKUP($B130,Seqs!$A:$B,2,0),AI130,1),"")</f>
        <v>L</v>
      </c>
      <c r="AI130" s="3">
        <v>212</v>
      </c>
      <c r="AJ130" s="3" t="str">
        <f>IFERROR(MID(VLOOKUP($B130,Seqs!$A:$B,2,0),AK130,1),"")</f>
        <v>Y</v>
      </c>
      <c r="AK130" s="3">
        <v>219</v>
      </c>
      <c r="AL130" s="3" t="str">
        <f>IFERROR(MID(VLOOKUP($B130,Seqs!$A:$B,2,0),AM130,1),"")</f>
        <v>V</v>
      </c>
      <c r="AM130" s="3">
        <v>256</v>
      </c>
      <c r="AN130" s="3" t="str">
        <f>IFERROR(MID(VLOOKUP($B130,Seqs!$A:$B,2,0),AO130,1),"")</f>
        <v>S</v>
      </c>
      <c r="AO130" s="3">
        <v>262</v>
      </c>
      <c r="AP130" s="3" t="str">
        <f>IFERROR(MID(VLOOKUP($B130,Seqs!$A:$B,2,0),AQ130,1),"")</f>
        <v>G</v>
      </c>
      <c r="AQ130" s="3">
        <v>300</v>
      </c>
      <c r="AR130" s="3" t="str">
        <f>IFERROR(MID(VLOOKUP($B130,Seqs!$A:$B,2,0),AS130,1),"")</f>
        <v>S</v>
      </c>
      <c r="AS130" s="3">
        <v>305</v>
      </c>
      <c r="AT130" s="3" t="str">
        <f>IFERROR(MID(VLOOKUP($B130,Seqs!$A:$B,2,0),AU130,1),"")</f>
        <v>L</v>
      </c>
      <c r="AU130" s="3">
        <v>333</v>
      </c>
      <c r="AV130" s="3" t="str">
        <f>IFERROR(MID(VLOOKUP($B130,Seqs!$A:$B,2,0),AW130,1),"")</f>
        <v>D</v>
      </c>
      <c r="AW130" s="3">
        <v>334</v>
      </c>
      <c r="AX130" s="3" t="str">
        <f>IFERROR(MID(VLOOKUP($B130,Seqs!$A:$B,2,0),AY130,1),"")</f>
        <v>F</v>
      </c>
      <c r="AY130" s="3">
        <v>346</v>
      </c>
      <c r="AZ130" s="79" t="str">
        <f>VLOOKUP(B130,Classification!A:D,2,0)</f>
        <v>A</v>
      </c>
      <c r="BA130" s="97" t="str">
        <f>VLOOKUP(B130,Classification!A:D,4,0)</f>
        <v>Opioid</v>
      </c>
      <c r="BB130" s="27" t="b">
        <f t="shared" si="556"/>
        <v>1</v>
      </c>
      <c r="BC130" s="23">
        <f t="shared" si="473"/>
        <v>262</v>
      </c>
      <c r="BD130" s="57" t="s">
        <v>1379</v>
      </c>
      <c r="BE130" s="3" t="s">
        <v>1381</v>
      </c>
      <c r="BF130" s="50" t="s">
        <v>1379</v>
      </c>
      <c r="BG130" s="50" t="s">
        <v>1384</v>
      </c>
      <c r="BH130" s="1"/>
      <c r="BI130" s="72" t="s">
        <v>1293</v>
      </c>
      <c r="BJ130" s="58" t="s">
        <v>1293</v>
      </c>
      <c r="BK130" s="58" t="s">
        <v>1293</v>
      </c>
      <c r="BL130" s="58" t="s">
        <v>1293</v>
      </c>
      <c r="BM130" s="58" t="s">
        <v>1293</v>
      </c>
      <c r="BN130" s="58" t="s">
        <v>1293</v>
      </c>
      <c r="BO130" s="58" t="s">
        <v>1293</v>
      </c>
      <c r="BP130" s="58" t="s">
        <v>1293</v>
      </c>
      <c r="BQ130" s="58" t="s">
        <v>1293</v>
      </c>
      <c r="BR130" s="58" t="s">
        <v>1293</v>
      </c>
      <c r="BS130" s="58" t="s">
        <v>1293</v>
      </c>
      <c r="BT130" s="58" t="s">
        <v>1293</v>
      </c>
      <c r="BU130" s="72">
        <f t="shared" si="474"/>
        <v>57</v>
      </c>
      <c r="BV130" s="73">
        <f t="shared" si="475"/>
        <v>88</v>
      </c>
      <c r="BW130" s="74">
        <f t="shared" si="476"/>
        <v>92</v>
      </c>
      <c r="BX130" s="73">
        <f t="shared" si="477"/>
        <v>123</v>
      </c>
      <c r="BY130" s="74">
        <f t="shared" si="478"/>
        <v>127</v>
      </c>
      <c r="BZ130" s="73">
        <f t="shared" si="479"/>
        <v>163</v>
      </c>
      <c r="CA130" s="74">
        <f t="shared" si="480"/>
        <v>171</v>
      </c>
      <c r="CB130" s="73">
        <f t="shared" si="481"/>
        <v>210</v>
      </c>
      <c r="CC130" s="74">
        <f t="shared" si="482"/>
        <v>219</v>
      </c>
      <c r="CD130" s="73">
        <f t="shared" si="483"/>
        <v>262</v>
      </c>
      <c r="CE130" s="74">
        <f t="shared" si="484"/>
        <v>305</v>
      </c>
      <c r="CF130" s="73">
        <f t="shared" si="485"/>
        <v>334</v>
      </c>
      <c r="CG130" s="72">
        <f t="shared" si="486"/>
        <v>87</v>
      </c>
      <c r="CH130" s="73">
        <f t="shared" si="487"/>
        <v>91</v>
      </c>
      <c r="CI130" s="74">
        <f t="shared" si="488"/>
        <v>121</v>
      </c>
      <c r="CJ130" s="74">
        <f t="shared" si="489"/>
        <v>126</v>
      </c>
      <c r="CK130" s="74">
        <f t="shared" si="490"/>
        <v>162</v>
      </c>
      <c r="CL130" s="74">
        <f t="shared" si="491"/>
        <v>170</v>
      </c>
      <c r="CM130" s="74">
        <f t="shared" si="492"/>
        <v>197</v>
      </c>
      <c r="CN130" s="74">
        <f t="shared" si="493"/>
        <v>212</v>
      </c>
      <c r="CO130" s="74">
        <f t="shared" si="494"/>
        <v>256</v>
      </c>
      <c r="CP130" s="74">
        <f t="shared" si="495"/>
        <v>300</v>
      </c>
      <c r="CQ130" s="74">
        <f t="shared" si="496"/>
        <v>333</v>
      </c>
      <c r="CR130" s="74">
        <f t="shared" si="497"/>
        <v>346</v>
      </c>
      <c r="CS130" s="23">
        <f t="shared" si="498"/>
        <v>1</v>
      </c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</row>
    <row r="131" spans="1:1029" x14ac:dyDescent="0.2">
      <c r="A131" s="3" t="str">
        <f t="shared" si="555"/>
        <v>oprk_human_4DJH</v>
      </c>
      <c r="B131" s="3" t="s">
        <v>336</v>
      </c>
      <c r="C131" s="3" t="s">
        <v>88</v>
      </c>
      <c r="D131" s="3" t="str">
        <f>IFERROR(MID(VLOOKUP($B131,Seqs!$A:$B,2,0),E131,1),"")</f>
        <v>A</v>
      </c>
      <c r="E131" s="3">
        <v>57</v>
      </c>
      <c r="F131" s="3" t="str">
        <f>IFERROR(MID(VLOOKUP($B131,Seqs!$A:$B,2,0),G131,1),"")</f>
        <v>Y</v>
      </c>
      <c r="G131" s="3">
        <v>87</v>
      </c>
      <c r="H131" s="3" t="str">
        <f>IFERROR(MID(VLOOKUP($B131,Seqs!$A:$B,2,0),I131,1),"")</f>
        <v>T</v>
      </c>
      <c r="I131" s="23">
        <v>88</v>
      </c>
      <c r="J131" s="3" t="str">
        <f>IFERROR(MID(VLOOKUP($B131,Seqs!$A:$B,2,0),K131,1),"")</f>
        <v>K</v>
      </c>
      <c r="K131" s="23">
        <v>91</v>
      </c>
      <c r="L131" s="3" t="str">
        <f>IFERROR(MID(VLOOKUP($B131,Seqs!$A:$B,2,0),M131,1),"")</f>
        <v>T</v>
      </c>
      <c r="M131" s="3">
        <v>92</v>
      </c>
      <c r="N131" s="3" t="str">
        <f>IFERROR(MID(VLOOKUP($B131,Seqs!$A:$B,2,0),O131,1),"")</f>
        <v>M</v>
      </c>
      <c r="O131" s="3">
        <v>121</v>
      </c>
      <c r="P131" s="3" t="str">
        <f>IFERROR(MID(VLOOKUP($B131,Seqs!$A:$B,2,0),Q131,1),"")</f>
        <v>S</v>
      </c>
      <c r="Q131" s="3">
        <v>123</v>
      </c>
      <c r="R131" s="3" t="str">
        <f>IFERROR(MID(VLOOKUP($B131,Seqs!$A:$B,2,0),S131,1),"")</f>
        <v>F</v>
      </c>
      <c r="S131" s="3">
        <v>126</v>
      </c>
      <c r="T131" s="3" t="str">
        <f>IFERROR(MID(VLOOKUP($B131,Seqs!$A:$B,2,0),U131,1),"")</f>
        <v>G</v>
      </c>
      <c r="U131" s="3">
        <v>127</v>
      </c>
      <c r="V131" s="3" t="str">
        <f>IFERROR(MID(VLOOKUP($B131,Seqs!$A:$B,2,0),W131,1),"")</f>
        <v>H</v>
      </c>
      <c r="W131" s="3">
        <v>162</v>
      </c>
      <c r="X131" s="3" t="str">
        <f>IFERROR(MID(VLOOKUP($B131,Seqs!$A:$B,2,0),Y131,1),"")</f>
        <v>P</v>
      </c>
      <c r="Y131" s="3">
        <v>163</v>
      </c>
      <c r="Z131" s="3" t="str">
        <f>IFERROR(MID(VLOOKUP($B131,Seqs!$A:$B,2,0),AA131,1),"")</f>
        <v>L</v>
      </c>
      <c r="AA131" s="3">
        <v>167</v>
      </c>
      <c r="AB131" s="3" t="str">
        <f>IFERROR(MID(VLOOKUP($B131,Seqs!$A:$B,2,0),AC131,1),"")</f>
        <v>R</v>
      </c>
      <c r="AC131" s="9">
        <v>170</v>
      </c>
      <c r="AD131" s="3" t="str">
        <f>IFERROR(MID(VLOOKUP($B131,Seqs!$A:$B,2,0),AE131,1),"")</f>
        <v>G</v>
      </c>
      <c r="AE131" s="3">
        <v>197</v>
      </c>
      <c r="AF131" s="3" t="str">
        <f>IFERROR(MID(VLOOKUP($B131,Seqs!$A:$B,2,0),AG131,1),"")</f>
        <v>C</v>
      </c>
      <c r="AG131" s="3">
        <v>210</v>
      </c>
      <c r="AH131" s="3" t="str">
        <f>IFERROR(MID(VLOOKUP($B131,Seqs!$A:$B,2,0),AI131,1),"")</f>
        <v>L</v>
      </c>
      <c r="AI131" s="3">
        <v>212</v>
      </c>
      <c r="AJ131" s="3" t="str">
        <f>IFERROR(MID(VLOOKUP($B131,Seqs!$A:$B,2,0),AK131,1),"")</f>
        <v>Y</v>
      </c>
      <c r="AK131" s="3">
        <v>219</v>
      </c>
      <c r="AL131" s="3" t="str">
        <f>IFERROR(MID(VLOOKUP($B131,Seqs!$A:$B,2,0),AM131,1),"")</f>
        <v>V</v>
      </c>
      <c r="AM131" s="3">
        <v>256</v>
      </c>
      <c r="AN131" s="3" t="str">
        <f>IFERROR(MID(VLOOKUP($B131,Seqs!$A:$B,2,0),AO131,1),"")</f>
        <v>R</v>
      </c>
      <c r="AO131" s="3">
        <v>267</v>
      </c>
      <c r="AP131" s="3" t="str">
        <f>IFERROR(MID(VLOOKUP($B131,Seqs!$A:$B,2,0),AQ131,1),"")</f>
        <v>G</v>
      </c>
      <c r="AQ131" s="3">
        <v>300</v>
      </c>
      <c r="AR131" s="3" t="str">
        <f>IFERROR(MID(VLOOKUP($B131,Seqs!$A:$B,2,0),AS131,1),"")</f>
        <v>A</v>
      </c>
      <c r="AS131" s="3">
        <v>308</v>
      </c>
      <c r="AT131" s="3" t="str">
        <f>IFERROR(MID(VLOOKUP($B131,Seqs!$A:$B,2,0),AU131,1),"")</f>
        <v>L</v>
      </c>
      <c r="AU131" s="3">
        <v>333</v>
      </c>
      <c r="AV131" s="3" t="str">
        <f>IFERROR(MID(VLOOKUP($B131,Seqs!$A:$B,2,0),AW131,1),"")</f>
        <v>D</v>
      </c>
      <c r="AW131" s="3">
        <v>334</v>
      </c>
      <c r="AX131" s="3" t="str">
        <f>IFERROR(MID(VLOOKUP($B131,Seqs!$A:$B,2,0),AY131,1),"")</f>
        <v>F</v>
      </c>
      <c r="AY131" s="3">
        <v>346</v>
      </c>
      <c r="AZ131" s="79" t="str">
        <f>VLOOKUP(B131,Classification!A:D,2,0)</f>
        <v>A</v>
      </c>
      <c r="BA131" s="97" t="str">
        <f>VLOOKUP(B131,Classification!A:D,4,0)</f>
        <v>Opioid</v>
      </c>
      <c r="BB131" s="27" t="b">
        <f t="shared" si="556"/>
        <v>1</v>
      </c>
      <c r="BC131" s="23">
        <f t="shared" si="473"/>
        <v>252</v>
      </c>
      <c r="BD131" s="2" t="s">
        <v>1383</v>
      </c>
      <c r="BE131" s="3" t="s">
        <v>1381</v>
      </c>
      <c r="BF131" s="50" t="s">
        <v>1384</v>
      </c>
      <c r="BG131" s="50" t="s">
        <v>1384</v>
      </c>
      <c r="BH131" s="1"/>
      <c r="BI131" s="72" t="s">
        <v>1293</v>
      </c>
      <c r="BJ131" s="58" t="s">
        <v>1293</v>
      </c>
      <c r="BK131" s="58" t="s">
        <v>1293</v>
      </c>
      <c r="BL131" s="58" t="s">
        <v>1293</v>
      </c>
      <c r="BM131" s="58" t="s">
        <v>1293</v>
      </c>
      <c r="BN131" s="58" t="s">
        <v>1293</v>
      </c>
      <c r="BO131" s="58" t="s">
        <v>1293</v>
      </c>
      <c r="BP131" s="58" t="s">
        <v>1293</v>
      </c>
      <c r="BQ131" s="58" t="s">
        <v>1293</v>
      </c>
      <c r="BR131" s="58" t="s">
        <v>1293</v>
      </c>
      <c r="BS131" s="58" t="s">
        <v>1293</v>
      </c>
      <c r="BT131" s="58" t="s">
        <v>1293</v>
      </c>
      <c r="BU131" s="72">
        <f t="shared" si="474"/>
        <v>57</v>
      </c>
      <c r="BV131" s="73">
        <f t="shared" si="475"/>
        <v>88</v>
      </c>
      <c r="BW131" s="74">
        <f t="shared" si="476"/>
        <v>92</v>
      </c>
      <c r="BX131" s="73">
        <f t="shared" si="477"/>
        <v>123</v>
      </c>
      <c r="BY131" s="74">
        <f t="shared" si="478"/>
        <v>127</v>
      </c>
      <c r="BZ131" s="73">
        <f t="shared" si="479"/>
        <v>163</v>
      </c>
      <c r="CA131" s="74">
        <f t="shared" si="480"/>
        <v>170</v>
      </c>
      <c r="CB131" s="73">
        <f t="shared" si="481"/>
        <v>210</v>
      </c>
      <c r="CC131" s="74">
        <f t="shared" si="482"/>
        <v>219</v>
      </c>
      <c r="CD131" s="73">
        <f t="shared" si="483"/>
        <v>267</v>
      </c>
      <c r="CE131" s="74">
        <f t="shared" si="484"/>
        <v>308</v>
      </c>
      <c r="CF131" s="73">
        <f t="shared" si="485"/>
        <v>334</v>
      </c>
      <c r="CG131" s="72">
        <f t="shared" si="486"/>
        <v>87</v>
      </c>
      <c r="CH131" s="73">
        <f t="shared" si="487"/>
        <v>91</v>
      </c>
      <c r="CI131" s="74">
        <f t="shared" si="488"/>
        <v>121</v>
      </c>
      <c r="CJ131" s="74">
        <f t="shared" si="489"/>
        <v>126</v>
      </c>
      <c r="CK131" s="74">
        <f t="shared" si="490"/>
        <v>162</v>
      </c>
      <c r="CL131" s="74">
        <f t="shared" si="491"/>
        <v>167</v>
      </c>
      <c r="CM131" s="74">
        <f t="shared" si="492"/>
        <v>197</v>
      </c>
      <c r="CN131" s="74">
        <f t="shared" si="493"/>
        <v>212</v>
      </c>
      <c r="CO131" s="74">
        <f t="shared" si="494"/>
        <v>256</v>
      </c>
      <c r="CP131" s="74">
        <f t="shared" si="495"/>
        <v>300</v>
      </c>
      <c r="CQ131" s="74">
        <f t="shared" si="496"/>
        <v>333</v>
      </c>
      <c r="CR131" s="74">
        <f t="shared" si="497"/>
        <v>346</v>
      </c>
      <c r="CS131" s="23">
        <f t="shared" si="498"/>
        <v>1</v>
      </c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</row>
    <row r="132" spans="1:1029" x14ac:dyDescent="0.2">
      <c r="A132" s="3" t="str">
        <f t="shared" si="555"/>
        <v>oprm_mouse__wt</v>
      </c>
      <c r="B132" s="3" t="s">
        <v>918</v>
      </c>
      <c r="C132" s="3" t="s">
        <v>100</v>
      </c>
      <c r="D132" s="3" t="str">
        <f>IFERROR(MID(VLOOKUP($B132,Seqs!$A:$B,2,0),E132,1),"")</f>
        <v>M</v>
      </c>
      <c r="E132" s="3">
        <v>65</v>
      </c>
      <c r="F132" s="3" t="str">
        <f>IFERROR(MID(VLOOKUP($B132,Seqs!$A:$B,2,0),G132,1),"")</f>
        <v>Y</v>
      </c>
      <c r="G132" s="3">
        <v>96</v>
      </c>
      <c r="H132" s="3" t="str">
        <f>IFERROR(MID(VLOOKUP($B132,Seqs!$A:$B,2,0),I132,1),"")</f>
        <v>T</v>
      </c>
      <c r="I132" s="23">
        <v>97</v>
      </c>
      <c r="J132" s="3" t="str">
        <f>IFERROR(MID(VLOOKUP($B132,Seqs!$A:$B,2,0),K132,1),"")</f>
        <v>K</v>
      </c>
      <c r="K132" s="23">
        <v>100</v>
      </c>
      <c r="L132" s="3" t="str">
        <f>IFERROR(MID(VLOOKUP($B132,Seqs!$A:$B,2,0),M132,1),"")</f>
        <v>T</v>
      </c>
      <c r="M132" s="3">
        <v>101</v>
      </c>
      <c r="N132" s="3" t="str">
        <f>IFERROR(MID(VLOOKUP($B132,Seqs!$A:$B,2,0),O132,1),"")</f>
        <v>M</v>
      </c>
      <c r="O132" s="3">
        <v>130</v>
      </c>
      <c r="P132" s="3" t="str">
        <f>IFERROR(MID(VLOOKUP($B132,Seqs!$A:$B,2,0),Q132,1),"")</f>
        <v>T</v>
      </c>
      <c r="Q132" s="3">
        <v>132</v>
      </c>
      <c r="R132" s="3" t="str">
        <f>IFERROR(MID(VLOOKUP($B132,Seqs!$A:$B,2,0),S132,1),"")</f>
        <v>F</v>
      </c>
      <c r="S132" s="3">
        <v>135</v>
      </c>
      <c r="T132" s="3" t="str">
        <f>IFERROR(MID(VLOOKUP($B132,Seqs!$A:$B,2,0),U132,1),"")</f>
        <v>G</v>
      </c>
      <c r="U132" s="3">
        <v>136</v>
      </c>
      <c r="V132" s="3" t="str">
        <f>IFERROR(MID(VLOOKUP($B132,Seqs!$A:$B,2,0),W132,1),"")</f>
        <v>H</v>
      </c>
      <c r="W132" s="3">
        <v>171</v>
      </c>
      <c r="X132" s="3" t="str">
        <f>IFERROR(MID(VLOOKUP($B132,Seqs!$A:$B,2,0),Y132,1),"")</f>
        <v>P</v>
      </c>
      <c r="Y132" s="3">
        <v>172</v>
      </c>
      <c r="Z132" s="3" t="str">
        <f>IFERROR(MID(VLOOKUP($B132,Seqs!$A:$B,2,0),AA132,1),"")</f>
        <v>R</v>
      </c>
      <c r="AA132" s="3">
        <v>179</v>
      </c>
      <c r="AB132" s="3" t="str">
        <f>IFERROR(MID(VLOOKUP($B132,Seqs!$A:$B,2,0),AC132,1),"")</f>
        <v>T</v>
      </c>
      <c r="AC132" s="9">
        <v>180</v>
      </c>
      <c r="AD132" s="3" t="str">
        <f>IFERROR(MID(VLOOKUP($B132,Seqs!$A:$B,2,0),AE132,1),"")</f>
        <v>A</v>
      </c>
      <c r="AE132" s="3">
        <v>206</v>
      </c>
      <c r="AF132" s="3" t="str">
        <f>IFERROR(MID(VLOOKUP($B132,Seqs!$A:$B,2,0),AG132,1),"")</f>
        <v>C</v>
      </c>
      <c r="AG132" s="3">
        <v>217</v>
      </c>
      <c r="AH132" s="3" t="str">
        <f>IFERROR(MID(VLOOKUP($B132,Seqs!$A:$B,2,0),AI132,1),"")</f>
        <v>L</v>
      </c>
      <c r="AI132" s="3">
        <v>219</v>
      </c>
      <c r="AJ132" s="3" t="str">
        <f>IFERROR(MID(VLOOKUP($B132,Seqs!$A:$B,2,0),AK132,1),"")</f>
        <v>T</v>
      </c>
      <c r="AK132" s="3">
        <v>225</v>
      </c>
      <c r="AL132" s="3" t="str">
        <f>IFERROR(MID(VLOOKUP($B132,Seqs!$A:$B,2,0),AM132,1),"")</f>
        <v>V</v>
      </c>
      <c r="AM132" s="3">
        <v>262</v>
      </c>
      <c r="AN132" s="3" t="str">
        <f>IFERROR(MID(VLOOKUP($B132,Seqs!$A:$B,2,0),AO132,1),"")</f>
        <v>S</v>
      </c>
      <c r="AO132" s="3">
        <v>268</v>
      </c>
      <c r="AP132" s="3" t="str">
        <f>IFERROR(MID(VLOOKUP($B132,Seqs!$A:$B,2,0),AQ132,1),"")</f>
        <v>I</v>
      </c>
      <c r="AQ132" s="3">
        <v>306</v>
      </c>
      <c r="AR132" s="3" t="str">
        <f>IFERROR(MID(VLOOKUP($B132,Seqs!$A:$B,2,0),AS132,1),"")</f>
        <v>T</v>
      </c>
      <c r="AS132" s="3">
        <v>311</v>
      </c>
      <c r="AT132" s="3" t="str">
        <f>IFERROR(MID(VLOOKUP($B132,Seqs!$A:$B,2,0),AU132,1),"")</f>
        <v>L</v>
      </c>
      <c r="AU132" s="3">
        <v>339</v>
      </c>
      <c r="AV132" s="3" t="str">
        <f>IFERROR(MID(VLOOKUP($B132,Seqs!$A:$B,2,0),AW132,1),"")</f>
        <v>D</v>
      </c>
      <c r="AW132" s="3">
        <v>340</v>
      </c>
      <c r="AX132" s="3" t="str">
        <f>IFERROR(MID(VLOOKUP($B132,Seqs!$A:$B,2,0),AY132,1),"")</f>
        <v>I</v>
      </c>
      <c r="AY132" s="3">
        <v>352</v>
      </c>
      <c r="AZ132" s="79" t="str">
        <f>VLOOKUP(B132,Classification!A:D,2,0)</f>
        <v>A</v>
      </c>
      <c r="BA132" s="97" t="str">
        <f>VLOOKUP(B132,Classification!A:D,4,0)</f>
        <v>Opioid</v>
      </c>
      <c r="BB132" s="27" t="b">
        <f t="shared" si="556"/>
        <v>1</v>
      </c>
      <c r="BC132" s="23">
        <f t="shared" si="473"/>
        <v>263</v>
      </c>
      <c r="BD132" s="57" t="s">
        <v>1379</v>
      </c>
      <c r="BE132" s="3" t="s">
        <v>1381</v>
      </c>
      <c r="BF132" s="50" t="s">
        <v>1379</v>
      </c>
      <c r="BG132" s="50" t="s">
        <v>1384</v>
      </c>
      <c r="BH132" s="1"/>
      <c r="BI132" s="72" t="s">
        <v>1293</v>
      </c>
      <c r="BJ132" s="58" t="s">
        <v>1293</v>
      </c>
      <c r="BK132" s="58" t="s">
        <v>1293</v>
      </c>
      <c r="BL132" s="58" t="s">
        <v>1293</v>
      </c>
      <c r="BM132" s="58" t="s">
        <v>1293</v>
      </c>
      <c r="BN132" s="58" t="s">
        <v>1293</v>
      </c>
      <c r="BO132" s="58" t="s">
        <v>1293</v>
      </c>
      <c r="BP132" s="58" t="s">
        <v>1293</v>
      </c>
      <c r="BQ132" s="58" t="s">
        <v>1293</v>
      </c>
      <c r="BR132" s="58" t="s">
        <v>1293</v>
      </c>
      <c r="BS132" s="58" t="s">
        <v>1293</v>
      </c>
      <c r="BT132" s="58" t="s">
        <v>1293</v>
      </c>
      <c r="BU132" s="72">
        <f t="shared" si="474"/>
        <v>65</v>
      </c>
      <c r="BV132" s="73">
        <f t="shared" si="475"/>
        <v>97</v>
      </c>
      <c r="BW132" s="74">
        <f t="shared" si="476"/>
        <v>101</v>
      </c>
      <c r="BX132" s="73">
        <f t="shared" si="477"/>
        <v>132</v>
      </c>
      <c r="BY132" s="74">
        <f t="shared" si="478"/>
        <v>136</v>
      </c>
      <c r="BZ132" s="73">
        <f t="shared" si="479"/>
        <v>172</v>
      </c>
      <c r="CA132" s="74">
        <f t="shared" si="480"/>
        <v>180</v>
      </c>
      <c r="CB132" s="73">
        <f t="shared" si="481"/>
        <v>217</v>
      </c>
      <c r="CC132" s="74">
        <f t="shared" si="482"/>
        <v>225</v>
      </c>
      <c r="CD132" s="73">
        <f t="shared" si="483"/>
        <v>268</v>
      </c>
      <c r="CE132" s="74">
        <f t="shared" si="484"/>
        <v>311</v>
      </c>
      <c r="CF132" s="73">
        <f t="shared" si="485"/>
        <v>340</v>
      </c>
      <c r="CG132" s="72">
        <f t="shared" si="486"/>
        <v>96</v>
      </c>
      <c r="CH132" s="73">
        <f t="shared" si="487"/>
        <v>100</v>
      </c>
      <c r="CI132" s="74">
        <f t="shared" si="488"/>
        <v>130</v>
      </c>
      <c r="CJ132" s="74">
        <f t="shared" si="489"/>
        <v>135</v>
      </c>
      <c r="CK132" s="74">
        <f t="shared" si="490"/>
        <v>171</v>
      </c>
      <c r="CL132" s="74">
        <f t="shared" si="491"/>
        <v>179</v>
      </c>
      <c r="CM132" s="74">
        <f t="shared" si="492"/>
        <v>206</v>
      </c>
      <c r="CN132" s="74">
        <f t="shared" si="493"/>
        <v>219</v>
      </c>
      <c r="CO132" s="74">
        <f t="shared" si="494"/>
        <v>262</v>
      </c>
      <c r="CP132" s="74">
        <f t="shared" si="495"/>
        <v>306</v>
      </c>
      <c r="CQ132" s="74">
        <f t="shared" si="496"/>
        <v>339</v>
      </c>
      <c r="CR132" s="74">
        <f t="shared" si="497"/>
        <v>352</v>
      </c>
      <c r="CS132" s="23">
        <f t="shared" si="498"/>
        <v>1</v>
      </c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</row>
    <row r="133" spans="1:1029" x14ac:dyDescent="0.2">
      <c r="A133" s="3" t="str">
        <f t="shared" si="555"/>
        <v>oprm_mouse_4DKL</v>
      </c>
      <c r="B133" s="3" t="s">
        <v>918</v>
      </c>
      <c r="C133" s="3" t="s">
        <v>65</v>
      </c>
      <c r="D133" s="3" t="str">
        <f>IFERROR(MID(VLOOKUP($B133,Seqs!$A:$B,2,0),E133,1),"")</f>
        <v>M</v>
      </c>
      <c r="E133" s="3">
        <v>65</v>
      </c>
      <c r="F133" s="3" t="str">
        <f>IFERROR(MID(VLOOKUP($B133,Seqs!$A:$B,2,0),G133,1),"")</f>
        <v>Y</v>
      </c>
      <c r="G133" s="3">
        <v>96</v>
      </c>
      <c r="H133" s="3" t="str">
        <f>IFERROR(MID(VLOOKUP($B133,Seqs!$A:$B,2,0),I133,1),"")</f>
        <v>T</v>
      </c>
      <c r="I133" s="23">
        <v>97</v>
      </c>
      <c r="J133" s="3" t="str">
        <f>IFERROR(MID(VLOOKUP($B133,Seqs!$A:$B,2,0),K133,1),"")</f>
        <v>K</v>
      </c>
      <c r="K133" s="23">
        <v>100</v>
      </c>
      <c r="L133" s="3" t="str">
        <f>IFERROR(MID(VLOOKUP($B133,Seqs!$A:$B,2,0),M133,1),"")</f>
        <v>T</v>
      </c>
      <c r="M133" s="3">
        <v>101</v>
      </c>
      <c r="N133" s="3" t="str">
        <f>IFERROR(MID(VLOOKUP($B133,Seqs!$A:$B,2,0),O133,1),"")</f>
        <v>M</v>
      </c>
      <c r="O133" s="3">
        <v>130</v>
      </c>
      <c r="P133" s="3" t="str">
        <f>IFERROR(MID(VLOOKUP($B133,Seqs!$A:$B,2,0),Q133,1),"")</f>
        <v>T</v>
      </c>
      <c r="Q133" s="3">
        <v>132</v>
      </c>
      <c r="R133" s="3" t="str">
        <f>IFERROR(MID(VLOOKUP($B133,Seqs!$A:$B,2,0),S133,1),"")</f>
        <v>F</v>
      </c>
      <c r="S133" s="3">
        <v>135</v>
      </c>
      <c r="T133" s="3" t="str">
        <f>IFERROR(MID(VLOOKUP($B133,Seqs!$A:$B,2,0),U133,1),"")</f>
        <v>G</v>
      </c>
      <c r="U133" s="3">
        <v>136</v>
      </c>
      <c r="V133" s="3" t="str">
        <f>IFERROR(MID(VLOOKUP($B133,Seqs!$A:$B,2,0),W133,1),"")</f>
        <v>H</v>
      </c>
      <c r="W133" s="3">
        <v>171</v>
      </c>
      <c r="X133" s="3" t="str">
        <f>IFERROR(MID(VLOOKUP($B133,Seqs!$A:$B,2,0),Y133,1),"")</f>
        <v>P</v>
      </c>
      <c r="Y133" s="3">
        <v>172</v>
      </c>
      <c r="Z133" s="3" t="str">
        <f>IFERROR(MID(VLOOKUP($B133,Seqs!$A:$B,2,0),AA133,1),"")</f>
        <v>R</v>
      </c>
      <c r="AA133" s="3">
        <v>179</v>
      </c>
      <c r="AB133" s="3" t="str">
        <f>IFERROR(MID(VLOOKUP($B133,Seqs!$A:$B,2,0),AC133,1),"")</f>
        <v>T</v>
      </c>
      <c r="AC133" s="9">
        <v>180</v>
      </c>
      <c r="AD133" s="3" t="str">
        <f>IFERROR(MID(VLOOKUP($B133,Seqs!$A:$B,2,0),AE133,1),"")</f>
        <v>A</v>
      </c>
      <c r="AE133" s="3">
        <v>206</v>
      </c>
      <c r="AF133" s="3" t="str">
        <f>IFERROR(MID(VLOOKUP($B133,Seqs!$A:$B,2,0),AG133,1),"")</f>
        <v>C</v>
      </c>
      <c r="AG133" s="3">
        <v>217</v>
      </c>
      <c r="AH133" s="3" t="str">
        <f>IFERROR(MID(VLOOKUP($B133,Seqs!$A:$B,2,0),AI133,1),"")</f>
        <v>L</v>
      </c>
      <c r="AI133" s="3">
        <v>219</v>
      </c>
      <c r="AJ133" s="3" t="str">
        <f>IFERROR(MID(VLOOKUP($B133,Seqs!$A:$B,2,0),AK133,1),"")</f>
        <v>T</v>
      </c>
      <c r="AK133" s="3">
        <v>225</v>
      </c>
      <c r="AL133" s="3" t="str">
        <f>IFERROR(MID(VLOOKUP($B133,Seqs!$A:$B,2,0),AM133,1),"")</f>
        <v>L</v>
      </c>
      <c r="AM133" s="3">
        <v>257</v>
      </c>
      <c r="AN133" s="3" t="str">
        <f>IFERROR(MID(VLOOKUP($B133,Seqs!$A:$B,2,0),AO133,1),"")</f>
        <v>N</v>
      </c>
      <c r="AO133" s="3">
        <v>274</v>
      </c>
      <c r="AP133" s="3" t="str">
        <f>IFERROR(MID(VLOOKUP($B133,Seqs!$A:$B,2,0),AQ133,1),"")</f>
        <v>I</v>
      </c>
      <c r="AQ133" s="3">
        <v>306</v>
      </c>
      <c r="AR133" s="3" t="str">
        <f>IFERROR(MID(VLOOKUP($B133,Seqs!$A:$B,2,0),AS133,1),"")</f>
        <v>T</v>
      </c>
      <c r="AS133" s="3">
        <v>311</v>
      </c>
      <c r="AT133" s="3" t="str">
        <f>IFERROR(MID(VLOOKUP($B133,Seqs!$A:$B,2,0),AU133,1),"")</f>
        <v>L</v>
      </c>
      <c r="AU133" s="3">
        <v>339</v>
      </c>
      <c r="AV133" s="3" t="str">
        <f>IFERROR(MID(VLOOKUP($B133,Seqs!$A:$B,2,0),AW133,1),"")</f>
        <v>D</v>
      </c>
      <c r="AW133" s="3">
        <v>340</v>
      </c>
      <c r="AX133" s="3" t="str">
        <f>IFERROR(MID(VLOOKUP($B133,Seqs!$A:$B,2,0),AY133,1),"")</f>
        <v>I</v>
      </c>
      <c r="AY133" s="3">
        <v>352</v>
      </c>
      <c r="AZ133" s="79" t="str">
        <f>VLOOKUP(B133,Classification!A:D,2,0)</f>
        <v>A</v>
      </c>
      <c r="BA133" s="97" t="str">
        <f>VLOOKUP(B133,Classification!A:D,4,0)</f>
        <v>Opioid</v>
      </c>
      <c r="BB133" s="27" t="b">
        <f t="shared" si="556"/>
        <v>1</v>
      </c>
      <c r="BC133" s="23">
        <f t="shared" si="473"/>
        <v>252</v>
      </c>
      <c r="BD133" s="2" t="s">
        <v>1383</v>
      </c>
      <c r="BE133" s="3" t="s">
        <v>1381</v>
      </c>
      <c r="BF133" s="50" t="s">
        <v>1384</v>
      </c>
      <c r="BG133" s="50" t="s">
        <v>1384</v>
      </c>
      <c r="BH133" s="1"/>
      <c r="BI133" s="72" t="s">
        <v>1293</v>
      </c>
      <c r="BJ133" s="58" t="s">
        <v>1293</v>
      </c>
      <c r="BK133" s="58" t="s">
        <v>1293</v>
      </c>
      <c r="BL133" s="58" t="s">
        <v>1293</v>
      </c>
      <c r="BM133" s="58" t="s">
        <v>1293</v>
      </c>
      <c r="BN133" s="58" t="s">
        <v>1293</v>
      </c>
      <c r="BO133" s="58" t="s">
        <v>1293</v>
      </c>
      <c r="BP133" s="58" t="s">
        <v>1293</v>
      </c>
      <c r="BQ133" s="58" t="s">
        <v>1293</v>
      </c>
      <c r="BR133" s="58" t="s">
        <v>1293</v>
      </c>
      <c r="BS133" s="58" t="s">
        <v>1293</v>
      </c>
      <c r="BT133" s="58" t="s">
        <v>1293</v>
      </c>
      <c r="BU133" s="72">
        <f t="shared" si="474"/>
        <v>65</v>
      </c>
      <c r="BV133" s="73">
        <f t="shared" si="475"/>
        <v>97</v>
      </c>
      <c r="BW133" s="74">
        <f t="shared" si="476"/>
        <v>101</v>
      </c>
      <c r="BX133" s="73">
        <f t="shared" si="477"/>
        <v>132</v>
      </c>
      <c r="BY133" s="74">
        <f t="shared" si="478"/>
        <v>136</v>
      </c>
      <c r="BZ133" s="73">
        <f t="shared" si="479"/>
        <v>172</v>
      </c>
      <c r="CA133" s="74">
        <f t="shared" si="480"/>
        <v>180</v>
      </c>
      <c r="CB133" s="73">
        <f t="shared" si="481"/>
        <v>217</v>
      </c>
      <c r="CC133" s="74">
        <f t="shared" si="482"/>
        <v>225</v>
      </c>
      <c r="CD133" s="73">
        <f t="shared" si="483"/>
        <v>274</v>
      </c>
      <c r="CE133" s="74">
        <f t="shared" si="484"/>
        <v>311</v>
      </c>
      <c r="CF133" s="73">
        <f t="shared" si="485"/>
        <v>340</v>
      </c>
      <c r="CG133" s="72">
        <f t="shared" si="486"/>
        <v>96</v>
      </c>
      <c r="CH133" s="73">
        <f t="shared" si="487"/>
        <v>100</v>
      </c>
      <c r="CI133" s="74">
        <f t="shared" si="488"/>
        <v>130</v>
      </c>
      <c r="CJ133" s="74">
        <f t="shared" si="489"/>
        <v>135</v>
      </c>
      <c r="CK133" s="74">
        <f t="shared" si="490"/>
        <v>171</v>
      </c>
      <c r="CL133" s="74">
        <f t="shared" si="491"/>
        <v>179</v>
      </c>
      <c r="CM133" s="74">
        <f t="shared" si="492"/>
        <v>206</v>
      </c>
      <c r="CN133" s="74">
        <f t="shared" si="493"/>
        <v>219</v>
      </c>
      <c r="CO133" s="74">
        <f t="shared" si="494"/>
        <v>257</v>
      </c>
      <c r="CP133" s="74">
        <f t="shared" si="495"/>
        <v>306</v>
      </c>
      <c r="CQ133" s="74">
        <f t="shared" si="496"/>
        <v>339</v>
      </c>
      <c r="CR133" s="74">
        <f t="shared" si="497"/>
        <v>352</v>
      </c>
      <c r="CS133" s="23">
        <f t="shared" si="498"/>
        <v>1</v>
      </c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</row>
    <row r="134" spans="1:1029" x14ac:dyDescent="0.2">
      <c r="A134" s="3" t="str">
        <f t="shared" si="555"/>
        <v>oprm_mouse_5C1M</v>
      </c>
      <c r="B134" s="3" t="s">
        <v>918</v>
      </c>
      <c r="C134" s="3" t="s">
        <v>84</v>
      </c>
      <c r="D134" s="3" t="str">
        <f>IFERROR(MID(VLOOKUP($B134,Seqs!$A:$B,2,0),E134,1),"")</f>
        <v>M</v>
      </c>
      <c r="E134" s="3">
        <v>65</v>
      </c>
      <c r="F134" s="3" t="str">
        <f>IFERROR(MID(VLOOKUP($B134,Seqs!$A:$B,2,0),G134,1),"")</f>
        <v>Y</v>
      </c>
      <c r="G134" s="3">
        <v>96</v>
      </c>
      <c r="H134" s="3" t="str">
        <f>IFERROR(MID(VLOOKUP($B134,Seqs!$A:$B,2,0),I134,1),"")</f>
        <v/>
      </c>
      <c r="I134" s="23" t="s">
        <v>23</v>
      </c>
      <c r="J134" s="3" t="str">
        <f>IFERROR(MID(VLOOKUP($B134,Seqs!$A:$B,2,0),K134,1),"")</f>
        <v/>
      </c>
      <c r="K134" s="23" t="s">
        <v>23</v>
      </c>
      <c r="L134" s="3" t="str">
        <f>IFERROR(MID(VLOOKUP($B134,Seqs!$A:$B,2,0),M134,1),"")</f>
        <v>T</v>
      </c>
      <c r="M134" s="3">
        <v>101</v>
      </c>
      <c r="N134" s="3" t="str">
        <f>IFERROR(MID(VLOOKUP($B134,Seqs!$A:$B,2,0),O134,1),"")</f>
        <v>M</v>
      </c>
      <c r="O134" s="3">
        <v>130</v>
      </c>
      <c r="P134" s="3" t="str">
        <f>IFERROR(MID(VLOOKUP($B134,Seqs!$A:$B,2,0),Q134,1),"")</f>
        <v>T</v>
      </c>
      <c r="Q134" s="3">
        <v>132</v>
      </c>
      <c r="R134" s="3" t="str">
        <f>IFERROR(MID(VLOOKUP($B134,Seqs!$A:$B,2,0),S134,1),"")</f>
        <v>F</v>
      </c>
      <c r="S134" s="3">
        <v>135</v>
      </c>
      <c r="T134" s="3" t="str">
        <f>IFERROR(MID(VLOOKUP($B134,Seqs!$A:$B,2,0),U134,1),"")</f>
        <v>G</v>
      </c>
      <c r="U134" s="3">
        <v>136</v>
      </c>
      <c r="V134" s="3" t="str">
        <f>IFERROR(MID(VLOOKUP($B134,Seqs!$A:$B,2,0),W134,1),"")</f>
        <v>H</v>
      </c>
      <c r="W134" s="3">
        <v>171</v>
      </c>
      <c r="X134" s="3" t="str">
        <f>IFERROR(MID(VLOOKUP($B134,Seqs!$A:$B,2,0),Y134,1),"")</f>
        <v>P</v>
      </c>
      <c r="Y134" s="3">
        <v>172</v>
      </c>
      <c r="Z134" s="3" t="str">
        <f>IFERROR(MID(VLOOKUP($B134,Seqs!$A:$B,2,0),AA134,1),"")</f>
        <v>R</v>
      </c>
      <c r="AA134" s="3">
        <v>179</v>
      </c>
      <c r="AB134" s="3" t="str">
        <f>IFERROR(MID(VLOOKUP($B134,Seqs!$A:$B,2,0),AC134,1),"")</f>
        <v>T</v>
      </c>
      <c r="AC134" s="9">
        <v>180</v>
      </c>
      <c r="AD134" s="3" t="str">
        <f>IFERROR(MID(VLOOKUP($B134,Seqs!$A:$B,2,0),AE134,1),"")</f>
        <v>A</v>
      </c>
      <c r="AE134" s="3">
        <v>206</v>
      </c>
      <c r="AF134" s="3" t="str">
        <f>IFERROR(MID(VLOOKUP($B134,Seqs!$A:$B,2,0),AG134,1),"")</f>
        <v>C</v>
      </c>
      <c r="AG134" s="3">
        <v>217</v>
      </c>
      <c r="AH134" s="3" t="str">
        <f>IFERROR(MID(VLOOKUP($B134,Seqs!$A:$B,2,0),AI134,1),"")</f>
        <v>L</v>
      </c>
      <c r="AI134" s="3">
        <v>219</v>
      </c>
      <c r="AJ134" s="3" t="str">
        <f>IFERROR(MID(VLOOKUP($B134,Seqs!$A:$B,2,0),AK134,1),"")</f>
        <v>T</v>
      </c>
      <c r="AK134" s="3">
        <v>225</v>
      </c>
      <c r="AL134" s="3" t="str">
        <f>IFERROR(MID(VLOOKUP($B134,Seqs!$A:$B,2,0),AM134,1),"")</f>
        <v>V</v>
      </c>
      <c r="AM134" s="3">
        <v>262</v>
      </c>
      <c r="AN134" s="3" t="str">
        <f>IFERROR(MID(VLOOKUP($B134,Seqs!$A:$B,2,0),AO134,1),"")</f>
        <v>S</v>
      </c>
      <c r="AO134" s="3">
        <v>268</v>
      </c>
      <c r="AP134" s="3" t="str">
        <f>IFERROR(MID(VLOOKUP($B134,Seqs!$A:$B,2,0),AQ134,1),"")</f>
        <v>I</v>
      </c>
      <c r="AQ134" s="3">
        <v>306</v>
      </c>
      <c r="AR134" s="3" t="str">
        <f>IFERROR(MID(VLOOKUP($B134,Seqs!$A:$B,2,0),AS134,1),"")</f>
        <v>T</v>
      </c>
      <c r="AS134" s="3">
        <v>311</v>
      </c>
      <c r="AT134" s="3" t="str">
        <f>IFERROR(MID(VLOOKUP($B134,Seqs!$A:$B,2,0),AU134,1),"")</f>
        <v>P</v>
      </c>
      <c r="AU134" s="3">
        <v>333</v>
      </c>
      <c r="AV134" s="3" t="str">
        <f>IFERROR(MID(VLOOKUP($B134,Seqs!$A:$B,2,0),AW134,1),"")</f>
        <v/>
      </c>
      <c r="AW134" s="3" t="s">
        <v>23</v>
      </c>
      <c r="AX134" s="3" t="str">
        <f>IFERROR(MID(VLOOKUP($B134,Seqs!$A:$B,2,0),AY134,1),"")</f>
        <v/>
      </c>
      <c r="AY134" s="3" t="s">
        <v>23</v>
      </c>
      <c r="AZ134" s="79" t="str">
        <f>VLOOKUP(B134,Classification!A:D,2,0)</f>
        <v>A</v>
      </c>
      <c r="BA134" s="97" t="str">
        <f>VLOOKUP(B134,Classification!A:D,4,0)</f>
        <v>Opioid</v>
      </c>
      <c r="BB134" s="27" t="b">
        <f t="shared" si="556"/>
        <v>1</v>
      </c>
      <c r="BC134" s="23">
        <f t="shared" si="473"/>
        <v>242</v>
      </c>
      <c r="BD134" s="5" t="s">
        <v>1382</v>
      </c>
      <c r="BE134" s="3" t="s">
        <v>1297</v>
      </c>
      <c r="BF134" s="50" t="s">
        <v>1384</v>
      </c>
      <c r="BG134" s="50" t="s">
        <v>1384</v>
      </c>
      <c r="BH134" s="1"/>
      <c r="BI134" s="72" t="s">
        <v>1293</v>
      </c>
      <c r="BJ134" s="58" t="s">
        <v>1293</v>
      </c>
      <c r="BK134" s="58" t="s">
        <v>1293</v>
      </c>
      <c r="BL134" s="58" t="s">
        <v>1293</v>
      </c>
      <c r="BM134" s="58" t="s">
        <v>1293</v>
      </c>
      <c r="BN134" s="58" t="s">
        <v>1293</v>
      </c>
      <c r="BO134" s="58" t="s">
        <v>1293</v>
      </c>
      <c r="BP134" s="58" t="s">
        <v>1293</v>
      </c>
      <c r="BQ134" s="58" t="s">
        <v>1293</v>
      </c>
      <c r="BR134" s="58" t="s">
        <v>1293</v>
      </c>
      <c r="BS134" s="58" t="s">
        <v>1293</v>
      </c>
      <c r="BT134" s="58" t="s">
        <v>1293</v>
      </c>
      <c r="BU134" s="72">
        <f t="shared" si="474"/>
        <v>65</v>
      </c>
      <c r="BV134" s="73" t="str">
        <f t="shared" si="475"/>
        <v>-</v>
      </c>
      <c r="BW134" s="74">
        <f t="shared" si="476"/>
        <v>101</v>
      </c>
      <c r="BX134" s="73">
        <f t="shared" si="477"/>
        <v>132</v>
      </c>
      <c r="BY134" s="74">
        <f t="shared" si="478"/>
        <v>136</v>
      </c>
      <c r="BZ134" s="73">
        <f t="shared" si="479"/>
        <v>172</v>
      </c>
      <c r="CA134" s="74">
        <f t="shared" si="480"/>
        <v>180</v>
      </c>
      <c r="CB134" s="73">
        <f t="shared" si="481"/>
        <v>217</v>
      </c>
      <c r="CC134" s="74">
        <f t="shared" si="482"/>
        <v>225</v>
      </c>
      <c r="CD134" s="73">
        <f t="shared" si="483"/>
        <v>268</v>
      </c>
      <c r="CE134" s="74">
        <f t="shared" si="484"/>
        <v>311</v>
      </c>
      <c r="CF134" s="73" t="str">
        <f t="shared" si="485"/>
        <v>-</v>
      </c>
      <c r="CG134" s="72">
        <f t="shared" si="486"/>
        <v>96</v>
      </c>
      <c r="CH134" s="73" t="str">
        <f t="shared" si="487"/>
        <v>-</v>
      </c>
      <c r="CI134" s="74">
        <f t="shared" si="488"/>
        <v>130</v>
      </c>
      <c r="CJ134" s="74">
        <f t="shared" si="489"/>
        <v>135</v>
      </c>
      <c r="CK134" s="74">
        <f t="shared" si="490"/>
        <v>171</v>
      </c>
      <c r="CL134" s="74">
        <f t="shared" si="491"/>
        <v>179</v>
      </c>
      <c r="CM134" s="74">
        <f t="shared" si="492"/>
        <v>206</v>
      </c>
      <c r="CN134" s="74">
        <f t="shared" si="493"/>
        <v>219</v>
      </c>
      <c r="CO134" s="74">
        <f t="shared" si="494"/>
        <v>262</v>
      </c>
      <c r="CP134" s="74">
        <f t="shared" si="495"/>
        <v>306</v>
      </c>
      <c r="CQ134" s="74">
        <f t="shared" si="496"/>
        <v>333</v>
      </c>
      <c r="CR134" s="74" t="str">
        <f t="shared" si="497"/>
        <v>-</v>
      </c>
      <c r="CS134" s="23" t="e">
        <f t="shared" si="498"/>
        <v>#VALUE!</v>
      </c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</row>
    <row r="135" spans="1:1029" x14ac:dyDescent="0.2">
      <c r="A135" s="3" t="str">
        <f t="shared" si="555"/>
        <v>oprx_human__wt</v>
      </c>
      <c r="B135" s="3" t="s">
        <v>1174</v>
      </c>
      <c r="C135" s="3" t="s">
        <v>100</v>
      </c>
      <c r="D135" s="3" t="str">
        <f>IFERROR(MID(VLOOKUP($B135,Seqs!$A:$B,2,0),E135,1),"")</f>
        <v>L</v>
      </c>
      <c r="E135" s="3">
        <v>48</v>
      </c>
      <c r="F135" s="3" t="str">
        <f>IFERROR(MID(VLOOKUP($B135,Seqs!$A:$B,2,0),G135,1),"")</f>
        <v>H</v>
      </c>
      <c r="G135" s="3">
        <v>79</v>
      </c>
      <c r="H135" s="3" t="str">
        <f>IFERROR(MID(VLOOKUP($B135,Seqs!$A:$B,2,0),I135,1),"")</f>
        <v>T</v>
      </c>
      <c r="I135" s="23">
        <v>80</v>
      </c>
      <c r="J135" s="3" t="str">
        <f>IFERROR(MID(VLOOKUP($B135,Seqs!$A:$B,2,0),K135,1),"")</f>
        <v>K</v>
      </c>
      <c r="K135" s="23">
        <v>83</v>
      </c>
      <c r="L135" s="3" t="str">
        <f>IFERROR(MID(VLOOKUP($B135,Seqs!$A:$B,2,0),M135,1),"")</f>
        <v>T</v>
      </c>
      <c r="M135" s="3">
        <v>84</v>
      </c>
      <c r="N135" s="3" t="str">
        <f>IFERROR(MID(VLOOKUP($B135,Seqs!$A:$B,2,0),O135,1),"")</f>
        <v>L</v>
      </c>
      <c r="O135" s="3">
        <v>113</v>
      </c>
      <c r="P135" s="3" t="str">
        <f>IFERROR(MID(VLOOKUP($B135,Seqs!$A:$B,2,0),Q135,1),"")</f>
        <v>F</v>
      </c>
      <c r="Q135" s="3">
        <v>115</v>
      </c>
      <c r="R135" s="3" t="str">
        <f>IFERROR(MID(VLOOKUP($B135,Seqs!$A:$B,2,0),S135,1),"")</f>
        <v>F</v>
      </c>
      <c r="S135" s="3">
        <v>118</v>
      </c>
      <c r="T135" s="3" t="str">
        <f>IFERROR(MID(VLOOKUP($B135,Seqs!$A:$B,2,0),U135,1),"")</f>
        <v>G</v>
      </c>
      <c r="U135" s="3">
        <v>119</v>
      </c>
      <c r="V135" s="3" t="str">
        <f>IFERROR(MID(VLOOKUP($B135,Seqs!$A:$B,2,0),W135,1),"")</f>
        <v>H</v>
      </c>
      <c r="W135" s="3">
        <v>154</v>
      </c>
      <c r="X135" s="3" t="str">
        <f>IFERROR(MID(VLOOKUP($B135,Seqs!$A:$B,2,0),Y135,1),"")</f>
        <v>P</v>
      </c>
      <c r="Y135" s="3">
        <v>155</v>
      </c>
      <c r="Z135" s="3" t="str">
        <f>IFERROR(MID(VLOOKUP($B135,Seqs!$A:$B,2,0),AA135,1),"")</f>
        <v>R</v>
      </c>
      <c r="AA135" s="3">
        <v>162</v>
      </c>
      <c r="AB135" s="3" t="str">
        <f>IFERROR(MID(VLOOKUP($B135,Seqs!$A:$B,2,0),AC135,1),"")</f>
        <v>T</v>
      </c>
      <c r="AC135" s="9">
        <v>163</v>
      </c>
      <c r="AD135" s="3" t="str">
        <f>IFERROR(MID(VLOOKUP($B135,Seqs!$A:$B,2,0),AE135,1),"")</f>
        <v>G</v>
      </c>
      <c r="AE135" s="3">
        <v>189</v>
      </c>
      <c r="AF135" s="3" t="str">
        <f>IFERROR(MID(VLOOKUP($B135,Seqs!$A:$B,2,0),AG135,1),"")</f>
        <v>C</v>
      </c>
      <c r="AG135" s="3">
        <v>200</v>
      </c>
      <c r="AH135" s="3" t="str">
        <f>IFERROR(MID(VLOOKUP($B135,Seqs!$A:$B,2,0),AI135,1),"")</f>
        <v>V</v>
      </c>
      <c r="AI135" s="3">
        <v>202</v>
      </c>
      <c r="AJ135" s="3" t="str">
        <f>IFERROR(MID(VLOOKUP($B135,Seqs!$A:$B,2,0),AK135,1),"")</f>
        <v>Q</v>
      </c>
      <c r="AK135" s="3">
        <v>208</v>
      </c>
      <c r="AL135" s="3" t="str">
        <f>IFERROR(MID(VLOOKUP($B135,Seqs!$A:$B,2,0),AM135,1),"")</f>
        <v>V</v>
      </c>
      <c r="AM135" s="3">
        <v>245</v>
      </c>
      <c r="AN135" s="3" t="str">
        <f>IFERROR(MID(VLOOKUP($B135,Seqs!$A:$B,2,0),AO135,1),"")</f>
        <v>S</v>
      </c>
      <c r="AO135" s="3">
        <v>251</v>
      </c>
      <c r="AP135" s="3" t="str">
        <f>IFERROR(MID(VLOOKUP($B135,Seqs!$A:$B,2,0),AQ135,1),"")</f>
        <v>G</v>
      </c>
      <c r="AQ135" s="3">
        <v>289</v>
      </c>
      <c r="AR135" s="3" t="str">
        <f>IFERROR(MID(VLOOKUP($B135,Seqs!$A:$B,2,0),AS135,1),"")</f>
        <v>S</v>
      </c>
      <c r="AS135" s="3">
        <v>294</v>
      </c>
      <c r="AT135" s="3" t="str">
        <f>IFERROR(MID(VLOOKUP($B135,Seqs!$A:$B,2,0),AU135,1),"")</f>
        <v>L</v>
      </c>
      <c r="AU135" s="3">
        <v>322</v>
      </c>
      <c r="AV135" s="3" t="str">
        <f>IFERROR(MID(VLOOKUP($B135,Seqs!$A:$B,2,0),AW135,1),"")</f>
        <v>D</v>
      </c>
      <c r="AW135" s="3">
        <v>323</v>
      </c>
      <c r="AX135" s="3" t="str">
        <f>IFERROR(MID(VLOOKUP($B135,Seqs!$A:$B,2,0),AY135,1),"")</f>
        <v>C</v>
      </c>
      <c r="AY135" s="3">
        <v>335</v>
      </c>
      <c r="AZ135" s="79" t="str">
        <f>VLOOKUP(B135,Classification!A:D,2,0)</f>
        <v>A</v>
      </c>
      <c r="BA135" s="97" t="str">
        <f>VLOOKUP(B135,Classification!A:D,4,0)</f>
        <v>Opioid</v>
      </c>
      <c r="BB135" s="27" t="b">
        <f t="shared" si="556"/>
        <v>1</v>
      </c>
      <c r="BC135" s="23">
        <f t="shared" si="473"/>
        <v>263</v>
      </c>
      <c r="BD135" s="57" t="s">
        <v>1379</v>
      </c>
      <c r="BE135" s="3" t="s">
        <v>1381</v>
      </c>
      <c r="BF135" s="50" t="s">
        <v>1379</v>
      </c>
      <c r="BG135" s="50" t="s">
        <v>1384</v>
      </c>
      <c r="BH135" s="1"/>
      <c r="BI135" s="72" t="s">
        <v>1293</v>
      </c>
      <c r="BJ135" s="58" t="s">
        <v>1293</v>
      </c>
      <c r="BK135" s="58" t="s">
        <v>1293</v>
      </c>
      <c r="BL135" s="58" t="s">
        <v>1293</v>
      </c>
      <c r="BM135" s="58" t="s">
        <v>1293</v>
      </c>
      <c r="BN135" s="58" t="s">
        <v>1293</v>
      </c>
      <c r="BO135" s="58" t="s">
        <v>1293</v>
      </c>
      <c r="BP135" s="58" t="s">
        <v>1293</v>
      </c>
      <c r="BQ135" s="58" t="s">
        <v>1293</v>
      </c>
      <c r="BR135" s="58" t="s">
        <v>1293</v>
      </c>
      <c r="BS135" s="58" t="s">
        <v>1293</v>
      </c>
      <c r="BT135" s="58" t="s">
        <v>1293</v>
      </c>
      <c r="BU135" s="72">
        <f t="shared" si="474"/>
        <v>48</v>
      </c>
      <c r="BV135" s="73">
        <f t="shared" si="475"/>
        <v>80</v>
      </c>
      <c r="BW135" s="74">
        <f t="shared" si="476"/>
        <v>84</v>
      </c>
      <c r="BX135" s="73">
        <f t="shared" si="477"/>
        <v>115</v>
      </c>
      <c r="BY135" s="74">
        <f t="shared" si="478"/>
        <v>119</v>
      </c>
      <c r="BZ135" s="73">
        <f t="shared" si="479"/>
        <v>155</v>
      </c>
      <c r="CA135" s="74">
        <f t="shared" si="480"/>
        <v>163</v>
      </c>
      <c r="CB135" s="73">
        <f t="shared" si="481"/>
        <v>200</v>
      </c>
      <c r="CC135" s="74">
        <f t="shared" si="482"/>
        <v>208</v>
      </c>
      <c r="CD135" s="73">
        <f t="shared" si="483"/>
        <v>251</v>
      </c>
      <c r="CE135" s="74">
        <f t="shared" si="484"/>
        <v>294</v>
      </c>
      <c r="CF135" s="73">
        <f t="shared" si="485"/>
        <v>323</v>
      </c>
      <c r="CG135" s="72">
        <f t="shared" si="486"/>
        <v>79</v>
      </c>
      <c r="CH135" s="73">
        <f t="shared" si="487"/>
        <v>83</v>
      </c>
      <c r="CI135" s="74">
        <f t="shared" si="488"/>
        <v>113</v>
      </c>
      <c r="CJ135" s="74">
        <f t="shared" si="489"/>
        <v>118</v>
      </c>
      <c r="CK135" s="74">
        <f t="shared" si="490"/>
        <v>154</v>
      </c>
      <c r="CL135" s="74">
        <f t="shared" si="491"/>
        <v>162</v>
      </c>
      <c r="CM135" s="74">
        <f t="shared" si="492"/>
        <v>189</v>
      </c>
      <c r="CN135" s="74">
        <f t="shared" si="493"/>
        <v>202</v>
      </c>
      <c r="CO135" s="74">
        <f t="shared" si="494"/>
        <v>245</v>
      </c>
      <c r="CP135" s="74">
        <f t="shared" si="495"/>
        <v>289</v>
      </c>
      <c r="CQ135" s="74">
        <f t="shared" si="496"/>
        <v>322</v>
      </c>
      <c r="CR135" s="74">
        <f t="shared" si="497"/>
        <v>335</v>
      </c>
      <c r="CS135" s="23">
        <f t="shared" si="498"/>
        <v>1</v>
      </c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</row>
    <row r="136" spans="1:1029" x14ac:dyDescent="0.2">
      <c r="A136" s="3" t="str">
        <f t="shared" si="555"/>
        <v>oprx_human_4EA3</v>
      </c>
      <c r="B136" s="3" t="s">
        <v>1174</v>
      </c>
      <c r="C136" s="3" t="s">
        <v>67</v>
      </c>
      <c r="D136" s="3" t="str">
        <f>IFERROR(MID(VLOOKUP($B136,Seqs!$A:$B,2,0),E136,1),"")</f>
        <v>L</v>
      </c>
      <c r="E136" s="3">
        <v>48</v>
      </c>
      <c r="F136" s="3" t="str">
        <f>IFERROR(MID(VLOOKUP($B136,Seqs!$A:$B,2,0),G136,1),"")</f>
        <v>H</v>
      </c>
      <c r="G136" s="3">
        <v>79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84</v>
      </c>
      <c r="N136" s="3" t="str">
        <f>IFERROR(MID(VLOOKUP($B136,Seqs!$A:$B,2,0),O136,1),"")</f>
        <v>L</v>
      </c>
      <c r="O136" s="3">
        <v>113</v>
      </c>
      <c r="P136" s="3" t="str">
        <f>IFERROR(MID(VLOOKUP($B136,Seqs!$A:$B,2,0),Q136,1),"")</f>
        <v>F</v>
      </c>
      <c r="Q136" s="3">
        <v>115</v>
      </c>
      <c r="R136" s="3" t="str">
        <f>IFERROR(MID(VLOOKUP($B136,Seqs!$A:$B,2,0),S136,1),"")</f>
        <v>F</v>
      </c>
      <c r="S136" s="3">
        <v>118</v>
      </c>
      <c r="T136" s="3" t="str">
        <f>IFERROR(MID(VLOOKUP($B136,Seqs!$A:$B,2,0),U136,1),"")</f>
        <v>G</v>
      </c>
      <c r="U136" s="3">
        <v>119</v>
      </c>
      <c r="V136" s="3" t="str">
        <f>IFERROR(MID(VLOOKUP($B136,Seqs!$A:$B,2,0),W136,1),"")</f>
        <v>H</v>
      </c>
      <c r="W136" s="3">
        <v>154</v>
      </c>
      <c r="X136" s="3" t="str">
        <f>IFERROR(MID(VLOOKUP($B136,Seqs!$A:$B,2,0),Y136,1),"")</f>
        <v/>
      </c>
      <c r="Y136" s="3" t="s">
        <v>23</v>
      </c>
      <c r="Z136" s="3" t="str">
        <f>IFERROR(MID(VLOOKUP($B136,Seqs!$A:$B,2,0),AA136,1),"")</f>
        <v/>
      </c>
      <c r="AA136" s="3" t="s">
        <v>23</v>
      </c>
      <c r="AB136" s="3" t="str">
        <f>IFERROR(MID(VLOOKUP($B136,Seqs!$A:$B,2,0),AC136,1),"")</f>
        <v>T</v>
      </c>
      <c r="AC136" s="9">
        <v>163</v>
      </c>
      <c r="AD136" s="3" t="str">
        <f>IFERROR(MID(VLOOKUP($B136,Seqs!$A:$B,2,0),AE136,1),"")</f>
        <v>G</v>
      </c>
      <c r="AE136" s="3">
        <v>189</v>
      </c>
      <c r="AF136" s="3" t="str">
        <f>IFERROR(MID(VLOOKUP($B136,Seqs!$A:$B,2,0),AG136,1),"")</f>
        <v>C</v>
      </c>
      <c r="AG136" s="3">
        <v>200</v>
      </c>
      <c r="AH136" s="3" t="str">
        <f>IFERROR(MID(VLOOKUP($B136,Seqs!$A:$B,2,0),AI136,1),"")</f>
        <v>V</v>
      </c>
      <c r="AI136" s="3">
        <v>202</v>
      </c>
      <c r="AJ136" s="3" t="str">
        <f>IFERROR(MID(VLOOKUP($B136,Seqs!$A:$B,2,0),AK136,1),"")</f>
        <v>Q</v>
      </c>
      <c r="AK136" s="3">
        <v>208</v>
      </c>
      <c r="AL136" s="3" t="str">
        <f>IFERROR(MID(VLOOKUP($B136,Seqs!$A:$B,2,0),AM136,1),"")</f>
        <v>L</v>
      </c>
      <c r="AM136" s="3">
        <v>242</v>
      </c>
      <c r="AN136" s="3" t="str">
        <f>IFERROR(MID(VLOOKUP($B136,Seqs!$A:$B,2,0),AO136,1),"")</f>
        <v>S</v>
      </c>
      <c r="AO136" s="3">
        <v>251</v>
      </c>
      <c r="AP136" s="3" t="str">
        <f>IFERROR(MID(VLOOKUP($B136,Seqs!$A:$B,2,0),AQ136,1),"")</f>
        <v>G</v>
      </c>
      <c r="AQ136" s="3">
        <v>289</v>
      </c>
      <c r="AR136" s="3" t="str">
        <f>IFERROR(MID(VLOOKUP($B136,Seqs!$A:$B,2,0),AS136,1),"")</f>
        <v>S</v>
      </c>
      <c r="AS136" s="3">
        <v>294</v>
      </c>
      <c r="AT136" s="3" t="str">
        <f>IFERROR(MID(VLOOKUP($B136,Seqs!$A:$B,2,0),AU136,1),"")</f>
        <v>L</v>
      </c>
      <c r="AU136" s="3">
        <v>322</v>
      </c>
      <c r="AV136" s="3" t="str">
        <f>IFERROR(MID(VLOOKUP($B136,Seqs!$A:$B,2,0),AW136,1),"")</f>
        <v>D</v>
      </c>
      <c r="AW136" s="3">
        <v>323</v>
      </c>
      <c r="AX136" s="3" t="str">
        <f>IFERROR(MID(VLOOKUP($B136,Seqs!$A:$B,2,0),AY136,1),"")</f>
        <v>R</v>
      </c>
      <c r="AY136" s="3">
        <v>331</v>
      </c>
      <c r="AZ136" s="79" t="str">
        <f>VLOOKUP(B136,Classification!A:D,2,0)</f>
        <v>A</v>
      </c>
      <c r="BA136" s="97" t="str">
        <f>VLOOKUP(B136,Classification!A:D,4,0)</f>
        <v>Opioid</v>
      </c>
      <c r="BB136" s="27" t="b">
        <f t="shared" si="556"/>
        <v>1</v>
      </c>
      <c r="BC136" s="23">
        <f t="shared" si="473"/>
        <v>246</v>
      </c>
      <c r="BD136" s="5" t="s">
        <v>23</v>
      </c>
      <c r="BE136" s="3" t="s">
        <v>1381</v>
      </c>
      <c r="BF136" s="50" t="s">
        <v>1384</v>
      </c>
      <c r="BG136" s="50" t="s">
        <v>1384</v>
      </c>
      <c r="BH136" s="1"/>
      <c r="BI136" s="72" t="s">
        <v>1293</v>
      </c>
      <c r="BJ136" s="58" t="s">
        <v>1293</v>
      </c>
      <c r="BK136" s="58" t="s">
        <v>1293</v>
      </c>
      <c r="BL136" s="58" t="s">
        <v>1293</v>
      </c>
      <c r="BM136" s="58" t="s">
        <v>1293</v>
      </c>
      <c r="BN136" s="58" t="s">
        <v>1293</v>
      </c>
      <c r="BO136" s="58" t="s">
        <v>1293</v>
      </c>
      <c r="BP136" s="58" t="s">
        <v>1293</v>
      </c>
      <c r="BQ136" s="58" t="s">
        <v>1293</v>
      </c>
      <c r="BR136" s="58" t="s">
        <v>1293</v>
      </c>
      <c r="BS136" s="58" t="s">
        <v>1293</v>
      </c>
      <c r="BT136" s="58" t="s">
        <v>1293</v>
      </c>
      <c r="BU136" s="72">
        <f t="shared" si="474"/>
        <v>48</v>
      </c>
      <c r="BV136" s="73" t="str">
        <f t="shared" si="475"/>
        <v>-</v>
      </c>
      <c r="BW136" s="74">
        <f t="shared" si="476"/>
        <v>84</v>
      </c>
      <c r="BX136" s="73">
        <f t="shared" si="477"/>
        <v>115</v>
      </c>
      <c r="BY136" s="74">
        <f t="shared" si="478"/>
        <v>119</v>
      </c>
      <c r="BZ136" s="73" t="str">
        <f t="shared" si="479"/>
        <v>-</v>
      </c>
      <c r="CA136" s="74">
        <f t="shared" si="480"/>
        <v>163</v>
      </c>
      <c r="CB136" s="73">
        <f t="shared" si="481"/>
        <v>200</v>
      </c>
      <c r="CC136" s="74">
        <f t="shared" si="482"/>
        <v>208</v>
      </c>
      <c r="CD136" s="73">
        <f t="shared" si="483"/>
        <v>251</v>
      </c>
      <c r="CE136" s="74">
        <f t="shared" si="484"/>
        <v>294</v>
      </c>
      <c r="CF136" s="73">
        <f t="shared" si="485"/>
        <v>323</v>
      </c>
      <c r="CG136" s="72">
        <f t="shared" si="486"/>
        <v>79</v>
      </c>
      <c r="CH136" s="73" t="str">
        <f t="shared" si="487"/>
        <v>-</v>
      </c>
      <c r="CI136" s="74">
        <f t="shared" si="488"/>
        <v>113</v>
      </c>
      <c r="CJ136" s="74">
        <f t="shared" si="489"/>
        <v>118</v>
      </c>
      <c r="CK136" s="74">
        <f t="shared" si="490"/>
        <v>154</v>
      </c>
      <c r="CL136" s="74" t="str">
        <f t="shared" si="491"/>
        <v>-</v>
      </c>
      <c r="CM136" s="74">
        <f t="shared" si="492"/>
        <v>189</v>
      </c>
      <c r="CN136" s="74">
        <f t="shared" si="493"/>
        <v>202</v>
      </c>
      <c r="CO136" s="74">
        <f t="shared" si="494"/>
        <v>242</v>
      </c>
      <c r="CP136" s="74">
        <f t="shared" si="495"/>
        <v>289</v>
      </c>
      <c r="CQ136" s="74">
        <f t="shared" si="496"/>
        <v>322</v>
      </c>
      <c r="CR136" s="74">
        <f t="shared" si="497"/>
        <v>331</v>
      </c>
      <c r="CS136" s="23" t="e">
        <f t="shared" si="498"/>
        <v>#VALUE!</v>
      </c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</row>
    <row r="137" spans="1:1029" x14ac:dyDescent="0.2">
      <c r="A137" s="3" t="str">
        <f t="shared" si="555"/>
        <v>oprx_human_5DHG</v>
      </c>
      <c r="B137" s="3" t="s">
        <v>1174</v>
      </c>
      <c r="C137" s="3" t="s">
        <v>1361</v>
      </c>
      <c r="D137" s="3" t="str">
        <f>IFERROR(MID(VLOOKUP($B137,Seqs!$A:$B,2,0),E137,1),"")</f>
        <v>L</v>
      </c>
      <c r="E137" s="3">
        <v>48</v>
      </c>
      <c r="F137" s="3" t="str">
        <f>IFERROR(MID(VLOOKUP($B137,Seqs!$A:$B,2,0),G137,1),"")</f>
        <v>H</v>
      </c>
      <c r="G137" s="3">
        <v>79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84</v>
      </c>
      <c r="N137" s="3" t="str">
        <f>IFERROR(MID(VLOOKUP($B137,Seqs!$A:$B,2,0),O137,1),"")</f>
        <v>L</v>
      </c>
      <c r="O137" s="3">
        <v>113</v>
      </c>
      <c r="P137" s="3" t="str">
        <f>IFERROR(MID(VLOOKUP($B137,Seqs!$A:$B,2,0),Q137,1),"")</f>
        <v>F</v>
      </c>
      <c r="Q137" s="3">
        <v>115</v>
      </c>
      <c r="R137" s="3" t="str">
        <f>IFERROR(MID(VLOOKUP($B137,Seqs!$A:$B,2,0),S137,1),"")</f>
        <v>F</v>
      </c>
      <c r="S137" s="3">
        <v>118</v>
      </c>
      <c r="T137" s="3" t="str">
        <f>IFERROR(MID(VLOOKUP($B137,Seqs!$A:$B,2,0),U137,1),"")</f>
        <v>G</v>
      </c>
      <c r="U137" s="3">
        <v>119</v>
      </c>
      <c r="V137" s="3" t="str">
        <f>IFERROR(MID(VLOOKUP($B137,Seqs!$A:$B,2,0),W137,1),"")</f>
        <v>H</v>
      </c>
      <c r="W137" s="3">
        <v>154</v>
      </c>
      <c r="X137" s="3" t="str">
        <f>IFERROR(MID(VLOOKUP($B137,Seqs!$A:$B,2,0),Y137,1),"")</f>
        <v/>
      </c>
      <c r="Y137" s="3" t="s">
        <v>23</v>
      </c>
      <c r="Z137" s="3" t="str">
        <f>IFERROR(MID(VLOOKUP($B137,Seqs!$A:$B,2,0),AA137,1),"")</f>
        <v/>
      </c>
      <c r="AA137" s="3" t="s">
        <v>23</v>
      </c>
      <c r="AB137" s="3" t="str">
        <f>IFERROR(MID(VLOOKUP($B137,Seqs!$A:$B,2,0),AC137,1),"")</f>
        <v>T</v>
      </c>
      <c r="AC137" s="9">
        <v>163</v>
      </c>
      <c r="AD137" s="3" t="str">
        <f>IFERROR(MID(VLOOKUP($B137,Seqs!$A:$B,2,0),AE137,1),"")</f>
        <v>G</v>
      </c>
      <c r="AE137" s="3">
        <v>189</v>
      </c>
      <c r="AF137" s="3" t="str">
        <f>IFERROR(MID(VLOOKUP($B137,Seqs!$A:$B,2,0),AG137,1),"")</f>
        <v>C</v>
      </c>
      <c r="AG137" s="3">
        <v>200</v>
      </c>
      <c r="AH137" s="3" t="str">
        <f>IFERROR(MID(VLOOKUP($B137,Seqs!$A:$B,2,0),AI137,1),"")</f>
        <v>V</v>
      </c>
      <c r="AI137" s="3">
        <v>202</v>
      </c>
      <c r="AJ137" s="3" t="str">
        <f>IFERROR(MID(VLOOKUP($B137,Seqs!$A:$B,2,0),AK137,1),"")</f>
        <v>Q</v>
      </c>
      <c r="AK137" s="3">
        <v>208</v>
      </c>
      <c r="AL137" s="3" t="str">
        <f>IFERROR(MID(VLOOKUP($B137,Seqs!$A:$B,2,0),AM137,1),"")</f>
        <v>L</v>
      </c>
      <c r="AM137" s="3">
        <v>242</v>
      </c>
      <c r="AN137" s="3" t="str">
        <f>IFERROR(MID(VLOOKUP($B137,Seqs!$A:$B,2,0),AO137,1),"")</f>
        <v>S</v>
      </c>
      <c r="AO137" s="3">
        <v>251</v>
      </c>
      <c r="AP137" s="3" t="str">
        <f>IFERROR(MID(VLOOKUP($B137,Seqs!$A:$B,2,0),AQ137,1),"")</f>
        <v>G</v>
      </c>
      <c r="AQ137" s="3">
        <v>289</v>
      </c>
      <c r="AR137" s="3" t="str">
        <f>IFERROR(MID(VLOOKUP($B137,Seqs!$A:$B,2,0),AS137,1),"")</f>
        <v>S</v>
      </c>
      <c r="AS137" s="3">
        <v>294</v>
      </c>
      <c r="AT137" s="3" t="str">
        <f>IFERROR(MID(VLOOKUP($B137,Seqs!$A:$B,2,0),AU137,1),"")</f>
        <v>L</v>
      </c>
      <c r="AU137" s="3">
        <v>322</v>
      </c>
      <c r="AV137" s="3" t="str">
        <f>IFERROR(MID(VLOOKUP($B137,Seqs!$A:$B,2,0),AW137,1),"")</f>
        <v>D</v>
      </c>
      <c r="AW137" s="3">
        <v>323</v>
      </c>
      <c r="AX137" s="3" t="str">
        <f>IFERROR(MID(VLOOKUP($B137,Seqs!$A:$B,2,0),AY137,1),"")</f>
        <v>F</v>
      </c>
      <c r="AY137" s="3">
        <v>333</v>
      </c>
      <c r="AZ137" s="79" t="str">
        <f>VLOOKUP(B137,Classification!A:D,2,0)</f>
        <v>A</v>
      </c>
      <c r="BA137" s="97" t="str">
        <f>VLOOKUP(B137,Classification!A:D,4,0)</f>
        <v>Opioid</v>
      </c>
      <c r="BB137" s="27" t="b">
        <f t="shared" si="556"/>
        <v>1</v>
      </c>
      <c r="BC137" s="23">
        <f t="shared" si="473"/>
        <v>248</v>
      </c>
      <c r="BD137" s="16" t="s">
        <v>1383</v>
      </c>
      <c r="BE137" s="3" t="s">
        <v>1381</v>
      </c>
      <c r="BF137" s="50" t="s">
        <v>1287</v>
      </c>
      <c r="BG137" s="50" t="s">
        <v>1384</v>
      </c>
      <c r="BH137" s="1"/>
      <c r="BI137" s="72" t="s">
        <v>1293</v>
      </c>
      <c r="BJ137" s="58" t="s">
        <v>1293</v>
      </c>
      <c r="BK137" s="58" t="s">
        <v>1293</v>
      </c>
      <c r="BL137" s="58" t="s">
        <v>1293</v>
      </c>
      <c r="BM137" s="58" t="s">
        <v>1293</v>
      </c>
      <c r="BN137" s="58" t="s">
        <v>1293</v>
      </c>
      <c r="BO137" s="58" t="s">
        <v>1293</v>
      </c>
      <c r="BP137" s="58" t="s">
        <v>1293</v>
      </c>
      <c r="BQ137" s="58" t="s">
        <v>1293</v>
      </c>
      <c r="BR137" s="58" t="s">
        <v>1293</v>
      </c>
      <c r="BS137" s="58" t="s">
        <v>1293</v>
      </c>
      <c r="BT137" s="58" t="s">
        <v>1293</v>
      </c>
      <c r="BU137" s="72">
        <f t="shared" si="474"/>
        <v>48</v>
      </c>
      <c r="BV137" s="73" t="str">
        <f t="shared" si="475"/>
        <v>-</v>
      </c>
      <c r="BW137" s="74">
        <f t="shared" si="476"/>
        <v>84</v>
      </c>
      <c r="BX137" s="73">
        <f t="shared" si="477"/>
        <v>115</v>
      </c>
      <c r="BY137" s="74">
        <f t="shared" si="478"/>
        <v>119</v>
      </c>
      <c r="BZ137" s="73" t="str">
        <f t="shared" si="479"/>
        <v>-</v>
      </c>
      <c r="CA137" s="74">
        <f t="shared" si="480"/>
        <v>163</v>
      </c>
      <c r="CB137" s="73">
        <f t="shared" si="481"/>
        <v>200</v>
      </c>
      <c r="CC137" s="74">
        <f t="shared" si="482"/>
        <v>208</v>
      </c>
      <c r="CD137" s="73">
        <f t="shared" si="483"/>
        <v>251</v>
      </c>
      <c r="CE137" s="74">
        <f t="shared" si="484"/>
        <v>294</v>
      </c>
      <c r="CF137" s="73">
        <f t="shared" si="485"/>
        <v>323</v>
      </c>
      <c r="CG137" s="72">
        <f t="shared" si="486"/>
        <v>79</v>
      </c>
      <c r="CH137" s="73" t="str">
        <f t="shared" si="487"/>
        <v>-</v>
      </c>
      <c r="CI137" s="74">
        <f t="shared" si="488"/>
        <v>113</v>
      </c>
      <c r="CJ137" s="74">
        <f t="shared" si="489"/>
        <v>118</v>
      </c>
      <c r="CK137" s="74">
        <f t="shared" si="490"/>
        <v>154</v>
      </c>
      <c r="CL137" s="74" t="str">
        <f t="shared" si="491"/>
        <v>-</v>
      </c>
      <c r="CM137" s="74">
        <f t="shared" si="492"/>
        <v>189</v>
      </c>
      <c r="CN137" s="74">
        <f t="shared" si="493"/>
        <v>202</v>
      </c>
      <c r="CO137" s="74">
        <f t="shared" si="494"/>
        <v>242</v>
      </c>
      <c r="CP137" s="74">
        <f t="shared" si="495"/>
        <v>289</v>
      </c>
      <c r="CQ137" s="74">
        <f t="shared" si="496"/>
        <v>322</v>
      </c>
      <c r="CR137" s="74">
        <f t="shared" si="497"/>
        <v>333</v>
      </c>
      <c r="CS137" s="23" t="e">
        <f t="shared" si="498"/>
        <v>#VALUE!</v>
      </c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</row>
    <row r="138" spans="1:1029" x14ac:dyDescent="0.2">
      <c r="A138" s="3" t="str">
        <f t="shared" si="555"/>
        <v>oprx_human_5DHH</v>
      </c>
      <c r="B138" s="3" t="s">
        <v>1174</v>
      </c>
      <c r="C138" s="3" t="s">
        <v>1362</v>
      </c>
      <c r="D138" s="3" t="str">
        <f>IFERROR(MID(VLOOKUP($B138,Seqs!$A:$B,2,0),E138,1),"")</f>
        <v>L</v>
      </c>
      <c r="E138" s="3">
        <v>48</v>
      </c>
      <c r="F138" s="3" t="str">
        <f>IFERROR(MID(VLOOKUP($B138,Seqs!$A:$B,2,0),G138,1),"")</f>
        <v>H</v>
      </c>
      <c r="G138" s="3">
        <v>79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T</v>
      </c>
      <c r="M138" s="3">
        <v>84</v>
      </c>
      <c r="N138" s="3" t="str">
        <f>IFERROR(MID(VLOOKUP($B138,Seqs!$A:$B,2,0),O138,1),"")</f>
        <v>L</v>
      </c>
      <c r="O138" s="3">
        <v>113</v>
      </c>
      <c r="P138" s="3" t="str">
        <f>IFERROR(MID(VLOOKUP($B138,Seqs!$A:$B,2,0),Q138,1),"")</f>
        <v>F</v>
      </c>
      <c r="Q138" s="3">
        <v>115</v>
      </c>
      <c r="R138" s="3" t="str">
        <f>IFERROR(MID(VLOOKUP($B138,Seqs!$A:$B,2,0),S138,1),"")</f>
        <v>F</v>
      </c>
      <c r="S138" s="3">
        <v>118</v>
      </c>
      <c r="T138" s="3" t="str">
        <f>IFERROR(MID(VLOOKUP($B138,Seqs!$A:$B,2,0),U138,1),"")</f>
        <v>G</v>
      </c>
      <c r="U138" s="3">
        <v>119</v>
      </c>
      <c r="V138" s="3" t="str">
        <f>IFERROR(MID(VLOOKUP($B138,Seqs!$A:$B,2,0),W138,1),"")</f>
        <v>H</v>
      </c>
      <c r="W138" s="3">
        <v>154</v>
      </c>
      <c r="X138" s="3" t="str">
        <f>IFERROR(MID(VLOOKUP($B138,Seqs!$A:$B,2,0),Y138,1),"")</f>
        <v/>
      </c>
      <c r="Y138" s="3" t="s">
        <v>23</v>
      </c>
      <c r="Z138" s="3" t="str">
        <f>IFERROR(MID(VLOOKUP($B138,Seqs!$A:$B,2,0),AA138,1),"")</f>
        <v/>
      </c>
      <c r="AA138" s="3" t="s">
        <v>23</v>
      </c>
      <c r="AB138" s="3" t="str">
        <f>IFERROR(MID(VLOOKUP($B138,Seqs!$A:$B,2,0),AC138,1),"")</f>
        <v>T</v>
      </c>
      <c r="AC138" s="9">
        <v>163</v>
      </c>
      <c r="AD138" s="3" t="str">
        <f>IFERROR(MID(VLOOKUP($B138,Seqs!$A:$B,2,0),AE138,1),"")</f>
        <v>G</v>
      </c>
      <c r="AE138" s="3">
        <v>189</v>
      </c>
      <c r="AF138" s="3" t="str">
        <f>IFERROR(MID(VLOOKUP($B138,Seqs!$A:$B,2,0),AG138,1),"")</f>
        <v>C</v>
      </c>
      <c r="AG138" s="3">
        <v>200</v>
      </c>
      <c r="AH138" s="3" t="str">
        <f>IFERROR(MID(VLOOKUP($B138,Seqs!$A:$B,2,0),AI138,1),"")</f>
        <v>V</v>
      </c>
      <c r="AI138" s="3">
        <v>202</v>
      </c>
      <c r="AJ138" s="3" t="str">
        <f>IFERROR(MID(VLOOKUP($B138,Seqs!$A:$B,2,0),AK138,1),"")</f>
        <v>Q</v>
      </c>
      <c r="AK138" s="3">
        <v>208</v>
      </c>
      <c r="AL138" s="3" t="str">
        <f>IFERROR(MID(VLOOKUP($B138,Seqs!$A:$B,2,0),AM138,1),"")</f>
        <v>L</v>
      </c>
      <c r="AM138" s="3">
        <v>242</v>
      </c>
      <c r="AN138" s="3" t="str">
        <f>IFERROR(MID(VLOOKUP($B138,Seqs!$A:$B,2,0),AO138,1),"")</f>
        <v>S</v>
      </c>
      <c r="AO138" s="3">
        <v>251</v>
      </c>
      <c r="AP138" s="3" t="str">
        <f>IFERROR(MID(VLOOKUP($B138,Seqs!$A:$B,2,0),AQ138,1),"")</f>
        <v>G</v>
      </c>
      <c r="AQ138" s="3">
        <v>289</v>
      </c>
      <c r="AR138" s="3" t="str">
        <f>IFERROR(MID(VLOOKUP($B138,Seqs!$A:$B,2,0),AS138,1),"")</f>
        <v>S</v>
      </c>
      <c r="AS138" s="3">
        <v>294</v>
      </c>
      <c r="AT138" s="3" t="str">
        <f>IFERROR(MID(VLOOKUP($B138,Seqs!$A:$B,2,0),AU138,1),"")</f>
        <v>L</v>
      </c>
      <c r="AU138" s="3">
        <v>322</v>
      </c>
      <c r="AV138" s="3" t="str">
        <f>IFERROR(MID(VLOOKUP($B138,Seqs!$A:$B,2,0),AW138,1),"")</f>
        <v>D</v>
      </c>
      <c r="AW138" s="3">
        <v>323</v>
      </c>
      <c r="AX138" s="3" t="str">
        <f>IFERROR(MID(VLOOKUP($B138,Seqs!$A:$B,2,0),AY138,1),"")</f>
        <v>R</v>
      </c>
      <c r="AY138" s="3">
        <v>331</v>
      </c>
      <c r="AZ138" s="79" t="str">
        <f>VLOOKUP(B138,Classification!A:D,2,0)</f>
        <v>A</v>
      </c>
      <c r="BA138" s="97" t="str">
        <f>VLOOKUP(B138,Classification!A:D,4,0)</f>
        <v>Opioid</v>
      </c>
      <c r="BB138" s="27" t="b">
        <f t="shared" si="556"/>
        <v>1</v>
      </c>
      <c r="BC138" s="23">
        <f t="shared" si="473"/>
        <v>246</v>
      </c>
      <c r="BD138" s="5" t="s">
        <v>23</v>
      </c>
      <c r="BE138" s="3" t="s">
        <v>1381</v>
      </c>
      <c r="BF138" s="50" t="s">
        <v>1</v>
      </c>
      <c r="BG138" s="50" t="s">
        <v>1384</v>
      </c>
      <c r="BH138" s="1" t="s">
        <v>1366</v>
      </c>
      <c r="BI138" s="72" t="s">
        <v>1293</v>
      </c>
      <c r="BJ138" s="58" t="s">
        <v>1293</v>
      </c>
      <c r="BK138" s="58" t="s">
        <v>1293</v>
      </c>
      <c r="BL138" s="58" t="s">
        <v>1293</v>
      </c>
      <c r="BM138" s="58" t="s">
        <v>1293</v>
      </c>
      <c r="BN138" s="58" t="s">
        <v>1293</v>
      </c>
      <c r="BO138" s="58" t="s">
        <v>1293</v>
      </c>
      <c r="BP138" s="58" t="s">
        <v>1293</v>
      </c>
      <c r="BQ138" s="58" t="s">
        <v>1293</v>
      </c>
      <c r="BR138" s="58" t="s">
        <v>1293</v>
      </c>
      <c r="BS138" s="58" t="s">
        <v>1293</v>
      </c>
      <c r="BT138" s="58" t="s">
        <v>1293</v>
      </c>
      <c r="BU138" s="72">
        <f t="shared" si="474"/>
        <v>48</v>
      </c>
      <c r="BV138" s="73" t="str">
        <f t="shared" si="475"/>
        <v>-</v>
      </c>
      <c r="BW138" s="74">
        <f t="shared" si="476"/>
        <v>84</v>
      </c>
      <c r="BX138" s="73">
        <f t="shared" si="477"/>
        <v>115</v>
      </c>
      <c r="BY138" s="74">
        <f t="shared" si="478"/>
        <v>119</v>
      </c>
      <c r="BZ138" s="73" t="str">
        <f t="shared" si="479"/>
        <v>-</v>
      </c>
      <c r="CA138" s="74">
        <f t="shared" si="480"/>
        <v>163</v>
      </c>
      <c r="CB138" s="73">
        <f t="shared" si="481"/>
        <v>200</v>
      </c>
      <c r="CC138" s="74">
        <f t="shared" si="482"/>
        <v>208</v>
      </c>
      <c r="CD138" s="73">
        <f t="shared" si="483"/>
        <v>251</v>
      </c>
      <c r="CE138" s="74">
        <f t="shared" si="484"/>
        <v>294</v>
      </c>
      <c r="CF138" s="73">
        <f t="shared" si="485"/>
        <v>323</v>
      </c>
      <c r="CG138" s="72">
        <f t="shared" si="486"/>
        <v>79</v>
      </c>
      <c r="CH138" s="73" t="str">
        <f t="shared" si="487"/>
        <v>-</v>
      </c>
      <c r="CI138" s="74">
        <f t="shared" si="488"/>
        <v>113</v>
      </c>
      <c r="CJ138" s="74">
        <f t="shared" si="489"/>
        <v>118</v>
      </c>
      <c r="CK138" s="74">
        <f t="shared" si="490"/>
        <v>154</v>
      </c>
      <c r="CL138" s="74" t="str">
        <f t="shared" si="491"/>
        <v>-</v>
      </c>
      <c r="CM138" s="74">
        <f t="shared" si="492"/>
        <v>189</v>
      </c>
      <c r="CN138" s="74">
        <f t="shared" si="493"/>
        <v>202</v>
      </c>
      <c r="CO138" s="74">
        <f t="shared" si="494"/>
        <v>242</v>
      </c>
      <c r="CP138" s="74">
        <f t="shared" si="495"/>
        <v>289</v>
      </c>
      <c r="CQ138" s="74">
        <f t="shared" si="496"/>
        <v>322</v>
      </c>
      <c r="CR138" s="74">
        <f t="shared" si="497"/>
        <v>331</v>
      </c>
      <c r="CS138" s="23" t="e">
        <f t="shared" si="498"/>
        <v>#VALUE!</v>
      </c>
    </row>
    <row r="139" spans="1:1029" x14ac:dyDescent="0.2">
      <c r="A139" s="3" t="str">
        <f t="shared" si="555"/>
        <v>opsd_bovin__wt</v>
      </c>
      <c r="B139" s="3" t="s">
        <v>920</v>
      </c>
      <c r="C139" s="3" t="s">
        <v>100</v>
      </c>
      <c r="D139" s="3" t="str">
        <f>IFERROR(MID(VLOOKUP($B139,Seqs!$A:$B,2,0),E139,1),"")</f>
        <v>P</v>
      </c>
      <c r="E139" s="3">
        <v>34</v>
      </c>
      <c r="F139" s="3" t="str">
        <f>IFERROR(MID(VLOOKUP($B139,Seqs!$A:$B,2,0),G139,1),"")</f>
        <v>H</v>
      </c>
      <c r="G139" s="3">
        <v>65</v>
      </c>
      <c r="H139" s="3" t="str">
        <f>IFERROR(MID(VLOOKUP($B139,Seqs!$A:$B,2,0),I139,1),"")</f>
        <v>K</v>
      </c>
      <c r="I139" s="23">
        <v>66</v>
      </c>
      <c r="J139" s="3" t="str">
        <f>IFERROR(MID(VLOOKUP($B139,Seqs!$A:$B,2,0),K139,1),"")</f>
        <v>R</v>
      </c>
      <c r="K139" s="23">
        <v>69</v>
      </c>
      <c r="L139" s="3" t="str">
        <f>IFERROR(MID(VLOOKUP($B139,Seqs!$A:$B,2,0),M139,1),"")</f>
        <v>T</v>
      </c>
      <c r="M139" s="3">
        <v>70</v>
      </c>
      <c r="N139" s="3" t="str">
        <f>IFERROR(MID(VLOOKUP($B139,Seqs!$A:$B,2,0),O139,1),"")</f>
        <v>H</v>
      </c>
      <c r="O139" s="3">
        <v>100</v>
      </c>
      <c r="P139" s="3" t="str">
        <f>IFERROR(MID(VLOOKUP($B139,Seqs!$A:$B,2,0),Q139,1),"")</f>
        <v>Y</v>
      </c>
      <c r="Q139" s="3">
        <v>102</v>
      </c>
      <c r="R139" s="3" t="str">
        <f>IFERROR(MID(VLOOKUP($B139,Seqs!$A:$B,2,0),S139,1),"")</f>
        <v>F</v>
      </c>
      <c r="S139" s="3">
        <v>105</v>
      </c>
      <c r="T139" s="3" t="str">
        <f>IFERROR(MID(VLOOKUP($B139,Seqs!$A:$B,2,0),U139,1),"")</f>
        <v>G</v>
      </c>
      <c r="U139" s="3">
        <v>106</v>
      </c>
      <c r="V139" s="3" t="str">
        <f>IFERROR(MID(VLOOKUP($B139,Seqs!$A:$B,2,0),W139,1),"")</f>
        <v>K</v>
      </c>
      <c r="W139" s="3">
        <v>141</v>
      </c>
      <c r="X139" s="3" t="str">
        <f>IFERROR(MID(VLOOKUP($B139,Seqs!$A:$B,2,0),Y139,1),"")</f>
        <v>P</v>
      </c>
      <c r="Y139" s="3">
        <v>142</v>
      </c>
      <c r="Z139" s="3" t="str">
        <f>IFERROR(MID(VLOOKUP($B139,Seqs!$A:$B,2,0),AA139,1),"")</f>
        <v>F</v>
      </c>
      <c r="AA139" s="108">
        <v>148</v>
      </c>
      <c r="AB139" s="3" t="str">
        <f>IFERROR(MID(VLOOKUP($B139,Seqs!$A:$B,2,0),AC139,1),"")</f>
        <v>G</v>
      </c>
      <c r="AC139" s="108">
        <v>149</v>
      </c>
      <c r="AD139" s="3" t="str">
        <f>IFERROR(MID(VLOOKUP($B139,Seqs!$A:$B,2,0),AE139,1),"")</f>
        <v>V</v>
      </c>
      <c r="AE139" s="3">
        <v>173</v>
      </c>
      <c r="AF139" s="3" t="str">
        <f>IFERROR(MID(VLOOKUP($B139,Seqs!$A:$B,2,0),AG139,1),"")</f>
        <v>C</v>
      </c>
      <c r="AG139" s="3">
        <v>187</v>
      </c>
      <c r="AH139" s="3" t="str">
        <f>IFERROR(MID(VLOOKUP($B139,Seqs!$A:$B,2,0),AI139,1),"")</f>
        <v>I</v>
      </c>
      <c r="AI139" s="3">
        <v>189</v>
      </c>
      <c r="AJ139" s="3" t="str">
        <f>IFERROR(MID(VLOOKUP($B139,Seqs!$A:$B,2,0),AK139,1),"")</f>
        <v>N</v>
      </c>
      <c r="AK139" s="3">
        <v>199</v>
      </c>
      <c r="AL139" s="3" t="str">
        <f>IFERROR(MID(VLOOKUP($B139,Seqs!$A:$B,2,0),AM139,1),"")</f>
        <v>Q</v>
      </c>
      <c r="AM139" s="3">
        <v>237</v>
      </c>
      <c r="AN139" s="3" t="str">
        <f>IFERROR(MID(VLOOKUP($B139,Seqs!$A:$B,2,0),AO139,1),"")</f>
        <v>A</v>
      </c>
      <c r="AO139" s="3">
        <v>241</v>
      </c>
      <c r="AP139" s="3" t="str">
        <f>IFERROR(MID(VLOOKUP($B139,Seqs!$A:$B,2,0),AQ139,1),"")</f>
        <v>H</v>
      </c>
      <c r="AQ139" s="3">
        <v>278</v>
      </c>
      <c r="AR139" s="3" t="str">
        <f>IFERROR(MID(VLOOKUP($B139,Seqs!$A:$B,2,0),AS139,1),"")</f>
        <v>G</v>
      </c>
      <c r="AS139" s="3">
        <v>284</v>
      </c>
      <c r="AT139" s="3" t="str">
        <f>IFERROR(MID(VLOOKUP($B139,Seqs!$A:$B,2,0),AU139,1),"")</f>
        <v>M</v>
      </c>
      <c r="AU139" s="3">
        <v>309</v>
      </c>
      <c r="AV139" s="3" t="str">
        <f>IFERROR(MID(VLOOKUP($B139,Seqs!$A:$B,2,0),AW139,1),"")</f>
        <v>N</v>
      </c>
      <c r="AW139" s="3">
        <v>310</v>
      </c>
      <c r="AX139" s="3" t="str">
        <f>IFERROR(MID(VLOOKUP($B139,Seqs!$A:$B,2,0),AY139,1),"")</f>
        <v>C</v>
      </c>
      <c r="AY139" s="3">
        <v>322</v>
      </c>
      <c r="AZ139" s="79" t="str">
        <f>VLOOKUP(B139,Classification!A:D,2,0)</f>
        <v>A</v>
      </c>
      <c r="BA139" s="97" t="str">
        <f>VLOOKUP(B139,Classification!A:D,4,0)</f>
        <v>Opsins</v>
      </c>
      <c r="BB139" s="27" t="b">
        <f t="shared" si="556"/>
        <v>1</v>
      </c>
      <c r="BC139" s="23">
        <f t="shared" si="473"/>
        <v>258</v>
      </c>
      <c r="BD139" s="35" t="s">
        <v>1379</v>
      </c>
      <c r="BE139" s="3" t="s">
        <v>1381</v>
      </c>
      <c r="BF139" s="50" t="s">
        <v>1379</v>
      </c>
      <c r="BG139" s="50" t="s">
        <v>1384</v>
      </c>
      <c r="BH139" s="1"/>
      <c r="BI139" s="72" t="s">
        <v>1293</v>
      </c>
      <c r="BJ139" s="58" t="s">
        <v>1293</v>
      </c>
      <c r="BK139" s="58" t="s">
        <v>1293</v>
      </c>
      <c r="BL139" s="58" t="s">
        <v>1293</v>
      </c>
      <c r="BM139" s="58" t="s">
        <v>1293</v>
      </c>
      <c r="BN139" s="58" t="s">
        <v>1293</v>
      </c>
      <c r="BO139" s="58" t="s">
        <v>1293</v>
      </c>
      <c r="BP139" s="58" t="s">
        <v>1293</v>
      </c>
      <c r="BQ139" s="58" t="s">
        <v>1293</v>
      </c>
      <c r="BR139" s="58" t="s">
        <v>1293</v>
      </c>
      <c r="BS139" s="58" t="s">
        <v>1293</v>
      </c>
      <c r="BT139" s="58" t="s">
        <v>1293</v>
      </c>
      <c r="BU139" s="72">
        <f t="shared" si="474"/>
        <v>34</v>
      </c>
      <c r="BV139" s="73">
        <f t="shared" si="475"/>
        <v>66</v>
      </c>
      <c r="BW139" s="74">
        <f t="shared" si="476"/>
        <v>70</v>
      </c>
      <c r="BX139" s="73">
        <f t="shared" si="477"/>
        <v>102</v>
      </c>
      <c r="BY139" s="74">
        <f t="shared" si="478"/>
        <v>106</v>
      </c>
      <c r="BZ139" s="73">
        <f t="shared" si="479"/>
        <v>142</v>
      </c>
      <c r="CA139" s="74">
        <f t="shared" si="480"/>
        <v>149</v>
      </c>
      <c r="CB139" s="73">
        <f t="shared" si="481"/>
        <v>187</v>
      </c>
      <c r="CC139" s="74">
        <f t="shared" si="482"/>
        <v>199</v>
      </c>
      <c r="CD139" s="73">
        <f t="shared" si="483"/>
        <v>241</v>
      </c>
      <c r="CE139" s="74">
        <f t="shared" si="484"/>
        <v>284</v>
      </c>
      <c r="CF139" s="73">
        <f t="shared" si="485"/>
        <v>310</v>
      </c>
      <c r="CG139" s="72">
        <f t="shared" si="486"/>
        <v>65</v>
      </c>
      <c r="CH139" s="73">
        <f t="shared" si="487"/>
        <v>69</v>
      </c>
      <c r="CI139" s="74">
        <f t="shared" si="488"/>
        <v>100</v>
      </c>
      <c r="CJ139" s="74">
        <f t="shared" si="489"/>
        <v>105</v>
      </c>
      <c r="CK139" s="74">
        <f t="shared" si="490"/>
        <v>141</v>
      </c>
      <c r="CL139" s="74">
        <f t="shared" si="491"/>
        <v>148</v>
      </c>
      <c r="CM139" s="74">
        <f t="shared" si="492"/>
        <v>173</v>
      </c>
      <c r="CN139" s="74">
        <f t="shared" si="493"/>
        <v>189</v>
      </c>
      <c r="CO139" s="74">
        <f t="shared" si="494"/>
        <v>237</v>
      </c>
      <c r="CP139" s="74">
        <f t="shared" si="495"/>
        <v>278</v>
      </c>
      <c r="CQ139" s="74">
        <f t="shared" si="496"/>
        <v>309</v>
      </c>
      <c r="CR139" s="74">
        <f t="shared" si="497"/>
        <v>322</v>
      </c>
      <c r="CS139" s="23">
        <f t="shared" si="498"/>
        <v>1</v>
      </c>
    </row>
    <row r="140" spans="1:1029" x14ac:dyDescent="0.2">
      <c r="A140" s="3" t="str">
        <f t="shared" si="555"/>
        <v>opsd_bovin_1GZM</v>
      </c>
      <c r="B140" s="3" t="s">
        <v>920</v>
      </c>
      <c r="C140" s="3" t="s">
        <v>1343</v>
      </c>
      <c r="D140" s="3" t="str">
        <f>IFERROR(MID(VLOOKUP($B140,Seqs!$A:$B,2,0),E140,1),"")</f>
        <v>P</v>
      </c>
      <c r="E140" s="3">
        <v>34</v>
      </c>
      <c r="F140" s="3" t="str">
        <f>IFERROR(MID(VLOOKUP($B140,Seqs!$A:$B,2,0),G140,1),"")</f>
        <v>H</v>
      </c>
      <c r="G140" s="3">
        <v>65</v>
      </c>
      <c r="H140" s="3" t="str">
        <f>IFERROR(MID(VLOOKUP($B140,Seqs!$A:$B,2,0),I140,1),"")</f>
        <v>K</v>
      </c>
      <c r="I140" s="23">
        <v>66</v>
      </c>
      <c r="J140" s="3" t="str">
        <f>IFERROR(MID(VLOOKUP($B140,Seqs!$A:$B,2,0),K140,1),"")</f>
        <v>R</v>
      </c>
      <c r="K140" s="23">
        <v>69</v>
      </c>
      <c r="L140" s="3" t="str">
        <f>IFERROR(MID(VLOOKUP($B140,Seqs!$A:$B,2,0),M140,1),"")</f>
        <v>T</v>
      </c>
      <c r="M140" s="3">
        <v>70</v>
      </c>
      <c r="N140" s="3" t="str">
        <f>IFERROR(MID(VLOOKUP($B140,Seqs!$A:$B,2,0),O140,1),"")</f>
        <v>H</v>
      </c>
      <c r="O140" s="3">
        <v>100</v>
      </c>
      <c r="P140" s="3" t="str">
        <f>IFERROR(MID(VLOOKUP($B140,Seqs!$A:$B,2,0),Q140,1),"")</f>
        <v>Y</v>
      </c>
      <c r="Q140" s="3">
        <v>102</v>
      </c>
      <c r="R140" s="3" t="str">
        <f>IFERROR(MID(VLOOKUP($B140,Seqs!$A:$B,2,0),S140,1),"")</f>
        <v>F</v>
      </c>
      <c r="S140" s="3">
        <v>105</v>
      </c>
      <c r="T140" s="3" t="str">
        <f>IFERROR(MID(VLOOKUP($B140,Seqs!$A:$B,2,0),U140,1),"")</f>
        <v>G</v>
      </c>
      <c r="U140" s="3">
        <v>106</v>
      </c>
      <c r="V140" s="3" t="str">
        <f>IFERROR(MID(VLOOKUP($B140,Seqs!$A:$B,2,0),W140,1),"")</f>
        <v>K</v>
      </c>
      <c r="W140" s="3">
        <v>141</v>
      </c>
      <c r="X140" s="3" t="str">
        <f>IFERROR(MID(VLOOKUP($B140,Seqs!$A:$B,2,0),Y140,1),"")</f>
        <v/>
      </c>
      <c r="Y140" s="3" t="s">
        <v>23</v>
      </c>
      <c r="Z140" s="3" t="str">
        <f>IFERROR(MID(VLOOKUP($B140,Seqs!$A:$B,2,0),AA140,1),"")</f>
        <v/>
      </c>
      <c r="AA140" s="3" t="s">
        <v>23</v>
      </c>
      <c r="AB140" s="3" t="str">
        <f>IFERROR(MID(VLOOKUP($B140,Seqs!$A:$B,2,0),AC140,1),"")</f>
        <v>G</v>
      </c>
      <c r="AC140" s="9">
        <v>149</v>
      </c>
      <c r="AD140" s="3" t="str">
        <f>IFERROR(MID(VLOOKUP($B140,Seqs!$A:$B,2,0),AE140,1),"")</f>
        <v>V</v>
      </c>
      <c r="AE140" s="3">
        <v>173</v>
      </c>
      <c r="AF140" s="3" t="str">
        <f>IFERROR(MID(VLOOKUP($B140,Seqs!$A:$B,2,0),AG140,1),"")</f>
        <v>C</v>
      </c>
      <c r="AG140" s="3">
        <v>187</v>
      </c>
      <c r="AH140" s="3" t="str">
        <f>IFERROR(MID(VLOOKUP($B140,Seqs!$A:$B,2,0),AI140,1),"")</f>
        <v>I</v>
      </c>
      <c r="AI140" s="3">
        <v>189</v>
      </c>
      <c r="AJ140" s="3" t="str">
        <f>IFERROR(MID(VLOOKUP($B140,Seqs!$A:$B,2,0),AK140,1),"")</f>
        <v>N</v>
      </c>
      <c r="AK140" s="3">
        <v>199</v>
      </c>
      <c r="AL140" s="3" t="str">
        <f>IFERROR(MID(VLOOKUP($B140,Seqs!$A:$B,2,0),AM140,1),"")</f>
        <v>A</v>
      </c>
      <c r="AM140" s="3">
        <v>233</v>
      </c>
      <c r="AN140" s="3" t="str">
        <f>IFERROR(MID(VLOOKUP($B140,Seqs!$A:$B,2,0),AO140,1),"")</f>
        <v>A</v>
      </c>
      <c r="AO140" s="3">
        <v>241</v>
      </c>
      <c r="AP140" s="3" t="str">
        <f>IFERROR(MID(VLOOKUP($B140,Seqs!$A:$B,2,0),AQ140,1),"")</f>
        <v>H</v>
      </c>
      <c r="AQ140" s="3">
        <v>278</v>
      </c>
      <c r="AR140" s="3" t="str">
        <f>IFERROR(MID(VLOOKUP($B140,Seqs!$A:$B,2,0),AS140,1),"")</f>
        <v>G</v>
      </c>
      <c r="AS140" s="3">
        <v>284</v>
      </c>
      <c r="AT140" s="3" t="str">
        <f>IFERROR(MID(VLOOKUP($B140,Seqs!$A:$B,2,0),AU140,1),"")</f>
        <v>M</v>
      </c>
      <c r="AU140" s="3">
        <v>309</v>
      </c>
      <c r="AV140" s="3" t="str">
        <f>IFERROR(MID(VLOOKUP($B140,Seqs!$A:$B,2,0),AW140,1),"")</f>
        <v>N</v>
      </c>
      <c r="AW140" s="3">
        <v>310</v>
      </c>
      <c r="AX140" s="3" t="str">
        <f>IFERROR(MID(VLOOKUP($B140,Seqs!$A:$B,2,0),AY140,1),"")</f>
        <v>C</v>
      </c>
      <c r="AY140" s="3">
        <v>322</v>
      </c>
      <c r="AZ140" s="79" t="str">
        <f>VLOOKUP(B140,Classification!A:D,2,0)</f>
        <v>A</v>
      </c>
      <c r="BA140" s="97" t="str">
        <f>VLOOKUP(B140,Classification!A:D,4,0)</f>
        <v>Opsins</v>
      </c>
      <c r="BB140" s="27" t="b">
        <f t="shared" si="556"/>
        <v>1</v>
      </c>
      <c r="BC140" s="23">
        <f t="shared" si="473"/>
        <v>248</v>
      </c>
      <c r="BD140" s="57" t="s">
        <v>1383</v>
      </c>
      <c r="BE140" s="3" t="s">
        <v>1381</v>
      </c>
      <c r="BF140" s="50" t="s">
        <v>1384</v>
      </c>
      <c r="BG140" s="50" t="s">
        <v>1384</v>
      </c>
      <c r="BH140" s="1"/>
      <c r="BI140" s="72" t="s">
        <v>1293</v>
      </c>
      <c r="BJ140" s="58" t="s">
        <v>1293</v>
      </c>
      <c r="BK140" s="58" t="s">
        <v>1293</v>
      </c>
      <c r="BL140" s="58" t="s">
        <v>1293</v>
      </c>
      <c r="BM140" s="58" t="s">
        <v>1293</v>
      </c>
      <c r="BN140" s="58" t="s">
        <v>1293</v>
      </c>
      <c r="BO140" s="58" t="s">
        <v>1293</v>
      </c>
      <c r="BP140" s="58" t="s">
        <v>1293</v>
      </c>
      <c r="BQ140" s="58" t="s">
        <v>1293</v>
      </c>
      <c r="BR140" s="58" t="s">
        <v>1293</v>
      </c>
      <c r="BS140" s="58" t="s">
        <v>1293</v>
      </c>
      <c r="BT140" s="58" t="s">
        <v>1293</v>
      </c>
      <c r="BU140" s="72">
        <f t="shared" si="474"/>
        <v>34</v>
      </c>
      <c r="BV140" s="73">
        <f t="shared" si="475"/>
        <v>66</v>
      </c>
      <c r="BW140" s="74">
        <f t="shared" si="476"/>
        <v>70</v>
      </c>
      <c r="BX140" s="73">
        <f t="shared" si="477"/>
        <v>102</v>
      </c>
      <c r="BY140" s="74">
        <f t="shared" si="478"/>
        <v>106</v>
      </c>
      <c r="BZ140" s="73" t="str">
        <f t="shared" si="479"/>
        <v>-</v>
      </c>
      <c r="CA140" s="74">
        <f t="shared" si="480"/>
        <v>149</v>
      </c>
      <c r="CB140" s="73">
        <f t="shared" si="481"/>
        <v>187</v>
      </c>
      <c r="CC140" s="74">
        <f t="shared" si="482"/>
        <v>199</v>
      </c>
      <c r="CD140" s="73">
        <f t="shared" si="483"/>
        <v>241</v>
      </c>
      <c r="CE140" s="74">
        <f t="shared" si="484"/>
        <v>284</v>
      </c>
      <c r="CF140" s="73">
        <f t="shared" si="485"/>
        <v>310</v>
      </c>
      <c r="CG140" s="72">
        <f t="shared" si="486"/>
        <v>65</v>
      </c>
      <c r="CH140" s="73">
        <f t="shared" si="487"/>
        <v>69</v>
      </c>
      <c r="CI140" s="74">
        <f t="shared" si="488"/>
        <v>100</v>
      </c>
      <c r="CJ140" s="74">
        <f t="shared" si="489"/>
        <v>105</v>
      </c>
      <c r="CK140" s="74">
        <f t="shared" si="490"/>
        <v>141</v>
      </c>
      <c r="CL140" s="74" t="str">
        <f t="shared" si="491"/>
        <v>-</v>
      </c>
      <c r="CM140" s="74">
        <f t="shared" si="492"/>
        <v>173</v>
      </c>
      <c r="CN140" s="74">
        <f t="shared" si="493"/>
        <v>189</v>
      </c>
      <c r="CO140" s="74">
        <f t="shared" si="494"/>
        <v>233</v>
      </c>
      <c r="CP140" s="74">
        <f t="shared" si="495"/>
        <v>278</v>
      </c>
      <c r="CQ140" s="74">
        <f t="shared" si="496"/>
        <v>309</v>
      </c>
      <c r="CR140" s="74">
        <f t="shared" si="497"/>
        <v>322</v>
      </c>
      <c r="CS140" s="23">
        <f t="shared" si="498"/>
        <v>1</v>
      </c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</row>
    <row r="141" spans="1:1029" x14ac:dyDescent="0.2">
      <c r="A141" s="3" t="str">
        <f t="shared" si="555"/>
        <v>opsd_bovin_1U19</v>
      </c>
      <c r="B141" s="3" t="s">
        <v>920</v>
      </c>
      <c r="C141" s="3" t="s">
        <v>53</v>
      </c>
      <c r="D141" s="3" t="str">
        <f>IFERROR(MID(VLOOKUP($B141,Seqs!$A:$B,2,0),E141,1),"")</f>
        <v>P</v>
      </c>
      <c r="E141" s="3">
        <v>34</v>
      </c>
      <c r="F141" s="3" t="str">
        <f>IFERROR(MID(VLOOKUP($B141,Seqs!$A:$B,2,0),G141,1),"")</f>
        <v>H</v>
      </c>
      <c r="G141" s="3">
        <v>65</v>
      </c>
      <c r="H141" s="3" t="str">
        <f>IFERROR(MID(VLOOKUP($B141,Seqs!$A:$B,2,0),I141,1),"")</f>
        <v>K</v>
      </c>
      <c r="I141" s="23">
        <v>66</v>
      </c>
      <c r="J141" s="3" t="str">
        <f>IFERROR(MID(VLOOKUP($B141,Seqs!$A:$B,2,0),K141,1),"")</f>
        <v>R</v>
      </c>
      <c r="K141" s="23">
        <v>69</v>
      </c>
      <c r="L141" s="3" t="str">
        <f>IFERROR(MID(VLOOKUP($B141,Seqs!$A:$B,2,0),M141,1),"")</f>
        <v>T</v>
      </c>
      <c r="M141" s="3">
        <v>70</v>
      </c>
      <c r="N141" s="3" t="str">
        <f>IFERROR(MID(VLOOKUP($B141,Seqs!$A:$B,2,0),O141,1),"")</f>
        <v>H</v>
      </c>
      <c r="O141" s="3">
        <v>100</v>
      </c>
      <c r="P141" s="3" t="str">
        <f>IFERROR(MID(VLOOKUP($B141,Seqs!$A:$B,2,0),Q141,1),"")</f>
        <v>Y</v>
      </c>
      <c r="Q141" s="3">
        <v>102</v>
      </c>
      <c r="R141" s="3" t="str">
        <f>IFERROR(MID(VLOOKUP($B141,Seqs!$A:$B,2,0),S141,1),"")</f>
        <v>F</v>
      </c>
      <c r="S141" s="3">
        <v>105</v>
      </c>
      <c r="T141" s="3" t="str">
        <f>IFERROR(MID(VLOOKUP($B141,Seqs!$A:$B,2,0),U141,1),"")</f>
        <v>G</v>
      </c>
      <c r="U141" s="3">
        <v>106</v>
      </c>
      <c r="V141" s="3" t="str">
        <f>IFERROR(MID(VLOOKUP($B141,Seqs!$A:$B,2,0),W141,1),"")</f>
        <v>K</v>
      </c>
      <c r="W141" s="3">
        <v>141</v>
      </c>
      <c r="X141" s="3" t="str">
        <f>IFERROR(MID(VLOOKUP($B141,Seqs!$A:$B,2,0),Y141,1),"")</f>
        <v/>
      </c>
      <c r="Y141" s="3" t="s">
        <v>23</v>
      </c>
      <c r="Z141" s="3" t="str">
        <f>IFERROR(MID(VLOOKUP($B141,Seqs!$A:$B,2,0),AA141,1),"")</f>
        <v/>
      </c>
      <c r="AA141" s="3" t="s">
        <v>23</v>
      </c>
      <c r="AB141" s="3" t="str">
        <f>IFERROR(MID(VLOOKUP($B141,Seqs!$A:$B,2,0),AC141,1),"")</f>
        <v>G</v>
      </c>
      <c r="AC141" s="9">
        <v>149</v>
      </c>
      <c r="AD141" s="3" t="str">
        <f>IFERROR(MID(VLOOKUP($B141,Seqs!$A:$B,2,0),AE141,1),"")</f>
        <v>V</v>
      </c>
      <c r="AE141" s="3">
        <v>173</v>
      </c>
      <c r="AF141" s="3" t="str">
        <f>IFERROR(MID(VLOOKUP($B141,Seqs!$A:$B,2,0),AG141,1),"")</f>
        <v>C</v>
      </c>
      <c r="AG141" s="3">
        <v>187</v>
      </c>
      <c r="AH141" s="3" t="str">
        <f>IFERROR(MID(VLOOKUP($B141,Seqs!$A:$B,2,0),AI141,1),"")</f>
        <v>I</v>
      </c>
      <c r="AI141" s="3">
        <v>189</v>
      </c>
      <c r="AJ141" s="3" t="str">
        <f>IFERROR(MID(VLOOKUP($B141,Seqs!$A:$B,2,0),AK141,1),"")</f>
        <v>N</v>
      </c>
      <c r="AK141" s="3">
        <v>199</v>
      </c>
      <c r="AL141" s="3" t="str">
        <f>IFERROR(MID(VLOOKUP($B141,Seqs!$A:$B,2,0),AM141,1),"")</f>
        <v>Q</v>
      </c>
      <c r="AM141" s="3">
        <v>225</v>
      </c>
      <c r="AN141" s="3" t="str">
        <f>IFERROR(MID(VLOOKUP($B141,Seqs!$A:$B,2,0),AO141,1),"")</f>
        <v>T</v>
      </c>
      <c r="AO141" s="3">
        <v>243</v>
      </c>
      <c r="AP141" s="3" t="str">
        <f>IFERROR(MID(VLOOKUP($B141,Seqs!$A:$B,2,0),AQ141,1),"")</f>
        <v>H</v>
      </c>
      <c r="AQ141" s="3">
        <v>278</v>
      </c>
      <c r="AR141" s="3" t="str">
        <f>IFERROR(MID(VLOOKUP($B141,Seqs!$A:$B,2,0),AS141,1),"")</f>
        <v>G</v>
      </c>
      <c r="AS141" s="3">
        <v>284</v>
      </c>
      <c r="AT141" s="3" t="str">
        <f>IFERROR(MID(VLOOKUP($B141,Seqs!$A:$B,2,0),AU141,1),"")</f>
        <v>M</v>
      </c>
      <c r="AU141" s="3">
        <v>309</v>
      </c>
      <c r="AV141" s="3" t="str">
        <f>IFERROR(MID(VLOOKUP($B141,Seqs!$A:$B,2,0),AW141,1),"")</f>
        <v>N</v>
      </c>
      <c r="AW141" s="3">
        <v>310</v>
      </c>
      <c r="AX141" s="3" t="str">
        <f>IFERROR(MID(VLOOKUP($B141,Seqs!$A:$B,2,0),AY141,1),"")</f>
        <v>C</v>
      </c>
      <c r="AY141" s="3">
        <v>322</v>
      </c>
      <c r="AZ141" s="79" t="str">
        <f>VLOOKUP(B141,Classification!A:D,2,0)</f>
        <v>A</v>
      </c>
      <c r="BA141" s="97" t="str">
        <f>VLOOKUP(B141,Classification!A:D,4,0)</f>
        <v>Opsins</v>
      </c>
      <c r="BB141" s="27" t="b">
        <f t="shared" si="556"/>
        <v>1</v>
      </c>
      <c r="BC141" s="23">
        <f t="shared" si="473"/>
        <v>238</v>
      </c>
      <c r="BD141" s="76" t="s">
        <v>23</v>
      </c>
      <c r="BE141" s="3" t="s">
        <v>1381</v>
      </c>
      <c r="BF141" s="50" t="s">
        <v>1</v>
      </c>
      <c r="BG141" s="50" t="s">
        <v>1384</v>
      </c>
      <c r="BH141" s="1"/>
      <c r="BI141" s="72" t="s">
        <v>1293</v>
      </c>
      <c r="BJ141" s="58" t="s">
        <v>1293</v>
      </c>
      <c r="BK141" s="58" t="s">
        <v>1293</v>
      </c>
      <c r="BL141" s="58" t="s">
        <v>1293</v>
      </c>
      <c r="BM141" s="58" t="s">
        <v>1293</v>
      </c>
      <c r="BN141" s="58" t="s">
        <v>1293</v>
      </c>
      <c r="BO141" s="58" t="s">
        <v>1293</v>
      </c>
      <c r="BP141" s="58" t="s">
        <v>1293</v>
      </c>
      <c r="BQ141" s="58" t="s">
        <v>1293</v>
      </c>
      <c r="BR141" s="58" t="s">
        <v>1293</v>
      </c>
      <c r="BS141" s="58" t="s">
        <v>1293</v>
      </c>
      <c r="BT141" s="58" t="s">
        <v>1293</v>
      </c>
      <c r="BU141" s="72">
        <f t="shared" si="474"/>
        <v>34</v>
      </c>
      <c r="BV141" s="73">
        <f t="shared" si="475"/>
        <v>66</v>
      </c>
      <c r="BW141" s="74">
        <f t="shared" si="476"/>
        <v>70</v>
      </c>
      <c r="BX141" s="73">
        <f t="shared" si="477"/>
        <v>102</v>
      </c>
      <c r="BY141" s="74">
        <f t="shared" si="478"/>
        <v>106</v>
      </c>
      <c r="BZ141" s="73" t="str">
        <f t="shared" si="479"/>
        <v>-</v>
      </c>
      <c r="CA141" s="74">
        <f t="shared" si="480"/>
        <v>149</v>
      </c>
      <c r="CB141" s="73">
        <f t="shared" si="481"/>
        <v>187</v>
      </c>
      <c r="CC141" s="74">
        <f t="shared" si="482"/>
        <v>199</v>
      </c>
      <c r="CD141" s="73">
        <f t="shared" si="483"/>
        <v>243</v>
      </c>
      <c r="CE141" s="74">
        <f t="shared" si="484"/>
        <v>284</v>
      </c>
      <c r="CF141" s="73">
        <f t="shared" si="485"/>
        <v>310</v>
      </c>
      <c r="CG141" s="72">
        <f t="shared" si="486"/>
        <v>65</v>
      </c>
      <c r="CH141" s="73">
        <f t="shared" si="487"/>
        <v>69</v>
      </c>
      <c r="CI141" s="74">
        <f t="shared" si="488"/>
        <v>100</v>
      </c>
      <c r="CJ141" s="74">
        <f t="shared" si="489"/>
        <v>105</v>
      </c>
      <c r="CK141" s="74">
        <f t="shared" si="490"/>
        <v>141</v>
      </c>
      <c r="CL141" s="74" t="str">
        <f t="shared" si="491"/>
        <v>-</v>
      </c>
      <c r="CM141" s="74">
        <f t="shared" si="492"/>
        <v>173</v>
      </c>
      <c r="CN141" s="74">
        <f t="shared" si="493"/>
        <v>189</v>
      </c>
      <c r="CO141" s="74">
        <f t="shared" si="494"/>
        <v>225</v>
      </c>
      <c r="CP141" s="74">
        <f t="shared" si="495"/>
        <v>278</v>
      </c>
      <c r="CQ141" s="74">
        <f t="shared" si="496"/>
        <v>309</v>
      </c>
      <c r="CR141" s="74">
        <f t="shared" si="497"/>
        <v>322</v>
      </c>
      <c r="CS141" s="23">
        <f t="shared" si="498"/>
        <v>1</v>
      </c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</row>
    <row r="142" spans="1:1029" x14ac:dyDescent="0.2">
      <c r="A142" s="3" t="str">
        <f t="shared" si="555"/>
        <v>opsd_bovin_2X72</v>
      </c>
      <c r="B142" s="2" t="s">
        <v>920</v>
      </c>
      <c r="C142" s="3" t="s">
        <v>1376</v>
      </c>
      <c r="D142" s="3" t="str">
        <f>IFERROR(MID(VLOOKUP($B142,Seqs!$A:$B,2,0),E142,1),"")</f>
        <v>P</v>
      </c>
      <c r="E142" s="3">
        <v>34</v>
      </c>
      <c r="F142" s="3" t="str">
        <f>IFERROR(MID(VLOOKUP($B142,Seqs!$A:$B,2,0),G142,1),"")</f>
        <v>H</v>
      </c>
      <c r="G142" s="3">
        <v>65</v>
      </c>
      <c r="H142" s="3" t="str">
        <f>IFERROR(MID(VLOOKUP($B142,Seqs!$A:$B,2,0),I142,1),"")</f>
        <v>K</v>
      </c>
      <c r="I142" s="23">
        <v>66</v>
      </c>
      <c r="J142" s="3" t="str">
        <f>IFERROR(MID(VLOOKUP($B142,Seqs!$A:$B,2,0),K142,1),"")</f>
        <v>R</v>
      </c>
      <c r="K142" s="23">
        <v>69</v>
      </c>
      <c r="L142" s="3" t="str">
        <f>IFERROR(MID(VLOOKUP($B142,Seqs!$A:$B,2,0),M142,1),"")</f>
        <v>T</v>
      </c>
      <c r="M142" s="3">
        <v>70</v>
      </c>
      <c r="N142" s="3" t="str">
        <f>IFERROR(MID(VLOOKUP($B142,Seqs!$A:$B,2,0),O142,1),"")</f>
        <v>H</v>
      </c>
      <c r="O142" s="3">
        <v>100</v>
      </c>
      <c r="P142" s="3" t="str">
        <f>IFERROR(MID(VLOOKUP($B142,Seqs!$A:$B,2,0),Q142,1),"")</f>
        <v>Y</v>
      </c>
      <c r="Q142" s="3">
        <v>102</v>
      </c>
      <c r="R142" s="3" t="str">
        <f>IFERROR(MID(VLOOKUP($B142,Seqs!$A:$B,2,0),S142,1),"")</f>
        <v>F</v>
      </c>
      <c r="S142" s="3">
        <v>105</v>
      </c>
      <c r="T142" s="3" t="str">
        <f>IFERROR(MID(VLOOKUP($B142,Seqs!$A:$B,2,0),U142,1),"")</f>
        <v>G</v>
      </c>
      <c r="U142" s="3">
        <v>106</v>
      </c>
      <c r="V142" s="3" t="str">
        <f>IFERROR(MID(VLOOKUP($B142,Seqs!$A:$B,2,0),W142,1),"")</f>
        <v>K</v>
      </c>
      <c r="W142" s="3">
        <v>141</v>
      </c>
      <c r="X142" s="3" t="str">
        <f>IFERROR(MID(VLOOKUP($B142,Seqs!$A:$B,2,0),Y142,1),"")</f>
        <v/>
      </c>
      <c r="Y142" s="3" t="s">
        <v>23</v>
      </c>
      <c r="Z142" s="3" t="str">
        <f>IFERROR(MID(VLOOKUP($B142,Seqs!$A:$B,2,0),AA142,1),"")</f>
        <v/>
      </c>
      <c r="AA142" s="3" t="s">
        <v>23</v>
      </c>
      <c r="AB142" s="3" t="str">
        <f>IFERROR(MID(VLOOKUP($B142,Seqs!$A:$B,2,0),AC142,1),"")</f>
        <v>G</v>
      </c>
      <c r="AC142" s="9">
        <v>149</v>
      </c>
      <c r="AD142" s="3" t="str">
        <f>IFERROR(MID(VLOOKUP($B142,Seqs!$A:$B,2,0),AE142,1),"")</f>
        <v>V</v>
      </c>
      <c r="AE142" s="3">
        <v>173</v>
      </c>
      <c r="AF142" s="3" t="str">
        <f>IFERROR(MID(VLOOKUP($B142,Seqs!$A:$B,2,0),AG142,1),"")</f>
        <v>C</v>
      </c>
      <c r="AG142" s="3">
        <v>187</v>
      </c>
      <c r="AH142" s="3" t="str">
        <f>IFERROR(MID(VLOOKUP($B142,Seqs!$A:$B,2,0),AI142,1),"")</f>
        <v>I</v>
      </c>
      <c r="AI142" s="3">
        <v>189</v>
      </c>
      <c r="AJ142" s="3" t="str">
        <f>IFERROR(MID(VLOOKUP($B142,Seqs!$A:$B,2,0),AK142,1),"")</f>
        <v>N</v>
      </c>
      <c r="AK142" s="3">
        <v>199</v>
      </c>
      <c r="AL142" s="3" t="str">
        <f>IFERROR(MID(VLOOKUP($B142,Seqs!$A:$B,2,0),AM142,1),"")</f>
        <v>Q</v>
      </c>
      <c r="AM142" s="3">
        <v>237</v>
      </c>
      <c r="AN142" s="3" t="str">
        <f>IFERROR(MID(VLOOKUP($B142,Seqs!$A:$B,2,0),AO142,1),"")</f>
        <v>A</v>
      </c>
      <c r="AO142" s="3">
        <v>241</v>
      </c>
      <c r="AP142" s="3" t="str">
        <f>IFERROR(MID(VLOOKUP($B142,Seqs!$A:$B,2,0),AQ142,1),"")</f>
        <v>H</v>
      </c>
      <c r="AQ142" s="3">
        <v>278</v>
      </c>
      <c r="AR142" s="3" t="str">
        <f>IFERROR(MID(VLOOKUP($B142,Seqs!$A:$B,2,0),AS142,1),"")</f>
        <v>G</v>
      </c>
      <c r="AS142" s="3">
        <v>284</v>
      </c>
      <c r="AT142" s="3" t="str">
        <f>IFERROR(MID(VLOOKUP($B142,Seqs!$A:$B,2,0),AU142,1),"")</f>
        <v>M</v>
      </c>
      <c r="AU142" s="3">
        <v>309</v>
      </c>
      <c r="AV142" s="3" t="str">
        <f>IFERROR(MID(VLOOKUP($B142,Seqs!$A:$B,2,0),AW142,1),"")</f>
        <v>N</v>
      </c>
      <c r="AW142" s="3">
        <v>310</v>
      </c>
      <c r="AX142" s="3" t="str">
        <f>IFERROR(MID(VLOOKUP($B142,Seqs!$A:$B,2,0),AY142,1),"")</f>
        <v>C</v>
      </c>
      <c r="AY142" s="3">
        <v>322</v>
      </c>
      <c r="AZ142" s="79" t="str">
        <f>VLOOKUP(B142,Classification!A:D,2,0)</f>
        <v>A</v>
      </c>
      <c r="BA142" s="97" t="str">
        <f>VLOOKUP(B142,Classification!A:D,4,0)</f>
        <v>Opsins</v>
      </c>
      <c r="BB142" s="27" t="b">
        <f t="shared" ref="BB142" si="585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23">
        <f t="shared" ref="BC142" si="586">_xlfn.AGGREGATE(9,6,CG142:CR142)-_xlfn.AGGREGATE(9,6,BU142:CF142)+12</f>
        <v>252</v>
      </c>
      <c r="BD142" s="57" t="s">
        <v>23</v>
      </c>
      <c r="BE142" s="3" t="s">
        <v>1297</v>
      </c>
      <c r="BF142" s="50" t="s">
        <v>1384</v>
      </c>
      <c r="BG142" s="50" t="s">
        <v>1384</v>
      </c>
      <c r="BH142" s="1"/>
      <c r="BI142" s="72" t="s">
        <v>1293</v>
      </c>
      <c r="BJ142" s="58" t="s">
        <v>1293</v>
      </c>
      <c r="BK142" s="58" t="s">
        <v>1293</v>
      </c>
      <c r="BL142" s="58" t="s">
        <v>1293</v>
      </c>
      <c r="BM142" s="58" t="s">
        <v>1293</v>
      </c>
      <c r="BN142" s="58" t="s">
        <v>1293</v>
      </c>
      <c r="BO142" s="58" t="s">
        <v>1293</v>
      </c>
      <c r="BP142" s="58" t="s">
        <v>1293</v>
      </c>
      <c r="BQ142" s="58" t="s">
        <v>1293</v>
      </c>
      <c r="BR142" s="58" t="s">
        <v>1293</v>
      </c>
      <c r="BS142" s="58" t="s">
        <v>1293</v>
      </c>
      <c r="BT142" s="58" t="s">
        <v>1293</v>
      </c>
      <c r="BU142" s="72">
        <f t="shared" ref="BU142" si="587">E142</f>
        <v>34</v>
      </c>
      <c r="BV142" s="73">
        <f t="shared" ref="BV142" si="588">I142</f>
        <v>66</v>
      </c>
      <c r="BW142" s="74">
        <f t="shared" ref="BW142" si="589">M142</f>
        <v>70</v>
      </c>
      <c r="BX142" s="73">
        <f t="shared" ref="BX142" si="590">Q142</f>
        <v>102</v>
      </c>
      <c r="BY142" s="74">
        <f t="shared" ref="BY142" si="591">U142</f>
        <v>106</v>
      </c>
      <c r="BZ142" s="73" t="str">
        <f t="shared" ref="BZ142" si="592">Y142</f>
        <v>-</v>
      </c>
      <c r="CA142" s="74">
        <f t="shared" ref="CA142" si="593">AC142</f>
        <v>149</v>
      </c>
      <c r="CB142" s="73">
        <f t="shared" ref="CB142" si="594">AG142</f>
        <v>187</v>
      </c>
      <c r="CC142" s="74">
        <f t="shared" ref="CC142" si="595">AK142</f>
        <v>199</v>
      </c>
      <c r="CD142" s="73">
        <f t="shared" ref="CD142" si="596">AO142</f>
        <v>241</v>
      </c>
      <c r="CE142" s="74">
        <f t="shared" ref="CE142" si="597">AS142</f>
        <v>284</v>
      </c>
      <c r="CF142" s="73">
        <f t="shared" ref="CF142" si="598">AW142</f>
        <v>310</v>
      </c>
      <c r="CG142" s="72">
        <f t="shared" ref="CG142" si="599">G142</f>
        <v>65</v>
      </c>
      <c r="CH142" s="73">
        <f t="shared" ref="CH142" si="600">K142</f>
        <v>69</v>
      </c>
      <c r="CI142" s="74">
        <f t="shared" ref="CI142" si="601">O142</f>
        <v>100</v>
      </c>
      <c r="CJ142" s="74">
        <f t="shared" ref="CJ142" si="602">S142</f>
        <v>105</v>
      </c>
      <c r="CK142" s="74">
        <f t="shared" ref="CK142" si="603">W142</f>
        <v>141</v>
      </c>
      <c r="CL142" s="74" t="str">
        <f t="shared" ref="CL142" si="604">AA142</f>
        <v>-</v>
      </c>
      <c r="CM142" s="74">
        <f t="shared" ref="CM142" si="605">AE142</f>
        <v>173</v>
      </c>
      <c r="CN142" s="74">
        <f t="shared" ref="CN142" si="606">AI142</f>
        <v>189</v>
      </c>
      <c r="CO142" s="74">
        <f t="shared" ref="CO142" si="607">AM142</f>
        <v>237</v>
      </c>
      <c r="CP142" s="74">
        <f t="shared" ref="CP142" si="608">AQ142</f>
        <v>278</v>
      </c>
      <c r="CQ142" s="74">
        <f t="shared" ref="CQ142" si="609">AU142</f>
        <v>309</v>
      </c>
      <c r="CR142" s="74">
        <f t="shared" ref="CR142" si="610">AY142</f>
        <v>322</v>
      </c>
      <c r="CS142" s="23">
        <f t="shared" ref="CS142" si="611">M142-K142</f>
        <v>1</v>
      </c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  <c r="ALU142" s="6"/>
      <c r="ALV142" s="6"/>
      <c r="ALW142" s="6"/>
      <c r="ALX142" s="6"/>
      <c r="ALY142" s="6"/>
      <c r="ALZ142" s="6"/>
      <c r="AMA142" s="6"/>
      <c r="AMB142" s="6"/>
      <c r="AMC142" s="6"/>
      <c r="AMD142" s="6"/>
      <c r="AME142" s="6"/>
      <c r="AMF142" s="6"/>
      <c r="AMG142" s="6"/>
      <c r="AMH142" s="6"/>
      <c r="AMI142" s="6"/>
      <c r="AMJ142" s="6"/>
      <c r="AMK142" s="6"/>
      <c r="AML142" s="6"/>
      <c r="AMM142" s="6"/>
      <c r="AMN142" s="6"/>
      <c r="AMO142" s="6"/>
    </row>
    <row r="143" spans="1:1029" x14ac:dyDescent="0.2">
      <c r="A143" s="3" t="str">
        <f t="shared" si="555"/>
        <v>opsd_bovin_3DQB</v>
      </c>
      <c r="B143" s="3" t="s">
        <v>920</v>
      </c>
      <c r="C143" s="3" t="s">
        <v>54</v>
      </c>
      <c r="D143" s="3" t="str">
        <f>IFERROR(MID(VLOOKUP($B143,Seqs!$A:$B,2,0),E143,1),"")</f>
        <v>P</v>
      </c>
      <c r="E143" s="3">
        <v>34</v>
      </c>
      <c r="F143" s="3" t="str">
        <f>IFERROR(MID(VLOOKUP($B143,Seqs!$A:$B,2,0),G143,1),"")</f>
        <v>H</v>
      </c>
      <c r="G143" s="3">
        <v>65</v>
      </c>
      <c r="H143" s="3" t="str">
        <f>IFERROR(MID(VLOOKUP($B143,Seqs!$A:$B,2,0),I143,1),"")</f>
        <v>K</v>
      </c>
      <c r="I143" s="23">
        <v>66</v>
      </c>
      <c r="J143" s="3" t="str">
        <f>IFERROR(MID(VLOOKUP($B143,Seqs!$A:$B,2,0),K143,1),"")</f>
        <v>R</v>
      </c>
      <c r="K143" s="23">
        <v>69</v>
      </c>
      <c r="L143" s="3" t="str">
        <f>IFERROR(MID(VLOOKUP($B143,Seqs!$A:$B,2,0),M143,1),"")</f>
        <v>T</v>
      </c>
      <c r="M143" s="3">
        <v>70</v>
      </c>
      <c r="N143" s="3" t="str">
        <f>IFERROR(MID(VLOOKUP($B143,Seqs!$A:$B,2,0),O143,1),"")</f>
        <v>H</v>
      </c>
      <c r="O143" s="3">
        <v>100</v>
      </c>
      <c r="P143" s="3" t="str">
        <f>IFERROR(MID(VLOOKUP($B143,Seqs!$A:$B,2,0),Q143,1),"")</f>
        <v>Y</v>
      </c>
      <c r="Q143" s="3">
        <v>102</v>
      </c>
      <c r="R143" s="3" t="str">
        <f>IFERROR(MID(VLOOKUP($B143,Seqs!$A:$B,2,0),S143,1),"")</f>
        <v>F</v>
      </c>
      <c r="S143" s="3">
        <v>105</v>
      </c>
      <c r="T143" s="3" t="str">
        <f>IFERROR(MID(VLOOKUP($B143,Seqs!$A:$B,2,0),U143,1),"")</f>
        <v>G</v>
      </c>
      <c r="U143" s="3">
        <v>106</v>
      </c>
      <c r="V143" s="3" t="str">
        <f>IFERROR(MID(VLOOKUP($B143,Seqs!$A:$B,2,0),W143,1),"")</f>
        <v>K</v>
      </c>
      <c r="W143" s="3">
        <v>141</v>
      </c>
      <c r="X143" s="3" t="str">
        <f>IFERROR(MID(VLOOKUP($B143,Seqs!$A:$B,2,0),Y143,1),"")</f>
        <v/>
      </c>
      <c r="Y143" s="3" t="s">
        <v>23</v>
      </c>
      <c r="Z143" s="3" t="str">
        <f>IFERROR(MID(VLOOKUP($B143,Seqs!$A:$B,2,0),AA143,1),"")</f>
        <v/>
      </c>
      <c r="AA143" s="3" t="s">
        <v>23</v>
      </c>
      <c r="AB143" s="3" t="str">
        <f>IFERROR(MID(VLOOKUP($B143,Seqs!$A:$B,2,0),AC143,1),"")</f>
        <v>G</v>
      </c>
      <c r="AC143" s="9">
        <v>149</v>
      </c>
      <c r="AD143" s="3" t="str">
        <f>IFERROR(MID(VLOOKUP($B143,Seqs!$A:$B,2,0),AE143,1),"")</f>
        <v>V</v>
      </c>
      <c r="AE143" s="3">
        <v>173</v>
      </c>
      <c r="AF143" s="3" t="str">
        <f>IFERROR(MID(VLOOKUP($B143,Seqs!$A:$B,2,0),AG143,1),"")</f>
        <v>C</v>
      </c>
      <c r="AG143" s="3">
        <v>187</v>
      </c>
      <c r="AH143" s="3" t="str">
        <f>IFERROR(MID(VLOOKUP($B143,Seqs!$A:$B,2,0),AI143,1),"")</f>
        <v>I</v>
      </c>
      <c r="AI143" s="3">
        <v>189</v>
      </c>
      <c r="AJ143" s="3" t="str">
        <f>IFERROR(MID(VLOOKUP($B143,Seqs!$A:$B,2,0),AK143,1),"")</f>
        <v>N</v>
      </c>
      <c r="AK143" s="3">
        <v>199</v>
      </c>
      <c r="AL143" s="3" t="str">
        <f>IFERROR(MID(VLOOKUP($B143,Seqs!$A:$B,2,0),AM143,1),"")</f>
        <v>Q</v>
      </c>
      <c r="AM143" s="3">
        <v>237</v>
      </c>
      <c r="AN143" s="3" t="str">
        <f>IFERROR(MID(VLOOKUP($B143,Seqs!$A:$B,2,0),AO143,1),"")</f>
        <v>A</v>
      </c>
      <c r="AO143" s="3">
        <v>241</v>
      </c>
      <c r="AP143" s="3" t="str">
        <f>IFERROR(MID(VLOOKUP($B143,Seqs!$A:$B,2,0),AQ143,1),"")</f>
        <v>H</v>
      </c>
      <c r="AQ143" s="3">
        <v>278</v>
      </c>
      <c r="AR143" s="3" t="str">
        <f>IFERROR(MID(VLOOKUP($B143,Seqs!$A:$B,2,0),AS143,1),"")</f>
        <v>G</v>
      </c>
      <c r="AS143" s="3">
        <v>284</v>
      </c>
      <c r="AT143" s="3" t="str">
        <f>IFERROR(MID(VLOOKUP($B143,Seqs!$A:$B,2,0),AU143,1),"")</f>
        <v>M</v>
      </c>
      <c r="AU143" s="3">
        <v>309</v>
      </c>
      <c r="AV143" s="3" t="str">
        <f>IFERROR(MID(VLOOKUP($B143,Seqs!$A:$B,2,0),AW143,1),"")</f>
        <v>N</v>
      </c>
      <c r="AW143" s="3">
        <v>310</v>
      </c>
      <c r="AX143" s="3" t="str">
        <f>IFERROR(MID(VLOOKUP($B143,Seqs!$A:$B,2,0),AY143,1),"")</f>
        <v>C</v>
      </c>
      <c r="AY143" s="3">
        <v>322</v>
      </c>
      <c r="AZ143" s="79" t="str">
        <f>VLOOKUP(B143,Classification!A:D,2,0)</f>
        <v>A</v>
      </c>
      <c r="BA143" s="97" t="str">
        <f>VLOOKUP(B143,Classification!A:D,4,0)</f>
        <v>Opsins</v>
      </c>
      <c r="BB143" s="27" t="b">
        <f t="shared" si="556"/>
        <v>1</v>
      </c>
      <c r="BC143" s="23">
        <f>_xlfn.AGGREGATE(9,6,CG143:CR143)-_xlfn.AGGREGATE(9,6,BU143:CF143)+12</f>
        <v>252</v>
      </c>
      <c r="BD143" s="76" t="s">
        <v>23</v>
      </c>
      <c r="BE143" s="3" t="s">
        <v>1297</v>
      </c>
      <c r="BF143" s="50" t="s">
        <v>1384</v>
      </c>
      <c r="BG143" s="50" t="s">
        <v>1384</v>
      </c>
      <c r="BH143" s="1"/>
      <c r="BI143" s="72" t="s">
        <v>1293</v>
      </c>
      <c r="BJ143" s="58" t="s">
        <v>1293</v>
      </c>
      <c r="BK143" s="58" t="s">
        <v>1293</v>
      </c>
      <c r="BL143" s="58" t="s">
        <v>1293</v>
      </c>
      <c r="BM143" s="58" t="s">
        <v>1293</v>
      </c>
      <c r="BN143" s="58" t="s">
        <v>1293</v>
      </c>
      <c r="BO143" s="58" t="s">
        <v>1293</v>
      </c>
      <c r="BP143" s="58" t="s">
        <v>1293</v>
      </c>
      <c r="BQ143" s="58" t="s">
        <v>1293</v>
      </c>
      <c r="BR143" s="58" t="s">
        <v>1293</v>
      </c>
      <c r="BS143" s="58" t="s">
        <v>1293</v>
      </c>
      <c r="BT143" s="58" t="s">
        <v>1293</v>
      </c>
      <c r="BU143" s="72">
        <f>E143</f>
        <v>34</v>
      </c>
      <c r="BV143" s="73">
        <f>I143</f>
        <v>66</v>
      </c>
      <c r="BW143" s="74">
        <f>M143</f>
        <v>70</v>
      </c>
      <c r="BX143" s="73">
        <f>Q143</f>
        <v>102</v>
      </c>
      <c r="BY143" s="74">
        <f>U143</f>
        <v>106</v>
      </c>
      <c r="BZ143" s="73" t="str">
        <f>Y143</f>
        <v>-</v>
      </c>
      <c r="CA143" s="74">
        <f>AC143</f>
        <v>149</v>
      </c>
      <c r="CB143" s="73">
        <f>AG143</f>
        <v>187</v>
      </c>
      <c r="CC143" s="74">
        <f>AK143</f>
        <v>199</v>
      </c>
      <c r="CD143" s="73">
        <f>AO143</f>
        <v>241</v>
      </c>
      <c r="CE143" s="74">
        <f>AS143</f>
        <v>284</v>
      </c>
      <c r="CF143" s="73">
        <f>AW143</f>
        <v>310</v>
      </c>
      <c r="CG143" s="72">
        <f>G143</f>
        <v>65</v>
      </c>
      <c r="CH143" s="73">
        <f>K143</f>
        <v>69</v>
      </c>
      <c r="CI143" s="74">
        <f>O143</f>
        <v>100</v>
      </c>
      <c r="CJ143" s="74">
        <f>S143</f>
        <v>105</v>
      </c>
      <c r="CK143" s="74">
        <f>W143</f>
        <v>141</v>
      </c>
      <c r="CL143" s="74" t="str">
        <f>AA143</f>
        <v>-</v>
      </c>
      <c r="CM143" s="74">
        <f>AE143</f>
        <v>173</v>
      </c>
      <c r="CN143" s="74">
        <f>AI143</f>
        <v>189</v>
      </c>
      <c r="CO143" s="74">
        <f>AM143</f>
        <v>237</v>
      </c>
      <c r="CP143" s="74">
        <f>AQ143</f>
        <v>278</v>
      </c>
      <c r="CQ143" s="74">
        <f>AU143</f>
        <v>309</v>
      </c>
      <c r="CR143" s="74">
        <f>AY143</f>
        <v>322</v>
      </c>
      <c r="CS143" s="23">
        <f>M143-K143</f>
        <v>1</v>
      </c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</row>
    <row r="144" spans="1:1029" x14ac:dyDescent="0.2">
      <c r="A144" s="3" t="str">
        <f t="shared" si="555"/>
        <v>opsd_bovin_3PQR</v>
      </c>
      <c r="B144" s="3" t="s">
        <v>920</v>
      </c>
      <c r="C144" s="3" t="s">
        <v>1033</v>
      </c>
      <c r="D144" s="3" t="str">
        <f>IFERROR(MID(VLOOKUP($B144,Seqs!$A:$B,2,0),E144,1),"")</f>
        <v>P</v>
      </c>
      <c r="E144" s="3">
        <v>34</v>
      </c>
      <c r="F144" s="3" t="str">
        <f>IFERROR(MID(VLOOKUP($B144,Seqs!$A:$B,2,0),G144,1),"")</f>
        <v>H</v>
      </c>
      <c r="G144" s="3">
        <v>65</v>
      </c>
      <c r="H144" s="3" t="str">
        <f>IFERROR(MID(VLOOKUP($B144,Seqs!$A:$B,2,0),I144,1),"")</f>
        <v>K</v>
      </c>
      <c r="I144" s="23">
        <v>66</v>
      </c>
      <c r="J144" s="3" t="str">
        <f>IFERROR(MID(VLOOKUP($B144,Seqs!$A:$B,2,0),K144,1),"")</f>
        <v>R</v>
      </c>
      <c r="K144" s="23">
        <v>69</v>
      </c>
      <c r="L144" s="3" t="str">
        <f>IFERROR(MID(VLOOKUP($B144,Seqs!$A:$B,2,0),M144,1),"")</f>
        <v>T</v>
      </c>
      <c r="M144" s="3">
        <v>70</v>
      </c>
      <c r="N144" s="3" t="str">
        <f>IFERROR(MID(VLOOKUP($B144,Seqs!$A:$B,2,0),O144,1),"")</f>
        <v>H</v>
      </c>
      <c r="O144" s="3">
        <v>100</v>
      </c>
      <c r="P144" s="3" t="str">
        <f>IFERROR(MID(VLOOKUP($B144,Seqs!$A:$B,2,0),Q144,1),"")</f>
        <v>Y</v>
      </c>
      <c r="Q144" s="3">
        <v>102</v>
      </c>
      <c r="R144" s="3" t="str">
        <f>IFERROR(MID(VLOOKUP($B144,Seqs!$A:$B,2,0),S144,1),"")</f>
        <v>F</v>
      </c>
      <c r="S144" s="3">
        <v>105</v>
      </c>
      <c r="T144" s="3" t="str">
        <f>IFERROR(MID(VLOOKUP($B144,Seqs!$A:$B,2,0),U144,1),"")</f>
        <v>G</v>
      </c>
      <c r="U144" s="3">
        <v>106</v>
      </c>
      <c r="V144" s="3" t="str">
        <f>IFERROR(MID(VLOOKUP($B144,Seqs!$A:$B,2,0),W144,1),"")</f>
        <v>K</v>
      </c>
      <c r="W144" s="3">
        <v>141</v>
      </c>
      <c r="X144" s="3" t="str">
        <f>IFERROR(MID(VLOOKUP($B144,Seqs!$A:$B,2,0),Y144,1),"")</f>
        <v/>
      </c>
      <c r="Y144" s="3" t="s">
        <v>23</v>
      </c>
      <c r="Z144" s="3" t="str">
        <f>IFERROR(MID(VLOOKUP($B144,Seqs!$A:$B,2,0),AA144,1),"")</f>
        <v/>
      </c>
      <c r="AA144" s="3" t="s">
        <v>23</v>
      </c>
      <c r="AB144" s="3" t="str">
        <f>IFERROR(MID(VLOOKUP($B144,Seqs!$A:$B,2,0),AC144,1),"")</f>
        <v>G</v>
      </c>
      <c r="AC144" s="9">
        <v>149</v>
      </c>
      <c r="AD144" s="3" t="str">
        <f>IFERROR(MID(VLOOKUP($B144,Seqs!$A:$B,2,0),AE144,1),"")</f>
        <v>V</v>
      </c>
      <c r="AE144" s="3">
        <v>173</v>
      </c>
      <c r="AF144" s="3" t="str">
        <f>IFERROR(MID(VLOOKUP($B144,Seqs!$A:$B,2,0),AG144,1),"")</f>
        <v>C</v>
      </c>
      <c r="AG144" s="3">
        <v>187</v>
      </c>
      <c r="AH144" s="3" t="str">
        <f>IFERROR(MID(VLOOKUP($B144,Seqs!$A:$B,2,0),AI144,1),"")</f>
        <v>I</v>
      </c>
      <c r="AI144" s="3">
        <v>189</v>
      </c>
      <c r="AJ144" s="3" t="str">
        <f>IFERROR(MID(VLOOKUP($B144,Seqs!$A:$B,2,0),AK144,1),"")</f>
        <v>N</v>
      </c>
      <c r="AK144" s="3">
        <v>199</v>
      </c>
      <c r="AL144" s="3" t="str">
        <f>IFERROR(MID(VLOOKUP($B144,Seqs!$A:$B,2,0),AM144,1),"")</f>
        <v>Q</v>
      </c>
      <c r="AM144" s="3">
        <v>237</v>
      </c>
      <c r="AN144" s="3" t="str">
        <f>IFERROR(MID(VLOOKUP($B144,Seqs!$A:$B,2,0),AO144,1),"")</f>
        <v>A</v>
      </c>
      <c r="AO144" s="3">
        <v>241</v>
      </c>
      <c r="AP144" s="3" t="str">
        <f>IFERROR(MID(VLOOKUP($B144,Seqs!$A:$B,2,0),AQ144,1),"")</f>
        <v>H</v>
      </c>
      <c r="AQ144" s="3">
        <v>278</v>
      </c>
      <c r="AR144" s="3" t="str">
        <f>IFERROR(MID(VLOOKUP($B144,Seqs!$A:$B,2,0),AS144,1),"")</f>
        <v>G</v>
      </c>
      <c r="AS144" s="3">
        <v>284</v>
      </c>
      <c r="AT144" s="3" t="str">
        <f>IFERROR(MID(VLOOKUP($B144,Seqs!$A:$B,2,0),AU144,1),"")</f>
        <v>M</v>
      </c>
      <c r="AU144" s="3">
        <v>309</v>
      </c>
      <c r="AV144" s="3" t="str">
        <f>IFERROR(MID(VLOOKUP($B144,Seqs!$A:$B,2,0),AW144,1),"")</f>
        <v>N</v>
      </c>
      <c r="AW144" s="3">
        <v>310</v>
      </c>
      <c r="AX144" s="3" t="str">
        <f>IFERROR(MID(VLOOKUP($B144,Seqs!$A:$B,2,0),AY144,1),"")</f>
        <v>C</v>
      </c>
      <c r="AY144" s="3">
        <v>322</v>
      </c>
      <c r="AZ144" s="79" t="str">
        <f>VLOOKUP(B144,Classification!A:D,2,0)</f>
        <v>A</v>
      </c>
      <c r="BA144" s="97" t="str">
        <f>VLOOKUP(B144,Classification!A:D,4,0)</f>
        <v>Opsins</v>
      </c>
      <c r="BB144" s="27" t="b">
        <f t="shared" si="556"/>
        <v>1</v>
      </c>
      <c r="BC144" s="23">
        <f>_xlfn.AGGREGATE(9,6,CG144:CR144)-_xlfn.AGGREGATE(9,6,BU144:CF144)+12</f>
        <v>252</v>
      </c>
      <c r="BD144" s="4" t="s">
        <v>23</v>
      </c>
      <c r="BE144" s="3" t="s">
        <v>1297</v>
      </c>
      <c r="BF144" s="50" t="s">
        <v>1384</v>
      </c>
      <c r="BG144" s="50" t="s">
        <v>1384</v>
      </c>
      <c r="BH144" s="1"/>
      <c r="BI144" s="72" t="s">
        <v>1293</v>
      </c>
      <c r="BJ144" s="58" t="s">
        <v>1293</v>
      </c>
      <c r="BK144" s="58" t="s">
        <v>1293</v>
      </c>
      <c r="BL144" s="58" t="s">
        <v>1293</v>
      </c>
      <c r="BM144" s="58" t="s">
        <v>1293</v>
      </c>
      <c r="BN144" s="58" t="s">
        <v>1293</v>
      </c>
      <c r="BO144" s="58" t="s">
        <v>1293</v>
      </c>
      <c r="BP144" s="58" t="s">
        <v>1293</v>
      </c>
      <c r="BQ144" s="58" t="s">
        <v>1293</v>
      </c>
      <c r="BR144" s="58" t="s">
        <v>1293</v>
      </c>
      <c r="BS144" s="58" t="s">
        <v>1293</v>
      </c>
      <c r="BT144" s="58" t="s">
        <v>1293</v>
      </c>
      <c r="BU144" s="72">
        <f>E144</f>
        <v>34</v>
      </c>
      <c r="BV144" s="73">
        <f>I144</f>
        <v>66</v>
      </c>
      <c r="BW144" s="74">
        <f>M144</f>
        <v>70</v>
      </c>
      <c r="BX144" s="73">
        <f>Q144</f>
        <v>102</v>
      </c>
      <c r="BY144" s="74">
        <f>U144</f>
        <v>106</v>
      </c>
      <c r="BZ144" s="73" t="str">
        <f>Y144</f>
        <v>-</v>
      </c>
      <c r="CA144" s="74">
        <f>AC144</f>
        <v>149</v>
      </c>
      <c r="CB144" s="73">
        <f>AG144</f>
        <v>187</v>
      </c>
      <c r="CC144" s="74">
        <f>AK144</f>
        <v>199</v>
      </c>
      <c r="CD144" s="73">
        <f>AO144</f>
        <v>241</v>
      </c>
      <c r="CE144" s="74">
        <f>AS144</f>
        <v>284</v>
      </c>
      <c r="CF144" s="73">
        <f>AW144</f>
        <v>310</v>
      </c>
      <c r="CG144" s="72">
        <f>G144</f>
        <v>65</v>
      </c>
      <c r="CH144" s="73">
        <f>K144</f>
        <v>69</v>
      </c>
      <c r="CI144" s="74">
        <f>O144</f>
        <v>100</v>
      </c>
      <c r="CJ144" s="74">
        <f>S144</f>
        <v>105</v>
      </c>
      <c r="CK144" s="74">
        <f>W144</f>
        <v>141</v>
      </c>
      <c r="CL144" s="74" t="str">
        <f>AA144</f>
        <v>-</v>
      </c>
      <c r="CM144" s="74">
        <f>AE144</f>
        <v>173</v>
      </c>
      <c r="CN144" s="74">
        <f>AI144</f>
        <v>189</v>
      </c>
      <c r="CO144" s="74">
        <f>AM144</f>
        <v>237</v>
      </c>
      <c r="CP144" s="74">
        <f>AQ144</f>
        <v>278</v>
      </c>
      <c r="CQ144" s="74">
        <f>AU144</f>
        <v>309</v>
      </c>
      <c r="CR144" s="74">
        <f>AY144</f>
        <v>322</v>
      </c>
      <c r="CS144" s="23">
        <f>M144-K144</f>
        <v>1</v>
      </c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</row>
    <row r="145" spans="1:1029" x14ac:dyDescent="0.2">
      <c r="A145" s="3" t="str">
        <f t="shared" si="555"/>
        <v>opsd_bovin_4A4M</v>
      </c>
      <c r="B145" s="2" t="s">
        <v>920</v>
      </c>
      <c r="C145" s="3" t="s">
        <v>1377</v>
      </c>
      <c r="D145" s="3" t="str">
        <f>IFERROR(MID(VLOOKUP($B145,Seqs!$A:$B,2,0),E145,1),"")</f>
        <v>P</v>
      </c>
      <c r="E145" s="3">
        <v>34</v>
      </c>
      <c r="F145" s="3" t="str">
        <f>IFERROR(MID(VLOOKUP($B145,Seqs!$A:$B,2,0),G145,1),"")</f>
        <v>H</v>
      </c>
      <c r="G145" s="3">
        <v>65</v>
      </c>
      <c r="H145" s="3" t="str">
        <f>IFERROR(MID(VLOOKUP($B145,Seqs!$A:$B,2,0),I145,1),"")</f>
        <v>K</v>
      </c>
      <c r="I145" s="23">
        <v>66</v>
      </c>
      <c r="J145" s="3" t="str">
        <f>IFERROR(MID(VLOOKUP($B145,Seqs!$A:$B,2,0),K145,1),"")</f>
        <v>R</v>
      </c>
      <c r="K145" s="23">
        <v>69</v>
      </c>
      <c r="L145" s="3" t="str">
        <f>IFERROR(MID(VLOOKUP($B145,Seqs!$A:$B,2,0),M145,1),"")</f>
        <v>T</v>
      </c>
      <c r="M145" s="3">
        <v>70</v>
      </c>
      <c r="N145" s="3" t="str">
        <f>IFERROR(MID(VLOOKUP($B145,Seqs!$A:$B,2,0),O145,1),"")</f>
        <v>H</v>
      </c>
      <c r="O145" s="3">
        <v>100</v>
      </c>
      <c r="P145" s="3" t="str">
        <f>IFERROR(MID(VLOOKUP($B145,Seqs!$A:$B,2,0),Q145,1),"")</f>
        <v>Y</v>
      </c>
      <c r="Q145" s="3">
        <v>102</v>
      </c>
      <c r="R145" s="3" t="str">
        <f>IFERROR(MID(VLOOKUP($B145,Seqs!$A:$B,2,0),S145,1),"")</f>
        <v>F</v>
      </c>
      <c r="S145" s="3">
        <v>105</v>
      </c>
      <c r="T145" s="3" t="str">
        <f>IFERROR(MID(VLOOKUP($B145,Seqs!$A:$B,2,0),U145,1),"")</f>
        <v>G</v>
      </c>
      <c r="U145" s="3">
        <v>106</v>
      </c>
      <c r="V145" s="3" t="str">
        <f>IFERROR(MID(VLOOKUP($B145,Seqs!$A:$B,2,0),W145,1),"")</f>
        <v>K</v>
      </c>
      <c r="W145" s="3">
        <v>141</v>
      </c>
      <c r="X145" s="3" t="str">
        <f>IFERROR(MID(VLOOKUP($B145,Seqs!$A:$B,2,0),Y145,1),"")</f>
        <v/>
      </c>
      <c r="Y145" s="3" t="s">
        <v>23</v>
      </c>
      <c r="Z145" s="3" t="str">
        <f>IFERROR(MID(VLOOKUP($B145,Seqs!$A:$B,2,0),AA145,1),"")</f>
        <v/>
      </c>
      <c r="AA145" s="3" t="s">
        <v>23</v>
      </c>
      <c r="AB145" s="3" t="str">
        <f>IFERROR(MID(VLOOKUP($B145,Seqs!$A:$B,2,0),AC145,1),"")</f>
        <v>G</v>
      </c>
      <c r="AC145" s="9">
        <v>149</v>
      </c>
      <c r="AD145" s="3" t="str">
        <f>IFERROR(MID(VLOOKUP($B145,Seqs!$A:$B,2,0),AE145,1),"")</f>
        <v>V</v>
      </c>
      <c r="AE145" s="3">
        <v>173</v>
      </c>
      <c r="AF145" s="3" t="str">
        <f>IFERROR(MID(VLOOKUP($B145,Seqs!$A:$B,2,0),AG145,1),"")</f>
        <v>C</v>
      </c>
      <c r="AG145" s="3">
        <v>187</v>
      </c>
      <c r="AH145" s="3" t="str">
        <f>IFERROR(MID(VLOOKUP($B145,Seqs!$A:$B,2,0),AI145,1),"")</f>
        <v>I</v>
      </c>
      <c r="AI145" s="3">
        <v>189</v>
      </c>
      <c r="AJ145" s="3" t="str">
        <f>IFERROR(MID(VLOOKUP($B145,Seqs!$A:$B,2,0),AK145,1),"")</f>
        <v>N</v>
      </c>
      <c r="AK145" s="3">
        <v>199</v>
      </c>
      <c r="AL145" s="3" t="str">
        <f>IFERROR(MID(VLOOKUP($B145,Seqs!$A:$B,2,0),AM145,1),"")</f>
        <v>Q</v>
      </c>
      <c r="AM145" s="3">
        <v>237</v>
      </c>
      <c r="AN145" s="3" t="str">
        <f>IFERROR(MID(VLOOKUP($B145,Seqs!$A:$B,2,0),AO145,1),"")</f>
        <v>A</v>
      </c>
      <c r="AO145" s="3">
        <v>241</v>
      </c>
      <c r="AP145" s="3" t="str">
        <f>IFERROR(MID(VLOOKUP($B145,Seqs!$A:$B,2,0),AQ145,1),"")</f>
        <v>H</v>
      </c>
      <c r="AQ145" s="3">
        <v>278</v>
      </c>
      <c r="AR145" s="3" t="str">
        <f>IFERROR(MID(VLOOKUP($B145,Seqs!$A:$B,2,0),AS145,1),"")</f>
        <v>G</v>
      </c>
      <c r="AS145" s="3">
        <v>284</v>
      </c>
      <c r="AT145" s="3" t="str">
        <f>IFERROR(MID(VLOOKUP($B145,Seqs!$A:$B,2,0),AU145,1),"")</f>
        <v>M</v>
      </c>
      <c r="AU145" s="3">
        <v>309</v>
      </c>
      <c r="AV145" s="3" t="str">
        <f>IFERROR(MID(VLOOKUP($B145,Seqs!$A:$B,2,0),AW145,1),"")</f>
        <v>N</v>
      </c>
      <c r="AW145" s="3">
        <v>310</v>
      </c>
      <c r="AX145" s="3" t="str">
        <f>IFERROR(MID(VLOOKUP($B145,Seqs!$A:$B,2,0),AY145,1),"")</f>
        <v>C</v>
      </c>
      <c r="AY145" s="3">
        <v>322</v>
      </c>
      <c r="AZ145" s="79" t="str">
        <f>VLOOKUP(B145,Classification!A:D,2,0)</f>
        <v>A</v>
      </c>
      <c r="BA145" s="97" t="str">
        <f>VLOOKUP(B145,Classification!A:D,4,0)</f>
        <v>Opsins</v>
      </c>
      <c r="BB145" s="27" t="b">
        <f t="shared" ref="BB145" si="612">AND(E145&lt;G145,OR(G145&lt;I145,I145="-"),OR(I145&lt;K145,I145="-"),OR(K145&lt;M145,K145="-"),M145&lt;O145,OR(O145&lt;Q145,Q145="-"),OR(Q145&lt;S145,Q145="-"),OR(S145&lt;U145,S145="-"),U145&lt;W145,OR(W145&lt;Y145,Y145="-"),OR(Y145&lt;AA145,Y145="-"),OR(AA145&lt;AC145,AA145="-"),AC145&lt;AE145,OR(AE145&lt;AG145,AG145="-"),OR(AG145&lt;AI145,AG145="-"),OR(AI145&lt;AK145,AI145="-"),AK145&lt;AM145,AM145&lt;AO145,AO145&lt;AQ145,AQ145&lt;AS145,AS145&lt;AU145,OR(AU145&lt;AW145,AW145="-"),OR(AW145&lt;AY145,AW145="-"))</f>
        <v>1</v>
      </c>
      <c r="BC145" s="23">
        <f>_xlfn.AGGREGATE(9,6,CG145:CR145)-_xlfn.AGGREGATE(9,6,BU145:CF145)+12</f>
        <v>252</v>
      </c>
      <c r="BD145" s="4" t="s">
        <v>23</v>
      </c>
      <c r="BE145" s="3" t="s">
        <v>1297</v>
      </c>
      <c r="BF145" s="50" t="s">
        <v>1384</v>
      </c>
      <c r="BG145" s="50" t="s">
        <v>1384</v>
      </c>
      <c r="BH145" s="1"/>
      <c r="BI145" s="72" t="s">
        <v>1293</v>
      </c>
      <c r="BJ145" s="58" t="s">
        <v>1293</v>
      </c>
      <c r="BK145" s="58" t="s">
        <v>1293</v>
      </c>
      <c r="BL145" s="58" t="s">
        <v>1293</v>
      </c>
      <c r="BM145" s="58" t="s">
        <v>1293</v>
      </c>
      <c r="BN145" s="58" t="s">
        <v>1293</v>
      </c>
      <c r="BO145" s="58" t="s">
        <v>1293</v>
      </c>
      <c r="BP145" s="58" t="s">
        <v>1293</v>
      </c>
      <c r="BQ145" s="58" t="s">
        <v>1293</v>
      </c>
      <c r="BR145" s="58" t="s">
        <v>1293</v>
      </c>
      <c r="BS145" s="58" t="s">
        <v>1293</v>
      </c>
      <c r="BT145" s="58" t="s">
        <v>1293</v>
      </c>
      <c r="BU145" s="72">
        <f>E145</f>
        <v>34</v>
      </c>
      <c r="BV145" s="73">
        <f>I145</f>
        <v>66</v>
      </c>
      <c r="BW145" s="74">
        <f>M145</f>
        <v>70</v>
      </c>
      <c r="BX145" s="73">
        <f>Q145</f>
        <v>102</v>
      </c>
      <c r="BY145" s="74">
        <f>U145</f>
        <v>106</v>
      </c>
      <c r="BZ145" s="73" t="str">
        <f>Y145</f>
        <v>-</v>
      </c>
      <c r="CA145" s="74">
        <f>AC145</f>
        <v>149</v>
      </c>
      <c r="CB145" s="73">
        <f>AG145</f>
        <v>187</v>
      </c>
      <c r="CC145" s="74">
        <f>AK145</f>
        <v>199</v>
      </c>
      <c r="CD145" s="73">
        <f>AO145</f>
        <v>241</v>
      </c>
      <c r="CE145" s="74">
        <f>AS145</f>
        <v>284</v>
      </c>
      <c r="CF145" s="73">
        <f>AW145</f>
        <v>310</v>
      </c>
      <c r="CG145" s="72">
        <f>G145</f>
        <v>65</v>
      </c>
      <c r="CH145" s="73">
        <f>K145</f>
        <v>69</v>
      </c>
      <c r="CI145" s="74">
        <f>O145</f>
        <v>100</v>
      </c>
      <c r="CJ145" s="74">
        <f>S145</f>
        <v>105</v>
      </c>
      <c r="CK145" s="74">
        <f>W145</f>
        <v>141</v>
      </c>
      <c r="CL145" s="74" t="str">
        <f>AA145</f>
        <v>-</v>
      </c>
      <c r="CM145" s="74">
        <f>AE145</f>
        <v>173</v>
      </c>
      <c r="CN145" s="74">
        <f>AI145</f>
        <v>189</v>
      </c>
      <c r="CO145" s="74">
        <f>AM145</f>
        <v>237</v>
      </c>
      <c r="CP145" s="74">
        <f>AQ145</f>
        <v>278</v>
      </c>
      <c r="CQ145" s="74">
        <f>AU145</f>
        <v>309</v>
      </c>
      <c r="CR145" s="74">
        <f>AY145</f>
        <v>322</v>
      </c>
      <c r="CS145" s="23">
        <f>M145-K145</f>
        <v>1</v>
      </c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  <c r="ALU145" s="6"/>
      <c r="ALV145" s="6"/>
      <c r="ALW145" s="6"/>
      <c r="ALX145" s="6"/>
      <c r="ALY145" s="6"/>
      <c r="ALZ145" s="6"/>
      <c r="AMA145" s="6"/>
      <c r="AMB145" s="6"/>
      <c r="AMC145" s="6"/>
      <c r="AMD145" s="6"/>
      <c r="AME145" s="6"/>
      <c r="AMF145" s="6"/>
      <c r="AMG145" s="6"/>
      <c r="AMH145" s="6"/>
      <c r="AMI145" s="6"/>
      <c r="AMJ145" s="6"/>
      <c r="AMK145" s="6"/>
      <c r="AML145" s="6"/>
      <c r="AMM145" s="6"/>
      <c r="AMN145" s="6"/>
      <c r="AMO145" s="6"/>
    </row>
    <row r="146" spans="1:1029" x14ac:dyDescent="0.2">
      <c r="A146" s="3" t="str">
        <f t="shared" si="555"/>
        <v>opsd_bovin_4J4Q</v>
      </c>
      <c r="B146" s="3" t="s">
        <v>920</v>
      </c>
      <c r="C146" s="3" t="s">
        <v>1044</v>
      </c>
      <c r="D146" s="3" t="str">
        <f>IFERROR(MID(VLOOKUP($B146,Seqs!$A:$B,2,0),E146,1),"")</f>
        <v>P</v>
      </c>
      <c r="E146" s="3">
        <v>34</v>
      </c>
      <c r="F146" s="3" t="str">
        <f>IFERROR(MID(VLOOKUP($B146,Seqs!$A:$B,2,0),G146,1),"")</f>
        <v>H</v>
      </c>
      <c r="G146" s="3">
        <v>65</v>
      </c>
      <c r="H146" s="3" t="str">
        <f>IFERROR(MID(VLOOKUP($B146,Seqs!$A:$B,2,0),I146,1),"")</f>
        <v>K</v>
      </c>
      <c r="I146" s="23">
        <v>66</v>
      </c>
      <c r="J146" s="3" t="str">
        <f>IFERROR(MID(VLOOKUP($B146,Seqs!$A:$B,2,0),K146,1),"")</f>
        <v>R</v>
      </c>
      <c r="K146" s="23">
        <v>69</v>
      </c>
      <c r="L146" s="3" t="str">
        <f>IFERROR(MID(VLOOKUP($B146,Seqs!$A:$B,2,0),M146,1),"")</f>
        <v>T</v>
      </c>
      <c r="M146" s="3">
        <v>70</v>
      </c>
      <c r="N146" s="3" t="str">
        <f>IFERROR(MID(VLOOKUP($B146,Seqs!$A:$B,2,0),O146,1),"")</f>
        <v>H</v>
      </c>
      <c r="O146" s="3">
        <v>100</v>
      </c>
      <c r="P146" s="3" t="str">
        <f>IFERROR(MID(VLOOKUP($B146,Seqs!$A:$B,2,0),Q146,1),"")</f>
        <v>Y</v>
      </c>
      <c r="Q146" s="3">
        <v>102</v>
      </c>
      <c r="R146" s="3" t="str">
        <f>IFERROR(MID(VLOOKUP($B146,Seqs!$A:$B,2,0),S146,1),"")</f>
        <v>F</v>
      </c>
      <c r="S146" s="3">
        <v>105</v>
      </c>
      <c r="T146" s="3" t="str">
        <f>IFERROR(MID(VLOOKUP($B146,Seqs!$A:$B,2,0),U146,1),"")</f>
        <v>G</v>
      </c>
      <c r="U146" s="3">
        <v>106</v>
      </c>
      <c r="V146" s="3" t="str">
        <f>IFERROR(MID(VLOOKUP($B146,Seqs!$A:$B,2,0),W146,1),"")</f>
        <v>K</v>
      </c>
      <c r="W146" s="3">
        <v>141</v>
      </c>
      <c r="X146" s="3" t="str">
        <f>IFERROR(MID(VLOOKUP($B146,Seqs!$A:$B,2,0),Y146,1),"")</f>
        <v/>
      </c>
      <c r="Y146" s="3" t="s">
        <v>23</v>
      </c>
      <c r="Z146" s="3" t="str">
        <f>IFERROR(MID(VLOOKUP($B146,Seqs!$A:$B,2,0),AA146,1),"")</f>
        <v/>
      </c>
      <c r="AA146" s="3" t="s">
        <v>23</v>
      </c>
      <c r="AB146" s="3" t="str">
        <f>IFERROR(MID(VLOOKUP($B146,Seqs!$A:$B,2,0),AC146,1),"")</f>
        <v>G</v>
      </c>
      <c r="AC146" s="9">
        <v>149</v>
      </c>
      <c r="AD146" s="3" t="str">
        <f>IFERROR(MID(VLOOKUP($B146,Seqs!$A:$B,2,0),AE146,1),"")</f>
        <v>V</v>
      </c>
      <c r="AE146" s="3">
        <v>173</v>
      </c>
      <c r="AF146" s="3" t="str">
        <f>IFERROR(MID(VLOOKUP($B146,Seqs!$A:$B,2,0),AG146,1),"")</f>
        <v>C</v>
      </c>
      <c r="AG146" s="3">
        <v>187</v>
      </c>
      <c r="AH146" s="3" t="str">
        <f>IFERROR(MID(VLOOKUP($B146,Seqs!$A:$B,2,0),AI146,1),"")</f>
        <v>I</v>
      </c>
      <c r="AI146" s="3">
        <v>189</v>
      </c>
      <c r="AJ146" s="3" t="str">
        <f>IFERROR(MID(VLOOKUP($B146,Seqs!$A:$B,2,0),AK146,1),"")</f>
        <v>N</v>
      </c>
      <c r="AK146" s="3">
        <v>199</v>
      </c>
      <c r="AL146" s="3" t="str">
        <f>IFERROR(MID(VLOOKUP($B146,Seqs!$A:$B,2,0),AM146,1),"")</f>
        <v>Q</v>
      </c>
      <c r="AM146" s="3">
        <v>237</v>
      </c>
      <c r="AN146" s="3" t="str">
        <f>IFERROR(MID(VLOOKUP($B146,Seqs!$A:$B,2,0),AO146,1),"")</f>
        <v>A</v>
      </c>
      <c r="AO146" s="3">
        <v>241</v>
      </c>
      <c r="AP146" s="3" t="str">
        <f>IFERROR(MID(VLOOKUP($B146,Seqs!$A:$B,2,0),AQ146,1),"")</f>
        <v>H</v>
      </c>
      <c r="AQ146" s="3">
        <v>278</v>
      </c>
      <c r="AR146" s="3" t="str">
        <f>IFERROR(MID(VLOOKUP($B146,Seqs!$A:$B,2,0),AS146,1),"")</f>
        <v>G</v>
      </c>
      <c r="AS146" s="3">
        <v>284</v>
      </c>
      <c r="AT146" s="3" t="str">
        <f>IFERROR(MID(VLOOKUP($B146,Seqs!$A:$B,2,0),AU146,1),"")</f>
        <v>M</v>
      </c>
      <c r="AU146" s="3">
        <v>309</v>
      </c>
      <c r="AV146" s="3" t="str">
        <f>IFERROR(MID(VLOOKUP($B146,Seqs!$A:$B,2,0),AW146,1),"")</f>
        <v>N</v>
      </c>
      <c r="AW146" s="3">
        <v>310</v>
      </c>
      <c r="AX146" s="3" t="str">
        <f>IFERROR(MID(VLOOKUP($B146,Seqs!$A:$B,2,0),AY146,1),"")</f>
        <v>C</v>
      </c>
      <c r="AY146" s="3">
        <v>322</v>
      </c>
      <c r="AZ146" s="79" t="str">
        <f>VLOOKUP(B146,Classification!A:D,2,0)</f>
        <v>A</v>
      </c>
      <c r="BA146" s="97" t="str">
        <f>VLOOKUP(B146,Classification!A:D,4,0)</f>
        <v>Opsins</v>
      </c>
      <c r="BB146" s="27" t="b">
        <f t="shared" si="556"/>
        <v>1</v>
      </c>
      <c r="BC146" s="23">
        <f t="shared" ref="BC146:BC176" si="613">_xlfn.AGGREGATE(9,6,CG146:CR146)-_xlfn.AGGREGATE(9,6,BU146:CF146)+12</f>
        <v>252</v>
      </c>
      <c r="BD146" s="4" t="s">
        <v>23</v>
      </c>
      <c r="BE146" s="3" t="s">
        <v>1297</v>
      </c>
      <c r="BF146" s="50" t="s">
        <v>1384</v>
      </c>
      <c r="BG146" s="50" t="s">
        <v>1384</v>
      </c>
      <c r="BH146" s="1"/>
      <c r="BI146" s="72" t="s">
        <v>1293</v>
      </c>
      <c r="BJ146" s="58" t="s">
        <v>1293</v>
      </c>
      <c r="BK146" s="58" t="s">
        <v>1293</v>
      </c>
      <c r="BL146" s="58" t="s">
        <v>1293</v>
      </c>
      <c r="BM146" s="58" t="s">
        <v>1293</v>
      </c>
      <c r="BN146" s="58" t="s">
        <v>1293</v>
      </c>
      <c r="BO146" s="58" t="s">
        <v>1293</v>
      </c>
      <c r="BP146" s="58" t="s">
        <v>1293</v>
      </c>
      <c r="BQ146" s="58" t="s">
        <v>1293</v>
      </c>
      <c r="BR146" s="58" t="s">
        <v>1293</v>
      </c>
      <c r="BS146" s="58" t="s">
        <v>1293</v>
      </c>
      <c r="BT146" s="58" t="s">
        <v>1293</v>
      </c>
      <c r="BU146" s="72">
        <f t="shared" ref="BU146:BU176" si="614">E146</f>
        <v>34</v>
      </c>
      <c r="BV146" s="73">
        <f t="shared" ref="BV146:BV176" si="615">I146</f>
        <v>66</v>
      </c>
      <c r="BW146" s="74">
        <f t="shared" ref="BW146:BW176" si="616">M146</f>
        <v>70</v>
      </c>
      <c r="BX146" s="73">
        <f t="shared" ref="BX146:BX176" si="617">Q146</f>
        <v>102</v>
      </c>
      <c r="BY146" s="74">
        <f t="shared" ref="BY146:BY176" si="618">U146</f>
        <v>106</v>
      </c>
      <c r="BZ146" s="73" t="str">
        <f t="shared" ref="BZ146:BZ176" si="619">Y146</f>
        <v>-</v>
      </c>
      <c r="CA146" s="74">
        <f t="shared" ref="CA146:CA176" si="620">AC146</f>
        <v>149</v>
      </c>
      <c r="CB146" s="73">
        <f t="shared" ref="CB146:CB176" si="621">AG146</f>
        <v>187</v>
      </c>
      <c r="CC146" s="74">
        <f t="shared" ref="CC146:CC176" si="622">AK146</f>
        <v>199</v>
      </c>
      <c r="CD146" s="73">
        <f t="shared" ref="CD146:CD176" si="623">AO146</f>
        <v>241</v>
      </c>
      <c r="CE146" s="74">
        <f t="shared" ref="CE146:CE176" si="624">AS146</f>
        <v>284</v>
      </c>
      <c r="CF146" s="73">
        <f t="shared" ref="CF146:CF176" si="625">AW146</f>
        <v>310</v>
      </c>
      <c r="CG146" s="72">
        <f t="shared" ref="CG146:CG176" si="626">G146</f>
        <v>65</v>
      </c>
      <c r="CH146" s="73">
        <f t="shared" ref="CH146:CH176" si="627">K146</f>
        <v>69</v>
      </c>
      <c r="CI146" s="74">
        <f t="shared" ref="CI146:CI176" si="628">O146</f>
        <v>100</v>
      </c>
      <c r="CJ146" s="74">
        <f t="shared" ref="CJ146:CJ176" si="629">S146</f>
        <v>105</v>
      </c>
      <c r="CK146" s="74">
        <f t="shared" ref="CK146:CK176" si="630">W146</f>
        <v>141</v>
      </c>
      <c r="CL146" s="74" t="str">
        <f t="shared" ref="CL146:CL176" si="631">AA146</f>
        <v>-</v>
      </c>
      <c r="CM146" s="74">
        <f t="shared" ref="CM146:CM176" si="632">AE146</f>
        <v>173</v>
      </c>
      <c r="CN146" s="74">
        <f t="shared" ref="CN146:CN176" si="633">AI146</f>
        <v>189</v>
      </c>
      <c r="CO146" s="74">
        <f t="shared" ref="CO146:CO176" si="634">AM146</f>
        <v>237</v>
      </c>
      <c r="CP146" s="74">
        <f t="shared" ref="CP146:CP176" si="635">AQ146</f>
        <v>278</v>
      </c>
      <c r="CQ146" s="74">
        <f t="shared" ref="CQ146:CQ176" si="636">AU146</f>
        <v>309</v>
      </c>
      <c r="CR146" s="74">
        <f t="shared" ref="CR146:CR176" si="637">AY146</f>
        <v>322</v>
      </c>
      <c r="CS146" s="23">
        <f t="shared" ref="CS146:CS176" si="638">M146-K146</f>
        <v>1</v>
      </c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</row>
    <row r="147" spans="1:1029" x14ac:dyDescent="0.2">
      <c r="A147" s="3" t="str">
        <f t="shared" si="555"/>
        <v>opsd_bovin_5DYS</v>
      </c>
      <c r="B147" s="3" t="s">
        <v>920</v>
      </c>
      <c r="C147" s="3" t="s">
        <v>1363</v>
      </c>
      <c r="D147" s="3" t="str">
        <f>IFERROR(MID(VLOOKUP($B147,Seqs!$A:$B,2,0),E147,1),"")</f>
        <v>P</v>
      </c>
      <c r="E147" s="3">
        <v>34</v>
      </c>
      <c r="F147" s="3" t="str">
        <f>IFERROR(MID(VLOOKUP($B147,Seqs!$A:$B,2,0),G147,1),"")</f>
        <v>H</v>
      </c>
      <c r="G147" s="3">
        <v>65</v>
      </c>
      <c r="H147" s="3" t="str">
        <f>IFERROR(MID(VLOOKUP($B147,Seqs!$A:$B,2,0),I147,1),"")</f>
        <v>K</v>
      </c>
      <c r="I147" s="23">
        <v>66</v>
      </c>
      <c r="J147" s="3" t="str">
        <f>IFERROR(MID(VLOOKUP($B147,Seqs!$A:$B,2,0),K147,1),"")</f>
        <v>R</v>
      </c>
      <c r="K147" s="23">
        <v>69</v>
      </c>
      <c r="L147" s="3" t="str">
        <f>IFERROR(MID(VLOOKUP($B147,Seqs!$A:$B,2,0),M147,1),"")</f>
        <v>T</v>
      </c>
      <c r="M147" s="3">
        <v>70</v>
      </c>
      <c r="N147" s="3" t="str">
        <f>IFERROR(MID(VLOOKUP($B147,Seqs!$A:$B,2,0),O147,1),"")</f>
        <v>H</v>
      </c>
      <c r="O147" s="3">
        <v>100</v>
      </c>
      <c r="P147" s="3" t="str">
        <f>IFERROR(MID(VLOOKUP($B147,Seqs!$A:$B,2,0),Q147,1),"")</f>
        <v>Y</v>
      </c>
      <c r="Q147" s="3">
        <v>102</v>
      </c>
      <c r="R147" s="3" t="str">
        <f>IFERROR(MID(VLOOKUP($B147,Seqs!$A:$B,2,0),S147,1),"")</f>
        <v>F</v>
      </c>
      <c r="S147" s="3">
        <v>105</v>
      </c>
      <c r="T147" s="3" t="str">
        <f>IFERROR(MID(VLOOKUP($B147,Seqs!$A:$B,2,0),U147,1),"")</f>
        <v>G</v>
      </c>
      <c r="U147" s="3">
        <v>106</v>
      </c>
      <c r="V147" s="3" t="str">
        <f>IFERROR(MID(VLOOKUP($B147,Seqs!$A:$B,2,0),W147,1),"")</f>
        <v>K</v>
      </c>
      <c r="W147" s="3">
        <v>141</v>
      </c>
      <c r="X147" s="3" t="str">
        <f>IFERROR(MID(VLOOKUP($B147,Seqs!$A:$B,2,0),Y147,1),"")</f>
        <v/>
      </c>
      <c r="Y147" s="3" t="s">
        <v>23</v>
      </c>
      <c r="Z147" s="3" t="str">
        <f>IFERROR(MID(VLOOKUP($B147,Seqs!$A:$B,2,0),AA147,1),"")</f>
        <v/>
      </c>
      <c r="AA147" s="3" t="s">
        <v>23</v>
      </c>
      <c r="AB147" s="3" t="str">
        <f>IFERROR(MID(VLOOKUP($B147,Seqs!$A:$B,2,0),AC147,1),"")</f>
        <v>G</v>
      </c>
      <c r="AC147" s="9">
        <v>149</v>
      </c>
      <c r="AD147" s="3" t="str">
        <f>IFERROR(MID(VLOOKUP($B147,Seqs!$A:$B,2,0),AE147,1),"")</f>
        <v>V</v>
      </c>
      <c r="AE147" s="3">
        <v>173</v>
      </c>
      <c r="AF147" s="3" t="str">
        <f>IFERROR(MID(VLOOKUP($B147,Seqs!$A:$B,2,0),AG147,1),"")</f>
        <v>C</v>
      </c>
      <c r="AG147" s="3">
        <v>187</v>
      </c>
      <c r="AH147" s="3" t="str">
        <f>IFERROR(MID(VLOOKUP($B147,Seqs!$A:$B,2,0),AI147,1),"")</f>
        <v>I</v>
      </c>
      <c r="AI147" s="3">
        <v>189</v>
      </c>
      <c r="AJ147" s="3" t="str">
        <f>IFERROR(MID(VLOOKUP($B147,Seqs!$A:$B,2,0),AK147,1),"")</f>
        <v>N</v>
      </c>
      <c r="AK147" s="3">
        <v>199</v>
      </c>
      <c r="AL147" s="3" t="str">
        <f>IFERROR(MID(VLOOKUP($B147,Seqs!$A:$B,2,0),AM147,1),"")</f>
        <v>Q</v>
      </c>
      <c r="AM147" s="3">
        <v>237</v>
      </c>
      <c r="AN147" s="3" t="str">
        <f>IFERROR(MID(VLOOKUP($B147,Seqs!$A:$B,2,0),AO147,1),"")</f>
        <v>A</v>
      </c>
      <c r="AO147" s="3">
        <v>241</v>
      </c>
      <c r="AP147" s="3" t="str">
        <f>IFERROR(MID(VLOOKUP($B147,Seqs!$A:$B,2,0),AQ147,1),"")</f>
        <v>H</v>
      </c>
      <c r="AQ147" s="3">
        <v>278</v>
      </c>
      <c r="AR147" s="3" t="str">
        <f>IFERROR(MID(VLOOKUP($B147,Seqs!$A:$B,2,0),AS147,1),"")</f>
        <v>G</v>
      </c>
      <c r="AS147" s="3">
        <v>284</v>
      </c>
      <c r="AT147" s="3" t="str">
        <f>IFERROR(MID(VLOOKUP($B147,Seqs!$A:$B,2,0),AU147,1),"")</f>
        <v>M</v>
      </c>
      <c r="AU147" s="3">
        <v>309</v>
      </c>
      <c r="AV147" s="3" t="str">
        <f>IFERROR(MID(VLOOKUP($B147,Seqs!$A:$B,2,0),AW147,1),"")</f>
        <v>N</v>
      </c>
      <c r="AW147" s="3">
        <v>310</v>
      </c>
      <c r="AX147" s="3" t="str">
        <f>IFERROR(MID(VLOOKUP($B147,Seqs!$A:$B,2,0),AY147,1),"")</f>
        <v>C</v>
      </c>
      <c r="AY147" s="3">
        <v>322</v>
      </c>
      <c r="AZ147" s="79" t="str">
        <f>VLOOKUP(B147,Classification!A:D,2,0)</f>
        <v>A</v>
      </c>
      <c r="BA147" s="97" t="str">
        <f>VLOOKUP(B147,Classification!A:D,4,0)</f>
        <v>Opsins</v>
      </c>
      <c r="BB147" s="27" t="b">
        <f t="shared" si="556"/>
        <v>1</v>
      </c>
      <c r="BC147" s="23">
        <f t="shared" si="613"/>
        <v>252</v>
      </c>
      <c r="BD147" s="5" t="s">
        <v>1382</v>
      </c>
      <c r="BE147" s="3" t="s">
        <v>1297</v>
      </c>
      <c r="BF147" s="50" t="s">
        <v>1384</v>
      </c>
      <c r="BG147" s="50" t="s">
        <v>1384</v>
      </c>
      <c r="BH147" s="1"/>
      <c r="BI147" s="72" t="s">
        <v>1293</v>
      </c>
      <c r="BJ147" s="58" t="s">
        <v>1293</v>
      </c>
      <c r="BK147" s="58" t="s">
        <v>1293</v>
      </c>
      <c r="BL147" s="58" t="s">
        <v>1293</v>
      </c>
      <c r="BM147" s="58" t="s">
        <v>1293</v>
      </c>
      <c r="BN147" s="58" t="s">
        <v>1293</v>
      </c>
      <c r="BO147" s="58" t="s">
        <v>1293</v>
      </c>
      <c r="BP147" s="58" t="s">
        <v>1293</v>
      </c>
      <c r="BQ147" s="58" t="s">
        <v>1293</v>
      </c>
      <c r="BR147" s="58" t="s">
        <v>1293</v>
      </c>
      <c r="BS147" s="58" t="s">
        <v>1293</v>
      </c>
      <c r="BT147" s="58" t="s">
        <v>1293</v>
      </c>
      <c r="BU147" s="72">
        <f t="shared" si="614"/>
        <v>34</v>
      </c>
      <c r="BV147" s="73">
        <f t="shared" si="615"/>
        <v>66</v>
      </c>
      <c r="BW147" s="74">
        <f t="shared" si="616"/>
        <v>70</v>
      </c>
      <c r="BX147" s="73">
        <f t="shared" si="617"/>
        <v>102</v>
      </c>
      <c r="BY147" s="74">
        <f t="shared" si="618"/>
        <v>106</v>
      </c>
      <c r="BZ147" s="73" t="str">
        <f t="shared" si="619"/>
        <v>-</v>
      </c>
      <c r="CA147" s="74">
        <f t="shared" si="620"/>
        <v>149</v>
      </c>
      <c r="CB147" s="73">
        <f t="shared" si="621"/>
        <v>187</v>
      </c>
      <c r="CC147" s="74">
        <f t="shared" si="622"/>
        <v>199</v>
      </c>
      <c r="CD147" s="73">
        <f t="shared" si="623"/>
        <v>241</v>
      </c>
      <c r="CE147" s="74">
        <f t="shared" si="624"/>
        <v>284</v>
      </c>
      <c r="CF147" s="73">
        <f t="shared" si="625"/>
        <v>310</v>
      </c>
      <c r="CG147" s="72">
        <f t="shared" si="626"/>
        <v>65</v>
      </c>
      <c r="CH147" s="73">
        <f t="shared" si="627"/>
        <v>69</v>
      </c>
      <c r="CI147" s="74">
        <f t="shared" si="628"/>
        <v>100</v>
      </c>
      <c r="CJ147" s="74">
        <f t="shared" si="629"/>
        <v>105</v>
      </c>
      <c r="CK147" s="74">
        <f t="shared" si="630"/>
        <v>141</v>
      </c>
      <c r="CL147" s="74" t="str">
        <f t="shared" si="631"/>
        <v>-</v>
      </c>
      <c r="CM147" s="74">
        <f t="shared" si="632"/>
        <v>173</v>
      </c>
      <c r="CN147" s="74">
        <f t="shared" si="633"/>
        <v>189</v>
      </c>
      <c r="CO147" s="74">
        <f t="shared" si="634"/>
        <v>237</v>
      </c>
      <c r="CP147" s="74">
        <f t="shared" si="635"/>
        <v>278</v>
      </c>
      <c r="CQ147" s="74">
        <f t="shared" si="636"/>
        <v>309</v>
      </c>
      <c r="CR147" s="74">
        <f t="shared" si="637"/>
        <v>322</v>
      </c>
      <c r="CS147" s="23">
        <f t="shared" si="638"/>
        <v>1</v>
      </c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</row>
    <row r="148" spans="1:1029" x14ac:dyDescent="0.2">
      <c r="A148" s="3" t="str">
        <f t="shared" ref="A148:A187" si="639">CONCATENATE(B148,"_",C148)</f>
        <v>opsd_bovin_5EN0</v>
      </c>
      <c r="B148" s="3" t="s">
        <v>920</v>
      </c>
      <c r="C148" s="3" t="s">
        <v>1364</v>
      </c>
      <c r="D148" s="3" t="str">
        <f>IFERROR(MID(VLOOKUP($B148,Seqs!$A:$B,2,0),E148,1),"")</f>
        <v>P</v>
      </c>
      <c r="E148" s="3">
        <v>34</v>
      </c>
      <c r="F148" s="3" t="str">
        <f>IFERROR(MID(VLOOKUP($B148,Seqs!$A:$B,2,0),G148,1),"")</f>
        <v>H</v>
      </c>
      <c r="G148" s="3">
        <v>65</v>
      </c>
      <c r="H148" s="3" t="str">
        <f>IFERROR(MID(VLOOKUP($B148,Seqs!$A:$B,2,0),I148,1),"")</f>
        <v>K</v>
      </c>
      <c r="I148" s="23">
        <v>66</v>
      </c>
      <c r="J148" s="3" t="str">
        <f>IFERROR(MID(VLOOKUP($B148,Seqs!$A:$B,2,0),K148,1),"")</f>
        <v>R</v>
      </c>
      <c r="K148" s="23">
        <v>69</v>
      </c>
      <c r="L148" s="3" t="str">
        <f>IFERROR(MID(VLOOKUP($B148,Seqs!$A:$B,2,0),M148,1),"")</f>
        <v>T</v>
      </c>
      <c r="M148" s="3">
        <v>70</v>
      </c>
      <c r="N148" s="3" t="str">
        <f>IFERROR(MID(VLOOKUP($B148,Seqs!$A:$B,2,0),O148,1),"")</f>
        <v>H</v>
      </c>
      <c r="O148" s="3">
        <v>100</v>
      </c>
      <c r="P148" s="3" t="str">
        <f>IFERROR(MID(VLOOKUP($B148,Seqs!$A:$B,2,0),Q148,1),"")</f>
        <v>Y</v>
      </c>
      <c r="Q148" s="3">
        <v>102</v>
      </c>
      <c r="R148" s="3" t="str">
        <f>IFERROR(MID(VLOOKUP($B148,Seqs!$A:$B,2,0),S148,1),"")</f>
        <v>F</v>
      </c>
      <c r="S148" s="3">
        <v>105</v>
      </c>
      <c r="T148" s="3" t="str">
        <f>IFERROR(MID(VLOOKUP($B148,Seqs!$A:$B,2,0),U148,1),"")</f>
        <v>G</v>
      </c>
      <c r="U148" s="3">
        <v>106</v>
      </c>
      <c r="V148" s="3" t="str">
        <f>IFERROR(MID(VLOOKUP($B148,Seqs!$A:$B,2,0),W148,1),"")</f>
        <v>K</v>
      </c>
      <c r="W148" s="3">
        <v>141</v>
      </c>
      <c r="X148" s="3" t="str">
        <f>IFERROR(MID(VLOOKUP($B148,Seqs!$A:$B,2,0),Y148,1),"")</f>
        <v/>
      </c>
      <c r="Y148" s="3" t="s">
        <v>23</v>
      </c>
      <c r="Z148" s="3" t="str">
        <f>IFERROR(MID(VLOOKUP($B148,Seqs!$A:$B,2,0),AA148,1),"")</f>
        <v/>
      </c>
      <c r="AA148" s="3" t="s">
        <v>23</v>
      </c>
      <c r="AB148" s="3" t="str">
        <f>IFERROR(MID(VLOOKUP($B148,Seqs!$A:$B,2,0),AC148,1),"")</f>
        <v>G</v>
      </c>
      <c r="AC148" s="9">
        <v>149</v>
      </c>
      <c r="AD148" s="3" t="str">
        <f>IFERROR(MID(VLOOKUP($B148,Seqs!$A:$B,2,0),AE148,1),"")</f>
        <v>V</v>
      </c>
      <c r="AE148" s="3">
        <v>173</v>
      </c>
      <c r="AF148" s="3" t="str">
        <f>IFERROR(MID(VLOOKUP($B148,Seqs!$A:$B,2,0),AG148,1),"")</f>
        <v>C</v>
      </c>
      <c r="AG148" s="3">
        <v>187</v>
      </c>
      <c r="AH148" s="3" t="str">
        <f>IFERROR(MID(VLOOKUP($B148,Seqs!$A:$B,2,0),AI148,1),"")</f>
        <v>I</v>
      </c>
      <c r="AI148" s="3">
        <v>189</v>
      </c>
      <c r="AJ148" s="3" t="str">
        <f>IFERROR(MID(VLOOKUP($B148,Seqs!$A:$B,2,0),AK148,1),"")</f>
        <v>N</v>
      </c>
      <c r="AK148" s="3">
        <v>199</v>
      </c>
      <c r="AL148" s="3" t="str">
        <f>IFERROR(MID(VLOOKUP($B148,Seqs!$A:$B,2,0),AM148,1),"")</f>
        <v>Q</v>
      </c>
      <c r="AM148" s="3">
        <v>237</v>
      </c>
      <c r="AN148" s="3" t="str">
        <f>IFERROR(MID(VLOOKUP($B148,Seqs!$A:$B,2,0),AO148,1),"")</f>
        <v>A</v>
      </c>
      <c r="AO148" s="3">
        <v>241</v>
      </c>
      <c r="AP148" s="3" t="str">
        <f>IFERROR(MID(VLOOKUP($B148,Seqs!$A:$B,2,0),AQ148,1),"")</f>
        <v>H</v>
      </c>
      <c r="AQ148" s="3">
        <v>278</v>
      </c>
      <c r="AR148" s="3" t="str">
        <f>IFERROR(MID(VLOOKUP($B148,Seqs!$A:$B,2,0),AS148,1),"")</f>
        <v>G</v>
      </c>
      <c r="AS148" s="3">
        <v>284</v>
      </c>
      <c r="AT148" s="3" t="str">
        <f>IFERROR(MID(VLOOKUP($B148,Seqs!$A:$B,2,0),AU148,1),"")</f>
        <v>M</v>
      </c>
      <c r="AU148" s="3">
        <v>309</v>
      </c>
      <c r="AV148" s="3" t="str">
        <f>IFERROR(MID(VLOOKUP($B148,Seqs!$A:$B,2,0),AW148,1),"")</f>
        <v>N</v>
      </c>
      <c r="AW148" s="3">
        <v>310</v>
      </c>
      <c r="AX148" s="3" t="str">
        <f>IFERROR(MID(VLOOKUP($B148,Seqs!$A:$B,2,0),AY148,1),"")</f>
        <v>C</v>
      </c>
      <c r="AY148" s="3">
        <v>322</v>
      </c>
      <c r="AZ148" s="79" t="str">
        <f>VLOOKUP(B148,Classification!A:D,2,0)</f>
        <v>A</v>
      </c>
      <c r="BA148" s="97" t="str">
        <f>VLOOKUP(B148,Classification!A:D,4,0)</f>
        <v>Opsins</v>
      </c>
      <c r="BB148" s="27" t="b">
        <f t="shared" ref="BB148:BB187" si="640"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23">
        <f t="shared" si="613"/>
        <v>252</v>
      </c>
      <c r="BD148" s="4" t="s">
        <v>23</v>
      </c>
      <c r="BE148" s="3" t="s">
        <v>1297</v>
      </c>
      <c r="BF148" s="50" t="s">
        <v>1384</v>
      </c>
      <c r="BG148" s="50" t="s">
        <v>1384</v>
      </c>
      <c r="BH148" s="1"/>
      <c r="BI148" s="72" t="s">
        <v>1293</v>
      </c>
      <c r="BJ148" s="58" t="s">
        <v>1293</v>
      </c>
      <c r="BK148" s="58" t="s">
        <v>1293</v>
      </c>
      <c r="BL148" s="58" t="s">
        <v>1293</v>
      </c>
      <c r="BM148" s="58" t="s">
        <v>1293</v>
      </c>
      <c r="BN148" s="58" t="s">
        <v>1293</v>
      </c>
      <c r="BO148" s="58" t="s">
        <v>1293</v>
      </c>
      <c r="BP148" s="58" t="s">
        <v>1293</v>
      </c>
      <c r="BQ148" s="58" t="s">
        <v>1293</v>
      </c>
      <c r="BR148" s="58" t="s">
        <v>1293</v>
      </c>
      <c r="BS148" s="58" t="s">
        <v>1293</v>
      </c>
      <c r="BT148" s="58" t="s">
        <v>1293</v>
      </c>
      <c r="BU148" s="72">
        <f t="shared" si="614"/>
        <v>34</v>
      </c>
      <c r="BV148" s="73">
        <f t="shared" si="615"/>
        <v>66</v>
      </c>
      <c r="BW148" s="74">
        <f t="shared" si="616"/>
        <v>70</v>
      </c>
      <c r="BX148" s="73">
        <f t="shared" si="617"/>
        <v>102</v>
      </c>
      <c r="BY148" s="74">
        <f t="shared" si="618"/>
        <v>106</v>
      </c>
      <c r="BZ148" s="73" t="str">
        <f t="shared" si="619"/>
        <v>-</v>
      </c>
      <c r="CA148" s="74">
        <f t="shared" si="620"/>
        <v>149</v>
      </c>
      <c r="CB148" s="73">
        <f t="shared" si="621"/>
        <v>187</v>
      </c>
      <c r="CC148" s="74">
        <f t="shared" si="622"/>
        <v>199</v>
      </c>
      <c r="CD148" s="73">
        <f t="shared" si="623"/>
        <v>241</v>
      </c>
      <c r="CE148" s="74">
        <f t="shared" si="624"/>
        <v>284</v>
      </c>
      <c r="CF148" s="73">
        <f t="shared" si="625"/>
        <v>310</v>
      </c>
      <c r="CG148" s="72">
        <f t="shared" si="626"/>
        <v>65</v>
      </c>
      <c r="CH148" s="73">
        <f t="shared" si="627"/>
        <v>69</v>
      </c>
      <c r="CI148" s="74">
        <f t="shared" si="628"/>
        <v>100</v>
      </c>
      <c r="CJ148" s="74">
        <f t="shared" si="629"/>
        <v>105</v>
      </c>
      <c r="CK148" s="74">
        <f t="shared" si="630"/>
        <v>141</v>
      </c>
      <c r="CL148" s="74" t="str">
        <f t="shared" si="631"/>
        <v>-</v>
      </c>
      <c r="CM148" s="74">
        <f t="shared" si="632"/>
        <v>173</v>
      </c>
      <c r="CN148" s="74">
        <f t="shared" si="633"/>
        <v>189</v>
      </c>
      <c r="CO148" s="74">
        <f t="shared" si="634"/>
        <v>237</v>
      </c>
      <c r="CP148" s="74">
        <f t="shared" si="635"/>
        <v>278</v>
      </c>
      <c r="CQ148" s="74">
        <f t="shared" si="636"/>
        <v>309</v>
      </c>
      <c r="CR148" s="74">
        <f t="shared" si="637"/>
        <v>322</v>
      </c>
      <c r="CS148" s="23">
        <f t="shared" si="638"/>
        <v>1</v>
      </c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</row>
    <row r="149" spans="1:1029" s="12" customFormat="1" x14ac:dyDescent="0.2">
      <c r="A149" s="9" t="str">
        <f t="shared" ref="A149" si="641">CONCATENATE(B149,"_",C149)</f>
        <v>opsd_bovin_5TE3</v>
      </c>
      <c r="B149" s="9" t="s">
        <v>920</v>
      </c>
      <c r="C149" s="9" t="s">
        <v>1407</v>
      </c>
      <c r="D149" s="9" t="str">
        <f>IFERROR(MID(VLOOKUP($B149,Seqs!$A:$B,2,0),E149,1),"")</f>
        <v>P</v>
      </c>
      <c r="E149" s="9">
        <v>34</v>
      </c>
      <c r="F149" s="9" t="str">
        <f>IFERROR(MID(VLOOKUP($B149,Seqs!$A:$B,2,0),G149,1),"")</f>
        <v>H</v>
      </c>
      <c r="G149" s="9">
        <v>65</v>
      </c>
      <c r="H149" s="9" t="str">
        <f>IFERROR(MID(VLOOKUP($B149,Seqs!$A:$B,2,0),I149,1),"")</f>
        <v>K</v>
      </c>
      <c r="I149" s="112">
        <v>66</v>
      </c>
      <c r="J149" s="9" t="str">
        <f>IFERROR(MID(VLOOKUP($B149,Seqs!$A:$B,2,0),K149,1),"")</f>
        <v>R</v>
      </c>
      <c r="K149" s="112">
        <v>69</v>
      </c>
      <c r="L149" s="9" t="str">
        <f>IFERROR(MID(VLOOKUP($B149,Seqs!$A:$B,2,0),M149,1),"")</f>
        <v>T</v>
      </c>
      <c r="M149" s="9">
        <v>70</v>
      </c>
      <c r="N149" s="9" t="str">
        <f>IFERROR(MID(VLOOKUP($B149,Seqs!$A:$B,2,0),O149,1),"")</f>
        <v>H</v>
      </c>
      <c r="O149" s="9">
        <v>100</v>
      </c>
      <c r="P149" s="9" t="str">
        <f>IFERROR(MID(VLOOKUP($B149,Seqs!$A:$B,2,0),Q149,1),"")</f>
        <v>Y</v>
      </c>
      <c r="Q149" s="9">
        <v>102</v>
      </c>
      <c r="R149" s="9" t="str">
        <f>IFERROR(MID(VLOOKUP($B149,Seqs!$A:$B,2,0),S149,1),"")</f>
        <v>F</v>
      </c>
      <c r="S149" s="9">
        <v>105</v>
      </c>
      <c r="T149" s="9" t="str">
        <f>IFERROR(MID(VLOOKUP($B149,Seqs!$A:$B,2,0),U149,1),"")</f>
        <v>G</v>
      </c>
      <c r="U149" s="9">
        <v>106</v>
      </c>
      <c r="V149" s="9" t="str">
        <f>IFERROR(MID(VLOOKUP($B149,Seqs!$A:$B,2,0),W149,1),"")</f>
        <v>K</v>
      </c>
      <c r="W149" s="9">
        <v>141</v>
      </c>
      <c r="X149" s="9" t="str">
        <f>IFERROR(MID(VLOOKUP($B149,Seqs!$A:$B,2,0),Y149,1),"")</f>
        <v/>
      </c>
      <c r="Y149" s="9" t="s">
        <v>23</v>
      </c>
      <c r="Z149" s="9" t="str">
        <f>IFERROR(MID(VLOOKUP($B149,Seqs!$A:$B,2,0),AA149,1),"")</f>
        <v/>
      </c>
      <c r="AA149" s="9" t="s">
        <v>23</v>
      </c>
      <c r="AB149" s="9" t="str">
        <f>IFERROR(MID(VLOOKUP($B149,Seqs!$A:$B,2,0),AC149,1),"")</f>
        <v>G</v>
      </c>
      <c r="AC149" s="9">
        <v>149</v>
      </c>
      <c r="AD149" s="9" t="str">
        <f>IFERROR(MID(VLOOKUP($B149,Seqs!$A:$B,2,0),AE149,1),"")</f>
        <v>V</v>
      </c>
      <c r="AE149" s="9">
        <v>173</v>
      </c>
      <c r="AF149" s="9" t="str">
        <f>IFERROR(MID(VLOOKUP($B149,Seqs!$A:$B,2,0),AG149,1),"")</f>
        <v>C</v>
      </c>
      <c r="AG149" s="9">
        <v>187</v>
      </c>
      <c r="AH149" s="9" t="str">
        <f>IFERROR(MID(VLOOKUP($B149,Seqs!$A:$B,2,0),AI149,1),"")</f>
        <v>I</v>
      </c>
      <c r="AI149" s="9">
        <v>189</v>
      </c>
      <c r="AJ149" s="9" t="str">
        <f>IFERROR(MID(VLOOKUP($B149,Seqs!$A:$B,2,0),AK149,1),"")</f>
        <v>N</v>
      </c>
      <c r="AK149" s="9">
        <v>199</v>
      </c>
      <c r="AL149" s="9" t="str">
        <f>IFERROR(MID(VLOOKUP($B149,Seqs!$A:$B,2,0),AM149,1),"")</f>
        <v>Q</v>
      </c>
      <c r="AM149" s="9">
        <v>237</v>
      </c>
      <c r="AN149" s="9" t="str">
        <f>IFERROR(MID(VLOOKUP($B149,Seqs!$A:$B,2,0),AO149,1),"")</f>
        <v>A</v>
      </c>
      <c r="AO149" s="9">
        <v>241</v>
      </c>
      <c r="AP149" s="9" t="str">
        <f>IFERROR(MID(VLOOKUP($B149,Seqs!$A:$B,2,0),AQ149,1),"")</f>
        <v>H</v>
      </c>
      <c r="AQ149" s="9">
        <v>278</v>
      </c>
      <c r="AR149" s="9" t="str">
        <f>IFERROR(MID(VLOOKUP($B149,Seqs!$A:$B,2,0),AS149,1),"")</f>
        <v>G</v>
      </c>
      <c r="AS149" s="9">
        <v>284</v>
      </c>
      <c r="AT149" s="9" t="str">
        <f>IFERROR(MID(VLOOKUP($B149,Seqs!$A:$B,2,0),AU149,1),"")</f>
        <v>M</v>
      </c>
      <c r="AU149" s="9">
        <v>309</v>
      </c>
      <c r="AV149" s="9" t="str">
        <f>IFERROR(MID(VLOOKUP($B149,Seqs!$A:$B,2,0),AW149,1),"")</f>
        <v>N</v>
      </c>
      <c r="AW149" s="9">
        <v>310</v>
      </c>
      <c r="AX149" s="9" t="str">
        <f>IFERROR(MID(VLOOKUP($B149,Seqs!$A:$B,2,0),AY149,1),"")</f>
        <v>C</v>
      </c>
      <c r="AY149" s="9">
        <v>322</v>
      </c>
      <c r="AZ149" s="113" t="str">
        <f>VLOOKUP(B149,Classification!A:D,2,0)</f>
        <v>A</v>
      </c>
      <c r="BA149" s="101" t="str">
        <f>VLOOKUP(B149,Classification!A:D,4,0)</f>
        <v>Opsins</v>
      </c>
      <c r="BB149" s="37" t="b">
        <f t="shared" ref="BB149" si="642"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12">
        <f t="shared" ref="BC149" si="643">_xlfn.AGGREGATE(9,6,CG149:CR149)-_xlfn.AGGREGATE(9,6,BU149:CF149)+12</f>
        <v>252</v>
      </c>
      <c r="BD149" s="41" t="s">
        <v>23</v>
      </c>
      <c r="BE149" s="9" t="s">
        <v>1297</v>
      </c>
      <c r="BF149" s="52" t="s">
        <v>1</v>
      </c>
      <c r="BG149" s="52" t="s">
        <v>1384</v>
      </c>
      <c r="BI149" s="114" t="s">
        <v>1293</v>
      </c>
      <c r="BJ149" s="115" t="s">
        <v>1293</v>
      </c>
      <c r="BK149" s="115" t="s">
        <v>1293</v>
      </c>
      <c r="BL149" s="115" t="s">
        <v>1293</v>
      </c>
      <c r="BM149" s="115" t="s">
        <v>1293</v>
      </c>
      <c r="BN149" s="115" t="s">
        <v>1293</v>
      </c>
      <c r="BO149" s="115" t="s">
        <v>1293</v>
      </c>
      <c r="BP149" s="115" t="s">
        <v>1293</v>
      </c>
      <c r="BQ149" s="115" t="s">
        <v>1293</v>
      </c>
      <c r="BR149" s="115" t="s">
        <v>1293</v>
      </c>
      <c r="BS149" s="115" t="s">
        <v>1293</v>
      </c>
      <c r="BT149" s="115" t="s">
        <v>1293</v>
      </c>
      <c r="BU149" s="114">
        <f t="shared" ref="BU149" si="644">E149</f>
        <v>34</v>
      </c>
      <c r="BV149" s="116">
        <f t="shared" ref="BV149" si="645">I149</f>
        <v>66</v>
      </c>
      <c r="BW149" s="117">
        <f t="shared" ref="BW149" si="646">M149</f>
        <v>70</v>
      </c>
      <c r="BX149" s="116">
        <f t="shared" ref="BX149" si="647">Q149</f>
        <v>102</v>
      </c>
      <c r="BY149" s="117">
        <f t="shared" ref="BY149" si="648">U149</f>
        <v>106</v>
      </c>
      <c r="BZ149" s="116" t="str">
        <f t="shared" ref="BZ149" si="649">Y149</f>
        <v>-</v>
      </c>
      <c r="CA149" s="117">
        <f t="shared" ref="CA149" si="650">AC149</f>
        <v>149</v>
      </c>
      <c r="CB149" s="116">
        <f t="shared" ref="CB149" si="651">AG149</f>
        <v>187</v>
      </c>
      <c r="CC149" s="117">
        <f t="shared" ref="CC149" si="652">AK149</f>
        <v>199</v>
      </c>
      <c r="CD149" s="116">
        <f t="shared" ref="CD149" si="653">AO149</f>
        <v>241</v>
      </c>
      <c r="CE149" s="117">
        <f t="shared" ref="CE149" si="654">AS149</f>
        <v>284</v>
      </c>
      <c r="CF149" s="116">
        <f t="shared" ref="CF149" si="655">AW149</f>
        <v>310</v>
      </c>
      <c r="CG149" s="114">
        <f t="shared" ref="CG149" si="656">G149</f>
        <v>65</v>
      </c>
      <c r="CH149" s="116">
        <f t="shared" ref="CH149" si="657">K149</f>
        <v>69</v>
      </c>
      <c r="CI149" s="117">
        <f t="shared" ref="CI149" si="658">O149</f>
        <v>100</v>
      </c>
      <c r="CJ149" s="117">
        <f t="shared" ref="CJ149" si="659">S149</f>
        <v>105</v>
      </c>
      <c r="CK149" s="117">
        <f t="shared" ref="CK149" si="660">W149</f>
        <v>141</v>
      </c>
      <c r="CL149" s="117" t="str">
        <f t="shared" ref="CL149" si="661">AA149</f>
        <v>-</v>
      </c>
      <c r="CM149" s="117">
        <f t="shared" ref="CM149" si="662">AE149</f>
        <v>173</v>
      </c>
      <c r="CN149" s="117">
        <f t="shared" ref="CN149" si="663">AI149</f>
        <v>189</v>
      </c>
      <c r="CO149" s="117">
        <f t="shared" ref="CO149" si="664">AM149</f>
        <v>237</v>
      </c>
      <c r="CP149" s="117">
        <f t="shared" ref="CP149" si="665">AQ149</f>
        <v>278</v>
      </c>
      <c r="CQ149" s="117">
        <f t="shared" ref="CQ149" si="666">AU149</f>
        <v>309</v>
      </c>
      <c r="CR149" s="117">
        <f t="shared" ref="CR149" si="667">AY149</f>
        <v>322</v>
      </c>
      <c r="CS149" s="112">
        <f t="shared" ref="CS149" si="668">M149-K149</f>
        <v>1</v>
      </c>
    </row>
    <row r="150" spans="1:1029" s="12" customFormat="1" x14ac:dyDescent="0.2">
      <c r="A150" s="9" t="str">
        <f t="shared" ref="A150" si="669">CONCATENATE(B150,"_",C150)</f>
        <v>opsd_bovin_5TE5</v>
      </c>
      <c r="B150" s="9" t="s">
        <v>920</v>
      </c>
      <c r="C150" s="9" t="s">
        <v>1408</v>
      </c>
      <c r="D150" s="9" t="str">
        <f>IFERROR(MID(VLOOKUP($B150,Seqs!$A:$B,2,0),E150,1),"")</f>
        <v>Q</v>
      </c>
      <c r="E150" s="9">
        <v>36</v>
      </c>
      <c r="F150" s="9" t="str">
        <f>IFERROR(MID(VLOOKUP($B150,Seqs!$A:$B,2,0),G150,1),"")</f>
        <v>H</v>
      </c>
      <c r="G150" s="9">
        <v>65</v>
      </c>
      <c r="H150" s="9" t="str">
        <f>IFERROR(MID(VLOOKUP($B150,Seqs!$A:$B,2,0),I150,1),"")</f>
        <v>K</v>
      </c>
      <c r="I150" s="112">
        <v>66</v>
      </c>
      <c r="J150" s="9" t="str">
        <f>IFERROR(MID(VLOOKUP($B150,Seqs!$A:$B,2,0),K150,1),"")</f>
        <v>R</v>
      </c>
      <c r="K150" s="112">
        <v>69</v>
      </c>
      <c r="L150" s="9" t="str">
        <f>IFERROR(MID(VLOOKUP($B150,Seqs!$A:$B,2,0),M150,1),"")</f>
        <v>T</v>
      </c>
      <c r="M150" s="9">
        <v>70</v>
      </c>
      <c r="N150" s="9" t="str">
        <f>IFERROR(MID(VLOOKUP($B150,Seqs!$A:$B,2,0),O150,1),"")</f>
        <v>H</v>
      </c>
      <c r="O150" s="9">
        <v>100</v>
      </c>
      <c r="P150" s="9" t="str">
        <f>IFERROR(MID(VLOOKUP($B150,Seqs!$A:$B,2,0),Q150,1),"")</f>
        <v>Y</v>
      </c>
      <c r="Q150" s="9">
        <v>102</v>
      </c>
      <c r="R150" s="9" t="str">
        <f>IFERROR(MID(VLOOKUP($B150,Seqs!$A:$B,2,0),S150,1),"")</f>
        <v>F</v>
      </c>
      <c r="S150" s="9">
        <v>105</v>
      </c>
      <c r="T150" s="9" t="str">
        <f>IFERROR(MID(VLOOKUP($B150,Seqs!$A:$B,2,0),U150,1),"")</f>
        <v>G</v>
      </c>
      <c r="U150" s="9">
        <v>106</v>
      </c>
      <c r="V150" s="9" t="str">
        <f>IFERROR(MID(VLOOKUP($B150,Seqs!$A:$B,2,0),W150,1),"")</f>
        <v>K</v>
      </c>
      <c r="W150" s="9">
        <v>141</v>
      </c>
      <c r="X150" s="9" t="str">
        <f>IFERROR(MID(VLOOKUP($B150,Seqs!$A:$B,2,0),Y150,1),"")</f>
        <v/>
      </c>
      <c r="Y150" s="9" t="s">
        <v>23</v>
      </c>
      <c r="Z150" s="9" t="str">
        <f>IFERROR(MID(VLOOKUP($B150,Seqs!$A:$B,2,0),AA150,1),"")</f>
        <v/>
      </c>
      <c r="AA150" s="9" t="s">
        <v>23</v>
      </c>
      <c r="AB150" s="9" t="str">
        <f>IFERROR(MID(VLOOKUP($B150,Seqs!$A:$B,2,0),AC150,1),"")</f>
        <v>G</v>
      </c>
      <c r="AC150" s="9">
        <v>149</v>
      </c>
      <c r="AD150" s="9" t="str">
        <f>IFERROR(MID(VLOOKUP($B150,Seqs!$A:$B,2,0),AE150,1),"")</f>
        <v>V</v>
      </c>
      <c r="AE150" s="9">
        <v>173</v>
      </c>
      <c r="AF150" s="9" t="str">
        <f>IFERROR(MID(VLOOKUP($B150,Seqs!$A:$B,2,0),AG150,1),"")</f>
        <v>C</v>
      </c>
      <c r="AG150" s="9">
        <v>187</v>
      </c>
      <c r="AH150" s="9" t="str">
        <f>IFERROR(MID(VLOOKUP($B150,Seqs!$A:$B,2,0),AI150,1),"")</f>
        <v>I</v>
      </c>
      <c r="AI150" s="9">
        <v>189</v>
      </c>
      <c r="AJ150" s="9" t="str">
        <f>IFERROR(MID(VLOOKUP($B150,Seqs!$A:$B,2,0),AK150,1),"")</f>
        <v>S</v>
      </c>
      <c r="AK150" s="9">
        <v>202</v>
      </c>
      <c r="AL150" s="9" t="str">
        <f>IFERROR(MID(VLOOKUP($B150,Seqs!$A:$B,2,0),AM150,1),"")</f>
        <v>L</v>
      </c>
      <c r="AM150" s="9">
        <v>226</v>
      </c>
      <c r="AN150" s="9" t="str">
        <f>IFERROR(MID(VLOOKUP($B150,Seqs!$A:$B,2,0),AO150,1),"")</f>
        <v>T</v>
      </c>
      <c r="AO150" s="9">
        <v>243</v>
      </c>
      <c r="AP150" s="9" t="str">
        <f>IFERROR(MID(VLOOKUP($B150,Seqs!$A:$B,2,0),AQ150,1),"")</f>
        <v>H</v>
      </c>
      <c r="AQ150" s="9">
        <v>278</v>
      </c>
      <c r="AR150" s="9" t="str">
        <f>IFERROR(MID(VLOOKUP($B150,Seqs!$A:$B,2,0),AS150,1),"")</f>
        <v>P</v>
      </c>
      <c r="AS150" s="9">
        <v>285</v>
      </c>
      <c r="AT150" s="9" t="str">
        <f>IFERROR(MID(VLOOKUP($B150,Seqs!$A:$B,2,0),AU150,1),"")</f>
        <v>M</v>
      </c>
      <c r="AU150" s="9">
        <v>309</v>
      </c>
      <c r="AV150" s="9" t="str">
        <f>IFERROR(MID(VLOOKUP($B150,Seqs!$A:$B,2,0),AW150,1),"")</f>
        <v>N</v>
      </c>
      <c r="AW150" s="9">
        <v>310</v>
      </c>
      <c r="AX150" s="9" t="str">
        <f>IFERROR(MID(VLOOKUP($B150,Seqs!$A:$B,2,0),AY150,1),"")</f>
        <v>C</v>
      </c>
      <c r="AY150" s="9">
        <v>323</v>
      </c>
      <c r="AZ150" s="113" t="str">
        <f>VLOOKUP(B150,Classification!A:D,2,0)</f>
        <v>A</v>
      </c>
      <c r="BA150" s="101" t="str">
        <f>VLOOKUP(B150,Classification!A:D,4,0)</f>
        <v>Opsins</v>
      </c>
      <c r="BB150" s="37" t="b">
        <f t="shared" ref="BB150" si="670"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12">
        <f t="shared" ref="BC150" si="671">_xlfn.AGGREGATE(9,6,CG150:CR150)-_xlfn.AGGREGATE(9,6,BU150:CF150)+12</f>
        <v>234</v>
      </c>
      <c r="BD150" s="41" t="s">
        <v>23</v>
      </c>
      <c r="BE150" s="9" t="s">
        <v>1381</v>
      </c>
      <c r="BF150" s="52" t="s">
        <v>1384</v>
      </c>
      <c r="BG150" s="52" t="s">
        <v>1384</v>
      </c>
      <c r="BI150" s="114" t="s">
        <v>1293</v>
      </c>
      <c r="BJ150" s="115" t="s">
        <v>1293</v>
      </c>
      <c r="BK150" s="115" t="s">
        <v>1293</v>
      </c>
      <c r="BL150" s="115" t="s">
        <v>1293</v>
      </c>
      <c r="BM150" s="115" t="s">
        <v>1293</v>
      </c>
      <c r="BN150" s="115" t="s">
        <v>1293</v>
      </c>
      <c r="BO150" s="115" t="s">
        <v>1293</v>
      </c>
      <c r="BP150" s="115" t="s">
        <v>1293</v>
      </c>
      <c r="BQ150" s="115" t="s">
        <v>1293</v>
      </c>
      <c r="BR150" s="115" t="s">
        <v>1293</v>
      </c>
      <c r="BS150" s="115" t="s">
        <v>1293</v>
      </c>
      <c r="BT150" s="115" t="s">
        <v>1293</v>
      </c>
      <c r="BU150" s="114">
        <f t="shared" ref="BU150" si="672">E150</f>
        <v>36</v>
      </c>
      <c r="BV150" s="116">
        <f t="shared" ref="BV150" si="673">I150</f>
        <v>66</v>
      </c>
      <c r="BW150" s="117">
        <f t="shared" ref="BW150" si="674">M150</f>
        <v>70</v>
      </c>
      <c r="BX150" s="116">
        <f t="shared" ref="BX150" si="675">Q150</f>
        <v>102</v>
      </c>
      <c r="BY150" s="117">
        <f t="shared" ref="BY150" si="676">U150</f>
        <v>106</v>
      </c>
      <c r="BZ150" s="116" t="str">
        <f t="shared" ref="BZ150" si="677">Y150</f>
        <v>-</v>
      </c>
      <c r="CA150" s="117">
        <f t="shared" ref="CA150" si="678">AC150</f>
        <v>149</v>
      </c>
      <c r="CB150" s="116">
        <f t="shared" ref="CB150" si="679">AG150</f>
        <v>187</v>
      </c>
      <c r="CC150" s="117">
        <f t="shared" ref="CC150" si="680">AK150</f>
        <v>202</v>
      </c>
      <c r="CD150" s="116">
        <f t="shared" ref="CD150" si="681">AO150</f>
        <v>243</v>
      </c>
      <c r="CE150" s="117">
        <f t="shared" ref="CE150" si="682">AS150</f>
        <v>285</v>
      </c>
      <c r="CF150" s="116">
        <f t="shared" ref="CF150" si="683">AW150</f>
        <v>310</v>
      </c>
      <c r="CG150" s="114">
        <f t="shared" ref="CG150" si="684">G150</f>
        <v>65</v>
      </c>
      <c r="CH150" s="116">
        <f t="shared" ref="CH150" si="685">K150</f>
        <v>69</v>
      </c>
      <c r="CI150" s="117">
        <f t="shared" ref="CI150" si="686">O150</f>
        <v>100</v>
      </c>
      <c r="CJ150" s="117">
        <f t="shared" ref="CJ150" si="687">S150</f>
        <v>105</v>
      </c>
      <c r="CK150" s="117">
        <f t="shared" ref="CK150" si="688">W150</f>
        <v>141</v>
      </c>
      <c r="CL150" s="117" t="str">
        <f t="shared" ref="CL150" si="689">AA150</f>
        <v>-</v>
      </c>
      <c r="CM150" s="117">
        <f t="shared" ref="CM150" si="690">AE150</f>
        <v>173</v>
      </c>
      <c r="CN150" s="117">
        <f t="shared" ref="CN150" si="691">AI150</f>
        <v>189</v>
      </c>
      <c r="CO150" s="117">
        <f t="shared" ref="CO150" si="692">AM150</f>
        <v>226</v>
      </c>
      <c r="CP150" s="117">
        <f t="shared" ref="CP150" si="693">AQ150</f>
        <v>278</v>
      </c>
      <c r="CQ150" s="117">
        <f t="shared" ref="CQ150" si="694">AU150</f>
        <v>309</v>
      </c>
      <c r="CR150" s="117">
        <f t="shared" ref="CR150" si="695">AY150</f>
        <v>323</v>
      </c>
      <c r="CS150" s="112">
        <f t="shared" ref="CS150" si="696">M150-K150</f>
        <v>1</v>
      </c>
    </row>
    <row r="151" spans="1:1029" x14ac:dyDescent="0.2">
      <c r="A151" s="3" t="str">
        <f t="shared" si="639"/>
        <v>opsd_human__wt</v>
      </c>
      <c r="B151" s="3" t="s">
        <v>339</v>
      </c>
      <c r="C151" s="3" t="s">
        <v>100</v>
      </c>
      <c r="D151" s="3" t="str">
        <f>IFERROR(MID(VLOOKUP($B151,Seqs!$A:$B,2,0),E151,1),"")</f>
        <v>P</v>
      </c>
      <c r="E151" s="3">
        <v>34</v>
      </c>
      <c r="F151" s="3" t="str">
        <f>IFERROR(MID(VLOOKUP($B151,Seqs!$A:$B,2,0),G151,1),"")</f>
        <v>H</v>
      </c>
      <c r="G151" s="3">
        <v>65</v>
      </c>
      <c r="H151" s="3" t="str">
        <f>IFERROR(MID(VLOOKUP($B151,Seqs!$A:$B,2,0),I151,1),"")</f>
        <v>K</v>
      </c>
      <c r="I151" s="23">
        <v>66</v>
      </c>
      <c r="J151" s="3" t="str">
        <f>IFERROR(MID(VLOOKUP($B151,Seqs!$A:$B,2,0),K151,1),"")</f>
        <v>R</v>
      </c>
      <c r="K151" s="23">
        <v>69</v>
      </c>
      <c r="L151" s="3" t="str">
        <f>IFERROR(MID(VLOOKUP($B151,Seqs!$A:$B,2,0),M151,1),"")</f>
        <v>T</v>
      </c>
      <c r="M151" s="3">
        <v>70</v>
      </c>
      <c r="N151" s="3" t="str">
        <f>IFERROR(MID(VLOOKUP($B151,Seqs!$A:$B,2,0),O151,1),"")</f>
        <v>H</v>
      </c>
      <c r="O151" s="3">
        <v>100</v>
      </c>
      <c r="P151" s="3" t="str">
        <f>IFERROR(MID(VLOOKUP($B151,Seqs!$A:$B,2,0),Q151,1),"")</f>
        <v>Y</v>
      </c>
      <c r="Q151" s="3">
        <v>102</v>
      </c>
      <c r="R151" s="3" t="str">
        <f>IFERROR(MID(VLOOKUP($B151,Seqs!$A:$B,2,0),S151,1),"")</f>
        <v>F</v>
      </c>
      <c r="S151" s="3">
        <v>105</v>
      </c>
      <c r="T151" s="3" t="str">
        <f>IFERROR(MID(VLOOKUP($B151,Seqs!$A:$B,2,0),U151,1),"")</f>
        <v>G</v>
      </c>
      <c r="U151" s="3">
        <v>106</v>
      </c>
      <c r="V151" s="3" t="str">
        <f>IFERROR(MID(VLOOKUP($B151,Seqs!$A:$B,2,0),W151,1),"")</f>
        <v>K</v>
      </c>
      <c r="W151" s="3">
        <v>141</v>
      </c>
      <c r="X151" s="3" t="str">
        <f>IFERROR(MID(VLOOKUP($B151,Seqs!$A:$B,2,0),Y151,1),"")</f>
        <v>P</v>
      </c>
      <c r="Y151" s="3">
        <v>142</v>
      </c>
      <c r="Z151" s="3" t="str">
        <f>IFERROR(MID(VLOOKUP($B151,Seqs!$A:$B,2,0),AA151,1),"")</f>
        <v>F</v>
      </c>
      <c r="AA151" s="3">
        <v>148</v>
      </c>
      <c r="AB151" s="3" t="str">
        <f>IFERROR(MID(VLOOKUP($B151,Seqs!$A:$B,2,0),AC151,1),"")</f>
        <v>G</v>
      </c>
      <c r="AC151" s="9">
        <v>149</v>
      </c>
      <c r="AD151" s="3" t="str">
        <f>IFERROR(MID(VLOOKUP($B151,Seqs!$A:$B,2,0),AE151,1),"")</f>
        <v>A</v>
      </c>
      <c r="AE151" s="3">
        <v>173</v>
      </c>
      <c r="AF151" s="3" t="str">
        <f>IFERROR(MID(VLOOKUP($B151,Seqs!$A:$B,2,0),AG151,1),"")</f>
        <v>C</v>
      </c>
      <c r="AG151" s="3">
        <v>187</v>
      </c>
      <c r="AH151" s="3" t="str">
        <f>IFERROR(MID(VLOOKUP($B151,Seqs!$A:$B,2,0),AI151,1),"")</f>
        <v>I</v>
      </c>
      <c r="AI151" s="3">
        <v>189</v>
      </c>
      <c r="AJ151" s="3" t="str">
        <f>IFERROR(MID(VLOOKUP($B151,Seqs!$A:$B,2,0),AK151,1),"")</f>
        <v>N</v>
      </c>
      <c r="AK151" s="3">
        <v>199</v>
      </c>
      <c r="AL151" s="3" t="str">
        <f>IFERROR(MID(VLOOKUP($B151,Seqs!$A:$B,2,0),AM151,1),"")</f>
        <v>Q</v>
      </c>
      <c r="AM151" s="3">
        <v>237</v>
      </c>
      <c r="AN151" s="3" t="str">
        <f>IFERROR(MID(VLOOKUP($B151,Seqs!$A:$B,2,0),AO151,1),"")</f>
        <v>A</v>
      </c>
      <c r="AO151" s="3">
        <v>241</v>
      </c>
      <c r="AP151" s="3" t="str">
        <f>IFERROR(MID(VLOOKUP($B151,Seqs!$A:$B,2,0),AQ151,1),"")</f>
        <v>H</v>
      </c>
      <c r="AQ151" s="3">
        <v>278</v>
      </c>
      <c r="AR151" s="3" t="str">
        <f>IFERROR(MID(VLOOKUP($B151,Seqs!$A:$B,2,0),AS151,1),"")</f>
        <v>G</v>
      </c>
      <c r="AS151" s="3">
        <v>284</v>
      </c>
      <c r="AT151" s="3" t="str">
        <f>IFERROR(MID(VLOOKUP($B151,Seqs!$A:$B,2,0),AU151,1),"")</f>
        <v>M</v>
      </c>
      <c r="AU151" s="3">
        <v>309</v>
      </c>
      <c r="AV151" s="3" t="str">
        <f>IFERROR(MID(VLOOKUP($B151,Seqs!$A:$B,2,0),AW151,1),"")</f>
        <v>N</v>
      </c>
      <c r="AW151" s="3">
        <v>310</v>
      </c>
      <c r="AX151" s="3" t="str">
        <f>IFERROR(MID(VLOOKUP($B151,Seqs!$A:$B,2,0),AY151,1),"")</f>
        <v>C</v>
      </c>
      <c r="AY151" s="3">
        <v>322</v>
      </c>
      <c r="AZ151" s="79" t="str">
        <f>VLOOKUP(B151,Classification!A:D,2,0)</f>
        <v>A</v>
      </c>
      <c r="BA151" s="97" t="str">
        <f>VLOOKUP(B151,Classification!A:D,4,0)</f>
        <v>Opsins</v>
      </c>
      <c r="BB151" s="27" t="b">
        <f t="shared" si="640"/>
        <v>1</v>
      </c>
      <c r="BC151" s="23">
        <f t="shared" si="613"/>
        <v>258</v>
      </c>
      <c r="BD151" s="57" t="s">
        <v>1379</v>
      </c>
      <c r="BE151" s="3" t="s">
        <v>1381</v>
      </c>
      <c r="BF151" s="50" t="s">
        <v>1379</v>
      </c>
      <c r="BG151" s="50" t="s">
        <v>1384</v>
      </c>
      <c r="BH151" s="1"/>
      <c r="BI151" s="72" t="s">
        <v>1293</v>
      </c>
      <c r="BJ151" s="58" t="s">
        <v>1293</v>
      </c>
      <c r="BK151" s="58" t="s">
        <v>1293</v>
      </c>
      <c r="BL151" s="58" t="s">
        <v>1293</v>
      </c>
      <c r="BM151" s="58" t="s">
        <v>1293</v>
      </c>
      <c r="BN151" s="58" t="s">
        <v>1293</v>
      </c>
      <c r="BO151" s="58" t="s">
        <v>1293</v>
      </c>
      <c r="BP151" s="58" t="s">
        <v>1293</v>
      </c>
      <c r="BQ151" s="58" t="s">
        <v>1293</v>
      </c>
      <c r="BR151" s="58" t="s">
        <v>1293</v>
      </c>
      <c r="BS151" s="58" t="s">
        <v>1293</v>
      </c>
      <c r="BT151" s="58" t="s">
        <v>1293</v>
      </c>
      <c r="BU151" s="72">
        <f t="shared" si="614"/>
        <v>34</v>
      </c>
      <c r="BV151" s="73">
        <f t="shared" si="615"/>
        <v>66</v>
      </c>
      <c r="BW151" s="74">
        <f t="shared" si="616"/>
        <v>70</v>
      </c>
      <c r="BX151" s="73">
        <f t="shared" si="617"/>
        <v>102</v>
      </c>
      <c r="BY151" s="74">
        <f t="shared" si="618"/>
        <v>106</v>
      </c>
      <c r="BZ151" s="73">
        <f t="shared" si="619"/>
        <v>142</v>
      </c>
      <c r="CA151" s="74">
        <f t="shared" si="620"/>
        <v>149</v>
      </c>
      <c r="CB151" s="73">
        <f t="shared" si="621"/>
        <v>187</v>
      </c>
      <c r="CC151" s="74">
        <f t="shared" si="622"/>
        <v>199</v>
      </c>
      <c r="CD151" s="73">
        <f t="shared" si="623"/>
        <v>241</v>
      </c>
      <c r="CE151" s="74">
        <f t="shared" si="624"/>
        <v>284</v>
      </c>
      <c r="CF151" s="73">
        <f t="shared" si="625"/>
        <v>310</v>
      </c>
      <c r="CG151" s="72">
        <f t="shared" si="626"/>
        <v>65</v>
      </c>
      <c r="CH151" s="73">
        <f t="shared" si="627"/>
        <v>69</v>
      </c>
      <c r="CI151" s="74">
        <f t="shared" si="628"/>
        <v>100</v>
      </c>
      <c r="CJ151" s="74">
        <f t="shared" si="629"/>
        <v>105</v>
      </c>
      <c r="CK151" s="74">
        <f t="shared" si="630"/>
        <v>141</v>
      </c>
      <c r="CL151" s="74">
        <f t="shared" si="631"/>
        <v>148</v>
      </c>
      <c r="CM151" s="74">
        <f t="shared" si="632"/>
        <v>173</v>
      </c>
      <c r="CN151" s="74">
        <f t="shared" si="633"/>
        <v>189</v>
      </c>
      <c r="CO151" s="74">
        <f t="shared" si="634"/>
        <v>237</v>
      </c>
      <c r="CP151" s="74">
        <f t="shared" si="635"/>
        <v>278</v>
      </c>
      <c r="CQ151" s="74">
        <f t="shared" si="636"/>
        <v>309</v>
      </c>
      <c r="CR151" s="74">
        <f t="shared" si="637"/>
        <v>322</v>
      </c>
      <c r="CS151" s="23">
        <f t="shared" si="638"/>
        <v>1</v>
      </c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</row>
    <row r="152" spans="1:1029" x14ac:dyDescent="0.2">
      <c r="A152" s="3" t="str">
        <f t="shared" si="639"/>
        <v>opsd_human_4ZWJ</v>
      </c>
      <c r="B152" s="3" t="s">
        <v>339</v>
      </c>
      <c r="C152" s="3" t="s">
        <v>55</v>
      </c>
      <c r="D152" s="3" t="str">
        <f>IFERROR(MID(VLOOKUP($B152,Seqs!$A:$B,2,0),E152,1),"")</f>
        <v>P</v>
      </c>
      <c r="E152" s="3">
        <v>34</v>
      </c>
      <c r="F152" s="3" t="str">
        <f>IFERROR(MID(VLOOKUP($B152,Seqs!$A:$B,2,0),G152,1),"")</f>
        <v>H</v>
      </c>
      <c r="G152" s="3">
        <v>65</v>
      </c>
      <c r="H152" s="3" t="str">
        <f>IFERROR(MID(VLOOKUP($B152,Seqs!$A:$B,2,0),I152,1),"")</f>
        <v>K</v>
      </c>
      <c r="I152" s="23">
        <v>66</v>
      </c>
      <c r="J152" s="3" t="str">
        <f>IFERROR(MID(VLOOKUP($B152,Seqs!$A:$B,2,0),K152,1),"")</f>
        <v>R</v>
      </c>
      <c r="K152" s="23">
        <v>69</v>
      </c>
      <c r="L152" s="3" t="str">
        <f>IFERROR(MID(VLOOKUP($B152,Seqs!$A:$B,2,0),M152,1),"")</f>
        <v>T</v>
      </c>
      <c r="M152" s="3">
        <v>70</v>
      </c>
      <c r="N152" s="3" t="str">
        <f>IFERROR(MID(VLOOKUP($B152,Seqs!$A:$B,2,0),O152,1),"")</f>
        <v>H</v>
      </c>
      <c r="O152" s="3">
        <v>100</v>
      </c>
      <c r="P152" s="3" t="str">
        <f>IFERROR(MID(VLOOKUP($B152,Seqs!$A:$B,2,0),Q152,1),"")</f>
        <v>Y</v>
      </c>
      <c r="Q152" s="3">
        <v>102</v>
      </c>
      <c r="R152" s="3" t="str">
        <f>IFERROR(MID(VLOOKUP($B152,Seqs!$A:$B,2,0),S152,1),"")</f>
        <v>F</v>
      </c>
      <c r="S152" s="3">
        <v>105</v>
      </c>
      <c r="T152" s="3" t="str">
        <f>IFERROR(MID(VLOOKUP($B152,Seqs!$A:$B,2,0),U152,1),"")</f>
        <v>G</v>
      </c>
      <c r="U152" s="3">
        <v>106</v>
      </c>
      <c r="V152" s="3" t="str">
        <f>IFERROR(MID(VLOOKUP($B152,Seqs!$A:$B,2,0),W152,1),"")</f>
        <v>K</v>
      </c>
      <c r="W152" s="3">
        <v>141</v>
      </c>
      <c r="X152" s="3" t="str">
        <f>IFERROR(MID(VLOOKUP($B152,Seqs!$A:$B,2,0),Y152,1),"")</f>
        <v>P</v>
      </c>
      <c r="Y152" s="3">
        <v>142</v>
      </c>
      <c r="Z152" s="3" t="str">
        <f>IFERROR(MID(VLOOKUP($B152,Seqs!$A:$B,2,0),AA152,1),"")</f>
        <v>F</v>
      </c>
      <c r="AA152" s="3">
        <v>148</v>
      </c>
      <c r="AB152" s="3" t="str">
        <f>IFERROR(MID(VLOOKUP($B152,Seqs!$A:$B,2,0),AC152,1),"")</f>
        <v>G</v>
      </c>
      <c r="AC152" s="9">
        <v>149</v>
      </c>
      <c r="AD152" s="3" t="str">
        <f>IFERROR(MID(VLOOKUP($B152,Seqs!$A:$B,2,0),AE152,1),"")</f>
        <v>A</v>
      </c>
      <c r="AE152" s="3">
        <v>173</v>
      </c>
      <c r="AF152" s="3" t="str">
        <f>IFERROR(MID(VLOOKUP($B152,Seqs!$A:$B,2,0),AG152,1),"")</f>
        <v>C</v>
      </c>
      <c r="AG152" s="3">
        <v>187</v>
      </c>
      <c r="AH152" s="3" t="str">
        <f>IFERROR(MID(VLOOKUP($B152,Seqs!$A:$B,2,0),AI152,1),"")</f>
        <v>I</v>
      </c>
      <c r="AI152" s="3">
        <v>189</v>
      </c>
      <c r="AJ152" s="3" t="str">
        <f>IFERROR(MID(VLOOKUP($B152,Seqs!$A:$B,2,0),AK152,1),"")</f>
        <v>N</v>
      </c>
      <c r="AK152" s="3">
        <v>199</v>
      </c>
      <c r="AL152" s="3" t="str">
        <f>IFERROR(MID(VLOOKUP($B152,Seqs!$A:$B,2,0),AM152,1),"")</f>
        <v>Q</v>
      </c>
      <c r="AM152" s="3">
        <v>237</v>
      </c>
      <c r="AN152" s="3" t="str">
        <f>IFERROR(MID(VLOOKUP($B152,Seqs!$A:$B,2,0),AO152,1),"")</f>
        <v>A</v>
      </c>
      <c r="AO152" s="3">
        <v>241</v>
      </c>
      <c r="AP152" s="3" t="str">
        <f>IFERROR(MID(VLOOKUP($B152,Seqs!$A:$B,2,0),AQ152,1),"")</f>
        <v>H</v>
      </c>
      <c r="AQ152" s="3">
        <v>278</v>
      </c>
      <c r="AR152" s="3" t="str">
        <f>IFERROR(MID(VLOOKUP($B152,Seqs!$A:$B,2,0),AS152,1),"")</f>
        <v>G</v>
      </c>
      <c r="AS152" s="3">
        <v>284</v>
      </c>
      <c r="AT152" s="3" t="str">
        <f>IFERROR(MID(VLOOKUP($B152,Seqs!$A:$B,2,0),AU152,1),"")</f>
        <v>M</v>
      </c>
      <c r="AU152" s="3">
        <v>309</v>
      </c>
      <c r="AV152" s="3" t="str">
        <f>IFERROR(MID(VLOOKUP($B152,Seqs!$A:$B,2,0),AW152,1),"")</f>
        <v>N</v>
      </c>
      <c r="AW152" s="3">
        <v>310</v>
      </c>
      <c r="AX152" s="3" t="str">
        <f>IFERROR(MID(VLOOKUP($B152,Seqs!$A:$B,2,0),AY152,1),"")</f>
        <v>C</v>
      </c>
      <c r="AY152" s="3">
        <v>322</v>
      </c>
      <c r="AZ152" s="79" t="str">
        <f>VLOOKUP(B152,Classification!A:D,2,0)</f>
        <v>A</v>
      </c>
      <c r="BA152" s="97" t="str">
        <f>VLOOKUP(B152,Classification!A:D,4,0)</f>
        <v>Opsins</v>
      </c>
      <c r="BB152" s="27" t="b">
        <f t="shared" si="640"/>
        <v>1</v>
      </c>
      <c r="BC152" s="23">
        <f t="shared" si="613"/>
        <v>258</v>
      </c>
      <c r="BD152" s="2" t="s">
        <v>1383</v>
      </c>
      <c r="BE152" s="3" t="s">
        <v>1381</v>
      </c>
      <c r="BF152" s="50" t="s">
        <v>1384</v>
      </c>
      <c r="BG152" s="50" t="s">
        <v>1384</v>
      </c>
      <c r="BH152" s="1"/>
      <c r="BI152" s="72" t="s">
        <v>1293</v>
      </c>
      <c r="BJ152" s="58" t="s">
        <v>1293</v>
      </c>
      <c r="BK152" s="58" t="s">
        <v>1293</v>
      </c>
      <c r="BL152" s="58" t="s">
        <v>1293</v>
      </c>
      <c r="BM152" s="58" t="s">
        <v>1293</v>
      </c>
      <c r="BN152" s="58" t="s">
        <v>1293</v>
      </c>
      <c r="BO152" s="58" t="s">
        <v>1293</v>
      </c>
      <c r="BP152" s="58" t="s">
        <v>1293</v>
      </c>
      <c r="BQ152" s="58" t="s">
        <v>1293</v>
      </c>
      <c r="BR152" s="58" t="s">
        <v>1293</v>
      </c>
      <c r="BS152" s="58" t="s">
        <v>1293</v>
      </c>
      <c r="BT152" s="58" t="s">
        <v>1293</v>
      </c>
      <c r="BU152" s="72">
        <f t="shared" si="614"/>
        <v>34</v>
      </c>
      <c r="BV152" s="73">
        <f t="shared" si="615"/>
        <v>66</v>
      </c>
      <c r="BW152" s="74">
        <f t="shared" si="616"/>
        <v>70</v>
      </c>
      <c r="BX152" s="73">
        <f t="shared" si="617"/>
        <v>102</v>
      </c>
      <c r="BY152" s="74">
        <f t="shared" si="618"/>
        <v>106</v>
      </c>
      <c r="BZ152" s="73">
        <f t="shared" si="619"/>
        <v>142</v>
      </c>
      <c r="CA152" s="74">
        <f t="shared" si="620"/>
        <v>149</v>
      </c>
      <c r="CB152" s="73">
        <f t="shared" si="621"/>
        <v>187</v>
      </c>
      <c r="CC152" s="74">
        <f t="shared" si="622"/>
        <v>199</v>
      </c>
      <c r="CD152" s="73">
        <f t="shared" si="623"/>
        <v>241</v>
      </c>
      <c r="CE152" s="74">
        <f t="shared" si="624"/>
        <v>284</v>
      </c>
      <c r="CF152" s="73">
        <f t="shared" si="625"/>
        <v>310</v>
      </c>
      <c r="CG152" s="72">
        <f t="shared" si="626"/>
        <v>65</v>
      </c>
      <c r="CH152" s="73">
        <f t="shared" si="627"/>
        <v>69</v>
      </c>
      <c r="CI152" s="74">
        <f t="shared" si="628"/>
        <v>100</v>
      </c>
      <c r="CJ152" s="74">
        <f t="shared" si="629"/>
        <v>105</v>
      </c>
      <c r="CK152" s="74">
        <f t="shared" si="630"/>
        <v>141</v>
      </c>
      <c r="CL152" s="74">
        <f t="shared" si="631"/>
        <v>148</v>
      </c>
      <c r="CM152" s="74">
        <f t="shared" si="632"/>
        <v>173</v>
      </c>
      <c r="CN152" s="74">
        <f t="shared" si="633"/>
        <v>189</v>
      </c>
      <c r="CO152" s="74">
        <f t="shared" si="634"/>
        <v>237</v>
      </c>
      <c r="CP152" s="74">
        <f t="shared" si="635"/>
        <v>278</v>
      </c>
      <c r="CQ152" s="74">
        <f t="shared" si="636"/>
        <v>309</v>
      </c>
      <c r="CR152" s="74">
        <f t="shared" si="637"/>
        <v>322</v>
      </c>
      <c r="CS152" s="23">
        <f t="shared" si="638"/>
        <v>1</v>
      </c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</row>
    <row r="153" spans="1:1029" x14ac:dyDescent="0.2">
      <c r="A153" s="3" t="str">
        <f t="shared" si="639"/>
        <v>opsd_todpa__wt</v>
      </c>
      <c r="B153" s="3" t="s">
        <v>922</v>
      </c>
      <c r="C153" s="3" t="s">
        <v>100</v>
      </c>
      <c r="D153" s="3" t="str">
        <f>IFERROR(MID(VLOOKUP($B153,Seqs!$A:$B,2,0),E153,1),"")</f>
        <v>D</v>
      </c>
      <c r="E153" s="3">
        <v>31</v>
      </c>
      <c r="F153" s="3" t="str">
        <f>IFERROR(MID(VLOOKUP($B153,Seqs!$A:$B,2,0),G153,1),"")</f>
        <v>T</v>
      </c>
      <c r="G153" s="3">
        <v>62</v>
      </c>
      <c r="H153" s="3" t="str">
        <f>IFERROR(MID(VLOOKUP($B153,Seqs!$A:$B,2,0),I153,1),"")</f>
        <v>K</v>
      </c>
      <c r="I153" s="23">
        <v>63</v>
      </c>
      <c r="J153" s="3" t="str">
        <f>IFERROR(MID(VLOOKUP($B153,Seqs!$A:$B,2,0),K153,1),"")</f>
        <v>Q</v>
      </c>
      <c r="K153" s="23">
        <v>66</v>
      </c>
      <c r="L153" s="3" t="str">
        <f>IFERROR(MID(VLOOKUP($B153,Seqs!$A:$B,2,0),M153,1),"")</f>
        <v>T</v>
      </c>
      <c r="M153" s="3">
        <v>67</v>
      </c>
      <c r="N153" s="3" t="str">
        <f>IFERROR(MID(VLOOKUP($B153,Seqs!$A:$B,2,0),O153,1),"")</f>
        <v>K</v>
      </c>
      <c r="O153" s="3">
        <v>99</v>
      </c>
      <c r="P153" s="3" t="str">
        <f>IFERROR(MID(VLOOKUP($B153,Seqs!$A:$B,2,0),Q153,1),"")</f>
        <v>K</v>
      </c>
      <c r="Q153" s="3">
        <v>100</v>
      </c>
      <c r="R153" s="3" t="str">
        <f>IFERROR(MID(VLOOKUP($B153,Seqs!$A:$B,2,0),S153,1),"")</f>
        <v>F</v>
      </c>
      <c r="S153" s="3">
        <v>103</v>
      </c>
      <c r="T153" s="3" t="str">
        <f>IFERROR(MID(VLOOKUP($B153,Seqs!$A:$B,2,0),U153,1),"")</f>
        <v>G</v>
      </c>
      <c r="U153" s="3">
        <v>104</v>
      </c>
      <c r="V153" s="3" t="str">
        <f>IFERROR(MID(VLOOKUP($B153,Seqs!$A:$B,2,0),W153,1),"")</f>
        <v>R</v>
      </c>
      <c r="W153" s="3">
        <v>139</v>
      </c>
      <c r="X153" s="3" t="str">
        <f>IFERROR(MID(VLOOKUP($B153,Seqs!$A:$B,2,0),Y153,1),"")</f>
        <v>P</v>
      </c>
      <c r="Y153" s="3">
        <v>140</v>
      </c>
      <c r="Z153" s="3" t="str">
        <f>IFERROR(MID(VLOOKUP($B153,Seqs!$A:$B,2,0),AA153,1),"")</f>
        <v>M</v>
      </c>
      <c r="AA153" s="3">
        <v>147</v>
      </c>
      <c r="AB153" s="3" t="str">
        <f>IFERROR(MID(VLOOKUP($B153,Seqs!$A:$B,2,0),AC153,1),"")</f>
        <v>S</v>
      </c>
      <c r="AC153" s="9">
        <v>148</v>
      </c>
      <c r="AD153" s="3" t="str">
        <f>IFERROR(MID(VLOOKUP($B153,Seqs!$A:$B,2,0),AE153,1),"")</f>
        <v>F</v>
      </c>
      <c r="AE153" s="3">
        <v>172</v>
      </c>
      <c r="AF153" s="3" t="str">
        <f>IFERROR(MID(VLOOKUP($B153,Seqs!$A:$B,2,0),AG153,1),"")</f>
        <v>C</v>
      </c>
      <c r="AG153" s="3">
        <v>186</v>
      </c>
      <c r="AH153" s="3" t="str">
        <f>IFERROR(MID(VLOOKUP($B153,Seqs!$A:$B,2,0),AI153,1),"")</f>
        <v>F</v>
      </c>
      <c r="AI153" s="3">
        <v>188</v>
      </c>
      <c r="AJ153" s="3" t="str">
        <f>IFERROR(MID(VLOOKUP($B153,Seqs!$A:$B,2,0),AK153,1),"")</f>
        <v>D</v>
      </c>
      <c r="AK153" s="3">
        <v>194</v>
      </c>
      <c r="AL153" s="3" t="str">
        <f>IFERROR(MID(VLOOKUP($B153,Seqs!$A:$B,2,0),AM153,1),"")</f>
        <v>K</v>
      </c>
      <c r="AM153" s="3">
        <v>239</v>
      </c>
      <c r="AN153" s="3" t="str">
        <f>IFERROR(MID(VLOOKUP($B153,Seqs!$A:$B,2,0),AO153,1),"")</f>
        <v>K</v>
      </c>
      <c r="AO153" s="3">
        <v>244</v>
      </c>
      <c r="AP153" s="3" t="str">
        <f>IFERROR(MID(VLOOKUP($B153,Seqs!$A:$B,2,0),AQ153,1),"")</f>
        <v>G</v>
      </c>
      <c r="AQ153" s="3">
        <v>287</v>
      </c>
      <c r="AR153" s="3" t="str">
        <f>IFERROR(MID(VLOOKUP($B153,Seqs!$A:$B,2,0),AS153,1),"")</f>
        <v>T</v>
      </c>
      <c r="AS153" s="3">
        <v>293</v>
      </c>
      <c r="AT153" s="3" t="str">
        <f>IFERROR(MID(VLOOKUP($B153,Seqs!$A:$B,2,0),AU153,1),"")</f>
        <v>S</v>
      </c>
      <c r="AU153" s="3">
        <v>318</v>
      </c>
      <c r="AV153" s="3" t="str">
        <f>IFERROR(MID(VLOOKUP($B153,Seqs!$A:$B,2,0),AW153,1),"")</f>
        <v>H</v>
      </c>
      <c r="AW153" s="3">
        <v>319</v>
      </c>
      <c r="AX153" s="3" t="str">
        <f>IFERROR(MID(VLOOKUP($B153,Seqs!$A:$B,2,0),AY153,1),"")</f>
        <v>F</v>
      </c>
      <c r="AY153" s="3">
        <v>330</v>
      </c>
      <c r="AZ153" s="79" t="str">
        <f>VLOOKUP(B153,Classification!A:D,2,0)</f>
        <v>A</v>
      </c>
      <c r="BA153" s="97" t="str">
        <f>VLOOKUP(B153,Classification!A:D,4,0)</f>
        <v>Opsins</v>
      </c>
      <c r="BB153" s="27" t="b">
        <f t="shared" si="640"/>
        <v>1</v>
      </c>
      <c r="BC153" s="23">
        <f t="shared" si="613"/>
        <v>273</v>
      </c>
      <c r="BD153" s="57" t="s">
        <v>1379</v>
      </c>
      <c r="BE153" s="3" t="s">
        <v>1381</v>
      </c>
      <c r="BF153" s="50" t="s">
        <v>1379</v>
      </c>
      <c r="BG153" s="50" t="s">
        <v>1384</v>
      </c>
      <c r="BH153" s="1"/>
      <c r="BI153" s="72" t="s">
        <v>1293</v>
      </c>
      <c r="BJ153" s="58" t="s">
        <v>1293</v>
      </c>
      <c r="BK153" s="58" t="s">
        <v>1293</v>
      </c>
      <c r="BL153" s="58" t="s">
        <v>1293</v>
      </c>
      <c r="BM153" s="58" t="s">
        <v>1293</v>
      </c>
      <c r="BN153" s="58" t="s">
        <v>1293</v>
      </c>
      <c r="BO153" s="58" t="s">
        <v>1293</v>
      </c>
      <c r="BP153" s="58" t="s">
        <v>1293</v>
      </c>
      <c r="BQ153" s="58" t="s">
        <v>1293</v>
      </c>
      <c r="BR153" s="58" t="s">
        <v>1293</v>
      </c>
      <c r="BS153" s="58" t="s">
        <v>1293</v>
      </c>
      <c r="BT153" s="58" t="s">
        <v>1293</v>
      </c>
      <c r="BU153" s="72">
        <f t="shared" si="614"/>
        <v>31</v>
      </c>
      <c r="BV153" s="73">
        <f t="shared" si="615"/>
        <v>63</v>
      </c>
      <c r="BW153" s="74">
        <f t="shared" si="616"/>
        <v>67</v>
      </c>
      <c r="BX153" s="73">
        <f t="shared" si="617"/>
        <v>100</v>
      </c>
      <c r="BY153" s="74">
        <f t="shared" si="618"/>
        <v>104</v>
      </c>
      <c r="BZ153" s="73">
        <f t="shared" si="619"/>
        <v>140</v>
      </c>
      <c r="CA153" s="74">
        <f t="shared" si="620"/>
        <v>148</v>
      </c>
      <c r="CB153" s="73">
        <f t="shared" si="621"/>
        <v>186</v>
      </c>
      <c r="CC153" s="74">
        <f t="shared" si="622"/>
        <v>194</v>
      </c>
      <c r="CD153" s="73">
        <f t="shared" si="623"/>
        <v>244</v>
      </c>
      <c r="CE153" s="74">
        <f t="shared" si="624"/>
        <v>293</v>
      </c>
      <c r="CF153" s="73">
        <f t="shared" si="625"/>
        <v>319</v>
      </c>
      <c r="CG153" s="72">
        <f t="shared" si="626"/>
        <v>62</v>
      </c>
      <c r="CH153" s="73">
        <f t="shared" si="627"/>
        <v>66</v>
      </c>
      <c r="CI153" s="74">
        <f t="shared" si="628"/>
        <v>99</v>
      </c>
      <c r="CJ153" s="74">
        <f t="shared" si="629"/>
        <v>103</v>
      </c>
      <c r="CK153" s="74">
        <f t="shared" si="630"/>
        <v>139</v>
      </c>
      <c r="CL153" s="74">
        <f t="shared" si="631"/>
        <v>147</v>
      </c>
      <c r="CM153" s="74">
        <f t="shared" si="632"/>
        <v>172</v>
      </c>
      <c r="CN153" s="74">
        <f t="shared" si="633"/>
        <v>188</v>
      </c>
      <c r="CO153" s="74">
        <f t="shared" si="634"/>
        <v>239</v>
      </c>
      <c r="CP153" s="74">
        <f t="shared" si="635"/>
        <v>287</v>
      </c>
      <c r="CQ153" s="74">
        <f t="shared" si="636"/>
        <v>318</v>
      </c>
      <c r="CR153" s="74">
        <f t="shared" si="637"/>
        <v>330</v>
      </c>
      <c r="CS153" s="23">
        <f t="shared" si="638"/>
        <v>1</v>
      </c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</row>
    <row r="154" spans="1:1029" x14ac:dyDescent="0.2">
      <c r="A154" s="3" t="str">
        <f t="shared" si="639"/>
        <v>opsd_todpa_2Z73</v>
      </c>
      <c r="B154" s="3" t="s">
        <v>922</v>
      </c>
      <c r="C154" s="3" t="s">
        <v>97</v>
      </c>
      <c r="D154" s="3" t="str">
        <f>IFERROR(MID(VLOOKUP($B154,Seqs!$A:$B,2,0),E154,1),"")</f>
        <v>D</v>
      </c>
      <c r="E154" s="3">
        <v>31</v>
      </c>
      <c r="F154" s="3" t="str">
        <f>IFERROR(MID(VLOOKUP($B154,Seqs!$A:$B,2,0),G154,1),"")</f>
        <v>T</v>
      </c>
      <c r="G154" s="3">
        <v>62</v>
      </c>
      <c r="H154" s="3" t="str">
        <f>IFERROR(MID(VLOOKUP($B154,Seqs!$A:$B,2,0),I154,1),"")</f>
        <v>K</v>
      </c>
      <c r="I154" s="23">
        <v>63</v>
      </c>
      <c r="J154" s="3" t="str">
        <f>IFERROR(MID(VLOOKUP($B154,Seqs!$A:$B,2,0),K154,1),"")</f>
        <v>Q</v>
      </c>
      <c r="K154" s="23">
        <v>66</v>
      </c>
      <c r="L154" s="3" t="str">
        <f>IFERROR(MID(VLOOKUP($B154,Seqs!$A:$B,2,0),M154,1),"")</f>
        <v>T</v>
      </c>
      <c r="M154" s="3">
        <v>67</v>
      </c>
      <c r="N154" s="3" t="str">
        <f>IFERROR(MID(VLOOKUP($B154,Seqs!$A:$B,2,0),O154,1),"")</f>
        <v>K</v>
      </c>
      <c r="O154" s="3">
        <v>99</v>
      </c>
      <c r="P154" s="3" t="str">
        <f>IFERROR(MID(VLOOKUP($B154,Seqs!$A:$B,2,0),Q154,1),"")</f>
        <v>K</v>
      </c>
      <c r="Q154" s="3">
        <v>100</v>
      </c>
      <c r="R154" s="3" t="str">
        <f>IFERROR(MID(VLOOKUP($B154,Seqs!$A:$B,2,0),S154,1),"")</f>
        <v>F</v>
      </c>
      <c r="S154" s="3">
        <v>103</v>
      </c>
      <c r="T154" s="3" t="str">
        <f>IFERROR(MID(VLOOKUP($B154,Seqs!$A:$B,2,0),U154,1),"")</f>
        <v>G</v>
      </c>
      <c r="U154" s="3">
        <v>104</v>
      </c>
      <c r="V154" s="3" t="str">
        <f>IFERROR(MID(VLOOKUP($B154,Seqs!$A:$B,2,0),W154,1),"")</f>
        <v>R</v>
      </c>
      <c r="W154" s="3">
        <v>139</v>
      </c>
      <c r="X154" s="3" t="str">
        <f>IFERROR(MID(VLOOKUP($B154,Seqs!$A:$B,2,0),Y154,1),"")</f>
        <v/>
      </c>
      <c r="Y154" s="3" t="s">
        <v>23</v>
      </c>
      <c r="Z154" s="3" t="str">
        <f>IFERROR(MID(VLOOKUP($B154,Seqs!$A:$B,2,0),AA154,1),"")</f>
        <v/>
      </c>
      <c r="AA154" s="3" t="s">
        <v>23</v>
      </c>
      <c r="AB154" s="3" t="str">
        <f>IFERROR(MID(VLOOKUP($B154,Seqs!$A:$B,2,0),AC154,1),"")</f>
        <v>S</v>
      </c>
      <c r="AC154" s="9">
        <v>148</v>
      </c>
      <c r="AD154" s="3" t="str">
        <f>IFERROR(MID(VLOOKUP($B154,Seqs!$A:$B,2,0),AE154,1),"")</f>
        <v>F</v>
      </c>
      <c r="AE154" s="3">
        <v>172</v>
      </c>
      <c r="AF154" s="3" t="str">
        <f>IFERROR(MID(VLOOKUP($B154,Seqs!$A:$B,2,0),AG154,1),"")</f>
        <v>C</v>
      </c>
      <c r="AG154" s="3">
        <v>186</v>
      </c>
      <c r="AH154" s="3" t="str">
        <f>IFERROR(MID(VLOOKUP($B154,Seqs!$A:$B,2,0),AI154,1),"")</f>
        <v>F</v>
      </c>
      <c r="AI154" s="3">
        <v>188</v>
      </c>
      <c r="AJ154" s="3" t="str">
        <f>IFERROR(MID(VLOOKUP($B154,Seqs!$A:$B,2,0),AK154,1),"")</f>
        <v>D</v>
      </c>
      <c r="AK154" s="3">
        <v>194</v>
      </c>
      <c r="AL154" s="3" t="str">
        <f>IFERROR(MID(VLOOKUP($B154,Seqs!$A:$B,2,0),AM154,1),"")</f>
        <v>K</v>
      </c>
      <c r="AM154" s="3">
        <v>239</v>
      </c>
      <c r="AN154" s="3" t="str">
        <f>IFERROR(MID(VLOOKUP($B154,Seqs!$A:$B,2,0),AO154,1),"")</f>
        <v>K</v>
      </c>
      <c r="AO154" s="3">
        <v>244</v>
      </c>
      <c r="AP154" s="3" t="str">
        <f>IFERROR(MID(VLOOKUP($B154,Seqs!$A:$B,2,0),AQ154,1),"")</f>
        <v>G</v>
      </c>
      <c r="AQ154" s="3">
        <v>287</v>
      </c>
      <c r="AR154" s="3" t="str">
        <f>IFERROR(MID(VLOOKUP($B154,Seqs!$A:$B,2,0),AS154,1),"")</f>
        <v>T</v>
      </c>
      <c r="AS154" s="3">
        <v>293</v>
      </c>
      <c r="AT154" s="3" t="str">
        <f>IFERROR(MID(VLOOKUP($B154,Seqs!$A:$B,2,0),AU154,1),"")</f>
        <v>S</v>
      </c>
      <c r="AU154" s="3">
        <v>318</v>
      </c>
      <c r="AV154" s="3" t="str">
        <f>IFERROR(MID(VLOOKUP($B154,Seqs!$A:$B,2,0),AW154,1),"")</f>
        <v>H</v>
      </c>
      <c r="AW154" s="3">
        <v>319</v>
      </c>
      <c r="AX154" s="3" t="str">
        <f>IFERROR(MID(VLOOKUP($B154,Seqs!$A:$B,2,0),AY154,1),"")</f>
        <v>F</v>
      </c>
      <c r="AY154" s="3">
        <v>330</v>
      </c>
      <c r="AZ154" s="79" t="str">
        <f>VLOOKUP(B154,Classification!A:D,2,0)</f>
        <v>A</v>
      </c>
      <c r="BA154" s="97" t="str">
        <f>VLOOKUP(B154,Classification!A:D,4,0)</f>
        <v>Opsins</v>
      </c>
      <c r="BB154" s="27" t="b">
        <f t="shared" si="640"/>
        <v>1</v>
      </c>
      <c r="BC154" s="23">
        <f t="shared" si="613"/>
        <v>266</v>
      </c>
      <c r="BD154" s="2" t="s">
        <v>1383</v>
      </c>
      <c r="BE154" s="3" t="s">
        <v>1381</v>
      </c>
      <c r="BF154" s="50" t="s">
        <v>1384</v>
      </c>
      <c r="BG154" s="50" t="s">
        <v>1384</v>
      </c>
      <c r="BH154" s="1"/>
      <c r="BI154" s="72" t="s">
        <v>1293</v>
      </c>
      <c r="BJ154" s="58" t="s">
        <v>1293</v>
      </c>
      <c r="BK154" s="58" t="s">
        <v>1293</v>
      </c>
      <c r="BL154" s="58" t="s">
        <v>1293</v>
      </c>
      <c r="BM154" s="58" t="s">
        <v>1293</v>
      </c>
      <c r="BN154" s="58" t="s">
        <v>1293</v>
      </c>
      <c r="BO154" s="58" t="s">
        <v>1293</v>
      </c>
      <c r="BP154" s="58" t="s">
        <v>1293</v>
      </c>
      <c r="BQ154" s="58" t="s">
        <v>1293</v>
      </c>
      <c r="BR154" s="58" t="s">
        <v>1293</v>
      </c>
      <c r="BS154" s="58" t="s">
        <v>1293</v>
      </c>
      <c r="BT154" s="58" t="s">
        <v>1293</v>
      </c>
      <c r="BU154" s="72">
        <f t="shared" si="614"/>
        <v>31</v>
      </c>
      <c r="BV154" s="73">
        <f t="shared" si="615"/>
        <v>63</v>
      </c>
      <c r="BW154" s="74">
        <f t="shared" si="616"/>
        <v>67</v>
      </c>
      <c r="BX154" s="73">
        <f t="shared" si="617"/>
        <v>100</v>
      </c>
      <c r="BY154" s="74">
        <f t="shared" si="618"/>
        <v>104</v>
      </c>
      <c r="BZ154" s="73" t="str">
        <f t="shared" si="619"/>
        <v>-</v>
      </c>
      <c r="CA154" s="74">
        <f t="shared" si="620"/>
        <v>148</v>
      </c>
      <c r="CB154" s="73">
        <f t="shared" si="621"/>
        <v>186</v>
      </c>
      <c r="CC154" s="74">
        <f t="shared" si="622"/>
        <v>194</v>
      </c>
      <c r="CD154" s="73">
        <f t="shared" si="623"/>
        <v>244</v>
      </c>
      <c r="CE154" s="74">
        <f t="shared" si="624"/>
        <v>293</v>
      </c>
      <c r="CF154" s="73">
        <f t="shared" si="625"/>
        <v>319</v>
      </c>
      <c r="CG154" s="72">
        <f t="shared" si="626"/>
        <v>62</v>
      </c>
      <c r="CH154" s="73">
        <f t="shared" si="627"/>
        <v>66</v>
      </c>
      <c r="CI154" s="74">
        <f t="shared" si="628"/>
        <v>99</v>
      </c>
      <c r="CJ154" s="74">
        <f t="shared" si="629"/>
        <v>103</v>
      </c>
      <c r="CK154" s="74">
        <f t="shared" si="630"/>
        <v>139</v>
      </c>
      <c r="CL154" s="74" t="str">
        <f t="shared" si="631"/>
        <v>-</v>
      </c>
      <c r="CM154" s="74">
        <f t="shared" si="632"/>
        <v>172</v>
      </c>
      <c r="CN154" s="74">
        <f t="shared" si="633"/>
        <v>188</v>
      </c>
      <c r="CO154" s="74">
        <f t="shared" si="634"/>
        <v>239</v>
      </c>
      <c r="CP154" s="74">
        <f t="shared" si="635"/>
        <v>287</v>
      </c>
      <c r="CQ154" s="74">
        <f t="shared" si="636"/>
        <v>318</v>
      </c>
      <c r="CR154" s="74">
        <f t="shared" si="637"/>
        <v>330</v>
      </c>
      <c r="CS154" s="23">
        <f t="shared" si="638"/>
        <v>1</v>
      </c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2"/>
    </row>
    <row r="155" spans="1:1029" x14ac:dyDescent="0.2">
      <c r="A155" s="3" t="str">
        <f t="shared" si="639"/>
        <v>ox1r_human__wt</v>
      </c>
      <c r="B155" s="3" t="s">
        <v>1175</v>
      </c>
      <c r="C155" s="3" t="s">
        <v>100</v>
      </c>
      <c r="D155" s="3" t="str">
        <f>IFERROR(MID(VLOOKUP($B155,Seqs!$A:$B,2,0),E155,1),"")</f>
        <v>E</v>
      </c>
      <c r="E155" s="3">
        <v>46</v>
      </c>
      <c r="F155" s="3" t="str">
        <f>IFERROR(MID(VLOOKUP($B155,Seqs!$A:$B,2,0),G155,1),"")</f>
        <v>N</v>
      </c>
      <c r="G155" s="3">
        <v>74</v>
      </c>
      <c r="H155" s="3" t="str">
        <f>IFERROR(MID(VLOOKUP($B155,Seqs!$A:$B,2,0),I155,1),"")</f>
        <v>H</v>
      </c>
      <c r="I155" s="23">
        <v>75</v>
      </c>
      <c r="J155" s="3" t="str">
        <f>IFERROR(MID(VLOOKUP($B155,Seqs!$A:$B,2,0),K155,1),"")</f>
        <v>R</v>
      </c>
      <c r="K155" s="23">
        <v>78</v>
      </c>
      <c r="L155" s="3" t="str">
        <f>IFERROR(MID(VLOOKUP($B155,Seqs!$A:$B,2,0),M155,1),"")</f>
        <v>T</v>
      </c>
      <c r="M155" s="3">
        <v>79</v>
      </c>
      <c r="N155" s="3" t="str">
        <f>IFERROR(MID(VLOOKUP($B155,Seqs!$A:$B,2,0),O155,1),"")</f>
        <v>T</v>
      </c>
      <c r="O155" s="3">
        <v>109</v>
      </c>
      <c r="P155" s="3" t="str">
        <f>IFERROR(MID(VLOOKUP($B155,Seqs!$A:$B,2,0),Q155,1),"")</f>
        <v>S</v>
      </c>
      <c r="Q155" s="3">
        <v>111</v>
      </c>
      <c r="R155" s="3" t="str">
        <f>IFERROR(MID(VLOOKUP($B155,Seqs!$A:$B,2,0),S155,1),"")</f>
        <v>F</v>
      </c>
      <c r="S155" s="3">
        <v>114</v>
      </c>
      <c r="T155" s="3" t="str">
        <f>IFERROR(MID(VLOOKUP($B155,Seqs!$A:$B,2,0),U155,1),"")</f>
        <v>G</v>
      </c>
      <c r="U155" s="3">
        <v>115</v>
      </c>
      <c r="V155" s="3" t="str">
        <f>IFERROR(MID(VLOOKUP($B155,Seqs!$A:$B,2,0),W155,1),"")</f>
        <v>H</v>
      </c>
      <c r="W155" s="3">
        <v>150</v>
      </c>
      <c r="X155" s="3" t="str">
        <f>IFERROR(MID(VLOOKUP($B155,Seqs!$A:$B,2,0),Y155,1),"")</f>
        <v>P</v>
      </c>
      <c r="Y155" s="3">
        <v>151</v>
      </c>
      <c r="Z155" s="3" t="str">
        <f>IFERROR(MID(VLOOKUP($B155,Seqs!$A:$B,2,0),AA155,1),"")</f>
        <v>F</v>
      </c>
      <c r="AA155" s="75">
        <v>154</v>
      </c>
      <c r="AB155" s="3" t="str">
        <f>IFERROR(MID(VLOOKUP($B155,Seqs!$A:$B,2,0),AC155,1),"")</f>
        <v>T</v>
      </c>
      <c r="AC155" s="9">
        <v>157</v>
      </c>
      <c r="AD155" s="3" t="str">
        <f>IFERROR(MID(VLOOKUP($B155,Seqs!$A:$B,2,0),AE155,1),"")</f>
        <v>M</v>
      </c>
      <c r="AE155" s="3">
        <v>183</v>
      </c>
      <c r="AF155" s="3" t="str">
        <f>IFERROR(MID(VLOOKUP($B155,Seqs!$A:$B,2,0),AG155,1),"")</f>
        <v>C</v>
      </c>
      <c r="AG155" s="3">
        <v>202</v>
      </c>
      <c r="AH155" s="3" t="str">
        <f>IFERROR(MID(VLOOKUP($B155,Seqs!$A:$B,2,0),AI155,1),"")</f>
        <v>E</v>
      </c>
      <c r="AI155" s="3">
        <v>204</v>
      </c>
      <c r="AJ155" s="3" t="str">
        <f>IFERROR(MID(VLOOKUP($B155,Seqs!$A:$B,2,0),AK155,1),"")</f>
        <v>D</v>
      </c>
      <c r="AK155" s="3">
        <v>209</v>
      </c>
      <c r="AL155" s="3" t="str">
        <f>IFERROR(MID(VLOOKUP($B155,Seqs!$A:$B,2,0),AM155,1),"")</f>
        <v>P</v>
      </c>
      <c r="AM155" s="3">
        <v>248</v>
      </c>
      <c r="AN155" s="3" t="str">
        <f>IFERROR(MID(VLOOKUP($B155,Seqs!$A:$B,2,0),AO155,1),"")</f>
        <v>F</v>
      </c>
      <c r="AO155" s="3">
        <v>283</v>
      </c>
      <c r="AP155" s="3" t="str">
        <f>IFERROR(MID(VLOOKUP($B155,Seqs!$A:$B,2,0),AQ155,1),"")</f>
        <v>F</v>
      </c>
      <c r="AQ155" s="3">
        <v>324</v>
      </c>
      <c r="AR155" s="3" t="str">
        <f>IFERROR(MID(VLOOKUP($B155,Seqs!$A:$B,2,0),AS155,1),"")</f>
        <v>R</v>
      </c>
      <c r="AS155" s="3">
        <v>333</v>
      </c>
      <c r="AT155" s="3" t="str">
        <f>IFERROR(MID(VLOOKUP($B155,Seqs!$A:$B,2,0),AU155,1),"")</f>
        <v>L</v>
      </c>
      <c r="AU155" s="3">
        <v>361</v>
      </c>
      <c r="AV155" s="3" t="str">
        <f>IFERROR(MID(VLOOKUP($B155,Seqs!$A:$B,2,0),AW155,1),"")</f>
        <v>S</v>
      </c>
      <c r="AW155" s="3">
        <v>362</v>
      </c>
      <c r="AX155" s="3" t="str">
        <f>IFERROR(MID(VLOOKUP($B155,Seqs!$A:$B,2,0),AY155,1),"")</f>
        <v>F</v>
      </c>
      <c r="AY155" s="3">
        <v>373</v>
      </c>
      <c r="AZ155" s="79" t="str">
        <f>VLOOKUP(B155,Classification!A:D,2,0)</f>
        <v>A</v>
      </c>
      <c r="BA155" s="97" t="str">
        <f>VLOOKUP(B155,Classification!A:D,4,0)</f>
        <v>Orexin</v>
      </c>
      <c r="BB155" s="27" t="b">
        <f t="shared" si="640"/>
        <v>1</v>
      </c>
      <c r="BC155" s="23">
        <f t="shared" si="613"/>
        <v>261</v>
      </c>
      <c r="BD155" s="57" t="s">
        <v>1379</v>
      </c>
      <c r="BE155" s="3" t="s">
        <v>1381</v>
      </c>
      <c r="BF155" s="50" t="s">
        <v>1379</v>
      </c>
      <c r="BG155" s="50" t="s">
        <v>1384</v>
      </c>
      <c r="BH155" s="1"/>
      <c r="BI155" s="72" t="s">
        <v>1293</v>
      </c>
      <c r="BJ155" s="58" t="s">
        <v>1293</v>
      </c>
      <c r="BK155" s="58" t="s">
        <v>1293</v>
      </c>
      <c r="BL155" s="58" t="s">
        <v>1293</v>
      </c>
      <c r="BM155" s="58" t="s">
        <v>1293</v>
      </c>
      <c r="BN155" s="58" t="s">
        <v>1293</v>
      </c>
      <c r="BO155" s="58" t="s">
        <v>1293</v>
      </c>
      <c r="BP155" s="58" t="s">
        <v>1293</v>
      </c>
      <c r="BQ155" s="58" t="s">
        <v>1293</v>
      </c>
      <c r="BR155" s="58" t="s">
        <v>1293</v>
      </c>
      <c r="BS155" s="58" t="s">
        <v>1293</v>
      </c>
      <c r="BT155" s="58" t="s">
        <v>1293</v>
      </c>
      <c r="BU155" s="72">
        <f t="shared" si="614"/>
        <v>46</v>
      </c>
      <c r="BV155" s="73">
        <f t="shared" si="615"/>
        <v>75</v>
      </c>
      <c r="BW155" s="74">
        <f t="shared" si="616"/>
        <v>79</v>
      </c>
      <c r="BX155" s="73">
        <f t="shared" si="617"/>
        <v>111</v>
      </c>
      <c r="BY155" s="74">
        <f t="shared" si="618"/>
        <v>115</v>
      </c>
      <c r="BZ155" s="73">
        <f t="shared" si="619"/>
        <v>151</v>
      </c>
      <c r="CA155" s="74">
        <f t="shared" si="620"/>
        <v>157</v>
      </c>
      <c r="CB155" s="73">
        <f t="shared" si="621"/>
        <v>202</v>
      </c>
      <c r="CC155" s="74">
        <f t="shared" si="622"/>
        <v>209</v>
      </c>
      <c r="CD155" s="73">
        <f t="shared" si="623"/>
        <v>283</v>
      </c>
      <c r="CE155" s="74">
        <f t="shared" si="624"/>
        <v>333</v>
      </c>
      <c r="CF155" s="73">
        <f t="shared" si="625"/>
        <v>362</v>
      </c>
      <c r="CG155" s="72">
        <f t="shared" si="626"/>
        <v>74</v>
      </c>
      <c r="CH155" s="73">
        <f t="shared" si="627"/>
        <v>78</v>
      </c>
      <c r="CI155" s="74">
        <f t="shared" si="628"/>
        <v>109</v>
      </c>
      <c r="CJ155" s="74">
        <f t="shared" si="629"/>
        <v>114</v>
      </c>
      <c r="CK155" s="74">
        <f t="shared" si="630"/>
        <v>150</v>
      </c>
      <c r="CL155" s="74">
        <f t="shared" si="631"/>
        <v>154</v>
      </c>
      <c r="CM155" s="74">
        <f t="shared" si="632"/>
        <v>183</v>
      </c>
      <c r="CN155" s="74">
        <f t="shared" si="633"/>
        <v>204</v>
      </c>
      <c r="CO155" s="74">
        <f t="shared" si="634"/>
        <v>248</v>
      </c>
      <c r="CP155" s="74">
        <f t="shared" si="635"/>
        <v>324</v>
      </c>
      <c r="CQ155" s="74">
        <f t="shared" si="636"/>
        <v>361</v>
      </c>
      <c r="CR155" s="74">
        <f t="shared" si="637"/>
        <v>373</v>
      </c>
      <c r="CS155" s="23">
        <f t="shared" si="638"/>
        <v>1</v>
      </c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</row>
    <row r="156" spans="1:1029" x14ac:dyDescent="0.2">
      <c r="A156" s="3" t="str">
        <f t="shared" si="639"/>
        <v>ox1r_human_4ZJ8</v>
      </c>
      <c r="B156" s="3" t="s">
        <v>1175</v>
      </c>
      <c r="C156" s="3" t="s">
        <v>90</v>
      </c>
      <c r="D156" s="3" t="str">
        <f>IFERROR(MID(VLOOKUP($B156,Seqs!$A:$B,2,0),E156,1),"")</f>
        <v>E</v>
      </c>
      <c r="E156" s="3">
        <v>46</v>
      </c>
      <c r="F156" s="3" t="str">
        <f>IFERROR(MID(VLOOKUP($B156,Seqs!$A:$B,2,0),G156,1),"")</f>
        <v>N</v>
      </c>
      <c r="G156" s="3">
        <v>74</v>
      </c>
      <c r="H156" s="3" t="str">
        <f>IFERROR(MID(VLOOKUP($B156,Seqs!$A:$B,2,0),I156,1),"")</f>
        <v>H</v>
      </c>
      <c r="I156" s="23">
        <v>75</v>
      </c>
      <c r="J156" s="3" t="str">
        <f>IFERROR(MID(VLOOKUP($B156,Seqs!$A:$B,2,0),K156,1),"")</f>
        <v>R</v>
      </c>
      <c r="K156" s="23">
        <v>78</v>
      </c>
      <c r="L156" s="3" t="str">
        <f>IFERROR(MID(VLOOKUP($B156,Seqs!$A:$B,2,0),M156,1),"")</f>
        <v>T</v>
      </c>
      <c r="M156" s="3">
        <v>79</v>
      </c>
      <c r="N156" s="3" t="str">
        <f>IFERROR(MID(VLOOKUP($B156,Seqs!$A:$B,2,0),O156,1),"")</f>
        <v>T</v>
      </c>
      <c r="O156" s="3">
        <v>109</v>
      </c>
      <c r="P156" s="3" t="str">
        <f>IFERROR(MID(VLOOKUP($B156,Seqs!$A:$B,2,0),Q156,1),"")</f>
        <v>S</v>
      </c>
      <c r="Q156" s="3">
        <v>111</v>
      </c>
      <c r="R156" s="3" t="str">
        <f>IFERROR(MID(VLOOKUP($B156,Seqs!$A:$B,2,0),S156,1),"")</f>
        <v>F</v>
      </c>
      <c r="S156" s="3">
        <v>114</v>
      </c>
      <c r="T156" s="3" t="str">
        <f>IFERROR(MID(VLOOKUP($B156,Seqs!$A:$B,2,0),U156,1),"")</f>
        <v>G</v>
      </c>
      <c r="U156" s="3">
        <v>115</v>
      </c>
      <c r="V156" s="3" t="str">
        <f>IFERROR(MID(VLOOKUP($B156,Seqs!$A:$B,2,0),W156,1),"")</f>
        <v>H</v>
      </c>
      <c r="W156" s="3">
        <v>150</v>
      </c>
      <c r="X156" s="3" t="str">
        <f>IFERROR(MID(VLOOKUP($B156,Seqs!$A:$B,2,0),Y156,1),"")</f>
        <v>P</v>
      </c>
      <c r="Y156" s="3">
        <v>151</v>
      </c>
      <c r="Z156" s="3" t="str">
        <f>IFERROR(MID(VLOOKUP($B156,Seqs!$A:$B,2,0),AA156,1),"")</f>
        <v>F</v>
      </c>
      <c r="AA156" s="3">
        <v>154</v>
      </c>
      <c r="AB156" s="3" t="str">
        <f>IFERROR(MID(VLOOKUP($B156,Seqs!$A:$B,2,0),AC156,1),"")</f>
        <v>T</v>
      </c>
      <c r="AC156" s="9">
        <v>157</v>
      </c>
      <c r="AD156" s="3" t="str">
        <f>IFERROR(MID(VLOOKUP($B156,Seqs!$A:$B,2,0),AE156,1),"")</f>
        <v>M</v>
      </c>
      <c r="AE156" s="3">
        <v>183</v>
      </c>
      <c r="AF156" s="3" t="str">
        <f>IFERROR(MID(VLOOKUP($B156,Seqs!$A:$B,2,0),AG156,1),"")</f>
        <v>C</v>
      </c>
      <c r="AG156" s="3">
        <v>202</v>
      </c>
      <c r="AH156" s="3" t="str">
        <f>IFERROR(MID(VLOOKUP($B156,Seqs!$A:$B,2,0),AI156,1),"")</f>
        <v>E</v>
      </c>
      <c r="AI156" s="3">
        <v>204</v>
      </c>
      <c r="AJ156" s="3" t="str">
        <f>IFERROR(MID(VLOOKUP($B156,Seqs!$A:$B,2,0),AK156,1),"")</f>
        <v>D</v>
      </c>
      <c r="AK156" s="3">
        <v>209</v>
      </c>
      <c r="AL156" s="3" t="str">
        <f>IFERROR(MID(VLOOKUP($B156,Seqs!$A:$B,2,0),AM156,1),"")</f>
        <v>L</v>
      </c>
      <c r="AM156" s="3">
        <v>242</v>
      </c>
      <c r="AN156" s="3" t="str">
        <f>IFERROR(MID(VLOOKUP($B156,Seqs!$A:$B,2,0),AO156,1),"")</f>
        <v>K</v>
      </c>
      <c r="AO156" s="3">
        <v>288</v>
      </c>
      <c r="AP156" s="3" t="str">
        <f>IFERROR(MID(VLOOKUP($B156,Seqs!$A:$B,2,0),AQ156,1),"")</f>
        <v>F</v>
      </c>
      <c r="AQ156" s="3">
        <v>324</v>
      </c>
      <c r="AR156" s="3" t="str">
        <f>IFERROR(MID(VLOOKUP($B156,Seqs!$A:$B,2,0),AS156,1),"")</f>
        <v>R</v>
      </c>
      <c r="AS156" s="3">
        <v>333</v>
      </c>
      <c r="AT156" s="3" t="str">
        <f>IFERROR(MID(VLOOKUP($B156,Seqs!$A:$B,2,0),AU156,1),"")</f>
        <v>L</v>
      </c>
      <c r="AU156" s="3">
        <v>361</v>
      </c>
      <c r="AV156" s="3" t="str">
        <f>IFERROR(MID(VLOOKUP($B156,Seqs!$A:$B,2,0),AW156,1),"")</f>
        <v>S</v>
      </c>
      <c r="AW156" s="3">
        <v>362</v>
      </c>
      <c r="AX156" s="3" t="str">
        <f>IFERROR(MID(VLOOKUP($B156,Seqs!$A:$B,2,0),AY156,1),"")</f>
        <v>F</v>
      </c>
      <c r="AY156" s="3">
        <v>373</v>
      </c>
      <c r="AZ156" s="79" t="str">
        <f>VLOOKUP(B156,Classification!A:D,2,0)</f>
        <v>A</v>
      </c>
      <c r="BA156" s="97" t="str">
        <f>VLOOKUP(B156,Classification!A:D,4,0)</f>
        <v>Orexin</v>
      </c>
      <c r="BB156" s="27" t="b">
        <f t="shared" si="640"/>
        <v>1</v>
      </c>
      <c r="BC156" s="23">
        <f t="shared" si="613"/>
        <v>250</v>
      </c>
      <c r="BD156" s="4" t="s">
        <v>23</v>
      </c>
      <c r="BE156" s="3" t="s">
        <v>1381</v>
      </c>
      <c r="BF156" s="50" t="s">
        <v>1384</v>
      </c>
      <c r="BG156" s="50" t="s">
        <v>1384</v>
      </c>
      <c r="BH156" s="1"/>
      <c r="BI156" s="72" t="s">
        <v>1293</v>
      </c>
      <c r="BJ156" s="58" t="s">
        <v>1293</v>
      </c>
      <c r="BK156" s="58" t="s">
        <v>1293</v>
      </c>
      <c r="BL156" s="58" t="s">
        <v>1293</v>
      </c>
      <c r="BM156" s="58" t="s">
        <v>1293</v>
      </c>
      <c r="BN156" s="58" t="s">
        <v>1293</v>
      </c>
      <c r="BO156" s="58" t="s">
        <v>1293</v>
      </c>
      <c r="BP156" s="58" t="s">
        <v>1293</v>
      </c>
      <c r="BQ156" s="58" t="s">
        <v>1293</v>
      </c>
      <c r="BR156" s="58" t="s">
        <v>1293</v>
      </c>
      <c r="BS156" s="58" t="s">
        <v>1293</v>
      </c>
      <c r="BT156" s="58" t="s">
        <v>1293</v>
      </c>
      <c r="BU156" s="72">
        <f t="shared" si="614"/>
        <v>46</v>
      </c>
      <c r="BV156" s="73">
        <f t="shared" si="615"/>
        <v>75</v>
      </c>
      <c r="BW156" s="74">
        <f t="shared" si="616"/>
        <v>79</v>
      </c>
      <c r="BX156" s="73">
        <f t="shared" si="617"/>
        <v>111</v>
      </c>
      <c r="BY156" s="74">
        <f t="shared" si="618"/>
        <v>115</v>
      </c>
      <c r="BZ156" s="73">
        <f t="shared" si="619"/>
        <v>151</v>
      </c>
      <c r="CA156" s="74">
        <f t="shared" si="620"/>
        <v>157</v>
      </c>
      <c r="CB156" s="73">
        <f t="shared" si="621"/>
        <v>202</v>
      </c>
      <c r="CC156" s="74">
        <f t="shared" si="622"/>
        <v>209</v>
      </c>
      <c r="CD156" s="73">
        <f t="shared" si="623"/>
        <v>288</v>
      </c>
      <c r="CE156" s="74">
        <f t="shared" si="624"/>
        <v>333</v>
      </c>
      <c r="CF156" s="73">
        <f t="shared" si="625"/>
        <v>362</v>
      </c>
      <c r="CG156" s="72">
        <f t="shared" si="626"/>
        <v>74</v>
      </c>
      <c r="CH156" s="73">
        <f t="shared" si="627"/>
        <v>78</v>
      </c>
      <c r="CI156" s="74">
        <f t="shared" si="628"/>
        <v>109</v>
      </c>
      <c r="CJ156" s="74">
        <f t="shared" si="629"/>
        <v>114</v>
      </c>
      <c r="CK156" s="74">
        <f t="shared" si="630"/>
        <v>150</v>
      </c>
      <c r="CL156" s="74">
        <f t="shared" si="631"/>
        <v>154</v>
      </c>
      <c r="CM156" s="74">
        <f t="shared" si="632"/>
        <v>183</v>
      </c>
      <c r="CN156" s="74">
        <f t="shared" si="633"/>
        <v>204</v>
      </c>
      <c r="CO156" s="74">
        <f t="shared" si="634"/>
        <v>242</v>
      </c>
      <c r="CP156" s="74">
        <f t="shared" si="635"/>
        <v>324</v>
      </c>
      <c r="CQ156" s="74">
        <f t="shared" si="636"/>
        <v>361</v>
      </c>
      <c r="CR156" s="74">
        <f t="shared" si="637"/>
        <v>373</v>
      </c>
      <c r="CS156" s="23">
        <f t="shared" si="638"/>
        <v>1</v>
      </c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2"/>
    </row>
    <row r="157" spans="1:1029" x14ac:dyDescent="0.2">
      <c r="A157" s="3" t="str">
        <f t="shared" si="639"/>
        <v>ox1r_human_4ZJC</v>
      </c>
      <c r="B157" s="3" t="s">
        <v>1175</v>
      </c>
      <c r="C157" s="3" t="s">
        <v>91</v>
      </c>
      <c r="D157" s="3" t="str">
        <f>IFERROR(MID(VLOOKUP($B157,Seqs!$A:$B,2,0),E157,1),"")</f>
        <v>E</v>
      </c>
      <c r="E157" s="3">
        <v>46</v>
      </c>
      <c r="F157" s="3" t="str">
        <f>IFERROR(MID(VLOOKUP($B157,Seqs!$A:$B,2,0),G157,1),"")</f>
        <v>N</v>
      </c>
      <c r="G157" s="3">
        <v>74</v>
      </c>
      <c r="H157" s="3" t="str">
        <f>IFERROR(MID(VLOOKUP($B157,Seqs!$A:$B,2,0),I157,1),"")</f>
        <v>H</v>
      </c>
      <c r="I157" s="23">
        <v>75</v>
      </c>
      <c r="J157" s="3" t="str">
        <f>IFERROR(MID(VLOOKUP($B157,Seqs!$A:$B,2,0),K157,1),"")</f>
        <v>R</v>
      </c>
      <c r="K157" s="23">
        <v>78</v>
      </c>
      <c r="L157" s="3" t="str">
        <f>IFERROR(MID(VLOOKUP($B157,Seqs!$A:$B,2,0),M157,1),"")</f>
        <v>T</v>
      </c>
      <c r="M157" s="3">
        <v>79</v>
      </c>
      <c r="N157" s="3" t="str">
        <f>IFERROR(MID(VLOOKUP($B157,Seqs!$A:$B,2,0),O157,1),"")</f>
        <v>T</v>
      </c>
      <c r="O157" s="3">
        <v>109</v>
      </c>
      <c r="P157" s="3" t="str">
        <f>IFERROR(MID(VLOOKUP($B157,Seqs!$A:$B,2,0),Q157,1),"")</f>
        <v>S</v>
      </c>
      <c r="Q157" s="3">
        <v>111</v>
      </c>
      <c r="R157" s="3" t="str">
        <f>IFERROR(MID(VLOOKUP($B157,Seqs!$A:$B,2,0),S157,1),"")</f>
        <v>F</v>
      </c>
      <c r="S157" s="3">
        <v>114</v>
      </c>
      <c r="T157" s="3" t="str">
        <f>IFERROR(MID(VLOOKUP($B157,Seqs!$A:$B,2,0),U157,1),"")</f>
        <v>G</v>
      </c>
      <c r="U157" s="3">
        <v>115</v>
      </c>
      <c r="V157" s="3" t="str">
        <f>IFERROR(MID(VLOOKUP($B157,Seqs!$A:$B,2,0),W157,1),"")</f>
        <v>H</v>
      </c>
      <c r="W157" s="3">
        <v>150</v>
      </c>
      <c r="X157" s="3" t="str">
        <f>IFERROR(MID(VLOOKUP($B157,Seqs!$A:$B,2,0),Y157,1),"")</f>
        <v>P</v>
      </c>
      <c r="Y157" s="3">
        <v>151</v>
      </c>
      <c r="Z157" s="3" t="str">
        <f>IFERROR(MID(VLOOKUP($B157,Seqs!$A:$B,2,0),AA157,1),"")</f>
        <v>F</v>
      </c>
      <c r="AA157" s="3">
        <v>154</v>
      </c>
      <c r="AB157" s="3" t="str">
        <f>IFERROR(MID(VLOOKUP($B157,Seqs!$A:$B,2,0),AC157,1),"")</f>
        <v>T</v>
      </c>
      <c r="AC157" s="9">
        <v>157</v>
      </c>
      <c r="AD157" s="3" t="str">
        <f>IFERROR(MID(VLOOKUP($B157,Seqs!$A:$B,2,0),AE157,1),"")</f>
        <v>M</v>
      </c>
      <c r="AE157" s="3">
        <v>183</v>
      </c>
      <c r="AF157" s="3" t="str">
        <f>IFERROR(MID(VLOOKUP($B157,Seqs!$A:$B,2,0),AG157,1),"")</f>
        <v>C</v>
      </c>
      <c r="AG157" s="3">
        <v>202</v>
      </c>
      <c r="AH157" s="3" t="str">
        <f>IFERROR(MID(VLOOKUP($B157,Seqs!$A:$B,2,0),AI157,1),"")</f>
        <v>E</v>
      </c>
      <c r="AI157" s="3">
        <v>204</v>
      </c>
      <c r="AJ157" s="3" t="str">
        <f>IFERROR(MID(VLOOKUP($B157,Seqs!$A:$B,2,0),AK157,1),"")</f>
        <v>D</v>
      </c>
      <c r="AK157" s="3">
        <v>209</v>
      </c>
      <c r="AL157" s="3" t="str">
        <f>IFERROR(MID(VLOOKUP($B157,Seqs!$A:$B,2,0),AM157,1),"")</f>
        <v>L</v>
      </c>
      <c r="AM157" s="3">
        <v>242</v>
      </c>
      <c r="AN157" s="3" t="str">
        <f>IFERROR(MID(VLOOKUP($B157,Seqs!$A:$B,2,0),AO157,1),"")</f>
        <v>K</v>
      </c>
      <c r="AO157" s="3">
        <v>288</v>
      </c>
      <c r="AP157" s="3" t="str">
        <f>IFERROR(MID(VLOOKUP($B157,Seqs!$A:$B,2,0),AQ157,1),"")</f>
        <v>F</v>
      </c>
      <c r="AQ157" s="3">
        <v>324</v>
      </c>
      <c r="AR157" s="3" t="str">
        <f>IFERROR(MID(VLOOKUP($B157,Seqs!$A:$B,2,0),AS157,1),"")</f>
        <v>R</v>
      </c>
      <c r="AS157" s="3">
        <v>333</v>
      </c>
      <c r="AT157" s="3" t="str">
        <f>IFERROR(MID(VLOOKUP($B157,Seqs!$A:$B,2,0),AU157,1),"")</f>
        <v>L</v>
      </c>
      <c r="AU157" s="3">
        <v>361</v>
      </c>
      <c r="AV157" s="3" t="str">
        <f>IFERROR(MID(VLOOKUP($B157,Seqs!$A:$B,2,0),AW157,1),"")</f>
        <v>S</v>
      </c>
      <c r="AW157" s="3">
        <v>362</v>
      </c>
      <c r="AX157" s="3" t="str">
        <f>IFERROR(MID(VLOOKUP($B157,Seqs!$A:$B,2,0),AY157,1),"")</f>
        <v>F</v>
      </c>
      <c r="AY157" s="3">
        <v>373</v>
      </c>
      <c r="AZ157" s="79" t="str">
        <f>VLOOKUP(B157,Classification!A:D,2,0)</f>
        <v>A</v>
      </c>
      <c r="BA157" s="97" t="str">
        <f>VLOOKUP(B157,Classification!A:D,4,0)</f>
        <v>Orexin</v>
      </c>
      <c r="BB157" s="27" t="b">
        <f t="shared" si="640"/>
        <v>1</v>
      </c>
      <c r="BC157" s="23">
        <f t="shared" si="613"/>
        <v>250</v>
      </c>
      <c r="BD157" s="2" t="s">
        <v>1383</v>
      </c>
      <c r="BE157" s="3" t="s">
        <v>1381</v>
      </c>
      <c r="BF157" s="50" t="s">
        <v>1384</v>
      </c>
      <c r="BG157" s="50" t="s">
        <v>1384</v>
      </c>
      <c r="BH157" s="1"/>
      <c r="BI157" s="72" t="s">
        <v>1293</v>
      </c>
      <c r="BJ157" s="58" t="s">
        <v>1293</v>
      </c>
      <c r="BK157" s="58" t="s">
        <v>1293</v>
      </c>
      <c r="BL157" s="58" t="s">
        <v>1293</v>
      </c>
      <c r="BM157" s="58" t="s">
        <v>1293</v>
      </c>
      <c r="BN157" s="58" t="s">
        <v>1293</v>
      </c>
      <c r="BO157" s="58" t="s">
        <v>1293</v>
      </c>
      <c r="BP157" s="58" t="s">
        <v>1293</v>
      </c>
      <c r="BQ157" s="58" t="s">
        <v>1293</v>
      </c>
      <c r="BR157" s="58" t="s">
        <v>1293</v>
      </c>
      <c r="BS157" s="58" t="s">
        <v>1293</v>
      </c>
      <c r="BT157" s="58" t="s">
        <v>1293</v>
      </c>
      <c r="BU157" s="72">
        <f t="shared" si="614"/>
        <v>46</v>
      </c>
      <c r="BV157" s="73">
        <f t="shared" si="615"/>
        <v>75</v>
      </c>
      <c r="BW157" s="74">
        <f t="shared" si="616"/>
        <v>79</v>
      </c>
      <c r="BX157" s="73">
        <f t="shared" si="617"/>
        <v>111</v>
      </c>
      <c r="BY157" s="74">
        <f t="shared" si="618"/>
        <v>115</v>
      </c>
      <c r="BZ157" s="73">
        <f t="shared" si="619"/>
        <v>151</v>
      </c>
      <c r="CA157" s="74">
        <f t="shared" si="620"/>
        <v>157</v>
      </c>
      <c r="CB157" s="73">
        <f t="shared" si="621"/>
        <v>202</v>
      </c>
      <c r="CC157" s="74">
        <f t="shared" si="622"/>
        <v>209</v>
      </c>
      <c r="CD157" s="73">
        <f t="shared" si="623"/>
        <v>288</v>
      </c>
      <c r="CE157" s="74">
        <f t="shared" si="624"/>
        <v>333</v>
      </c>
      <c r="CF157" s="73">
        <f t="shared" si="625"/>
        <v>362</v>
      </c>
      <c r="CG157" s="72">
        <f t="shared" si="626"/>
        <v>74</v>
      </c>
      <c r="CH157" s="73">
        <f t="shared" si="627"/>
        <v>78</v>
      </c>
      <c r="CI157" s="74">
        <f t="shared" si="628"/>
        <v>109</v>
      </c>
      <c r="CJ157" s="74">
        <f t="shared" si="629"/>
        <v>114</v>
      </c>
      <c r="CK157" s="74">
        <f t="shared" si="630"/>
        <v>150</v>
      </c>
      <c r="CL157" s="74">
        <f t="shared" si="631"/>
        <v>154</v>
      </c>
      <c r="CM157" s="74">
        <f t="shared" si="632"/>
        <v>183</v>
      </c>
      <c r="CN157" s="74">
        <f t="shared" si="633"/>
        <v>204</v>
      </c>
      <c r="CO157" s="74">
        <f t="shared" si="634"/>
        <v>242</v>
      </c>
      <c r="CP157" s="74">
        <f t="shared" si="635"/>
        <v>324</v>
      </c>
      <c r="CQ157" s="74">
        <f t="shared" si="636"/>
        <v>361</v>
      </c>
      <c r="CR157" s="74">
        <f t="shared" si="637"/>
        <v>373</v>
      </c>
      <c r="CS157" s="23">
        <f t="shared" si="638"/>
        <v>1</v>
      </c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2"/>
    </row>
    <row r="158" spans="1:1029" x14ac:dyDescent="0.2">
      <c r="A158" s="3" t="str">
        <f t="shared" si="639"/>
        <v>ox2r_human__wt</v>
      </c>
      <c r="B158" s="3" t="s">
        <v>1176</v>
      </c>
      <c r="C158" s="3" t="s">
        <v>100</v>
      </c>
      <c r="D158" s="3" t="str">
        <f>IFERROR(MID(VLOOKUP($B158,Seqs!$A:$B,2,0),E158,1),"")</f>
        <v>Y</v>
      </c>
      <c r="E158" s="3">
        <v>53</v>
      </c>
      <c r="F158" s="3" t="str">
        <f>IFERROR(MID(VLOOKUP($B158,Seqs!$A:$B,2,0),G158,1),"")</f>
        <v>N</v>
      </c>
      <c r="G158" s="3">
        <v>82</v>
      </c>
      <c r="H158" s="3" t="str">
        <f>IFERROR(MID(VLOOKUP($B158,Seqs!$A:$B,2,0),I158,1),"")</f>
        <v>H</v>
      </c>
      <c r="I158" s="23">
        <v>83</v>
      </c>
      <c r="J158" s="3" t="str">
        <f>IFERROR(MID(VLOOKUP($B158,Seqs!$A:$B,2,0),K158,1),"")</f>
        <v>R</v>
      </c>
      <c r="K158" s="23">
        <v>86</v>
      </c>
      <c r="L158" s="3" t="str">
        <f>IFERROR(MID(VLOOKUP($B158,Seqs!$A:$B,2,0),M158,1),"")</f>
        <v>T</v>
      </c>
      <c r="M158" s="3">
        <v>87</v>
      </c>
      <c r="N158" s="3" t="str">
        <f>IFERROR(MID(VLOOKUP($B158,Seqs!$A:$B,2,0),O158,1),"")</f>
        <v>T</v>
      </c>
      <c r="O158" s="3">
        <v>117</v>
      </c>
      <c r="P158" s="3" t="str">
        <f>IFERROR(MID(VLOOKUP($B158,Seqs!$A:$B,2,0),Q158,1),"")</f>
        <v>T</v>
      </c>
      <c r="Q158" s="3">
        <v>119</v>
      </c>
      <c r="R158" s="3" t="str">
        <f>IFERROR(MID(VLOOKUP($B158,Seqs!$A:$B,2,0),S158,1),"")</f>
        <v>F</v>
      </c>
      <c r="S158" s="3">
        <v>122</v>
      </c>
      <c r="T158" s="3" t="str">
        <f>IFERROR(MID(VLOOKUP($B158,Seqs!$A:$B,2,0),U158,1),"")</f>
        <v>G</v>
      </c>
      <c r="U158" s="3">
        <v>123</v>
      </c>
      <c r="V158" s="3" t="str">
        <f>IFERROR(MID(VLOOKUP($B158,Seqs!$A:$B,2,0),W158,1),"")</f>
        <v>H</v>
      </c>
      <c r="W158" s="3">
        <v>158</v>
      </c>
      <c r="X158" s="3" t="str">
        <f>IFERROR(MID(VLOOKUP($B158,Seqs!$A:$B,2,0),Y158,1),"")</f>
        <v>P</v>
      </c>
      <c r="Y158" s="3">
        <v>159</v>
      </c>
      <c r="Z158" s="3" t="str">
        <f>IFERROR(MID(VLOOKUP($B158,Seqs!$A:$B,2,0),AA158,1),"")</f>
        <v>F</v>
      </c>
      <c r="AA158" s="75">
        <v>162</v>
      </c>
      <c r="AB158" s="3" t="str">
        <f>IFERROR(MID(VLOOKUP($B158,Seqs!$A:$B,2,0),AC158,1),"")</f>
        <v>T</v>
      </c>
      <c r="AC158" s="9">
        <v>165</v>
      </c>
      <c r="AD158" s="3" t="str">
        <f>IFERROR(MID(VLOOKUP($B158,Seqs!$A:$B,2,0),AE158,1),"")</f>
        <v>M</v>
      </c>
      <c r="AE158" s="3">
        <v>191</v>
      </c>
      <c r="AF158" s="3" t="str">
        <f>IFERROR(MID(VLOOKUP($B158,Seqs!$A:$B,2,0),AG158,1),"")</f>
        <v>C</v>
      </c>
      <c r="AG158" s="3">
        <v>210</v>
      </c>
      <c r="AH158" s="3" t="str">
        <f>IFERROR(MID(VLOOKUP($B158,Seqs!$A:$B,2,0),AI158,1),"")</f>
        <v>E</v>
      </c>
      <c r="AI158" s="3">
        <v>212</v>
      </c>
      <c r="AJ158" s="3" t="str">
        <f>IFERROR(MID(VLOOKUP($B158,Seqs!$A:$B,2,0),AK158,1),"")</f>
        <v>E</v>
      </c>
      <c r="AK158" s="3">
        <v>217</v>
      </c>
      <c r="AL158" s="3" t="str">
        <f>IFERROR(MID(VLOOKUP($B158,Seqs!$A:$B,2,0),AM158,1),"")</f>
        <v>P</v>
      </c>
      <c r="AM158" s="3">
        <v>256</v>
      </c>
      <c r="AN158" s="3" t="str">
        <f>IFERROR(MID(VLOOKUP($B158,Seqs!$A:$B,2,0),AO158,1),"")</f>
        <v>V</v>
      </c>
      <c r="AO158" s="3">
        <v>289</v>
      </c>
      <c r="AP158" s="3" t="str">
        <f>IFERROR(MID(VLOOKUP($B158,Seqs!$A:$B,2,0),AQ158,1),"")</f>
        <v>F</v>
      </c>
      <c r="AQ158" s="3">
        <v>330</v>
      </c>
      <c r="AR158" s="3" t="str">
        <f>IFERROR(MID(VLOOKUP($B158,Seqs!$A:$B,2,0),AS158,1),"")</f>
        <v>R</v>
      </c>
      <c r="AS158" s="3">
        <v>339</v>
      </c>
      <c r="AT158" s="3" t="str">
        <f>IFERROR(MID(VLOOKUP($B158,Seqs!$A:$B,2,0),AU158,1),"")</f>
        <v>L</v>
      </c>
      <c r="AU158" s="3">
        <v>367</v>
      </c>
      <c r="AV158" s="3" t="str">
        <f>IFERROR(MID(VLOOKUP($B158,Seqs!$A:$B,2,0),AW158,1),"")</f>
        <v>S</v>
      </c>
      <c r="AW158" s="3">
        <v>368</v>
      </c>
      <c r="AX158" s="3" t="str">
        <f>IFERROR(MID(VLOOKUP($B158,Seqs!$A:$B,2,0),AY158,1),"")</f>
        <v>F</v>
      </c>
      <c r="AY158" s="3">
        <v>379</v>
      </c>
      <c r="AZ158" s="79" t="str">
        <f>VLOOKUP(B158,Classification!A:D,2,0)</f>
        <v>A</v>
      </c>
      <c r="BA158" s="97" t="str">
        <f>VLOOKUP(B158,Classification!A:D,4,0)</f>
        <v>Orexin</v>
      </c>
      <c r="BB158" s="27" t="b">
        <f t="shared" si="640"/>
        <v>1</v>
      </c>
      <c r="BC158" s="23">
        <f t="shared" si="613"/>
        <v>262</v>
      </c>
      <c r="BD158" s="57" t="s">
        <v>1379</v>
      </c>
      <c r="BE158" s="3" t="s">
        <v>1381</v>
      </c>
      <c r="BF158" s="50" t="s">
        <v>1379</v>
      </c>
      <c r="BG158" s="50" t="s">
        <v>1384</v>
      </c>
      <c r="BH158" s="1"/>
      <c r="BI158" s="72" t="s">
        <v>1293</v>
      </c>
      <c r="BJ158" s="58" t="s">
        <v>1293</v>
      </c>
      <c r="BK158" s="58" t="s">
        <v>1293</v>
      </c>
      <c r="BL158" s="58" t="s">
        <v>1293</v>
      </c>
      <c r="BM158" s="58" t="s">
        <v>1293</v>
      </c>
      <c r="BN158" s="58" t="s">
        <v>1293</v>
      </c>
      <c r="BO158" s="58" t="s">
        <v>1293</v>
      </c>
      <c r="BP158" s="58" t="s">
        <v>1293</v>
      </c>
      <c r="BQ158" s="58" t="s">
        <v>1293</v>
      </c>
      <c r="BR158" s="58" t="s">
        <v>1293</v>
      </c>
      <c r="BS158" s="58" t="s">
        <v>1293</v>
      </c>
      <c r="BT158" s="58" t="s">
        <v>1293</v>
      </c>
      <c r="BU158" s="72">
        <f t="shared" si="614"/>
        <v>53</v>
      </c>
      <c r="BV158" s="73">
        <f t="shared" si="615"/>
        <v>83</v>
      </c>
      <c r="BW158" s="74">
        <f t="shared" si="616"/>
        <v>87</v>
      </c>
      <c r="BX158" s="73">
        <f t="shared" si="617"/>
        <v>119</v>
      </c>
      <c r="BY158" s="74">
        <f t="shared" si="618"/>
        <v>123</v>
      </c>
      <c r="BZ158" s="73">
        <f t="shared" si="619"/>
        <v>159</v>
      </c>
      <c r="CA158" s="74">
        <f t="shared" si="620"/>
        <v>165</v>
      </c>
      <c r="CB158" s="73">
        <f t="shared" si="621"/>
        <v>210</v>
      </c>
      <c r="CC158" s="74">
        <f t="shared" si="622"/>
        <v>217</v>
      </c>
      <c r="CD158" s="73">
        <f t="shared" si="623"/>
        <v>289</v>
      </c>
      <c r="CE158" s="74">
        <f t="shared" si="624"/>
        <v>339</v>
      </c>
      <c r="CF158" s="73">
        <f t="shared" si="625"/>
        <v>368</v>
      </c>
      <c r="CG158" s="72">
        <f t="shared" si="626"/>
        <v>82</v>
      </c>
      <c r="CH158" s="73">
        <f t="shared" si="627"/>
        <v>86</v>
      </c>
      <c r="CI158" s="74">
        <f t="shared" si="628"/>
        <v>117</v>
      </c>
      <c r="CJ158" s="74">
        <f t="shared" si="629"/>
        <v>122</v>
      </c>
      <c r="CK158" s="74">
        <f t="shared" si="630"/>
        <v>158</v>
      </c>
      <c r="CL158" s="74">
        <f t="shared" si="631"/>
        <v>162</v>
      </c>
      <c r="CM158" s="74">
        <f t="shared" si="632"/>
        <v>191</v>
      </c>
      <c r="CN158" s="74">
        <f t="shared" si="633"/>
        <v>212</v>
      </c>
      <c r="CO158" s="74">
        <f t="shared" si="634"/>
        <v>256</v>
      </c>
      <c r="CP158" s="74">
        <f t="shared" si="635"/>
        <v>330</v>
      </c>
      <c r="CQ158" s="74">
        <f t="shared" si="636"/>
        <v>367</v>
      </c>
      <c r="CR158" s="74">
        <f t="shared" si="637"/>
        <v>379</v>
      </c>
      <c r="CS158" s="23">
        <f t="shared" si="638"/>
        <v>1</v>
      </c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</row>
    <row r="159" spans="1:1029" x14ac:dyDescent="0.2">
      <c r="A159" s="3" t="str">
        <f t="shared" si="639"/>
        <v>ox2r_human_4S0V</v>
      </c>
      <c r="B159" s="3" t="s">
        <v>1176</v>
      </c>
      <c r="C159" s="3" t="s">
        <v>92</v>
      </c>
      <c r="D159" s="3" t="str">
        <f>IFERROR(MID(VLOOKUP($B159,Seqs!$A:$B,2,0),E159,1),"")</f>
        <v>Y</v>
      </c>
      <c r="E159" s="3">
        <v>53</v>
      </c>
      <c r="F159" s="3" t="str">
        <f>IFERROR(MID(VLOOKUP($B159,Seqs!$A:$B,2,0),G159,1),"")</f>
        <v>N</v>
      </c>
      <c r="G159" s="3">
        <v>82</v>
      </c>
      <c r="H159" s="3" t="str">
        <f>IFERROR(MID(VLOOKUP($B159,Seqs!$A:$B,2,0),I159,1),"")</f>
        <v>H</v>
      </c>
      <c r="I159" s="23">
        <v>83</v>
      </c>
      <c r="J159" s="3" t="str">
        <f>IFERROR(MID(VLOOKUP($B159,Seqs!$A:$B,2,0),K159,1),"")</f>
        <v>R</v>
      </c>
      <c r="K159" s="23">
        <v>86</v>
      </c>
      <c r="L159" s="3" t="str">
        <f>IFERROR(MID(VLOOKUP($B159,Seqs!$A:$B,2,0),M159,1),"")</f>
        <v>T</v>
      </c>
      <c r="M159" s="3">
        <v>87</v>
      </c>
      <c r="N159" s="3" t="str">
        <f>IFERROR(MID(VLOOKUP($B159,Seqs!$A:$B,2,0),O159,1),"")</f>
        <v>T</v>
      </c>
      <c r="O159" s="3">
        <v>117</v>
      </c>
      <c r="P159" s="3" t="str">
        <f>IFERROR(MID(VLOOKUP($B159,Seqs!$A:$B,2,0),Q159,1),"")</f>
        <v>T</v>
      </c>
      <c r="Q159" s="3">
        <v>119</v>
      </c>
      <c r="R159" s="3" t="str">
        <f>IFERROR(MID(VLOOKUP($B159,Seqs!$A:$B,2,0),S159,1),"")</f>
        <v>F</v>
      </c>
      <c r="S159" s="3">
        <v>122</v>
      </c>
      <c r="T159" s="3" t="str">
        <f>IFERROR(MID(VLOOKUP($B159,Seqs!$A:$B,2,0),U159,1),"")</f>
        <v>G</v>
      </c>
      <c r="U159" s="3">
        <v>123</v>
      </c>
      <c r="V159" s="3" t="str">
        <f>IFERROR(MID(VLOOKUP($B159,Seqs!$A:$B,2,0),W159,1),"")</f>
        <v>H</v>
      </c>
      <c r="W159" s="3">
        <v>158</v>
      </c>
      <c r="X159" s="3" t="str">
        <f>IFERROR(MID(VLOOKUP($B159,Seqs!$A:$B,2,0),Y159,1),"")</f>
        <v/>
      </c>
      <c r="Y159" s="3" t="s">
        <v>23</v>
      </c>
      <c r="Z159" s="3" t="str">
        <f>IFERROR(MID(VLOOKUP($B159,Seqs!$A:$B,2,0),AA159,1),"")</f>
        <v/>
      </c>
      <c r="AA159" s="3" t="s">
        <v>23</v>
      </c>
      <c r="AB159" s="3" t="str">
        <f>IFERROR(MID(VLOOKUP($B159,Seqs!$A:$B,2,0),AC159,1),"")</f>
        <v>T</v>
      </c>
      <c r="AC159" s="9">
        <v>165</v>
      </c>
      <c r="AD159" s="3" t="str">
        <f>IFERROR(MID(VLOOKUP($B159,Seqs!$A:$B,2,0),AE159,1),"")</f>
        <v>M</v>
      </c>
      <c r="AE159" s="3">
        <v>191</v>
      </c>
      <c r="AF159" s="3" t="str">
        <f>IFERROR(MID(VLOOKUP($B159,Seqs!$A:$B,2,0),AG159,1),"")</f>
        <v>C</v>
      </c>
      <c r="AG159" s="3">
        <v>210</v>
      </c>
      <c r="AH159" s="3" t="str">
        <f>IFERROR(MID(VLOOKUP($B159,Seqs!$A:$B,2,0),AI159,1),"")</f>
        <v>E</v>
      </c>
      <c r="AI159" s="3">
        <v>212</v>
      </c>
      <c r="AJ159" s="3" t="str">
        <f>IFERROR(MID(VLOOKUP($B159,Seqs!$A:$B,2,0),AK159,1),"")</f>
        <v>E</v>
      </c>
      <c r="AK159" s="3">
        <v>217</v>
      </c>
      <c r="AL159" s="3" t="str">
        <f>IFERROR(MID(VLOOKUP($B159,Seqs!$A:$B,2,0),AM159,1),"")</f>
        <v>Q</v>
      </c>
      <c r="AM159" s="3">
        <v>254</v>
      </c>
      <c r="AN159" s="3" t="str">
        <f>IFERROR(MID(VLOOKUP($B159,Seqs!$A:$B,2,0),AO159,1),"")</f>
        <v>K</v>
      </c>
      <c r="AO159" s="3">
        <v>294</v>
      </c>
      <c r="AP159" s="3" t="str">
        <f>IFERROR(MID(VLOOKUP($B159,Seqs!$A:$B,2,0),AQ159,1),"")</f>
        <v>F</v>
      </c>
      <c r="AQ159" s="3">
        <v>330</v>
      </c>
      <c r="AR159" s="3" t="str">
        <f>IFERROR(MID(VLOOKUP($B159,Seqs!$A:$B,2,0),AS159,1),"")</f>
        <v>R</v>
      </c>
      <c r="AS159" s="3">
        <v>339</v>
      </c>
      <c r="AT159" s="3" t="str">
        <f>IFERROR(MID(VLOOKUP($B159,Seqs!$A:$B,2,0),AU159,1),"")</f>
        <v>L</v>
      </c>
      <c r="AU159" s="3">
        <v>367</v>
      </c>
      <c r="AV159" s="3" t="str">
        <f>IFERROR(MID(VLOOKUP($B159,Seqs!$A:$B,2,0),AW159,1),"")</f>
        <v>S</v>
      </c>
      <c r="AW159" s="3">
        <v>368</v>
      </c>
      <c r="AX159" s="3" t="str">
        <f>IFERROR(MID(VLOOKUP($B159,Seqs!$A:$B,2,0),AY159,1),"")</f>
        <v>F</v>
      </c>
      <c r="AY159" s="3">
        <v>379</v>
      </c>
      <c r="AZ159" s="79" t="str">
        <f>VLOOKUP(B159,Classification!A:D,2,0)</f>
        <v>A</v>
      </c>
      <c r="BA159" s="97" t="str">
        <f>VLOOKUP(B159,Classification!A:D,4,0)</f>
        <v>Orexin</v>
      </c>
      <c r="BB159" s="27" t="b">
        <f t="shared" si="640"/>
        <v>1</v>
      </c>
      <c r="BC159" s="23">
        <f t="shared" si="613"/>
        <v>252</v>
      </c>
      <c r="BD159" s="2" t="s">
        <v>1383</v>
      </c>
      <c r="BE159" s="3" t="s">
        <v>1381</v>
      </c>
      <c r="BF159" s="50" t="s">
        <v>1384</v>
      </c>
      <c r="BG159" s="50" t="s">
        <v>1384</v>
      </c>
      <c r="BH159" s="1"/>
      <c r="BI159" s="72" t="s">
        <v>1293</v>
      </c>
      <c r="BJ159" s="58" t="s">
        <v>1293</v>
      </c>
      <c r="BK159" s="58" t="s">
        <v>1293</v>
      </c>
      <c r="BL159" s="58" t="s">
        <v>1293</v>
      </c>
      <c r="BM159" s="58" t="s">
        <v>1293</v>
      </c>
      <c r="BN159" s="58" t="s">
        <v>1293</v>
      </c>
      <c r="BO159" s="58" t="s">
        <v>1293</v>
      </c>
      <c r="BP159" s="58" t="s">
        <v>1293</v>
      </c>
      <c r="BQ159" s="58" t="s">
        <v>1293</v>
      </c>
      <c r="BR159" s="58" t="s">
        <v>1293</v>
      </c>
      <c r="BS159" s="58" t="s">
        <v>1293</v>
      </c>
      <c r="BT159" s="58" t="s">
        <v>1293</v>
      </c>
      <c r="BU159" s="72">
        <f t="shared" si="614"/>
        <v>53</v>
      </c>
      <c r="BV159" s="73">
        <f t="shared" si="615"/>
        <v>83</v>
      </c>
      <c r="BW159" s="74">
        <f t="shared" si="616"/>
        <v>87</v>
      </c>
      <c r="BX159" s="73">
        <f t="shared" si="617"/>
        <v>119</v>
      </c>
      <c r="BY159" s="74">
        <f t="shared" si="618"/>
        <v>123</v>
      </c>
      <c r="BZ159" s="73" t="str">
        <f t="shared" si="619"/>
        <v>-</v>
      </c>
      <c r="CA159" s="74">
        <f t="shared" si="620"/>
        <v>165</v>
      </c>
      <c r="CB159" s="73">
        <f t="shared" si="621"/>
        <v>210</v>
      </c>
      <c r="CC159" s="74">
        <f t="shared" si="622"/>
        <v>217</v>
      </c>
      <c r="CD159" s="73">
        <f t="shared" si="623"/>
        <v>294</v>
      </c>
      <c r="CE159" s="74">
        <f t="shared" si="624"/>
        <v>339</v>
      </c>
      <c r="CF159" s="73">
        <f t="shared" si="625"/>
        <v>368</v>
      </c>
      <c r="CG159" s="72">
        <f t="shared" si="626"/>
        <v>82</v>
      </c>
      <c r="CH159" s="73">
        <f t="shared" si="627"/>
        <v>86</v>
      </c>
      <c r="CI159" s="74">
        <f t="shared" si="628"/>
        <v>117</v>
      </c>
      <c r="CJ159" s="74">
        <f t="shared" si="629"/>
        <v>122</v>
      </c>
      <c r="CK159" s="74">
        <f t="shared" si="630"/>
        <v>158</v>
      </c>
      <c r="CL159" s="74" t="str">
        <f t="shared" si="631"/>
        <v>-</v>
      </c>
      <c r="CM159" s="74">
        <f t="shared" si="632"/>
        <v>191</v>
      </c>
      <c r="CN159" s="74">
        <f t="shared" si="633"/>
        <v>212</v>
      </c>
      <c r="CO159" s="74">
        <f t="shared" si="634"/>
        <v>254</v>
      </c>
      <c r="CP159" s="74">
        <f t="shared" si="635"/>
        <v>330</v>
      </c>
      <c r="CQ159" s="74">
        <f t="shared" si="636"/>
        <v>367</v>
      </c>
      <c r="CR159" s="74">
        <f t="shared" si="637"/>
        <v>379</v>
      </c>
      <c r="CS159" s="23">
        <f t="shared" si="638"/>
        <v>1</v>
      </c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</row>
    <row r="160" spans="1:1029" x14ac:dyDescent="0.2">
      <c r="A160" s="3" t="str">
        <f t="shared" si="639"/>
        <v>p2ry1_human__wt</v>
      </c>
      <c r="B160" s="3" t="s">
        <v>345</v>
      </c>
      <c r="C160" s="3" t="s">
        <v>100</v>
      </c>
      <c r="D160" s="3" t="str">
        <f>IFERROR(MID(VLOOKUP($B160,Seqs!$A:$B,2,0),E160,1),"")</f>
        <v>F</v>
      </c>
      <c r="E160" s="3">
        <v>49</v>
      </c>
      <c r="F160" s="3" t="str">
        <f>IFERROR(MID(VLOOKUP($B160,Seqs!$A:$B,2,0),G160,1),"")</f>
        <v>H</v>
      </c>
      <c r="G160" s="3">
        <v>79</v>
      </c>
      <c r="H160" s="3" t="str">
        <f>IFERROR(MID(VLOOKUP($B160,Seqs!$A:$B,2,0),I160,1),"")</f>
        <v/>
      </c>
      <c r="I160" s="23" t="s">
        <v>23</v>
      </c>
      <c r="J160" s="3" t="str">
        <f>IFERROR(MID(VLOOKUP($B160,Seqs!$A:$B,2,0),K160,1),"")</f>
        <v/>
      </c>
      <c r="K160" s="23" t="s">
        <v>23</v>
      </c>
      <c r="L160" s="3" t="str">
        <f>IFERROR(MID(VLOOKUP($B160,Seqs!$A:$B,2,0),M160,1),"")</f>
        <v>S</v>
      </c>
      <c r="M160" s="3">
        <v>84</v>
      </c>
      <c r="N160" s="3" t="str">
        <f>IFERROR(MID(VLOOKUP($B160,Seqs!$A:$B,2,0),O160,1),"")</f>
        <v>N</v>
      </c>
      <c r="O160" s="3">
        <v>113</v>
      </c>
      <c r="P160" s="3" t="str">
        <f>IFERROR(MID(VLOOKUP($B160,Seqs!$A:$B,2,0),Q160,1),"")</f>
        <v>D</v>
      </c>
      <c r="Q160" s="3">
        <v>116</v>
      </c>
      <c r="R160" s="3" t="str">
        <f>IFERROR(MID(VLOOKUP($B160,Seqs!$A:$B,2,0),S160,1),"")</f>
        <v>F</v>
      </c>
      <c r="S160" s="3">
        <v>119</v>
      </c>
      <c r="T160" s="3" t="str">
        <f>IFERROR(MID(VLOOKUP($B160,Seqs!$A:$B,2,0),U160,1),"")</f>
        <v>G</v>
      </c>
      <c r="U160" s="3">
        <v>120</v>
      </c>
      <c r="V160" s="3" t="str">
        <f>IFERROR(MID(VLOOKUP($B160,Seqs!$A:$B,2,0),W160,1),"")</f>
        <v>Y</v>
      </c>
      <c r="W160" s="3">
        <v>155</v>
      </c>
      <c r="X160" s="3" t="str">
        <f>IFERROR(MID(VLOOKUP($B160,Seqs!$A:$B,2,0),Y160,1),"")</f>
        <v>P</v>
      </c>
      <c r="Y160" s="3">
        <v>156</v>
      </c>
      <c r="Z160" s="3" t="str">
        <f>IFERROR(MID(VLOOKUP($B160,Seqs!$A:$B,2,0),AA160,1),"")</f>
        <v>L</v>
      </c>
      <c r="AA160" s="3">
        <v>163</v>
      </c>
      <c r="AB160" s="3" t="str">
        <f>IFERROR(MID(VLOOKUP($B160,Seqs!$A:$B,2,0),AC160,1),"")</f>
        <v>K</v>
      </c>
      <c r="AC160" s="9">
        <v>164</v>
      </c>
      <c r="AD160" s="3" t="str">
        <f>IFERROR(MID(VLOOKUP($B160,Seqs!$A:$B,2,0),AE160,1),"")</f>
        <v>S</v>
      </c>
      <c r="AE160" s="3">
        <v>190</v>
      </c>
      <c r="AF160" s="3" t="str">
        <f>IFERROR(MID(VLOOKUP($B160,Seqs!$A:$B,2,0),AG160,1),"")</f>
        <v>C</v>
      </c>
      <c r="AG160" s="3">
        <v>202</v>
      </c>
      <c r="AH160" s="3" t="str">
        <f>IFERROR(MID(VLOOKUP($B160,Seqs!$A:$B,2,0),AI160,1),"")</f>
        <v>D</v>
      </c>
      <c r="AI160" s="3">
        <v>204</v>
      </c>
      <c r="AJ160" s="3" t="str">
        <f>IFERROR(MID(VLOOKUP($B160,Seqs!$A:$B,2,0),AK160,1),"")</f>
        <v>L</v>
      </c>
      <c r="AK160" s="3">
        <v>211</v>
      </c>
      <c r="AL160" s="3" t="str">
        <f>IFERROR(MID(VLOOKUP($B160,Seqs!$A:$B,2,0),AM160,1),"")</f>
        <v>K</v>
      </c>
      <c r="AM160" s="3">
        <v>247</v>
      </c>
      <c r="AN160" s="3" t="str">
        <f>IFERROR(MID(VLOOKUP($B160,Seqs!$A:$B,2,0),AO160,1),"")</f>
        <v>P</v>
      </c>
      <c r="AO160" s="3">
        <v>253</v>
      </c>
      <c r="AP160" s="3" t="str">
        <f>IFERROR(MID(VLOOKUP($B160,Seqs!$A:$B,2,0),AQ160,1),"")</f>
        <v>D</v>
      </c>
      <c r="AQ160" s="3">
        <v>289</v>
      </c>
      <c r="AR160" s="3" t="str">
        <f>IFERROR(MID(VLOOKUP($B160,Seqs!$A:$B,2,0),AS160,1),"")</f>
        <v>M</v>
      </c>
      <c r="AS160" s="3">
        <v>295</v>
      </c>
      <c r="AT160" s="3" t="str">
        <f>IFERROR(MID(VLOOKUP($B160,Seqs!$A:$B,2,0),AU160,1),"")</f>
        <v>A</v>
      </c>
      <c r="AU160" s="3">
        <v>327</v>
      </c>
      <c r="AV160" s="3" t="str">
        <f>IFERROR(MID(VLOOKUP($B160,Seqs!$A:$B,2,0),AW160,1),"")</f>
        <v>G</v>
      </c>
      <c r="AW160" s="3">
        <v>328</v>
      </c>
      <c r="AX160" s="3" t="str">
        <f>IFERROR(MID(VLOOKUP($B160,Seqs!$A:$B,2,0),AY160,1),"")</f>
        <v>R</v>
      </c>
      <c r="AY160" s="3">
        <v>340</v>
      </c>
      <c r="AZ160" s="79" t="str">
        <f>VLOOKUP(B160,Classification!A:D,2,0)</f>
        <v>A</v>
      </c>
      <c r="BA160" s="97" t="str">
        <f>VLOOKUP(B160,Classification!A:D,4,0)</f>
        <v>P2Y</v>
      </c>
      <c r="BB160" s="27" t="b">
        <f t="shared" si="640"/>
        <v>1</v>
      </c>
      <c r="BC160" s="23">
        <f t="shared" si="613"/>
        <v>260</v>
      </c>
      <c r="BD160" s="57" t="s">
        <v>1379</v>
      </c>
      <c r="BE160" s="3" t="s">
        <v>1381</v>
      </c>
      <c r="BF160" s="50" t="s">
        <v>1379</v>
      </c>
      <c r="BG160" s="50" t="s">
        <v>1384</v>
      </c>
      <c r="BH160" s="1"/>
      <c r="BI160" s="72" t="s">
        <v>1293</v>
      </c>
      <c r="BJ160" s="58" t="s">
        <v>1293</v>
      </c>
      <c r="BK160" s="58" t="s">
        <v>1293</v>
      </c>
      <c r="BL160" s="58" t="s">
        <v>1293</v>
      </c>
      <c r="BM160" s="58" t="s">
        <v>1293</v>
      </c>
      <c r="BN160" s="58" t="s">
        <v>1293</v>
      </c>
      <c r="BO160" s="58" t="s">
        <v>1293</v>
      </c>
      <c r="BP160" s="58" t="s">
        <v>1293</v>
      </c>
      <c r="BQ160" s="58" t="s">
        <v>1293</v>
      </c>
      <c r="BR160" s="58" t="s">
        <v>1293</v>
      </c>
      <c r="BS160" s="58" t="s">
        <v>1293</v>
      </c>
      <c r="BT160" s="58" t="s">
        <v>1293</v>
      </c>
      <c r="BU160" s="72">
        <f t="shared" si="614"/>
        <v>49</v>
      </c>
      <c r="BV160" s="73" t="str">
        <f t="shared" si="615"/>
        <v>-</v>
      </c>
      <c r="BW160" s="74">
        <f t="shared" si="616"/>
        <v>84</v>
      </c>
      <c r="BX160" s="73">
        <f t="shared" si="617"/>
        <v>116</v>
      </c>
      <c r="BY160" s="74">
        <f t="shared" si="618"/>
        <v>120</v>
      </c>
      <c r="BZ160" s="73">
        <f t="shared" si="619"/>
        <v>156</v>
      </c>
      <c r="CA160" s="74">
        <f t="shared" si="620"/>
        <v>164</v>
      </c>
      <c r="CB160" s="73">
        <f t="shared" si="621"/>
        <v>202</v>
      </c>
      <c r="CC160" s="74">
        <f t="shared" si="622"/>
        <v>211</v>
      </c>
      <c r="CD160" s="73">
        <f t="shared" si="623"/>
        <v>253</v>
      </c>
      <c r="CE160" s="74">
        <f t="shared" si="624"/>
        <v>295</v>
      </c>
      <c r="CF160" s="73">
        <f t="shared" si="625"/>
        <v>328</v>
      </c>
      <c r="CG160" s="72">
        <f t="shared" si="626"/>
        <v>79</v>
      </c>
      <c r="CH160" s="73" t="str">
        <f t="shared" si="627"/>
        <v>-</v>
      </c>
      <c r="CI160" s="74">
        <f t="shared" si="628"/>
        <v>113</v>
      </c>
      <c r="CJ160" s="74">
        <f t="shared" si="629"/>
        <v>119</v>
      </c>
      <c r="CK160" s="74">
        <f t="shared" si="630"/>
        <v>155</v>
      </c>
      <c r="CL160" s="74">
        <f t="shared" si="631"/>
        <v>163</v>
      </c>
      <c r="CM160" s="74">
        <f t="shared" si="632"/>
        <v>190</v>
      </c>
      <c r="CN160" s="74">
        <f t="shared" si="633"/>
        <v>204</v>
      </c>
      <c r="CO160" s="74">
        <f t="shared" si="634"/>
        <v>247</v>
      </c>
      <c r="CP160" s="74">
        <f t="shared" si="635"/>
        <v>289</v>
      </c>
      <c r="CQ160" s="74">
        <f t="shared" si="636"/>
        <v>327</v>
      </c>
      <c r="CR160" s="74">
        <f t="shared" si="637"/>
        <v>340</v>
      </c>
      <c r="CS160" s="23" t="e">
        <f t="shared" si="638"/>
        <v>#VALUE!</v>
      </c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</row>
    <row r="161" spans="1:1028" x14ac:dyDescent="0.2">
      <c r="A161" s="3" t="str">
        <f t="shared" si="639"/>
        <v>p2ry1_human_4XNV</v>
      </c>
      <c r="B161" s="3" t="s">
        <v>345</v>
      </c>
      <c r="C161" s="3" t="s">
        <v>1152</v>
      </c>
      <c r="D161" s="3" t="str">
        <f>IFERROR(MID(VLOOKUP($B161,Seqs!$A:$B,2,0),E161,1),"")</f>
        <v>F</v>
      </c>
      <c r="E161" s="3">
        <v>49</v>
      </c>
      <c r="F161" s="3" t="str">
        <f>IFERROR(MID(VLOOKUP($B161,Seqs!$A:$B,2,0),G161,1),"")</f>
        <v>H</v>
      </c>
      <c r="G161" s="3">
        <v>79</v>
      </c>
      <c r="H161" s="3" t="str">
        <f>IFERROR(MID(VLOOKUP($B161,Seqs!$A:$B,2,0),I161,1),"")</f>
        <v/>
      </c>
      <c r="I161" s="23" t="s">
        <v>23</v>
      </c>
      <c r="J161" s="3" t="str">
        <f>IFERROR(MID(VLOOKUP($B161,Seqs!$A:$B,2,0),K161,1),"")</f>
        <v/>
      </c>
      <c r="K161" s="23" t="s">
        <v>23</v>
      </c>
      <c r="L161" s="3" t="str">
        <f>IFERROR(MID(VLOOKUP($B161,Seqs!$A:$B,2,0),M161,1),"")</f>
        <v>S</v>
      </c>
      <c r="M161" s="3">
        <v>84</v>
      </c>
      <c r="N161" s="3" t="str">
        <f>IFERROR(MID(VLOOKUP($B161,Seqs!$A:$B,2,0),O161,1),"")</f>
        <v>N</v>
      </c>
      <c r="O161" s="3">
        <v>113</v>
      </c>
      <c r="P161" s="3" t="str">
        <f>IFERROR(MID(VLOOKUP($B161,Seqs!$A:$B,2,0),Q161,1),"")</f>
        <v>D</v>
      </c>
      <c r="Q161" s="3">
        <v>116</v>
      </c>
      <c r="R161" s="3" t="str">
        <f>IFERROR(MID(VLOOKUP($B161,Seqs!$A:$B,2,0),S161,1),"")</f>
        <v>F</v>
      </c>
      <c r="S161" s="3">
        <v>119</v>
      </c>
      <c r="T161" s="3" t="str">
        <f>IFERROR(MID(VLOOKUP($B161,Seqs!$A:$B,2,0),U161,1),"")</f>
        <v>G</v>
      </c>
      <c r="U161" s="3">
        <v>120</v>
      </c>
      <c r="V161" s="3" t="str">
        <f>IFERROR(MID(VLOOKUP($B161,Seqs!$A:$B,2,0),W161,1),"")</f>
        <v>Y</v>
      </c>
      <c r="W161" s="3">
        <v>155</v>
      </c>
      <c r="X161" s="3" t="str">
        <f>IFERROR(MID(VLOOKUP($B161,Seqs!$A:$B,2,0),Y161,1),"")</f>
        <v/>
      </c>
      <c r="Y161" s="3" t="s">
        <v>23</v>
      </c>
      <c r="Z161" s="3" t="str">
        <f>IFERROR(MID(VLOOKUP($B161,Seqs!$A:$B,2,0),AA161,1),"")</f>
        <v/>
      </c>
      <c r="AA161" s="3" t="s">
        <v>23</v>
      </c>
      <c r="AB161" s="3" t="str">
        <f>IFERROR(MID(VLOOKUP($B161,Seqs!$A:$B,2,0),AC161,1),"")</f>
        <v>G</v>
      </c>
      <c r="AC161" s="9">
        <v>161</v>
      </c>
      <c r="AD161" s="3" t="str">
        <f>IFERROR(MID(VLOOKUP($B161,Seqs!$A:$B,2,0),AE161,1),"")</f>
        <v>S</v>
      </c>
      <c r="AE161" s="3">
        <v>190</v>
      </c>
      <c r="AF161" s="3" t="str">
        <f>IFERROR(MID(VLOOKUP($B161,Seqs!$A:$B,2,0),AG161,1),"")</f>
        <v>C</v>
      </c>
      <c r="AG161" s="3">
        <v>202</v>
      </c>
      <c r="AH161" s="3" t="str">
        <f>IFERROR(MID(VLOOKUP($B161,Seqs!$A:$B,2,0),AI161,1),"")</f>
        <v>D</v>
      </c>
      <c r="AI161" s="3">
        <v>204</v>
      </c>
      <c r="AJ161" s="3" t="str">
        <f>IFERROR(MID(VLOOKUP($B161,Seqs!$A:$B,2,0),AK161,1),"")</f>
        <v>L</v>
      </c>
      <c r="AK161" s="3">
        <v>211</v>
      </c>
      <c r="AL161" s="3" t="str">
        <f>IFERROR(MID(VLOOKUP($B161,Seqs!$A:$B,2,0),AM161,1),"")</f>
        <v>K</v>
      </c>
      <c r="AM161" s="3">
        <v>247</v>
      </c>
      <c r="AN161" s="3" t="str">
        <f>IFERROR(MID(VLOOKUP($B161,Seqs!$A:$B,2,0),AO161,1),"")</f>
        <v>P</v>
      </c>
      <c r="AO161" s="3">
        <v>253</v>
      </c>
      <c r="AP161" s="3" t="str">
        <f>IFERROR(MID(VLOOKUP($B161,Seqs!$A:$B,2,0),AQ161,1),"")</f>
        <v>D</v>
      </c>
      <c r="AQ161" s="3">
        <v>289</v>
      </c>
      <c r="AR161" s="3" t="str">
        <f>IFERROR(MID(VLOOKUP($B161,Seqs!$A:$B,2,0),AS161,1),"")</f>
        <v>M</v>
      </c>
      <c r="AS161" s="3">
        <v>295</v>
      </c>
      <c r="AT161" s="3" t="str">
        <f>IFERROR(MID(VLOOKUP($B161,Seqs!$A:$B,2,0),AU161,1),"")</f>
        <v>L</v>
      </c>
      <c r="AU161" s="3">
        <v>326</v>
      </c>
      <c r="AV161" s="3" t="str">
        <f>IFERROR(MID(VLOOKUP($B161,Seqs!$A:$B,2,0),AW161,1),"")</f>
        <v/>
      </c>
      <c r="AW161" s="3" t="s">
        <v>23</v>
      </c>
      <c r="AX161" s="3" t="str">
        <f>IFERROR(MID(VLOOKUP($B161,Seqs!$A:$B,2,0),AY161,1),"")</f>
        <v/>
      </c>
      <c r="AY161" s="3" t="s">
        <v>23</v>
      </c>
      <c r="AZ161" s="79" t="str">
        <f>VLOOKUP(B161,Classification!A:D,2,0)</f>
        <v>A</v>
      </c>
      <c r="BA161" s="97" t="str">
        <f>VLOOKUP(B161,Classification!A:D,4,0)</f>
        <v>P2Y</v>
      </c>
      <c r="BB161" s="27" t="b">
        <f t="shared" si="640"/>
        <v>1</v>
      </c>
      <c r="BC161" s="23">
        <f t="shared" si="613"/>
        <v>243</v>
      </c>
      <c r="BD161" s="4" t="s">
        <v>23</v>
      </c>
      <c r="BE161" s="3" t="s">
        <v>1381</v>
      </c>
      <c r="BF161" s="50" t="s">
        <v>1384</v>
      </c>
      <c r="BG161" s="50" t="s">
        <v>1384</v>
      </c>
      <c r="BH161" s="3" t="s">
        <v>1169</v>
      </c>
      <c r="BI161" s="72" t="s">
        <v>1293</v>
      </c>
      <c r="BJ161" s="58" t="s">
        <v>1293</v>
      </c>
      <c r="BK161" s="58" t="s">
        <v>1293</v>
      </c>
      <c r="BL161" s="58" t="s">
        <v>1293</v>
      </c>
      <c r="BM161" s="58" t="s">
        <v>1293</v>
      </c>
      <c r="BN161" s="58" t="s">
        <v>1293</v>
      </c>
      <c r="BO161" s="58" t="s">
        <v>1293</v>
      </c>
      <c r="BP161" s="58" t="s">
        <v>1293</v>
      </c>
      <c r="BQ161" s="58" t="s">
        <v>1293</v>
      </c>
      <c r="BR161" s="58" t="s">
        <v>1293</v>
      </c>
      <c r="BS161" s="58" t="s">
        <v>1293</v>
      </c>
      <c r="BT161" s="58" t="s">
        <v>1293</v>
      </c>
      <c r="BU161" s="72">
        <f t="shared" si="614"/>
        <v>49</v>
      </c>
      <c r="BV161" s="73" t="str">
        <f t="shared" si="615"/>
        <v>-</v>
      </c>
      <c r="BW161" s="74">
        <f t="shared" si="616"/>
        <v>84</v>
      </c>
      <c r="BX161" s="73">
        <f t="shared" si="617"/>
        <v>116</v>
      </c>
      <c r="BY161" s="74">
        <f t="shared" si="618"/>
        <v>120</v>
      </c>
      <c r="BZ161" s="73" t="str">
        <f t="shared" si="619"/>
        <v>-</v>
      </c>
      <c r="CA161" s="74">
        <f t="shared" si="620"/>
        <v>161</v>
      </c>
      <c r="CB161" s="73">
        <f t="shared" si="621"/>
        <v>202</v>
      </c>
      <c r="CC161" s="74">
        <f t="shared" si="622"/>
        <v>211</v>
      </c>
      <c r="CD161" s="73">
        <f t="shared" si="623"/>
        <v>253</v>
      </c>
      <c r="CE161" s="74">
        <f t="shared" si="624"/>
        <v>295</v>
      </c>
      <c r="CF161" s="73" t="str">
        <f t="shared" si="625"/>
        <v>-</v>
      </c>
      <c r="CG161" s="72">
        <f t="shared" si="626"/>
        <v>79</v>
      </c>
      <c r="CH161" s="73" t="str">
        <f t="shared" si="627"/>
        <v>-</v>
      </c>
      <c r="CI161" s="74">
        <f t="shared" si="628"/>
        <v>113</v>
      </c>
      <c r="CJ161" s="74">
        <f t="shared" si="629"/>
        <v>119</v>
      </c>
      <c r="CK161" s="74">
        <f t="shared" si="630"/>
        <v>155</v>
      </c>
      <c r="CL161" s="74" t="str">
        <f t="shared" si="631"/>
        <v>-</v>
      </c>
      <c r="CM161" s="74">
        <f t="shared" si="632"/>
        <v>190</v>
      </c>
      <c r="CN161" s="74">
        <f t="shared" si="633"/>
        <v>204</v>
      </c>
      <c r="CO161" s="74">
        <f t="shared" si="634"/>
        <v>247</v>
      </c>
      <c r="CP161" s="74">
        <f t="shared" si="635"/>
        <v>289</v>
      </c>
      <c r="CQ161" s="74">
        <f t="shared" si="636"/>
        <v>326</v>
      </c>
      <c r="CR161" s="74" t="str">
        <f t="shared" si="637"/>
        <v>-</v>
      </c>
      <c r="CS161" s="23" t="e">
        <f t="shared" si="638"/>
        <v>#VALUE!</v>
      </c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</row>
    <row r="162" spans="1:1028" x14ac:dyDescent="0.2">
      <c r="A162" s="3" t="str">
        <f t="shared" si="639"/>
        <v>p2ry1_human_4XNW</v>
      </c>
      <c r="B162" s="3" t="s">
        <v>345</v>
      </c>
      <c r="C162" s="3" t="s">
        <v>1056</v>
      </c>
      <c r="D162" s="3" t="str">
        <f>IFERROR(MID(VLOOKUP($B162,Seqs!$A:$B,2,0),E162,1),"")</f>
        <v>F</v>
      </c>
      <c r="E162" s="3">
        <v>49</v>
      </c>
      <c r="F162" s="3" t="str">
        <f>IFERROR(MID(VLOOKUP($B162,Seqs!$A:$B,2,0),G162,1),"")</f>
        <v>H</v>
      </c>
      <c r="G162" s="3">
        <v>79</v>
      </c>
      <c r="H162" s="3" t="str">
        <f>IFERROR(MID(VLOOKUP($B162,Seqs!$A:$B,2,0),I162,1),"")</f>
        <v/>
      </c>
      <c r="I162" s="23" t="s">
        <v>23</v>
      </c>
      <c r="J162" s="3" t="str">
        <f>IFERROR(MID(VLOOKUP($B162,Seqs!$A:$B,2,0),K162,1),"")</f>
        <v/>
      </c>
      <c r="K162" s="23" t="s">
        <v>23</v>
      </c>
      <c r="L162" s="3" t="str">
        <f>IFERROR(MID(VLOOKUP($B162,Seqs!$A:$B,2,0),M162,1),"")</f>
        <v>S</v>
      </c>
      <c r="M162" s="3">
        <v>84</v>
      </c>
      <c r="N162" s="3" t="str">
        <f>IFERROR(MID(VLOOKUP($B162,Seqs!$A:$B,2,0),O162,1),"")</f>
        <v>N</v>
      </c>
      <c r="O162" s="3">
        <v>113</v>
      </c>
      <c r="P162" s="3" t="str">
        <f>IFERROR(MID(VLOOKUP($B162,Seqs!$A:$B,2,0),Q162,1),"")</f>
        <v>D</v>
      </c>
      <c r="Q162" s="3">
        <v>116</v>
      </c>
      <c r="R162" s="3" t="str">
        <f>IFERROR(MID(VLOOKUP($B162,Seqs!$A:$B,2,0),S162,1),"")</f>
        <v>F</v>
      </c>
      <c r="S162" s="3">
        <v>119</v>
      </c>
      <c r="T162" s="3" t="str">
        <f>IFERROR(MID(VLOOKUP($B162,Seqs!$A:$B,2,0),U162,1),"")</f>
        <v>G</v>
      </c>
      <c r="U162" s="3">
        <v>120</v>
      </c>
      <c r="V162" s="3" t="str">
        <f>IFERROR(MID(VLOOKUP($B162,Seqs!$A:$B,2,0),W162,1),"")</f>
        <v>Y</v>
      </c>
      <c r="W162" s="3">
        <v>155</v>
      </c>
      <c r="X162" s="3" t="str">
        <f>IFERROR(MID(VLOOKUP($B162,Seqs!$A:$B,2,0),Y162,1),"")</f>
        <v>P</v>
      </c>
      <c r="Y162" s="3">
        <v>156</v>
      </c>
      <c r="Z162" s="3" t="str">
        <f>IFERROR(MID(VLOOKUP($B162,Seqs!$A:$B,2,0),AA162,1),"")</f>
        <v>L</v>
      </c>
      <c r="AA162" s="3">
        <v>163</v>
      </c>
      <c r="AB162" s="3" t="str">
        <f>IFERROR(MID(VLOOKUP($B162,Seqs!$A:$B,2,0),AC162,1),"")</f>
        <v>K</v>
      </c>
      <c r="AC162" s="9">
        <v>164</v>
      </c>
      <c r="AD162" s="3" t="str">
        <f>IFERROR(MID(VLOOKUP($B162,Seqs!$A:$B,2,0),AE162,1),"")</f>
        <v>S</v>
      </c>
      <c r="AE162" s="3">
        <v>190</v>
      </c>
      <c r="AF162" s="3" t="str">
        <f>IFERROR(MID(VLOOKUP($B162,Seqs!$A:$B,2,0),AG162,1),"")</f>
        <v>C</v>
      </c>
      <c r="AG162" s="3">
        <v>202</v>
      </c>
      <c r="AH162" s="3" t="str">
        <f>IFERROR(MID(VLOOKUP($B162,Seqs!$A:$B,2,0),AI162,1),"")</f>
        <v>D</v>
      </c>
      <c r="AI162" s="3">
        <v>204</v>
      </c>
      <c r="AJ162" s="3" t="str">
        <f>IFERROR(MID(VLOOKUP($B162,Seqs!$A:$B,2,0),AK162,1),"")</f>
        <v>L</v>
      </c>
      <c r="AK162" s="3">
        <v>211</v>
      </c>
      <c r="AL162" s="3" t="str">
        <f>IFERROR(MID(VLOOKUP($B162,Seqs!$A:$B,2,0),AM162,1),"")</f>
        <v>K</v>
      </c>
      <c r="AM162" s="3">
        <v>247</v>
      </c>
      <c r="AN162" s="3" t="str">
        <f>IFERROR(MID(VLOOKUP($B162,Seqs!$A:$B,2,0),AO162,1),"")</f>
        <v>P</v>
      </c>
      <c r="AO162" s="3">
        <v>253</v>
      </c>
      <c r="AP162" s="3" t="str">
        <f>IFERROR(MID(VLOOKUP($B162,Seqs!$A:$B,2,0),AQ162,1),"")</f>
        <v>D</v>
      </c>
      <c r="AQ162" s="3">
        <v>289</v>
      </c>
      <c r="AR162" s="3" t="str">
        <f>IFERROR(MID(VLOOKUP($B162,Seqs!$A:$B,2,0),AS162,1),"")</f>
        <v>M</v>
      </c>
      <c r="AS162" s="3">
        <v>295</v>
      </c>
      <c r="AT162" s="3" t="str">
        <f>IFERROR(MID(VLOOKUP($B162,Seqs!$A:$B,2,0),AU162,1),"")</f>
        <v>L</v>
      </c>
      <c r="AU162" s="3">
        <v>326</v>
      </c>
      <c r="AV162" s="3" t="str">
        <f>IFERROR(MID(VLOOKUP($B162,Seqs!$A:$B,2,0),AW162,1),"")</f>
        <v/>
      </c>
      <c r="AW162" s="3" t="s">
        <v>23</v>
      </c>
      <c r="AX162" s="3" t="str">
        <f>IFERROR(MID(VLOOKUP($B162,Seqs!$A:$B,2,0),AY162,1),"")</f>
        <v/>
      </c>
      <c r="AY162" s="3" t="s">
        <v>23</v>
      </c>
      <c r="AZ162" s="79" t="str">
        <f>VLOOKUP(B162,Classification!A:D,2,0)</f>
        <v>A</v>
      </c>
      <c r="BA162" s="97" t="str">
        <f>VLOOKUP(B162,Classification!A:D,4,0)</f>
        <v>P2Y</v>
      </c>
      <c r="BB162" s="27" t="b">
        <f t="shared" si="640"/>
        <v>1</v>
      </c>
      <c r="BC162" s="23">
        <f t="shared" si="613"/>
        <v>247</v>
      </c>
      <c r="BD162" s="2" t="s">
        <v>1383</v>
      </c>
      <c r="BE162" s="3" t="s">
        <v>1381</v>
      </c>
      <c r="BF162" s="50" t="s">
        <v>1384</v>
      </c>
      <c r="BG162" s="50" t="s">
        <v>1384</v>
      </c>
      <c r="BH162" s="1"/>
      <c r="BI162" s="72" t="s">
        <v>1293</v>
      </c>
      <c r="BJ162" s="58" t="s">
        <v>1293</v>
      </c>
      <c r="BK162" s="58" t="s">
        <v>1293</v>
      </c>
      <c r="BL162" s="58" t="s">
        <v>1293</v>
      </c>
      <c r="BM162" s="58" t="s">
        <v>1293</v>
      </c>
      <c r="BN162" s="58" t="s">
        <v>1293</v>
      </c>
      <c r="BO162" s="58" t="s">
        <v>1293</v>
      </c>
      <c r="BP162" s="58" t="s">
        <v>1293</v>
      </c>
      <c r="BQ162" s="58" t="s">
        <v>1293</v>
      </c>
      <c r="BR162" s="58" t="s">
        <v>1293</v>
      </c>
      <c r="BS162" s="58" t="s">
        <v>1293</v>
      </c>
      <c r="BT162" s="58" t="s">
        <v>1293</v>
      </c>
      <c r="BU162" s="72">
        <f t="shared" si="614"/>
        <v>49</v>
      </c>
      <c r="BV162" s="73" t="str">
        <f t="shared" si="615"/>
        <v>-</v>
      </c>
      <c r="BW162" s="74">
        <f t="shared" si="616"/>
        <v>84</v>
      </c>
      <c r="BX162" s="73">
        <f t="shared" si="617"/>
        <v>116</v>
      </c>
      <c r="BY162" s="74">
        <f t="shared" si="618"/>
        <v>120</v>
      </c>
      <c r="BZ162" s="73">
        <f t="shared" si="619"/>
        <v>156</v>
      </c>
      <c r="CA162" s="74">
        <f t="shared" si="620"/>
        <v>164</v>
      </c>
      <c r="CB162" s="73">
        <f t="shared" si="621"/>
        <v>202</v>
      </c>
      <c r="CC162" s="74">
        <f t="shared" si="622"/>
        <v>211</v>
      </c>
      <c r="CD162" s="73">
        <f t="shared" si="623"/>
        <v>253</v>
      </c>
      <c r="CE162" s="74">
        <f t="shared" si="624"/>
        <v>295</v>
      </c>
      <c r="CF162" s="73" t="str">
        <f t="shared" si="625"/>
        <v>-</v>
      </c>
      <c r="CG162" s="72">
        <f t="shared" si="626"/>
        <v>79</v>
      </c>
      <c r="CH162" s="73" t="str">
        <f t="shared" si="627"/>
        <v>-</v>
      </c>
      <c r="CI162" s="74">
        <f t="shared" si="628"/>
        <v>113</v>
      </c>
      <c r="CJ162" s="74">
        <f t="shared" si="629"/>
        <v>119</v>
      </c>
      <c r="CK162" s="74">
        <f t="shared" si="630"/>
        <v>155</v>
      </c>
      <c r="CL162" s="74">
        <f t="shared" si="631"/>
        <v>163</v>
      </c>
      <c r="CM162" s="74">
        <f t="shared" si="632"/>
        <v>190</v>
      </c>
      <c r="CN162" s="74">
        <f t="shared" si="633"/>
        <v>204</v>
      </c>
      <c r="CO162" s="74">
        <f t="shared" si="634"/>
        <v>247</v>
      </c>
      <c r="CP162" s="74">
        <f t="shared" si="635"/>
        <v>289</v>
      </c>
      <c r="CQ162" s="74">
        <f t="shared" si="636"/>
        <v>326</v>
      </c>
      <c r="CR162" s="74" t="str">
        <f t="shared" si="637"/>
        <v>-</v>
      </c>
      <c r="CS162" s="23" t="e">
        <f t="shared" si="638"/>
        <v>#VALUE!</v>
      </c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</row>
    <row r="163" spans="1:1028" x14ac:dyDescent="0.2">
      <c r="A163" s="3" t="str">
        <f t="shared" si="639"/>
        <v>p2y12_human__wt</v>
      </c>
      <c r="B163" s="3" t="s">
        <v>352</v>
      </c>
      <c r="C163" s="3" t="s">
        <v>100</v>
      </c>
      <c r="D163" s="3" t="str">
        <f>IFERROR(MID(VLOOKUP($B163,Seqs!$A:$B,2,0),E163,1),"")</f>
        <v>Y</v>
      </c>
      <c r="E163" s="3">
        <v>21</v>
      </c>
      <c r="F163" s="3" t="str">
        <f>IFERROR(MID(VLOOKUP($B163,Seqs!$A:$B,2,0),G163,1),"")</f>
        <v>I</v>
      </c>
      <c r="G163" s="3">
        <v>53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57</v>
      </c>
      <c r="N163" s="3" t="str">
        <f>IFERROR(MID(VLOOKUP($B163,Seqs!$A:$B,2,0),O163,1),"")</f>
        <v>K</v>
      </c>
      <c r="O163" s="3">
        <v>86</v>
      </c>
      <c r="P163" s="3" t="str">
        <f>IFERROR(MID(VLOOKUP($B163,Seqs!$A:$B,2,0),Q163,1),"")</f>
        <v/>
      </c>
      <c r="Q163" s="3" t="s">
        <v>23</v>
      </c>
      <c r="R163" s="3" t="str">
        <f>IFERROR(MID(VLOOKUP($B163,Seqs!$A:$B,2,0),S163,1),"")</f>
        <v/>
      </c>
      <c r="S163" s="3" t="s">
        <v>23</v>
      </c>
      <c r="T163" s="3" t="str">
        <f>IFERROR(MID(VLOOKUP($B163,Seqs!$A:$B,2,0),U163,1),"")</f>
        <v>G</v>
      </c>
      <c r="U163" s="3">
        <v>90</v>
      </c>
      <c r="V163" s="3" t="str">
        <f>IFERROR(MID(VLOOKUP($B163,Seqs!$A:$B,2,0),W163,1),"")</f>
        <v>R</v>
      </c>
      <c r="W163" s="3">
        <v>128</v>
      </c>
      <c r="X163" s="3" t="str">
        <f>IFERROR(MID(VLOOKUP($B163,Seqs!$A:$B,2,0),Y163,1),"")</f>
        <v>P</v>
      </c>
      <c r="Y163" s="3">
        <v>129</v>
      </c>
      <c r="Z163" s="3" t="str">
        <f>IFERROR(MID(VLOOKUP($B163,Seqs!$A:$B,2,0),AA163,1),"")</f>
        <v>K</v>
      </c>
      <c r="AA163" s="75">
        <v>136</v>
      </c>
      <c r="AB163" s="3" t="str">
        <f>IFERROR(MID(VLOOKUP($B163,Seqs!$A:$B,2,0),AC163,1),"")</f>
        <v>N</v>
      </c>
      <c r="AC163" s="9">
        <v>137</v>
      </c>
      <c r="AD163" s="3" t="str">
        <f>IFERROR(MID(VLOOKUP($B163,Seqs!$A:$B,2,0),AE163,1),"")</f>
        <v>T</v>
      </c>
      <c r="AE163" s="3">
        <v>163</v>
      </c>
      <c r="AF163" s="3" t="str">
        <f>IFERROR(MID(VLOOKUP($B163,Seqs!$A:$B,2,0),AG163,1),"")</f>
        <v>C</v>
      </c>
      <c r="AG163" s="3">
        <v>175</v>
      </c>
      <c r="AH163" s="3" t="str">
        <f>IFERROR(MID(VLOOKUP($B163,Seqs!$A:$B,2,0),AI163,1),"")</f>
        <v>F</v>
      </c>
      <c r="AI163" s="3">
        <v>177</v>
      </c>
      <c r="AJ163" s="3" t="str">
        <f>IFERROR(MID(VLOOKUP($B163,Seqs!$A:$B,2,0),AK163,1),"")</f>
        <v>E</v>
      </c>
      <c r="AK163" s="3">
        <v>181</v>
      </c>
      <c r="AL163" s="3" t="str">
        <f>IFERROR(MID(VLOOKUP($B163,Seqs!$A:$B,2,0),AM163,1),"")</f>
        <v>T</v>
      </c>
      <c r="AM163" s="3">
        <v>223</v>
      </c>
      <c r="AN163" s="3" t="str">
        <f>IFERROR(MID(VLOOKUP($B163,Seqs!$A:$B,2,0),AO163,1),"")</f>
        <v>P</v>
      </c>
      <c r="AO163" s="3">
        <v>230</v>
      </c>
      <c r="AP163" s="3" t="str">
        <f>IFERROR(MID(VLOOKUP($B163,Seqs!$A:$B,2,0),AQ163,1),"")</f>
        <v>R</v>
      </c>
      <c r="AQ163" s="3">
        <v>265</v>
      </c>
      <c r="AR163" s="3" t="str">
        <f>IFERROR(MID(VLOOKUP($B163,Seqs!$A:$B,2,0),AS163,1),"")</f>
        <v>D</v>
      </c>
      <c r="AS163" s="3">
        <v>269</v>
      </c>
      <c r="AT163" s="3" t="str">
        <f>IFERROR(MID(VLOOKUP($B163,Seqs!$A:$B,2,0),AU163,1),"")</f>
        <v>L</v>
      </c>
      <c r="AU163" s="3">
        <v>301</v>
      </c>
      <c r="AV163" s="3" t="str">
        <f>IFERROR(MID(VLOOKUP($B163,Seqs!$A:$B,2,0),AW163,1),"")</f>
        <v>C</v>
      </c>
      <c r="AW163" s="3">
        <v>302</v>
      </c>
      <c r="AX163" s="3" t="str">
        <f>IFERROR(MID(VLOOKUP($B163,Seqs!$A:$B,2,0),AY163,1),"")</f>
        <v>M</v>
      </c>
      <c r="AY163" s="3">
        <v>312</v>
      </c>
      <c r="AZ163" s="79" t="str">
        <f>VLOOKUP(B163,Classification!A:D,2,0)</f>
        <v>A</v>
      </c>
      <c r="BA163" s="97" t="str">
        <f>VLOOKUP(B163,Classification!A:D,4,0)</f>
        <v>P2Y</v>
      </c>
      <c r="BB163" s="27" t="b">
        <f t="shared" si="640"/>
        <v>1</v>
      </c>
      <c r="BC163" s="23">
        <f t="shared" si="613"/>
        <v>265</v>
      </c>
      <c r="BD163" s="57" t="s">
        <v>1379</v>
      </c>
      <c r="BE163" s="3" t="s">
        <v>1381</v>
      </c>
      <c r="BF163" s="50" t="s">
        <v>1379</v>
      </c>
      <c r="BG163" s="50" t="s">
        <v>1384</v>
      </c>
      <c r="BH163" s="1"/>
      <c r="BI163" s="72" t="s">
        <v>1293</v>
      </c>
      <c r="BJ163" s="58" t="s">
        <v>1293</v>
      </c>
      <c r="BK163" s="58" t="s">
        <v>1293</v>
      </c>
      <c r="BL163" s="58" t="s">
        <v>1293</v>
      </c>
      <c r="BM163" s="58" t="s">
        <v>1293</v>
      </c>
      <c r="BN163" s="58" t="s">
        <v>1293</v>
      </c>
      <c r="BO163" s="58" t="s">
        <v>1293</v>
      </c>
      <c r="BP163" s="58" t="s">
        <v>1293</v>
      </c>
      <c r="BQ163" s="58" t="s">
        <v>1293</v>
      </c>
      <c r="BR163" s="58" t="s">
        <v>1293</v>
      </c>
      <c r="BS163" s="58" t="s">
        <v>1293</v>
      </c>
      <c r="BT163" s="58" t="s">
        <v>1293</v>
      </c>
      <c r="BU163" s="72">
        <f t="shared" si="614"/>
        <v>21</v>
      </c>
      <c r="BV163" s="73" t="str">
        <f t="shared" si="615"/>
        <v>-</v>
      </c>
      <c r="BW163" s="74">
        <f t="shared" si="616"/>
        <v>57</v>
      </c>
      <c r="BX163" s="73" t="str">
        <f t="shared" si="617"/>
        <v>-</v>
      </c>
      <c r="BY163" s="74">
        <f t="shared" si="618"/>
        <v>90</v>
      </c>
      <c r="BZ163" s="73">
        <f t="shared" si="619"/>
        <v>129</v>
      </c>
      <c r="CA163" s="74">
        <f t="shared" si="620"/>
        <v>137</v>
      </c>
      <c r="CB163" s="73">
        <f t="shared" si="621"/>
        <v>175</v>
      </c>
      <c r="CC163" s="74">
        <f t="shared" si="622"/>
        <v>181</v>
      </c>
      <c r="CD163" s="73">
        <f t="shared" si="623"/>
        <v>230</v>
      </c>
      <c r="CE163" s="74">
        <f t="shared" si="624"/>
        <v>269</v>
      </c>
      <c r="CF163" s="73">
        <f t="shared" si="625"/>
        <v>302</v>
      </c>
      <c r="CG163" s="72">
        <f t="shared" si="626"/>
        <v>53</v>
      </c>
      <c r="CH163" s="73" t="str">
        <f t="shared" si="627"/>
        <v>-</v>
      </c>
      <c r="CI163" s="74">
        <f t="shared" si="628"/>
        <v>86</v>
      </c>
      <c r="CJ163" s="74" t="str">
        <f t="shared" si="629"/>
        <v>-</v>
      </c>
      <c r="CK163" s="74">
        <f t="shared" si="630"/>
        <v>128</v>
      </c>
      <c r="CL163" s="74">
        <f t="shared" si="631"/>
        <v>136</v>
      </c>
      <c r="CM163" s="74">
        <f t="shared" si="632"/>
        <v>163</v>
      </c>
      <c r="CN163" s="74">
        <f t="shared" si="633"/>
        <v>177</v>
      </c>
      <c r="CO163" s="74">
        <f t="shared" si="634"/>
        <v>223</v>
      </c>
      <c r="CP163" s="74">
        <f t="shared" si="635"/>
        <v>265</v>
      </c>
      <c r="CQ163" s="74">
        <f t="shared" si="636"/>
        <v>301</v>
      </c>
      <c r="CR163" s="74">
        <f t="shared" si="637"/>
        <v>312</v>
      </c>
      <c r="CS163" s="23" t="e">
        <f t="shared" si="638"/>
        <v>#VALUE!</v>
      </c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</row>
    <row r="164" spans="1:1028" x14ac:dyDescent="0.2">
      <c r="A164" s="3" t="str">
        <f t="shared" si="639"/>
        <v>p2y12_human_4NTJ</v>
      </c>
      <c r="B164" s="3" t="s">
        <v>352</v>
      </c>
      <c r="C164" s="3" t="s">
        <v>1049</v>
      </c>
      <c r="D164" s="3" t="str">
        <f>IFERROR(MID(VLOOKUP($B164,Seqs!$A:$B,2,0),E164,1),"")</f>
        <v>Y</v>
      </c>
      <c r="E164" s="3">
        <v>21</v>
      </c>
      <c r="F164" s="3" t="str">
        <f>IFERROR(MID(VLOOKUP($B164,Seqs!$A:$B,2,0),G164,1),"")</f>
        <v>I</v>
      </c>
      <c r="G164" s="3">
        <v>53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57</v>
      </c>
      <c r="N164" s="3" t="str">
        <f>IFERROR(MID(VLOOKUP($B164,Seqs!$A:$B,2,0),O164,1),"")</f>
        <v>K</v>
      </c>
      <c r="O164" s="3">
        <v>86</v>
      </c>
      <c r="P164" s="3" t="str">
        <f>IFERROR(MID(VLOOKUP($B164,Seqs!$A:$B,2,0),Q164,1),"")</f>
        <v/>
      </c>
      <c r="Q164" s="3" t="s">
        <v>23</v>
      </c>
      <c r="R164" s="3" t="str">
        <f>IFERROR(MID(VLOOKUP($B164,Seqs!$A:$B,2,0),S164,1),"")</f>
        <v/>
      </c>
      <c r="S164" s="3" t="s">
        <v>23</v>
      </c>
      <c r="T164" s="3" t="str">
        <f>IFERROR(MID(VLOOKUP($B164,Seqs!$A:$B,2,0),U164,1),"")</f>
        <v>L</v>
      </c>
      <c r="U164" s="3">
        <v>92</v>
      </c>
      <c r="V164" s="3" t="str">
        <f>IFERROR(MID(VLOOKUP($B164,Seqs!$A:$B,2,0),W164,1),"")</f>
        <v>R</v>
      </c>
      <c r="W164" s="3">
        <v>128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N</v>
      </c>
      <c r="AC164" s="9">
        <v>137</v>
      </c>
      <c r="AD164" s="3" t="str">
        <f>IFERROR(MID(VLOOKUP($B164,Seqs!$A:$B,2,0),AE164,1),"")</f>
        <v>L</v>
      </c>
      <c r="AE164" s="3">
        <v>162</v>
      </c>
      <c r="AF164" s="3" t="str">
        <f>IFERROR(MID(VLOOKUP($B164,Seqs!$A:$B,2,0),AG164,1),"")</f>
        <v>C</v>
      </c>
      <c r="AG164" s="3">
        <v>175</v>
      </c>
      <c r="AH164" s="3" t="str">
        <f>IFERROR(MID(VLOOKUP($B164,Seqs!$A:$B,2,0),AI164,1),"")</f>
        <v>F</v>
      </c>
      <c r="AI164" s="3">
        <v>177</v>
      </c>
      <c r="AJ164" s="3" t="str">
        <f>IFERROR(MID(VLOOKUP($B164,Seqs!$A:$B,2,0),AK164,1),"")</f>
        <v>E</v>
      </c>
      <c r="AK164" s="3">
        <v>181</v>
      </c>
      <c r="AL164" s="3" t="str">
        <f>IFERROR(MID(VLOOKUP($B164,Seqs!$A:$B,2,0),AM164,1),"")</f>
        <v>T</v>
      </c>
      <c r="AM164" s="3">
        <v>223</v>
      </c>
      <c r="AN164" s="3" t="str">
        <f>IFERROR(MID(VLOOKUP($B164,Seqs!$A:$B,2,0),AO164,1),"")</f>
        <v>I</v>
      </c>
      <c r="AO164" s="3">
        <v>240</v>
      </c>
      <c r="AP164" s="3" t="str">
        <f>IFERROR(MID(VLOOKUP($B164,Seqs!$A:$B,2,0),AQ164,1),"")</f>
        <v>L</v>
      </c>
      <c r="AQ164" s="3">
        <v>261</v>
      </c>
      <c r="AR164" s="3" t="str">
        <f>IFERROR(MID(VLOOKUP($B164,Seqs!$A:$B,2,0),AS164,1),"")</f>
        <v>D</v>
      </c>
      <c r="AS164" s="3">
        <v>269</v>
      </c>
      <c r="AT164" s="3" t="str">
        <f>IFERROR(MID(VLOOKUP($B164,Seqs!$A:$B,2,0),AU164,1),"")</f>
        <v>L</v>
      </c>
      <c r="AU164" s="3">
        <v>301</v>
      </c>
      <c r="AV164" s="3" t="str">
        <f>IFERROR(MID(VLOOKUP($B164,Seqs!$A:$B,2,0),AW164,1),"")</f>
        <v>C</v>
      </c>
      <c r="AW164" s="3">
        <v>302</v>
      </c>
      <c r="AX164" s="3" t="str">
        <f>IFERROR(MID(VLOOKUP($B164,Seqs!$A:$B,2,0),AY164,1),"")</f>
        <v>M</v>
      </c>
      <c r="AY164" s="3">
        <v>312</v>
      </c>
      <c r="AZ164" s="79" t="str">
        <f>VLOOKUP(B164,Classification!A:D,2,0)</f>
        <v>A</v>
      </c>
      <c r="BA164" s="97" t="str">
        <f>VLOOKUP(B164,Classification!A:D,4,0)</f>
        <v>P2Y</v>
      </c>
      <c r="BB164" s="27" t="b">
        <f t="shared" si="640"/>
        <v>1</v>
      </c>
      <c r="BC164" s="23">
        <f t="shared" si="613"/>
        <v>241</v>
      </c>
      <c r="BD164" s="2" t="s">
        <v>1383</v>
      </c>
      <c r="BE164" s="3" t="s">
        <v>1381</v>
      </c>
      <c r="BF164" s="50" t="s">
        <v>1384</v>
      </c>
      <c r="BG164" s="50" t="s">
        <v>1384</v>
      </c>
      <c r="BH164" s="3" t="s">
        <v>1171</v>
      </c>
      <c r="BI164" s="72" t="s">
        <v>1293</v>
      </c>
      <c r="BJ164" s="58" t="s">
        <v>1293</v>
      </c>
      <c r="BK164" s="58" t="s">
        <v>1293</v>
      </c>
      <c r="BL164" s="58" t="s">
        <v>1293</v>
      </c>
      <c r="BM164" s="58" t="s">
        <v>1293</v>
      </c>
      <c r="BN164" s="58" t="s">
        <v>1293</v>
      </c>
      <c r="BO164" s="58" t="s">
        <v>1293</v>
      </c>
      <c r="BP164" s="58" t="s">
        <v>1293</v>
      </c>
      <c r="BQ164" s="58" t="s">
        <v>1293</v>
      </c>
      <c r="BR164" s="58" t="s">
        <v>1293</v>
      </c>
      <c r="BS164" s="58" t="s">
        <v>1293</v>
      </c>
      <c r="BT164" s="58" t="s">
        <v>1293</v>
      </c>
      <c r="BU164" s="72">
        <f t="shared" si="614"/>
        <v>21</v>
      </c>
      <c r="BV164" s="73" t="str">
        <f t="shared" si="615"/>
        <v>-</v>
      </c>
      <c r="BW164" s="74">
        <f t="shared" si="616"/>
        <v>57</v>
      </c>
      <c r="BX164" s="73" t="str">
        <f t="shared" si="617"/>
        <v>-</v>
      </c>
      <c r="BY164" s="74">
        <f t="shared" si="618"/>
        <v>92</v>
      </c>
      <c r="BZ164" s="73" t="str">
        <f t="shared" si="619"/>
        <v>-</v>
      </c>
      <c r="CA164" s="74">
        <f t="shared" si="620"/>
        <v>137</v>
      </c>
      <c r="CB164" s="73">
        <f t="shared" si="621"/>
        <v>175</v>
      </c>
      <c r="CC164" s="74">
        <f t="shared" si="622"/>
        <v>181</v>
      </c>
      <c r="CD164" s="73">
        <f t="shared" si="623"/>
        <v>240</v>
      </c>
      <c r="CE164" s="74">
        <f t="shared" si="624"/>
        <v>269</v>
      </c>
      <c r="CF164" s="73">
        <f t="shared" si="625"/>
        <v>302</v>
      </c>
      <c r="CG164" s="72">
        <f t="shared" si="626"/>
        <v>53</v>
      </c>
      <c r="CH164" s="73" t="str">
        <f t="shared" si="627"/>
        <v>-</v>
      </c>
      <c r="CI164" s="74">
        <f t="shared" si="628"/>
        <v>86</v>
      </c>
      <c r="CJ164" s="74" t="str">
        <f t="shared" si="629"/>
        <v>-</v>
      </c>
      <c r="CK164" s="74">
        <f t="shared" si="630"/>
        <v>128</v>
      </c>
      <c r="CL164" s="74" t="str">
        <f t="shared" si="631"/>
        <v>-</v>
      </c>
      <c r="CM164" s="74">
        <f t="shared" si="632"/>
        <v>162</v>
      </c>
      <c r="CN164" s="74">
        <f t="shared" si="633"/>
        <v>177</v>
      </c>
      <c r="CO164" s="74">
        <f t="shared" si="634"/>
        <v>223</v>
      </c>
      <c r="CP164" s="74">
        <f t="shared" si="635"/>
        <v>261</v>
      </c>
      <c r="CQ164" s="74">
        <f t="shared" si="636"/>
        <v>301</v>
      </c>
      <c r="CR164" s="74">
        <f t="shared" si="637"/>
        <v>312</v>
      </c>
      <c r="CS164" s="23" t="e">
        <f t="shared" si="638"/>
        <v>#VALUE!</v>
      </c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</row>
    <row r="165" spans="1:1028" x14ac:dyDescent="0.2">
      <c r="A165" s="3" t="str">
        <f t="shared" si="639"/>
        <v>p2y12_human_4PXZ</v>
      </c>
      <c r="B165" s="3" t="s">
        <v>352</v>
      </c>
      <c r="C165" s="3" t="s">
        <v>1153</v>
      </c>
      <c r="D165" s="3" t="str">
        <f>IFERROR(MID(VLOOKUP($B165,Seqs!$A:$B,2,0),E165,1),"")</f>
        <v>I</v>
      </c>
      <c r="E165" s="3">
        <v>23</v>
      </c>
      <c r="F165" s="3" t="str">
        <f>IFERROR(MID(VLOOKUP($B165,Seqs!$A:$B,2,0),G165,1),"")</f>
        <v>I</v>
      </c>
      <c r="G165" s="3">
        <v>53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57</v>
      </c>
      <c r="N165" s="3" t="str">
        <f>IFERROR(MID(VLOOKUP($B165,Seqs!$A:$B,2,0),O165,1),"")</f>
        <v>K</v>
      </c>
      <c r="O165" s="3">
        <v>86</v>
      </c>
      <c r="P165" s="3" t="str">
        <f>IFERROR(MID(VLOOKUP($B165,Seqs!$A:$B,2,0),Q165,1),"")</f>
        <v/>
      </c>
      <c r="Q165" s="3" t="s">
        <v>23</v>
      </c>
      <c r="R165" s="3" t="str">
        <f>IFERROR(MID(VLOOKUP($B165,Seqs!$A:$B,2,0),S165,1),"")</f>
        <v/>
      </c>
      <c r="S165" s="3" t="s">
        <v>23</v>
      </c>
      <c r="T165" s="3" t="str">
        <f>IFERROR(MID(VLOOKUP($B165,Seqs!$A:$B,2,0),U165,1),"")</f>
        <v>G</v>
      </c>
      <c r="U165" s="3">
        <v>90</v>
      </c>
      <c r="V165" s="3" t="str">
        <f>IFERROR(MID(VLOOKUP($B165,Seqs!$A:$B,2,0),W165,1),"")</f>
        <v>R</v>
      </c>
      <c r="W165" s="3">
        <v>128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N</v>
      </c>
      <c r="AC165" s="9">
        <v>137</v>
      </c>
      <c r="AD165" s="3" t="str">
        <f>IFERROR(MID(VLOOKUP($B165,Seqs!$A:$B,2,0),AE165,1),"")</f>
        <v>T</v>
      </c>
      <c r="AE165" s="3">
        <v>163</v>
      </c>
      <c r="AF165" s="3" t="str">
        <f>IFERROR(MID(VLOOKUP($B165,Seqs!$A:$B,2,0),AG165,1),"")</f>
        <v>C</v>
      </c>
      <c r="AG165" s="3">
        <v>175</v>
      </c>
      <c r="AH165" s="3" t="str">
        <f>IFERROR(MID(VLOOKUP($B165,Seqs!$A:$B,2,0),AI165,1),"")</f>
        <v>F</v>
      </c>
      <c r="AI165" s="3">
        <v>177</v>
      </c>
      <c r="AJ165" s="3" t="str">
        <f>IFERROR(MID(VLOOKUP($B165,Seqs!$A:$B,2,0),AK165,1),"")</f>
        <v>E</v>
      </c>
      <c r="AK165" s="3">
        <v>181</v>
      </c>
      <c r="AL165" s="3" t="str">
        <f>IFERROR(MID(VLOOKUP($B165,Seqs!$A:$B,2,0),AM165,1),"")</f>
        <v>S</v>
      </c>
      <c r="AM165" s="3">
        <v>219</v>
      </c>
      <c r="AN165" s="3" t="str">
        <f>IFERROR(MID(VLOOKUP($B165,Seqs!$A:$B,2,0),AO165,1),"")</f>
        <v>V</v>
      </c>
      <c r="AO165" s="3">
        <v>236</v>
      </c>
      <c r="AP165" s="3" t="str">
        <f>IFERROR(MID(VLOOKUP($B165,Seqs!$A:$B,2,0),AQ165,1),"")</f>
        <v>R</v>
      </c>
      <c r="AQ165" s="3">
        <v>265</v>
      </c>
      <c r="AR165" s="3" t="str">
        <f>IFERROR(MID(VLOOKUP($B165,Seqs!$A:$B,2,0),AS165,1),"")</f>
        <v>D</v>
      </c>
      <c r="AS165" s="3">
        <v>269</v>
      </c>
      <c r="AT165" s="3" t="str">
        <f>IFERROR(MID(VLOOKUP($B165,Seqs!$A:$B,2,0),AU165,1),"")</f>
        <v>C</v>
      </c>
      <c r="AU165" s="3">
        <v>292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9" t="str">
        <f>VLOOKUP(B165,Classification!A:D,2,0)</f>
        <v>A</v>
      </c>
      <c r="BA165" s="97" t="str">
        <f>VLOOKUP(B165,Classification!A:D,4,0)</f>
        <v>P2Y</v>
      </c>
      <c r="BB165" s="27" t="b">
        <f t="shared" si="640"/>
        <v>1</v>
      </c>
      <c r="BC165" s="23">
        <f t="shared" si="613"/>
        <v>227</v>
      </c>
      <c r="BD165" s="4" t="s">
        <v>23</v>
      </c>
      <c r="BE165" s="3" t="s">
        <v>1381</v>
      </c>
      <c r="BF165" s="50" t="s">
        <v>1384</v>
      </c>
      <c r="BG165" s="50" t="s">
        <v>1384</v>
      </c>
      <c r="BH165" s="1"/>
      <c r="BI165" s="72" t="s">
        <v>1293</v>
      </c>
      <c r="BJ165" s="58" t="s">
        <v>1293</v>
      </c>
      <c r="BK165" s="58" t="s">
        <v>1293</v>
      </c>
      <c r="BL165" s="58" t="s">
        <v>1293</v>
      </c>
      <c r="BM165" s="58" t="s">
        <v>1293</v>
      </c>
      <c r="BN165" s="58" t="s">
        <v>1293</v>
      </c>
      <c r="BO165" s="58" t="s">
        <v>1293</v>
      </c>
      <c r="BP165" s="58" t="s">
        <v>1293</v>
      </c>
      <c r="BQ165" s="58" t="s">
        <v>1293</v>
      </c>
      <c r="BR165" s="58" t="s">
        <v>1293</v>
      </c>
      <c r="BS165" s="58" t="s">
        <v>1293</v>
      </c>
      <c r="BT165" s="58" t="s">
        <v>1293</v>
      </c>
      <c r="BU165" s="72">
        <f t="shared" si="614"/>
        <v>23</v>
      </c>
      <c r="BV165" s="73" t="str">
        <f t="shared" si="615"/>
        <v>-</v>
      </c>
      <c r="BW165" s="74">
        <f t="shared" si="616"/>
        <v>57</v>
      </c>
      <c r="BX165" s="73" t="str">
        <f t="shared" si="617"/>
        <v>-</v>
      </c>
      <c r="BY165" s="74">
        <f t="shared" si="618"/>
        <v>90</v>
      </c>
      <c r="BZ165" s="73" t="str">
        <f t="shared" si="619"/>
        <v>-</v>
      </c>
      <c r="CA165" s="74">
        <f t="shared" si="620"/>
        <v>137</v>
      </c>
      <c r="CB165" s="73">
        <f t="shared" si="621"/>
        <v>175</v>
      </c>
      <c r="CC165" s="74">
        <f t="shared" si="622"/>
        <v>181</v>
      </c>
      <c r="CD165" s="73">
        <f t="shared" si="623"/>
        <v>236</v>
      </c>
      <c r="CE165" s="74">
        <f t="shared" si="624"/>
        <v>269</v>
      </c>
      <c r="CF165" s="73" t="str">
        <f t="shared" si="625"/>
        <v>-</v>
      </c>
      <c r="CG165" s="72">
        <f t="shared" si="626"/>
        <v>53</v>
      </c>
      <c r="CH165" s="73" t="str">
        <f t="shared" si="627"/>
        <v>-</v>
      </c>
      <c r="CI165" s="74">
        <f t="shared" si="628"/>
        <v>86</v>
      </c>
      <c r="CJ165" s="74" t="str">
        <f t="shared" si="629"/>
        <v>-</v>
      </c>
      <c r="CK165" s="74">
        <f t="shared" si="630"/>
        <v>128</v>
      </c>
      <c r="CL165" s="74" t="str">
        <f t="shared" si="631"/>
        <v>-</v>
      </c>
      <c r="CM165" s="74">
        <f t="shared" si="632"/>
        <v>163</v>
      </c>
      <c r="CN165" s="74">
        <f t="shared" si="633"/>
        <v>177</v>
      </c>
      <c r="CO165" s="74">
        <f t="shared" si="634"/>
        <v>219</v>
      </c>
      <c r="CP165" s="74">
        <f t="shared" si="635"/>
        <v>265</v>
      </c>
      <c r="CQ165" s="74">
        <f t="shared" si="636"/>
        <v>292</v>
      </c>
      <c r="CR165" s="74" t="str">
        <f t="shared" si="637"/>
        <v>-</v>
      </c>
      <c r="CS165" s="23" t="e">
        <f t="shared" si="638"/>
        <v>#VALUE!</v>
      </c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</row>
    <row r="166" spans="1:1028" x14ac:dyDescent="0.2">
      <c r="A166" s="3" t="str">
        <f t="shared" si="639"/>
        <v>p2y12_human_4PY0</v>
      </c>
      <c r="B166" s="3" t="s">
        <v>352</v>
      </c>
      <c r="C166" s="3" t="s">
        <v>1051</v>
      </c>
      <c r="D166" s="3" t="str">
        <f>IFERROR(MID(VLOOKUP($B166,Seqs!$A:$B,2,0),E166,1),"")</f>
        <v>I</v>
      </c>
      <c r="E166" s="3">
        <v>23</v>
      </c>
      <c r="F166" s="3" t="str">
        <f>IFERROR(MID(VLOOKUP($B166,Seqs!$A:$B,2,0),G166,1),"")</f>
        <v>I</v>
      </c>
      <c r="G166" s="3">
        <v>53</v>
      </c>
      <c r="H166" s="3" t="str">
        <f>IFERROR(MID(VLOOKUP($B166,Seqs!$A:$B,2,0),I166,1),"")</f>
        <v/>
      </c>
      <c r="I166" s="23" t="s">
        <v>23</v>
      </c>
      <c r="J166" s="3" t="str">
        <f>IFERROR(MID(VLOOKUP($B166,Seqs!$A:$B,2,0),K166,1),"")</f>
        <v/>
      </c>
      <c r="K166" s="23" t="s">
        <v>23</v>
      </c>
      <c r="L166" s="3" t="str">
        <f>IFERROR(MID(VLOOKUP($B166,Seqs!$A:$B,2,0),M166,1),"")</f>
        <v>S</v>
      </c>
      <c r="M166" s="3">
        <v>57</v>
      </c>
      <c r="N166" s="3" t="str">
        <f>IFERROR(MID(VLOOKUP($B166,Seqs!$A:$B,2,0),O166,1),"")</f>
        <v>K</v>
      </c>
      <c r="O166" s="3">
        <v>86</v>
      </c>
      <c r="P166" s="3" t="str">
        <f>IFERROR(MID(VLOOKUP($B166,Seqs!$A:$B,2,0),Q166,1),"")</f>
        <v/>
      </c>
      <c r="Q166" s="3" t="s">
        <v>23</v>
      </c>
      <c r="R166" s="3" t="str">
        <f>IFERROR(MID(VLOOKUP($B166,Seqs!$A:$B,2,0),S166,1),"")</f>
        <v/>
      </c>
      <c r="S166" s="3" t="s">
        <v>23</v>
      </c>
      <c r="T166" s="3" t="str">
        <f>IFERROR(MID(VLOOKUP($B166,Seqs!$A:$B,2,0),U166,1),"")</f>
        <v>G</v>
      </c>
      <c r="U166" s="3">
        <v>90</v>
      </c>
      <c r="V166" s="3" t="str">
        <f>IFERROR(MID(VLOOKUP($B166,Seqs!$A:$B,2,0),W166,1),"")</f>
        <v>R</v>
      </c>
      <c r="W166" s="3">
        <v>128</v>
      </c>
      <c r="X166" s="3" t="str">
        <f>IFERROR(MID(VLOOKUP($B166,Seqs!$A:$B,2,0),Y166,1),"")</f>
        <v/>
      </c>
      <c r="Y166" s="3" t="s">
        <v>23</v>
      </c>
      <c r="Z166" s="3" t="str">
        <f>IFERROR(MID(VLOOKUP($B166,Seqs!$A:$B,2,0),AA166,1),"")</f>
        <v/>
      </c>
      <c r="AA166" s="3" t="s">
        <v>23</v>
      </c>
      <c r="AB166" s="3" t="str">
        <f>IFERROR(MID(VLOOKUP($B166,Seqs!$A:$B,2,0),AC166,1),"")</f>
        <v>N</v>
      </c>
      <c r="AC166" s="9">
        <v>137</v>
      </c>
      <c r="AD166" s="3" t="str">
        <f>IFERROR(MID(VLOOKUP($B166,Seqs!$A:$B,2,0),AE166,1),"")</f>
        <v>T</v>
      </c>
      <c r="AE166" s="3">
        <v>163</v>
      </c>
      <c r="AF166" s="3" t="str">
        <f>IFERROR(MID(VLOOKUP($B166,Seqs!$A:$B,2,0),AG166,1),"")</f>
        <v>C</v>
      </c>
      <c r="AG166" s="3">
        <v>175</v>
      </c>
      <c r="AH166" s="3" t="str">
        <f>IFERROR(MID(VLOOKUP($B166,Seqs!$A:$B,2,0),AI166,1),"")</f>
        <v>F</v>
      </c>
      <c r="AI166" s="3">
        <v>177</v>
      </c>
      <c r="AJ166" s="3" t="str">
        <f>IFERROR(MID(VLOOKUP($B166,Seqs!$A:$B,2,0),AK166,1),"")</f>
        <v>E</v>
      </c>
      <c r="AK166" s="3">
        <v>181</v>
      </c>
      <c r="AL166" s="3" t="str">
        <f>IFERROR(MID(VLOOKUP($B166,Seqs!$A:$B,2,0),AM166,1),"")</f>
        <v>S</v>
      </c>
      <c r="AM166" s="3">
        <v>219</v>
      </c>
      <c r="AN166" s="3" t="str">
        <f>IFERROR(MID(VLOOKUP($B166,Seqs!$A:$B,2,0),AO166,1),"")</f>
        <v>V</v>
      </c>
      <c r="AO166" s="3">
        <v>236</v>
      </c>
      <c r="AP166" s="3" t="str">
        <f>IFERROR(MID(VLOOKUP($B166,Seqs!$A:$B,2,0),AQ166,1),"")</f>
        <v>R</v>
      </c>
      <c r="AQ166" s="3">
        <v>265</v>
      </c>
      <c r="AR166" s="3" t="str">
        <f>IFERROR(MID(VLOOKUP($B166,Seqs!$A:$B,2,0),AS166,1),"")</f>
        <v>D</v>
      </c>
      <c r="AS166" s="3">
        <v>269</v>
      </c>
      <c r="AT166" s="3" t="str">
        <f>IFERROR(MID(VLOOKUP($B166,Seqs!$A:$B,2,0),AU166,1),"")</f>
        <v>C</v>
      </c>
      <c r="AU166" s="3">
        <v>292</v>
      </c>
      <c r="AV166" s="3" t="str">
        <f>IFERROR(MID(VLOOKUP($B166,Seqs!$A:$B,2,0),AW166,1),"")</f>
        <v/>
      </c>
      <c r="AW166" s="3" t="s">
        <v>23</v>
      </c>
      <c r="AX166" s="3" t="str">
        <f>IFERROR(MID(VLOOKUP($B166,Seqs!$A:$B,2,0),AY166,1),"")</f>
        <v/>
      </c>
      <c r="AY166" s="3" t="s">
        <v>23</v>
      </c>
      <c r="AZ166" s="79" t="str">
        <f>VLOOKUP(B166,Classification!A:D,2,0)</f>
        <v>A</v>
      </c>
      <c r="BA166" s="97" t="str">
        <f>VLOOKUP(B166,Classification!A:D,4,0)</f>
        <v>P2Y</v>
      </c>
      <c r="BB166" s="27" t="b">
        <f t="shared" si="640"/>
        <v>1</v>
      </c>
      <c r="BC166" s="23">
        <f t="shared" si="613"/>
        <v>227</v>
      </c>
      <c r="BD166" s="4" t="s">
        <v>23</v>
      </c>
      <c r="BE166" s="3" t="s">
        <v>1381</v>
      </c>
      <c r="BF166" s="50" t="s">
        <v>1384</v>
      </c>
      <c r="BG166" s="50" t="s">
        <v>1384</v>
      </c>
      <c r="BH166" s="1"/>
      <c r="BI166" s="72" t="s">
        <v>1293</v>
      </c>
      <c r="BJ166" s="58" t="s">
        <v>1293</v>
      </c>
      <c r="BK166" s="58" t="s">
        <v>1293</v>
      </c>
      <c r="BL166" s="58" t="s">
        <v>1293</v>
      </c>
      <c r="BM166" s="58" t="s">
        <v>1293</v>
      </c>
      <c r="BN166" s="58" t="s">
        <v>1293</v>
      </c>
      <c r="BO166" s="58" t="s">
        <v>1293</v>
      </c>
      <c r="BP166" s="58" t="s">
        <v>1293</v>
      </c>
      <c r="BQ166" s="58" t="s">
        <v>1293</v>
      </c>
      <c r="BR166" s="58" t="s">
        <v>1293</v>
      </c>
      <c r="BS166" s="58" t="s">
        <v>1293</v>
      </c>
      <c r="BT166" s="58" t="s">
        <v>1293</v>
      </c>
      <c r="BU166" s="72">
        <f t="shared" si="614"/>
        <v>23</v>
      </c>
      <c r="BV166" s="73" t="str">
        <f t="shared" si="615"/>
        <v>-</v>
      </c>
      <c r="BW166" s="74">
        <f t="shared" si="616"/>
        <v>57</v>
      </c>
      <c r="BX166" s="73" t="str">
        <f t="shared" si="617"/>
        <v>-</v>
      </c>
      <c r="BY166" s="74">
        <f t="shared" si="618"/>
        <v>90</v>
      </c>
      <c r="BZ166" s="73" t="str">
        <f t="shared" si="619"/>
        <v>-</v>
      </c>
      <c r="CA166" s="74">
        <f t="shared" si="620"/>
        <v>137</v>
      </c>
      <c r="CB166" s="73">
        <f t="shared" si="621"/>
        <v>175</v>
      </c>
      <c r="CC166" s="74">
        <f t="shared" si="622"/>
        <v>181</v>
      </c>
      <c r="CD166" s="73">
        <f t="shared" si="623"/>
        <v>236</v>
      </c>
      <c r="CE166" s="74">
        <f t="shared" si="624"/>
        <v>269</v>
      </c>
      <c r="CF166" s="73" t="str">
        <f t="shared" si="625"/>
        <v>-</v>
      </c>
      <c r="CG166" s="72">
        <f t="shared" si="626"/>
        <v>53</v>
      </c>
      <c r="CH166" s="73" t="str">
        <f t="shared" si="627"/>
        <v>-</v>
      </c>
      <c r="CI166" s="74">
        <f t="shared" si="628"/>
        <v>86</v>
      </c>
      <c r="CJ166" s="74" t="str">
        <f t="shared" si="629"/>
        <v>-</v>
      </c>
      <c r="CK166" s="74">
        <f t="shared" si="630"/>
        <v>128</v>
      </c>
      <c r="CL166" s="74" t="str">
        <f t="shared" si="631"/>
        <v>-</v>
      </c>
      <c r="CM166" s="74">
        <f t="shared" si="632"/>
        <v>163</v>
      </c>
      <c r="CN166" s="74">
        <f t="shared" si="633"/>
        <v>177</v>
      </c>
      <c r="CO166" s="74">
        <f t="shared" si="634"/>
        <v>219</v>
      </c>
      <c r="CP166" s="74">
        <f t="shared" si="635"/>
        <v>265</v>
      </c>
      <c r="CQ166" s="74">
        <f t="shared" si="636"/>
        <v>292</v>
      </c>
      <c r="CR166" s="74" t="str">
        <f t="shared" si="637"/>
        <v>-</v>
      </c>
      <c r="CS166" s="23" t="e">
        <f t="shared" si="638"/>
        <v>#VALUE!</v>
      </c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</row>
    <row r="167" spans="1:1028" x14ac:dyDescent="0.2">
      <c r="A167" s="3" t="str">
        <f t="shared" si="639"/>
        <v>par1_human__wt</v>
      </c>
      <c r="B167" s="3" t="s">
        <v>355</v>
      </c>
      <c r="C167" s="3" t="s">
        <v>100</v>
      </c>
      <c r="D167" s="3" t="str">
        <f>IFERROR(MID(VLOOKUP($B167,Seqs!$A:$B,2,0),E167,1),"")</f>
        <v>S</v>
      </c>
      <c r="E167" s="3">
        <v>99</v>
      </c>
      <c r="F167" s="3" t="str">
        <f>IFERROR(MID(VLOOKUP($B167,Seqs!$A:$B,2,0),G167,1),"")</f>
        <v>K</v>
      </c>
      <c r="G167" s="3">
        <v>130</v>
      </c>
      <c r="H167" s="3" t="str">
        <f>IFERROR(MID(VLOOKUP($B167,Seqs!$A:$B,2,0),I167,1),"")</f>
        <v>M</v>
      </c>
      <c r="I167" s="23">
        <v>131</v>
      </c>
      <c r="J167" s="3" t="str">
        <f>IFERROR(MID(VLOOKUP($B167,Seqs!$A:$B,2,0),K167,1),"")</f>
        <v>K</v>
      </c>
      <c r="K167" s="23">
        <v>134</v>
      </c>
      <c r="L167" s="3" t="str">
        <f>IFERROR(MID(VLOOKUP($B167,Seqs!$A:$B,2,0),M167,1),"")</f>
        <v>K</v>
      </c>
      <c r="M167" s="3">
        <v>135</v>
      </c>
      <c r="N167" s="3" t="str">
        <f>IFERROR(MID(VLOOKUP($B167,Seqs!$A:$B,2,0),O167,1),"")</f>
        <v>S</v>
      </c>
      <c r="O167" s="3">
        <v>164</v>
      </c>
      <c r="P167" s="3" t="str">
        <f>IFERROR(MID(VLOOKUP($B167,Seqs!$A:$B,2,0),Q167,1),"")</f>
        <v>D</v>
      </c>
      <c r="Q167" s="3">
        <v>167</v>
      </c>
      <c r="R167" s="3" t="str">
        <f>IFERROR(MID(VLOOKUP($B167,Seqs!$A:$B,2,0),S167,1),"")</f>
        <v>F</v>
      </c>
      <c r="S167" s="3">
        <v>170</v>
      </c>
      <c r="T167" s="3" t="str">
        <f>IFERROR(MID(VLOOKUP($B167,Seqs!$A:$B,2,0),U167,1),"")</f>
        <v>G</v>
      </c>
      <c r="U167" s="3">
        <v>171</v>
      </c>
      <c r="V167" s="3" t="str">
        <f>IFERROR(MID(VLOOKUP($B167,Seqs!$A:$B,2,0),W167,1),"")</f>
        <v>Y</v>
      </c>
      <c r="W167" s="3">
        <v>206</v>
      </c>
      <c r="X167" s="3" t="str">
        <f>IFERROR(MID(VLOOKUP($B167,Seqs!$A:$B,2,0),Y167,1),"")</f>
        <v>P</v>
      </c>
      <c r="Y167" s="3">
        <v>207</v>
      </c>
      <c r="Z167" s="3" t="str">
        <f>IFERROR(MID(VLOOKUP($B167,Seqs!$A:$B,2,0),AA167,1),"")</f>
        <v>R</v>
      </c>
      <c r="AA167" s="3">
        <v>214</v>
      </c>
      <c r="AB167" s="3" t="str">
        <f>IFERROR(MID(VLOOKUP($B167,Seqs!$A:$B,2,0),AC167,1),"")</f>
        <v>T</v>
      </c>
      <c r="AC167" s="9">
        <v>215</v>
      </c>
      <c r="AD167" s="3" t="str">
        <f>IFERROR(MID(VLOOKUP($B167,Seqs!$A:$B,2,0),AE167,1),"")</f>
        <v>K</v>
      </c>
      <c r="AE167" s="3">
        <v>240</v>
      </c>
      <c r="AF167" s="3" t="str">
        <f>IFERROR(MID(VLOOKUP($B167,Seqs!$A:$B,2,0),AG167,1),"")</f>
        <v>C</v>
      </c>
      <c r="AG167" s="3">
        <v>254</v>
      </c>
      <c r="AH167" s="3" t="str">
        <f>IFERROR(MID(VLOOKUP($B167,Seqs!$A:$B,2,0),AI167,1),"")</f>
        <v>D</v>
      </c>
      <c r="AI167" s="3">
        <v>256</v>
      </c>
      <c r="AJ167" s="3" t="str">
        <f>IFERROR(MID(VLOOKUP($B167,Seqs!$A:$B,2,0),AK167,1),"")</f>
        <v>E</v>
      </c>
      <c r="AK167" s="3">
        <v>264</v>
      </c>
      <c r="AL167" s="3" t="str">
        <f>IFERROR(MID(VLOOKUP($B167,Seqs!$A:$B,2,0),AM167,1),"")</f>
        <v>S</v>
      </c>
      <c r="AM167" s="3">
        <v>299</v>
      </c>
      <c r="AN167" s="3" t="str">
        <f>IFERROR(MID(VLOOKUP($B167,Seqs!$A:$B,2,0),AO167,1),"")</f>
        <v>N</v>
      </c>
      <c r="AO167" s="3">
        <v>304</v>
      </c>
      <c r="AP167" s="3" t="str">
        <f>IFERROR(MID(VLOOKUP($B167,Seqs!$A:$B,2,0),AQ167,1),"")</f>
        <v>L</v>
      </c>
      <c r="AQ167" s="3">
        <v>340</v>
      </c>
      <c r="AR167" s="3" t="str">
        <f>IFERROR(MID(VLOOKUP($B167,Seqs!$A:$B,2,0),AS167,1),"")</f>
        <v>T</v>
      </c>
      <c r="AS167" s="3">
        <v>346</v>
      </c>
      <c r="AT167" s="3" t="str">
        <f>IFERROR(MID(VLOOKUP($B167,Seqs!$A:$B,2,0),AU167,1),"")</f>
        <v>A</v>
      </c>
      <c r="AU167" s="3">
        <v>374</v>
      </c>
      <c r="AV167" s="3" t="str">
        <f>IFERROR(MID(VLOOKUP($B167,Seqs!$A:$B,2,0),AW167,1),"")</f>
        <v>S</v>
      </c>
      <c r="AW167" s="3">
        <v>375</v>
      </c>
      <c r="AX167" s="3" t="str">
        <f>IFERROR(MID(VLOOKUP($B167,Seqs!$A:$B,2,0),AY167,1),"")</f>
        <v>K</v>
      </c>
      <c r="AY167" s="3">
        <v>389</v>
      </c>
      <c r="AZ167" s="79" t="str">
        <f>VLOOKUP(B167,Classification!A:D,2,0)</f>
        <v>A</v>
      </c>
      <c r="BA167" s="97" t="str">
        <f>VLOOKUP(B167,Classification!A:D,4,0)</f>
        <v>Proteinase-activated</v>
      </c>
      <c r="BB167" s="27" t="b">
        <f t="shared" si="640"/>
        <v>1</v>
      </c>
      <c r="BC167" s="23">
        <f t="shared" si="613"/>
        <v>260</v>
      </c>
      <c r="BD167" s="57" t="s">
        <v>1379</v>
      </c>
      <c r="BE167" s="3" t="s">
        <v>1381</v>
      </c>
      <c r="BF167" s="50" t="s">
        <v>1379</v>
      </c>
      <c r="BG167" s="50" t="s">
        <v>1384</v>
      </c>
      <c r="BH167" s="1"/>
      <c r="BI167" s="72" t="s">
        <v>1293</v>
      </c>
      <c r="BJ167" s="58" t="s">
        <v>1293</v>
      </c>
      <c r="BK167" s="58" t="s">
        <v>1293</v>
      </c>
      <c r="BL167" s="58" t="s">
        <v>1293</v>
      </c>
      <c r="BM167" s="58" t="s">
        <v>1293</v>
      </c>
      <c r="BN167" s="58" t="s">
        <v>1293</v>
      </c>
      <c r="BO167" s="58" t="s">
        <v>1293</v>
      </c>
      <c r="BP167" s="58" t="s">
        <v>1293</v>
      </c>
      <c r="BQ167" s="58" t="s">
        <v>1293</v>
      </c>
      <c r="BR167" s="58" t="s">
        <v>1293</v>
      </c>
      <c r="BS167" s="58" t="s">
        <v>1293</v>
      </c>
      <c r="BT167" s="58" t="s">
        <v>1293</v>
      </c>
      <c r="BU167" s="72">
        <f t="shared" si="614"/>
        <v>99</v>
      </c>
      <c r="BV167" s="73">
        <f t="shared" si="615"/>
        <v>131</v>
      </c>
      <c r="BW167" s="74">
        <f t="shared" si="616"/>
        <v>135</v>
      </c>
      <c r="BX167" s="73">
        <f t="shared" si="617"/>
        <v>167</v>
      </c>
      <c r="BY167" s="74">
        <f t="shared" si="618"/>
        <v>171</v>
      </c>
      <c r="BZ167" s="73">
        <f t="shared" si="619"/>
        <v>207</v>
      </c>
      <c r="CA167" s="74">
        <f t="shared" si="620"/>
        <v>215</v>
      </c>
      <c r="CB167" s="73">
        <f t="shared" si="621"/>
        <v>254</v>
      </c>
      <c r="CC167" s="74">
        <f t="shared" si="622"/>
        <v>264</v>
      </c>
      <c r="CD167" s="73">
        <f t="shared" si="623"/>
        <v>304</v>
      </c>
      <c r="CE167" s="74">
        <f t="shared" si="624"/>
        <v>346</v>
      </c>
      <c r="CF167" s="73">
        <f t="shared" si="625"/>
        <v>375</v>
      </c>
      <c r="CG167" s="72">
        <f t="shared" si="626"/>
        <v>130</v>
      </c>
      <c r="CH167" s="73">
        <f t="shared" si="627"/>
        <v>134</v>
      </c>
      <c r="CI167" s="74">
        <f t="shared" si="628"/>
        <v>164</v>
      </c>
      <c r="CJ167" s="74">
        <f t="shared" si="629"/>
        <v>170</v>
      </c>
      <c r="CK167" s="74">
        <f t="shared" si="630"/>
        <v>206</v>
      </c>
      <c r="CL167" s="74">
        <f t="shared" si="631"/>
        <v>214</v>
      </c>
      <c r="CM167" s="74">
        <f t="shared" si="632"/>
        <v>240</v>
      </c>
      <c r="CN167" s="74">
        <f t="shared" si="633"/>
        <v>256</v>
      </c>
      <c r="CO167" s="74">
        <f t="shared" si="634"/>
        <v>299</v>
      </c>
      <c r="CP167" s="74">
        <f t="shared" si="635"/>
        <v>340</v>
      </c>
      <c r="CQ167" s="74">
        <f t="shared" si="636"/>
        <v>374</v>
      </c>
      <c r="CR167" s="74">
        <f t="shared" si="637"/>
        <v>389</v>
      </c>
      <c r="CS167" s="23">
        <f t="shared" si="638"/>
        <v>1</v>
      </c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</row>
    <row r="168" spans="1:1028" x14ac:dyDescent="0.2">
      <c r="A168" s="3" t="str">
        <f t="shared" si="639"/>
        <v>par1_human_3VW7</v>
      </c>
      <c r="B168" s="3" t="s">
        <v>355</v>
      </c>
      <c r="C168" s="3" t="s">
        <v>93</v>
      </c>
      <c r="D168" s="3" t="str">
        <f>IFERROR(MID(VLOOKUP($B168,Seqs!$A:$B,2,0),E168,1),"")</f>
        <v>S</v>
      </c>
      <c r="E168" s="3">
        <v>99</v>
      </c>
      <c r="F168" s="3" t="str">
        <f>IFERROR(MID(VLOOKUP($B168,Seqs!$A:$B,2,0),G168,1),"")</f>
        <v>K</v>
      </c>
      <c r="G168" s="3">
        <v>130</v>
      </c>
      <c r="H168" s="3" t="str">
        <f>IFERROR(MID(VLOOKUP($B168,Seqs!$A:$B,2,0),I168,1),"")</f>
        <v/>
      </c>
      <c r="I168" s="23" t="s">
        <v>23</v>
      </c>
      <c r="J168" s="3" t="str">
        <f>IFERROR(MID(VLOOKUP($B168,Seqs!$A:$B,2,0),K168,1),"")</f>
        <v/>
      </c>
      <c r="K168" s="23" t="s">
        <v>23</v>
      </c>
      <c r="L168" s="3" t="str">
        <f>IFERROR(MID(VLOOKUP($B168,Seqs!$A:$B,2,0),M168,1),"")</f>
        <v>K</v>
      </c>
      <c r="M168" s="3">
        <v>135</v>
      </c>
      <c r="N168" s="3" t="str">
        <f>IFERROR(MID(VLOOKUP($B168,Seqs!$A:$B,2,0),O168,1),"")</f>
        <v>S</v>
      </c>
      <c r="O168" s="3">
        <v>164</v>
      </c>
      <c r="P168" s="3" t="str">
        <f>IFERROR(MID(VLOOKUP($B168,Seqs!$A:$B,2,0),Q168,1),"")</f>
        <v>D</v>
      </c>
      <c r="Q168" s="3">
        <v>167</v>
      </c>
      <c r="R168" s="3" t="str">
        <f>IFERROR(MID(VLOOKUP($B168,Seqs!$A:$B,2,0),S168,1),"")</f>
        <v>F</v>
      </c>
      <c r="S168" s="3">
        <v>170</v>
      </c>
      <c r="T168" s="3" t="str">
        <f>IFERROR(MID(VLOOKUP($B168,Seqs!$A:$B,2,0),U168,1),"")</f>
        <v>G</v>
      </c>
      <c r="U168" s="3">
        <v>171</v>
      </c>
      <c r="V168" s="3" t="str">
        <f>IFERROR(MID(VLOOKUP($B168,Seqs!$A:$B,2,0),W168,1),"")</f>
        <v>Y</v>
      </c>
      <c r="W168" s="3">
        <v>206</v>
      </c>
      <c r="X168" s="3" t="str">
        <f>IFERROR(MID(VLOOKUP($B168,Seqs!$A:$B,2,0),Y168,1),"")</f>
        <v/>
      </c>
      <c r="Y168" s="3" t="s">
        <v>23</v>
      </c>
      <c r="Z168" s="3" t="str">
        <f>IFERROR(MID(VLOOKUP($B168,Seqs!$A:$B,2,0),AA168,1),"")</f>
        <v/>
      </c>
      <c r="AA168" s="3" t="s">
        <v>23</v>
      </c>
      <c r="AB168" s="3" t="str">
        <f>IFERROR(MID(VLOOKUP($B168,Seqs!$A:$B,2,0),AC168,1),"")</f>
        <v>T</v>
      </c>
      <c r="AC168" s="9">
        <v>215</v>
      </c>
      <c r="AD168" s="3" t="str">
        <f>IFERROR(MID(VLOOKUP($B168,Seqs!$A:$B,2,0),AE168,1),"")</f>
        <v>K</v>
      </c>
      <c r="AE168" s="3">
        <v>240</v>
      </c>
      <c r="AF168" s="3" t="str">
        <f>IFERROR(MID(VLOOKUP($B168,Seqs!$A:$B,2,0),AG168,1),"")</f>
        <v>C</v>
      </c>
      <c r="AG168" s="3">
        <v>254</v>
      </c>
      <c r="AH168" s="3" t="str">
        <f>IFERROR(MID(VLOOKUP($B168,Seqs!$A:$B,2,0),AI168,1),"")</f>
        <v>D</v>
      </c>
      <c r="AI168" s="3">
        <v>256</v>
      </c>
      <c r="AJ168" s="3" t="str">
        <f>IFERROR(MID(VLOOKUP($B168,Seqs!$A:$B,2,0),AK168,1),"")</f>
        <v>E</v>
      </c>
      <c r="AK168" s="3">
        <v>264</v>
      </c>
      <c r="AL168" s="3" t="str">
        <f>IFERROR(MID(VLOOKUP($B168,Seqs!$A:$B,2,0),AM168,1),"")</f>
        <v>S</v>
      </c>
      <c r="AM168" s="3">
        <v>300</v>
      </c>
      <c r="AN168" s="3" t="str">
        <f>IFERROR(MID(VLOOKUP($B168,Seqs!$A:$B,2,0),AO168,1),"")</f>
        <v>N</v>
      </c>
      <c r="AO168" s="3">
        <v>304</v>
      </c>
      <c r="AP168" s="3" t="str">
        <f>IFERROR(MID(VLOOKUP($B168,Seqs!$A:$B,2,0),AQ168,1),"")</f>
        <v>L</v>
      </c>
      <c r="AQ168" s="3">
        <v>340</v>
      </c>
      <c r="AR168" s="3" t="str">
        <f>IFERROR(MID(VLOOKUP($B168,Seqs!$A:$B,2,0),AS168,1),"")</f>
        <v>T</v>
      </c>
      <c r="AS168" s="3">
        <v>346</v>
      </c>
      <c r="AT168" s="3" t="str">
        <f>IFERROR(MID(VLOOKUP($B168,Seqs!$A:$B,2,0),AU168,1),"")</f>
        <v>Y</v>
      </c>
      <c r="AU168" s="3">
        <v>372</v>
      </c>
      <c r="AV168" s="3" t="str">
        <f>IFERROR(MID(VLOOKUP($B168,Seqs!$A:$B,2,0),AW168,1),"")</f>
        <v/>
      </c>
      <c r="AW168" s="3" t="s">
        <v>23</v>
      </c>
      <c r="AX168" s="3" t="str">
        <f>IFERROR(MID(VLOOKUP($B168,Seqs!$A:$B,2,0),AY168,1),"")</f>
        <v/>
      </c>
      <c r="AY168" s="3" t="s">
        <v>23</v>
      </c>
      <c r="AZ168" s="79" t="str">
        <f>VLOOKUP(B168,Classification!A:D,2,0)</f>
        <v>A</v>
      </c>
      <c r="BA168" s="97" t="str">
        <f>VLOOKUP(B168,Classification!A:D,4,0)</f>
        <v>Proteinase-activated</v>
      </c>
      <c r="BB168" s="27" t="b">
        <f t="shared" si="640"/>
        <v>1</v>
      </c>
      <c r="BC168" s="23">
        <f t="shared" si="613"/>
        <v>235</v>
      </c>
      <c r="BD168" s="2" t="s">
        <v>1383</v>
      </c>
      <c r="BE168" s="3" t="s">
        <v>1381</v>
      </c>
      <c r="BF168" s="50" t="s">
        <v>1384</v>
      </c>
      <c r="BG168" s="50" t="s">
        <v>1384</v>
      </c>
      <c r="BH168" s="1"/>
      <c r="BI168" s="72" t="s">
        <v>1293</v>
      </c>
      <c r="BJ168" s="58" t="s">
        <v>1293</v>
      </c>
      <c r="BK168" s="58" t="s">
        <v>1293</v>
      </c>
      <c r="BL168" s="58" t="s">
        <v>1293</v>
      </c>
      <c r="BM168" s="58" t="s">
        <v>1293</v>
      </c>
      <c r="BN168" s="58" t="s">
        <v>1293</v>
      </c>
      <c r="BO168" s="58" t="s">
        <v>1293</v>
      </c>
      <c r="BP168" s="58" t="s">
        <v>1293</v>
      </c>
      <c r="BQ168" s="58" t="s">
        <v>1293</v>
      </c>
      <c r="BR168" s="58" t="s">
        <v>1293</v>
      </c>
      <c r="BS168" s="58" t="s">
        <v>1293</v>
      </c>
      <c r="BT168" s="58" t="s">
        <v>1293</v>
      </c>
      <c r="BU168" s="72">
        <f t="shared" si="614"/>
        <v>99</v>
      </c>
      <c r="BV168" s="73" t="str">
        <f t="shared" si="615"/>
        <v>-</v>
      </c>
      <c r="BW168" s="74">
        <f t="shared" si="616"/>
        <v>135</v>
      </c>
      <c r="BX168" s="73">
        <f t="shared" si="617"/>
        <v>167</v>
      </c>
      <c r="BY168" s="74">
        <f t="shared" si="618"/>
        <v>171</v>
      </c>
      <c r="BZ168" s="73" t="str">
        <f t="shared" si="619"/>
        <v>-</v>
      </c>
      <c r="CA168" s="74">
        <f t="shared" si="620"/>
        <v>215</v>
      </c>
      <c r="CB168" s="73">
        <f t="shared" si="621"/>
        <v>254</v>
      </c>
      <c r="CC168" s="74">
        <f t="shared" si="622"/>
        <v>264</v>
      </c>
      <c r="CD168" s="73">
        <f t="shared" si="623"/>
        <v>304</v>
      </c>
      <c r="CE168" s="74">
        <f t="shared" si="624"/>
        <v>346</v>
      </c>
      <c r="CF168" s="73" t="str">
        <f t="shared" si="625"/>
        <v>-</v>
      </c>
      <c r="CG168" s="72">
        <f t="shared" si="626"/>
        <v>130</v>
      </c>
      <c r="CH168" s="73" t="str">
        <f t="shared" si="627"/>
        <v>-</v>
      </c>
      <c r="CI168" s="74">
        <f t="shared" si="628"/>
        <v>164</v>
      </c>
      <c r="CJ168" s="74">
        <f t="shared" si="629"/>
        <v>170</v>
      </c>
      <c r="CK168" s="74">
        <f t="shared" si="630"/>
        <v>206</v>
      </c>
      <c r="CL168" s="74" t="str">
        <f t="shared" si="631"/>
        <v>-</v>
      </c>
      <c r="CM168" s="74">
        <f t="shared" si="632"/>
        <v>240</v>
      </c>
      <c r="CN168" s="74">
        <f t="shared" si="633"/>
        <v>256</v>
      </c>
      <c r="CO168" s="74">
        <f t="shared" si="634"/>
        <v>300</v>
      </c>
      <c r="CP168" s="74">
        <f t="shared" si="635"/>
        <v>340</v>
      </c>
      <c r="CQ168" s="74">
        <f t="shared" si="636"/>
        <v>372</v>
      </c>
      <c r="CR168" s="74" t="str">
        <f t="shared" si="637"/>
        <v>-</v>
      </c>
      <c r="CS168" s="23" t="e">
        <f t="shared" si="638"/>
        <v>#VALUE!</v>
      </c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</row>
    <row r="169" spans="1:1028" s="12" customFormat="1" x14ac:dyDescent="0.2">
      <c r="A169" s="9" t="str">
        <f t="shared" ref="A169:A170" si="697">CONCATENATE(B169,"_",C169)</f>
        <v>par2_human__wt</v>
      </c>
      <c r="B169" s="9" t="s">
        <v>356</v>
      </c>
      <c r="C169" s="9" t="s">
        <v>100</v>
      </c>
      <c r="D169" s="9" t="str">
        <f>IFERROR(MID(VLOOKUP($B169,Seqs!$A:$B,2,0),E169,1),"")</f>
        <v>G</v>
      </c>
      <c r="E169" s="9">
        <v>71</v>
      </c>
      <c r="F169" s="9" t="str">
        <f>IFERROR(MID(VLOOKUP($B169,Seqs!$A:$B,2,0),G169,1),"")</f>
        <v>R</v>
      </c>
      <c r="G169" s="9">
        <v>103</v>
      </c>
      <c r="H169" s="9" t="str">
        <f>IFERROR(MID(VLOOKUP($B169,Seqs!$A:$B,2,0),I169,1),"")</f>
        <v/>
      </c>
      <c r="I169" s="112" t="s">
        <v>23</v>
      </c>
      <c r="J169" s="9" t="str">
        <f>IFERROR(MID(VLOOKUP($B169,Seqs!$A:$B,2,0),K169,1),"")</f>
        <v/>
      </c>
      <c r="K169" s="112" t="s">
        <v>23</v>
      </c>
      <c r="L169" s="9" t="str">
        <f>IFERROR(MID(VLOOKUP($B169,Seqs!$A:$B,2,0),M169,1),"")</f>
        <v>H</v>
      </c>
      <c r="M169" s="9">
        <v>108</v>
      </c>
      <c r="N169" s="9" t="str">
        <f>IFERROR(MID(VLOOKUP($B169,Seqs!$A:$B,2,0),O169,1),"")</f>
        <v>H</v>
      </c>
      <c r="O169" s="9">
        <v>137</v>
      </c>
      <c r="P169" s="9" t="str">
        <f>IFERROR(MID(VLOOKUP($B169,Seqs!$A:$B,2,0),Q169,1),"")</f>
        <v>G</v>
      </c>
      <c r="Q169" s="9">
        <v>138</v>
      </c>
      <c r="R169" s="9" t="str">
        <f>IFERROR(MID(VLOOKUP($B169,Seqs!$A:$B,2,0),S169,1),"")</f>
        <v>Y</v>
      </c>
      <c r="S169" s="9">
        <v>143</v>
      </c>
      <c r="T169" s="9" t="str">
        <f>IFERROR(MID(VLOOKUP($B169,Seqs!$A:$B,2,0),U169,1),"")</f>
        <v>G</v>
      </c>
      <c r="U169" s="9">
        <v>144</v>
      </c>
      <c r="V169" s="9" t="str">
        <f>IFERROR(MID(VLOOKUP($B169,Seqs!$A:$B,2,0),W169,1),"")</f>
        <v>N</v>
      </c>
      <c r="W169" s="9">
        <v>179</v>
      </c>
      <c r="X169" s="9" t="str">
        <f>IFERROR(MID(VLOOKUP($B169,Seqs!$A:$B,2,0),Y169,1),"")</f>
        <v>P</v>
      </c>
      <c r="Y169" s="9">
        <v>180</v>
      </c>
      <c r="Z169" s="9" t="str">
        <f>IFERROR(MID(VLOOKUP($B169,Seqs!$A:$B,2,0),AA169,1),"")</f>
        <v>K</v>
      </c>
      <c r="AA169" s="9">
        <v>186</v>
      </c>
      <c r="AB169" s="9" t="str">
        <f>IFERROR(MID(VLOOKUP($B169,Seqs!$A:$B,2,0),AC169,1),"")</f>
        <v>K</v>
      </c>
      <c r="AC169" s="9">
        <v>187</v>
      </c>
      <c r="AD169" s="9" t="str">
        <f>IFERROR(MID(VLOOKUP($B169,Seqs!$A:$B,2,0),AE169,1),"")</f>
        <v>V</v>
      </c>
      <c r="AE169" s="9">
        <v>211</v>
      </c>
      <c r="AF169" s="9" t="str">
        <f>IFERROR(MID(VLOOKUP($B169,Seqs!$A:$B,2,0),AG169,1),"")</f>
        <v>C</v>
      </c>
      <c r="AG169" s="9">
        <v>226</v>
      </c>
      <c r="AH169" s="9" t="str">
        <f>IFERROR(MID(VLOOKUP($B169,Seqs!$A:$B,2,0),AI169,1),"")</f>
        <v>D</v>
      </c>
      <c r="AI169" s="9">
        <v>228</v>
      </c>
      <c r="AJ169" s="9" t="str">
        <f>IFERROR(MID(VLOOKUP($B169,Seqs!$A:$B,2,0),AK169,1),"")</f>
        <v>L</v>
      </c>
      <c r="AK169" s="9">
        <v>235</v>
      </c>
      <c r="AL169" s="9" t="str">
        <f>IFERROR(MID(VLOOKUP($B169,Seqs!$A:$B,2,0),AM169,1),"")</f>
        <v>S</v>
      </c>
      <c r="AM169" s="9">
        <v>272</v>
      </c>
      <c r="AN169" s="9" t="str">
        <f>IFERROR(MID(VLOOKUP($B169,Seqs!$A:$B,2,0),AO169,1),"")</f>
        <v>S</v>
      </c>
      <c r="AO169" s="9">
        <v>278</v>
      </c>
      <c r="AP169" s="9" t="str">
        <f>IFERROR(MID(VLOOKUP($B169,Seqs!$A:$B,2,0),AQ169,1),"")</f>
        <v>Q</v>
      </c>
      <c r="AQ169" s="9">
        <v>317</v>
      </c>
      <c r="AR169" s="9" t="str">
        <f>IFERROR(MID(VLOOKUP($B169,Seqs!$A:$B,2,0),AS169,1),"")</f>
        <v>V</v>
      </c>
      <c r="AS169" s="9">
        <v>322</v>
      </c>
      <c r="AT169" s="9" t="str">
        <f>IFERROR(MID(VLOOKUP($B169,Seqs!$A:$B,2,0),AU169,1),"")</f>
        <v>V</v>
      </c>
      <c r="AU169" s="9">
        <v>347</v>
      </c>
      <c r="AV169" s="9" t="str">
        <f>IFERROR(MID(VLOOKUP($B169,Seqs!$A:$B,2,0),AW169,1),"")</f>
        <v>S</v>
      </c>
      <c r="AW169" s="9">
        <v>348</v>
      </c>
      <c r="AX169" s="9" t="str">
        <f>IFERROR(MID(VLOOKUP($B169,Seqs!$A:$B,2,0),AY169,1),"")</f>
        <v>R</v>
      </c>
      <c r="AY169" s="9">
        <v>362</v>
      </c>
      <c r="AZ169" s="113" t="str">
        <f>VLOOKUP(B169,Classification!A:D,2,0)</f>
        <v>A</v>
      </c>
      <c r="BA169" s="101" t="str">
        <f>VLOOKUP(B169,Classification!A:D,4,0)</f>
        <v>Proteinase-activated</v>
      </c>
      <c r="BB169" s="37" t="b">
        <f t="shared" ref="BB169:BB170" si="698">AND(E169&lt;G169,OR(G169&lt;I169,I169="-"),OR(I169&lt;K169,I169="-"),OR(K169&lt;M169,K169="-"),M169&lt;O169,OR(O169&lt;Q169,Q169="-"),OR(Q169&lt;S169,Q169="-"),OR(S169&lt;U169,S169="-"),U169&lt;W169,OR(W169&lt;Y169,Y169="-"),OR(Y169&lt;AA169,Y169="-"),OR(AA169&lt;AC169,AA169="-"),AC169&lt;AE169,OR(AE169&lt;AG169,AG169="-"),OR(AG169&lt;AI169,AG169="-"),OR(AI169&lt;AK169,AI169="-"),AK169&lt;AM169,AM169&lt;AO169,AO169&lt;AQ169,AQ169&lt;AS169,AS169&lt;AU169,OR(AU169&lt;AW169,AW169="-"),OR(AW169&lt;AY169,AW169="-"))</f>
        <v>1</v>
      </c>
      <c r="BC169" s="112">
        <f t="shared" ref="BC169:BC170" si="699">_xlfn.AGGREGATE(9,6,CG169:CR169)-_xlfn.AGGREGATE(9,6,BU169:CF169)+12</f>
        <v>260</v>
      </c>
      <c r="BD169" s="41" t="s">
        <v>23</v>
      </c>
      <c r="BE169" s="9" t="s">
        <v>1381</v>
      </c>
      <c r="BF169" s="52" t="s">
        <v>1384</v>
      </c>
      <c r="BG169" s="52" t="s">
        <v>1384</v>
      </c>
      <c r="BI169" s="114" t="s">
        <v>1293</v>
      </c>
      <c r="BJ169" s="115" t="s">
        <v>1293</v>
      </c>
      <c r="BK169" s="115" t="s">
        <v>1293</v>
      </c>
      <c r="BL169" s="115" t="s">
        <v>1293</v>
      </c>
      <c r="BM169" s="115" t="s">
        <v>1293</v>
      </c>
      <c r="BN169" s="115" t="s">
        <v>1293</v>
      </c>
      <c r="BO169" s="115" t="s">
        <v>1293</v>
      </c>
      <c r="BP169" s="115" t="s">
        <v>1293</v>
      </c>
      <c r="BQ169" s="115" t="s">
        <v>1293</v>
      </c>
      <c r="BR169" s="115" t="s">
        <v>1293</v>
      </c>
      <c r="BS169" s="115" t="s">
        <v>1293</v>
      </c>
      <c r="BT169" s="115" t="s">
        <v>1293</v>
      </c>
      <c r="BU169" s="114">
        <f t="shared" ref="BU169:BU170" si="700">E169</f>
        <v>71</v>
      </c>
      <c r="BV169" s="116" t="str">
        <f t="shared" ref="BV169:BV170" si="701">I169</f>
        <v>-</v>
      </c>
      <c r="BW169" s="117">
        <f t="shared" ref="BW169:BW170" si="702">M169</f>
        <v>108</v>
      </c>
      <c r="BX169" s="116">
        <f t="shared" ref="BX169:BX170" si="703">Q169</f>
        <v>138</v>
      </c>
      <c r="BY169" s="117">
        <f t="shared" ref="BY169:BY170" si="704">U169</f>
        <v>144</v>
      </c>
      <c r="BZ169" s="116">
        <f t="shared" ref="BZ169:BZ170" si="705">Y169</f>
        <v>180</v>
      </c>
      <c r="CA169" s="117">
        <f t="shared" ref="CA169:CA170" si="706">AC169</f>
        <v>187</v>
      </c>
      <c r="CB169" s="116">
        <f t="shared" ref="CB169:CB170" si="707">AG169</f>
        <v>226</v>
      </c>
      <c r="CC169" s="117">
        <f t="shared" ref="CC169:CC170" si="708">AK169</f>
        <v>235</v>
      </c>
      <c r="CD169" s="116">
        <f t="shared" ref="CD169:CD170" si="709">AO169</f>
        <v>278</v>
      </c>
      <c r="CE169" s="117">
        <f t="shared" ref="CE169:CE170" si="710">AS169</f>
        <v>322</v>
      </c>
      <c r="CF169" s="116">
        <f t="shared" ref="CF169:CF170" si="711">AW169</f>
        <v>348</v>
      </c>
      <c r="CG169" s="114">
        <f t="shared" ref="CG169:CG170" si="712">G169</f>
        <v>103</v>
      </c>
      <c r="CH169" s="116" t="str">
        <f t="shared" ref="CH169:CH170" si="713">K169</f>
        <v>-</v>
      </c>
      <c r="CI169" s="117">
        <f t="shared" ref="CI169:CI170" si="714">O169</f>
        <v>137</v>
      </c>
      <c r="CJ169" s="117">
        <f t="shared" ref="CJ169:CJ170" si="715">S169</f>
        <v>143</v>
      </c>
      <c r="CK169" s="117">
        <f t="shared" ref="CK169:CK170" si="716">W169</f>
        <v>179</v>
      </c>
      <c r="CL169" s="117">
        <f t="shared" ref="CL169:CL170" si="717">AA169</f>
        <v>186</v>
      </c>
      <c r="CM169" s="117">
        <f t="shared" ref="CM169:CM170" si="718">AE169</f>
        <v>211</v>
      </c>
      <c r="CN169" s="117">
        <f t="shared" ref="CN169:CN170" si="719">AI169</f>
        <v>228</v>
      </c>
      <c r="CO169" s="117">
        <f t="shared" ref="CO169:CO170" si="720">AM169</f>
        <v>272</v>
      </c>
      <c r="CP169" s="117">
        <f t="shared" ref="CP169:CP170" si="721">AQ169</f>
        <v>317</v>
      </c>
      <c r="CQ169" s="117">
        <f t="shared" ref="CQ169:CQ170" si="722">AU169</f>
        <v>347</v>
      </c>
      <c r="CR169" s="117">
        <f t="shared" ref="CR169:CR170" si="723">AY169</f>
        <v>362</v>
      </c>
      <c r="CS169" s="112" t="e">
        <f t="shared" ref="CS169:CS170" si="724">M169-K169</f>
        <v>#VALUE!</v>
      </c>
    </row>
    <row r="170" spans="1:1028" s="12" customFormat="1" x14ac:dyDescent="0.2">
      <c r="A170" s="9" t="str">
        <f t="shared" si="697"/>
        <v>par2_human_5NDD</v>
      </c>
      <c r="B170" s="9" t="s">
        <v>356</v>
      </c>
      <c r="C170" s="9" t="s">
        <v>1403</v>
      </c>
      <c r="D170" s="9" t="str">
        <f>IFERROR(MID(VLOOKUP($B170,Seqs!$A:$B,2,0),E170,1),"")</f>
        <v>G</v>
      </c>
      <c r="E170" s="9">
        <v>71</v>
      </c>
      <c r="F170" s="9" t="str">
        <f>IFERROR(MID(VLOOKUP($B170,Seqs!$A:$B,2,0),G170,1),"")</f>
        <v>R</v>
      </c>
      <c r="G170" s="9">
        <v>103</v>
      </c>
      <c r="H170" s="9" t="str">
        <f>IFERROR(MID(VLOOKUP($B170,Seqs!$A:$B,2,0),I170,1),"")</f>
        <v/>
      </c>
      <c r="I170" s="112" t="s">
        <v>23</v>
      </c>
      <c r="J170" s="9" t="str">
        <f>IFERROR(MID(VLOOKUP($B170,Seqs!$A:$B,2,0),K170,1),"")</f>
        <v/>
      </c>
      <c r="K170" s="112" t="s">
        <v>23</v>
      </c>
      <c r="L170" s="9" t="str">
        <f>IFERROR(MID(VLOOKUP($B170,Seqs!$A:$B,2,0),M170,1),"")</f>
        <v>H</v>
      </c>
      <c r="M170" s="9">
        <v>108</v>
      </c>
      <c r="N170" s="9" t="str">
        <f>IFERROR(MID(VLOOKUP($B170,Seqs!$A:$B,2,0),O170,1),"")</f>
        <v>H</v>
      </c>
      <c r="O170" s="9">
        <v>137</v>
      </c>
      <c r="P170" s="9" t="str">
        <f>IFERROR(MID(VLOOKUP($B170,Seqs!$A:$B,2,0),Q170,1),"")</f>
        <v>G</v>
      </c>
      <c r="Q170" s="9">
        <v>138</v>
      </c>
      <c r="R170" s="9" t="str">
        <f>IFERROR(MID(VLOOKUP($B170,Seqs!$A:$B,2,0),S170,1),"")</f>
        <v>Y</v>
      </c>
      <c r="S170" s="9">
        <v>143</v>
      </c>
      <c r="T170" s="9" t="str">
        <f>IFERROR(MID(VLOOKUP($B170,Seqs!$A:$B,2,0),U170,1),"")</f>
        <v>G</v>
      </c>
      <c r="U170" s="9">
        <v>144</v>
      </c>
      <c r="V170" s="9" t="str">
        <f>IFERROR(MID(VLOOKUP($B170,Seqs!$A:$B,2,0),W170,1),"")</f>
        <v>N</v>
      </c>
      <c r="W170" s="9">
        <v>179</v>
      </c>
      <c r="X170" s="9" t="str">
        <f>IFERROR(MID(VLOOKUP($B170,Seqs!$A:$B,2,0),Y170,1),"")</f>
        <v/>
      </c>
      <c r="Y170" s="9" t="s">
        <v>23</v>
      </c>
      <c r="Z170" s="9" t="str">
        <f>IFERROR(MID(VLOOKUP($B170,Seqs!$A:$B,2,0),AA170,1),"")</f>
        <v/>
      </c>
      <c r="AA170" s="9" t="s">
        <v>23</v>
      </c>
      <c r="AB170" s="9" t="str">
        <f>IFERROR(MID(VLOOKUP($B170,Seqs!$A:$B,2,0),AC170,1),"")</f>
        <v>H</v>
      </c>
      <c r="AC170" s="9">
        <v>183</v>
      </c>
      <c r="AD170" s="9" t="str">
        <f>IFERROR(MID(VLOOKUP($B170,Seqs!$A:$B,2,0),AE170,1),"")</f>
        <v>V</v>
      </c>
      <c r="AE170" s="9">
        <v>211</v>
      </c>
      <c r="AF170" s="9" t="str">
        <f>IFERROR(MID(VLOOKUP($B170,Seqs!$A:$B,2,0),AG170,1),"")</f>
        <v>C</v>
      </c>
      <c r="AG170" s="9">
        <v>226</v>
      </c>
      <c r="AH170" s="9" t="str">
        <f>IFERROR(MID(VLOOKUP($B170,Seqs!$A:$B,2,0),AI170,1),"")</f>
        <v>D</v>
      </c>
      <c r="AI170" s="9">
        <v>228</v>
      </c>
      <c r="AJ170" s="9" t="str">
        <f>IFERROR(MID(VLOOKUP($B170,Seqs!$A:$B,2,0),AK170,1),"")</f>
        <v>L</v>
      </c>
      <c r="AK170" s="9">
        <v>235</v>
      </c>
      <c r="AL170" s="9" t="str">
        <f>IFERROR(MID(VLOOKUP($B170,Seqs!$A:$B,2,0),AM170,1),"")</f>
        <v>L</v>
      </c>
      <c r="AM170" s="9">
        <v>269</v>
      </c>
      <c r="AN170" s="9" t="str">
        <f>IFERROR(MID(VLOOKUP($B170,Seqs!$A:$B,2,0),AO170,1),"")</f>
        <v>S</v>
      </c>
      <c r="AO170" s="9">
        <v>278</v>
      </c>
      <c r="AP170" s="9" t="str">
        <f>IFERROR(MID(VLOOKUP($B170,Seqs!$A:$B,2,0),AQ170,1),"")</f>
        <v>Q</v>
      </c>
      <c r="AQ170" s="9">
        <v>317</v>
      </c>
      <c r="AR170" s="9" t="str">
        <f>IFERROR(MID(VLOOKUP($B170,Seqs!$A:$B,2,0),AS170,1),"")</f>
        <v>V</v>
      </c>
      <c r="AS170" s="9">
        <v>322</v>
      </c>
      <c r="AT170" s="9" t="str">
        <f>IFERROR(MID(VLOOKUP($B170,Seqs!$A:$B,2,0),AU170,1),"")</f>
        <v>V</v>
      </c>
      <c r="AU170" s="9">
        <v>347</v>
      </c>
      <c r="AV170" s="9" t="str">
        <f>IFERROR(MID(VLOOKUP($B170,Seqs!$A:$B,2,0),AW170,1),"")</f>
        <v>S</v>
      </c>
      <c r="AW170" s="9">
        <v>348</v>
      </c>
      <c r="AX170" s="9" t="str">
        <f>IFERROR(MID(VLOOKUP($B170,Seqs!$A:$B,2,0),AY170,1),"")</f>
        <v>L</v>
      </c>
      <c r="AY170" s="9">
        <v>359</v>
      </c>
      <c r="AZ170" s="113" t="str">
        <f>VLOOKUP(B170,Classification!A:D,2,0)</f>
        <v>A</v>
      </c>
      <c r="BA170" s="101" t="str">
        <f>VLOOKUP(B170,Classification!A:D,4,0)</f>
        <v>Proteinase-activated</v>
      </c>
      <c r="BB170" s="37" t="b">
        <f t="shared" si="698"/>
        <v>1</v>
      </c>
      <c r="BC170" s="112">
        <f t="shared" si="699"/>
        <v>252</v>
      </c>
      <c r="BD170" s="41" t="s">
        <v>1383</v>
      </c>
      <c r="BE170" s="9" t="s">
        <v>1381</v>
      </c>
      <c r="BF170" s="52" t="s">
        <v>1</v>
      </c>
      <c r="BG170" s="52" t="s">
        <v>1384</v>
      </c>
      <c r="BI170" s="114" t="s">
        <v>1293</v>
      </c>
      <c r="BJ170" s="115" t="s">
        <v>1293</v>
      </c>
      <c r="BK170" s="115" t="s">
        <v>1293</v>
      </c>
      <c r="BL170" s="115" t="s">
        <v>1293</v>
      </c>
      <c r="BM170" s="115" t="s">
        <v>1293</v>
      </c>
      <c r="BN170" s="115" t="s">
        <v>1293</v>
      </c>
      <c r="BO170" s="115" t="s">
        <v>1293</v>
      </c>
      <c r="BP170" s="115" t="s">
        <v>1293</v>
      </c>
      <c r="BQ170" s="115" t="s">
        <v>1293</v>
      </c>
      <c r="BR170" s="115" t="s">
        <v>1293</v>
      </c>
      <c r="BS170" s="115" t="s">
        <v>1293</v>
      </c>
      <c r="BT170" s="115" t="s">
        <v>1293</v>
      </c>
      <c r="BU170" s="114">
        <f t="shared" si="700"/>
        <v>71</v>
      </c>
      <c r="BV170" s="116" t="str">
        <f t="shared" si="701"/>
        <v>-</v>
      </c>
      <c r="BW170" s="117">
        <f t="shared" si="702"/>
        <v>108</v>
      </c>
      <c r="BX170" s="116">
        <f t="shared" si="703"/>
        <v>138</v>
      </c>
      <c r="BY170" s="117">
        <f t="shared" si="704"/>
        <v>144</v>
      </c>
      <c r="BZ170" s="116" t="str">
        <f t="shared" si="705"/>
        <v>-</v>
      </c>
      <c r="CA170" s="117">
        <f t="shared" si="706"/>
        <v>183</v>
      </c>
      <c r="CB170" s="116">
        <f t="shared" si="707"/>
        <v>226</v>
      </c>
      <c r="CC170" s="117">
        <f t="shared" si="708"/>
        <v>235</v>
      </c>
      <c r="CD170" s="116">
        <f t="shared" si="709"/>
        <v>278</v>
      </c>
      <c r="CE170" s="117">
        <f t="shared" si="710"/>
        <v>322</v>
      </c>
      <c r="CF170" s="116">
        <f t="shared" si="711"/>
        <v>348</v>
      </c>
      <c r="CG170" s="114">
        <f t="shared" si="712"/>
        <v>103</v>
      </c>
      <c r="CH170" s="116" t="str">
        <f t="shared" si="713"/>
        <v>-</v>
      </c>
      <c r="CI170" s="117">
        <f t="shared" si="714"/>
        <v>137</v>
      </c>
      <c r="CJ170" s="117">
        <f t="shared" si="715"/>
        <v>143</v>
      </c>
      <c r="CK170" s="117">
        <f t="shared" si="716"/>
        <v>179</v>
      </c>
      <c r="CL170" s="117" t="str">
        <f t="shared" si="717"/>
        <v>-</v>
      </c>
      <c r="CM170" s="117">
        <f t="shared" si="718"/>
        <v>211</v>
      </c>
      <c r="CN170" s="117">
        <f t="shared" si="719"/>
        <v>228</v>
      </c>
      <c r="CO170" s="117">
        <f t="shared" si="720"/>
        <v>269</v>
      </c>
      <c r="CP170" s="117">
        <f t="shared" si="721"/>
        <v>317</v>
      </c>
      <c r="CQ170" s="117">
        <f t="shared" si="722"/>
        <v>347</v>
      </c>
      <c r="CR170" s="117">
        <f t="shared" si="723"/>
        <v>359</v>
      </c>
      <c r="CS170" s="112" t="e">
        <f t="shared" si="724"/>
        <v>#VALUE!</v>
      </c>
    </row>
    <row r="171" spans="1:1028" s="12" customFormat="1" x14ac:dyDescent="0.2">
      <c r="A171" s="9" t="str">
        <f t="shared" ref="A171" si="725">CONCATENATE(B171,"_",C171)</f>
        <v>par2_human_5NDZ</v>
      </c>
      <c r="B171" s="9" t="s">
        <v>356</v>
      </c>
      <c r="C171" s="9" t="s">
        <v>1404</v>
      </c>
      <c r="D171" s="9" t="str">
        <f>IFERROR(MID(VLOOKUP($B171,Seqs!$A:$B,2,0),E171,1),"")</f>
        <v>G</v>
      </c>
      <c r="E171" s="9">
        <v>71</v>
      </c>
      <c r="F171" s="9" t="str">
        <f>IFERROR(MID(VLOOKUP($B171,Seqs!$A:$B,2,0),G171,1),"")</f>
        <v>R</v>
      </c>
      <c r="G171" s="9">
        <v>103</v>
      </c>
      <c r="H171" s="9" t="str">
        <f>IFERROR(MID(VLOOKUP($B171,Seqs!$A:$B,2,0),I171,1),"")</f>
        <v/>
      </c>
      <c r="I171" s="112" t="s">
        <v>23</v>
      </c>
      <c r="J171" s="9" t="str">
        <f>IFERROR(MID(VLOOKUP($B171,Seqs!$A:$B,2,0),K171,1),"")</f>
        <v/>
      </c>
      <c r="K171" s="112" t="s">
        <v>23</v>
      </c>
      <c r="L171" s="9" t="str">
        <f>IFERROR(MID(VLOOKUP($B171,Seqs!$A:$B,2,0),M171,1),"")</f>
        <v>H</v>
      </c>
      <c r="M171" s="9">
        <v>108</v>
      </c>
      <c r="N171" s="9" t="str">
        <f>IFERROR(MID(VLOOKUP($B171,Seqs!$A:$B,2,0),O171,1),"")</f>
        <v>H</v>
      </c>
      <c r="O171" s="9">
        <v>137</v>
      </c>
      <c r="P171" s="9" t="str">
        <f>IFERROR(MID(VLOOKUP($B171,Seqs!$A:$B,2,0),Q171,1),"")</f>
        <v>G</v>
      </c>
      <c r="Q171" s="9">
        <v>138</v>
      </c>
      <c r="R171" s="9" t="str">
        <f>IFERROR(MID(VLOOKUP($B171,Seqs!$A:$B,2,0),S171,1),"")</f>
        <v>Y</v>
      </c>
      <c r="S171" s="9">
        <v>143</v>
      </c>
      <c r="T171" s="9" t="str">
        <f>IFERROR(MID(VLOOKUP($B171,Seqs!$A:$B,2,0),U171,1),"")</f>
        <v>G</v>
      </c>
      <c r="U171" s="9">
        <v>144</v>
      </c>
      <c r="V171" s="9" t="str">
        <f>IFERROR(MID(VLOOKUP($B171,Seqs!$A:$B,2,0),W171,1),"")</f>
        <v>N</v>
      </c>
      <c r="W171" s="9">
        <v>179</v>
      </c>
      <c r="X171" s="9" t="str">
        <f>IFERROR(MID(VLOOKUP($B171,Seqs!$A:$B,2,0),Y171,1),"")</f>
        <v/>
      </c>
      <c r="Y171" s="9" t="s">
        <v>23</v>
      </c>
      <c r="Z171" s="9" t="str">
        <f>IFERROR(MID(VLOOKUP($B171,Seqs!$A:$B,2,0),AA171,1),"")</f>
        <v/>
      </c>
      <c r="AA171" s="9" t="s">
        <v>23</v>
      </c>
      <c r="AB171" s="9" t="str">
        <f>IFERROR(MID(VLOOKUP($B171,Seqs!$A:$B,2,0),AC171,1),"")</f>
        <v>H</v>
      </c>
      <c r="AC171" s="9">
        <v>183</v>
      </c>
      <c r="AD171" s="9" t="str">
        <f>IFERROR(MID(VLOOKUP($B171,Seqs!$A:$B,2,0),AE171,1),"")</f>
        <v>V</v>
      </c>
      <c r="AE171" s="9">
        <v>211</v>
      </c>
      <c r="AF171" s="9" t="str">
        <f>IFERROR(MID(VLOOKUP($B171,Seqs!$A:$B,2,0),AG171,1),"")</f>
        <v>C</v>
      </c>
      <c r="AG171" s="9">
        <v>226</v>
      </c>
      <c r="AH171" s="9" t="str">
        <f>IFERROR(MID(VLOOKUP($B171,Seqs!$A:$B,2,0),AI171,1),"")</f>
        <v>D</v>
      </c>
      <c r="AI171" s="9">
        <v>228</v>
      </c>
      <c r="AJ171" s="9" t="str">
        <f>IFERROR(MID(VLOOKUP($B171,Seqs!$A:$B,2,0),AK171,1),"")</f>
        <v>L</v>
      </c>
      <c r="AK171" s="9">
        <v>235</v>
      </c>
      <c r="AL171" s="9" t="str">
        <f>IFERROR(MID(VLOOKUP($B171,Seqs!$A:$B,2,0),AM171,1),"")</f>
        <v>L</v>
      </c>
      <c r="AM171" s="9">
        <v>269</v>
      </c>
      <c r="AN171" s="9" t="str">
        <f>IFERROR(MID(VLOOKUP($B171,Seqs!$A:$B,2,0),AO171,1),"")</f>
        <v>S</v>
      </c>
      <c r="AO171" s="9">
        <v>278</v>
      </c>
      <c r="AP171" s="9" t="str">
        <f>IFERROR(MID(VLOOKUP($B171,Seqs!$A:$B,2,0),AQ171,1),"")</f>
        <v>Q</v>
      </c>
      <c r="AQ171" s="9">
        <v>317</v>
      </c>
      <c r="AR171" s="9" t="str">
        <f>IFERROR(MID(VLOOKUP($B171,Seqs!$A:$B,2,0),AS171,1),"")</f>
        <v>V</v>
      </c>
      <c r="AS171" s="9">
        <v>322</v>
      </c>
      <c r="AT171" s="9" t="str">
        <f>IFERROR(MID(VLOOKUP($B171,Seqs!$A:$B,2,0),AU171,1),"")</f>
        <v>S</v>
      </c>
      <c r="AU171" s="9">
        <v>348</v>
      </c>
      <c r="AV171" s="9" t="str">
        <f>IFERROR(MID(VLOOKUP($B171,Seqs!$A:$B,2,0),AW171,1),"")</f>
        <v>H</v>
      </c>
      <c r="AW171" s="9">
        <v>349</v>
      </c>
      <c r="AX171" s="9" t="str">
        <f>IFERROR(MID(VLOOKUP($B171,Seqs!$A:$B,2,0),AY171,1),"")</f>
        <v>L</v>
      </c>
      <c r="AY171" s="9">
        <v>359</v>
      </c>
      <c r="AZ171" s="113" t="str">
        <f>VLOOKUP(B171,Classification!A:D,2,0)</f>
        <v>A</v>
      </c>
      <c r="BA171" s="101" t="str">
        <f>VLOOKUP(B171,Classification!A:D,4,0)</f>
        <v>Proteinase-activated</v>
      </c>
      <c r="BB171" s="37" t="b">
        <f t="shared" ref="BB171" si="726"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112">
        <f t="shared" ref="BC171" si="727">_xlfn.AGGREGATE(9,6,CG171:CR171)-_xlfn.AGGREGATE(9,6,BU171:CF171)+12</f>
        <v>252</v>
      </c>
      <c r="BD171" s="41" t="s">
        <v>23</v>
      </c>
      <c r="BE171" s="9" t="s">
        <v>1381</v>
      </c>
      <c r="BF171" s="52" t="s">
        <v>1</v>
      </c>
      <c r="BG171" s="52" t="s">
        <v>1384</v>
      </c>
      <c r="BI171" s="114" t="s">
        <v>1293</v>
      </c>
      <c r="BJ171" s="115" t="s">
        <v>1293</v>
      </c>
      <c r="BK171" s="115" t="s">
        <v>1293</v>
      </c>
      <c r="BL171" s="115" t="s">
        <v>1293</v>
      </c>
      <c r="BM171" s="115" t="s">
        <v>1293</v>
      </c>
      <c r="BN171" s="115" t="s">
        <v>1293</v>
      </c>
      <c r="BO171" s="115" t="s">
        <v>1293</v>
      </c>
      <c r="BP171" s="115" t="s">
        <v>1293</v>
      </c>
      <c r="BQ171" s="115" t="s">
        <v>1293</v>
      </c>
      <c r="BR171" s="115" t="s">
        <v>1293</v>
      </c>
      <c r="BS171" s="115" t="s">
        <v>1293</v>
      </c>
      <c r="BT171" s="115" t="s">
        <v>1293</v>
      </c>
      <c r="BU171" s="114">
        <f t="shared" ref="BU171" si="728">E171</f>
        <v>71</v>
      </c>
      <c r="BV171" s="116" t="str">
        <f t="shared" ref="BV171" si="729">I171</f>
        <v>-</v>
      </c>
      <c r="BW171" s="117">
        <f t="shared" ref="BW171" si="730">M171</f>
        <v>108</v>
      </c>
      <c r="BX171" s="116">
        <f t="shared" ref="BX171" si="731">Q171</f>
        <v>138</v>
      </c>
      <c r="BY171" s="117">
        <f t="shared" ref="BY171" si="732">U171</f>
        <v>144</v>
      </c>
      <c r="BZ171" s="116" t="str">
        <f t="shared" ref="BZ171" si="733">Y171</f>
        <v>-</v>
      </c>
      <c r="CA171" s="117">
        <f t="shared" ref="CA171" si="734">AC171</f>
        <v>183</v>
      </c>
      <c r="CB171" s="116">
        <f t="shared" ref="CB171" si="735">AG171</f>
        <v>226</v>
      </c>
      <c r="CC171" s="117">
        <f t="shared" ref="CC171" si="736">AK171</f>
        <v>235</v>
      </c>
      <c r="CD171" s="116">
        <f t="shared" ref="CD171" si="737">AO171</f>
        <v>278</v>
      </c>
      <c r="CE171" s="117">
        <f t="shared" ref="CE171" si="738">AS171</f>
        <v>322</v>
      </c>
      <c r="CF171" s="116">
        <f t="shared" ref="CF171" si="739">AW171</f>
        <v>349</v>
      </c>
      <c r="CG171" s="114">
        <f t="shared" ref="CG171" si="740">G171</f>
        <v>103</v>
      </c>
      <c r="CH171" s="116" t="str">
        <f t="shared" ref="CH171" si="741">K171</f>
        <v>-</v>
      </c>
      <c r="CI171" s="117">
        <f t="shared" ref="CI171" si="742">O171</f>
        <v>137</v>
      </c>
      <c r="CJ171" s="117">
        <f t="shared" ref="CJ171" si="743">S171</f>
        <v>143</v>
      </c>
      <c r="CK171" s="117">
        <f t="shared" ref="CK171" si="744">W171</f>
        <v>179</v>
      </c>
      <c r="CL171" s="117" t="str">
        <f t="shared" ref="CL171" si="745">AA171</f>
        <v>-</v>
      </c>
      <c r="CM171" s="117">
        <f t="shared" ref="CM171" si="746">AE171</f>
        <v>211</v>
      </c>
      <c r="CN171" s="117">
        <f t="shared" ref="CN171" si="747">AI171</f>
        <v>228</v>
      </c>
      <c r="CO171" s="117">
        <f t="shared" ref="CO171" si="748">AM171</f>
        <v>269</v>
      </c>
      <c r="CP171" s="117">
        <f t="shared" ref="CP171" si="749">AQ171</f>
        <v>317</v>
      </c>
      <c r="CQ171" s="117">
        <f t="shared" ref="CQ171" si="750">AU171</f>
        <v>348</v>
      </c>
      <c r="CR171" s="117">
        <f t="shared" ref="CR171" si="751">AY171</f>
        <v>359</v>
      </c>
      <c r="CS171" s="112" t="e">
        <f t="shared" ref="CS171" si="752">M171-K171</f>
        <v>#VALUE!</v>
      </c>
    </row>
    <row r="172" spans="1:1028" s="12" customFormat="1" x14ac:dyDescent="0.2">
      <c r="A172" s="9" t="str">
        <f t="shared" ref="A172" si="753">CONCATENATE(B172,"_",C172)</f>
        <v>par2_human_5NJ6</v>
      </c>
      <c r="B172" s="9" t="s">
        <v>356</v>
      </c>
      <c r="C172" s="9" t="s">
        <v>1406</v>
      </c>
      <c r="D172" s="9" t="str">
        <f>IFERROR(MID(VLOOKUP($B172,Seqs!$A:$B,2,0),E172,1),"")</f>
        <v>G</v>
      </c>
      <c r="E172" s="9">
        <v>71</v>
      </c>
      <c r="F172" s="9" t="str">
        <f>IFERROR(MID(VLOOKUP($B172,Seqs!$A:$B,2,0),G172,1),"")</f>
        <v>R</v>
      </c>
      <c r="G172" s="9">
        <v>103</v>
      </c>
      <c r="H172" s="9" t="str">
        <f>IFERROR(MID(VLOOKUP($B172,Seqs!$A:$B,2,0),I172,1),"")</f>
        <v/>
      </c>
      <c r="I172" s="112" t="s">
        <v>23</v>
      </c>
      <c r="J172" s="9" t="str">
        <f>IFERROR(MID(VLOOKUP($B172,Seqs!$A:$B,2,0),K172,1),"")</f>
        <v/>
      </c>
      <c r="K172" s="112" t="s">
        <v>23</v>
      </c>
      <c r="L172" s="9" t="str">
        <f>IFERROR(MID(VLOOKUP($B172,Seqs!$A:$B,2,0),M172,1),"")</f>
        <v>H</v>
      </c>
      <c r="M172" s="9">
        <v>108</v>
      </c>
      <c r="N172" s="9" t="str">
        <f>IFERROR(MID(VLOOKUP($B172,Seqs!$A:$B,2,0),O172,1),"")</f>
        <v>H</v>
      </c>
      <c r="O172" s="9">
        <v>137</v>
      </c>
      <c r="P172" s="9" t="str">
        <f>IFERROR(MID(VLOOKUP($B172,Seqs!$A:$B,2,0),Q172,1),"")</f>
        <v>G</v>
      </c>
      <c r="Q172" s="9">
        <v>138</v>
      </c>
      <c r="R172" s="9" t="str">
        <f>IFERROR(MID(VLOOKUP($B172,Seqs!$A:$B,2,0),S172,1),"")</f>
        <v>Y</v>
      </c>
      <c r="S172" s="9">
        <v>143</v>
      </c>
      <c r="T172" s="9" t="str">
        <f>IFERROR(MID(VLOOKUP($B172,Seqs!$A:$B,2,0),U172,1),"")</f>
        <v>G</v>
      </c>
      <c r="U172" s="9">
        <v>144</v>
      </c>
      <c r="V172" s="9" t="str">
        <f>IFERROR(MID(VLOOKUP($B172,Seqs!$A:$B,2,0),W172,1),"")</f>
        <v>N</v>
      </c>
      <c r="W172" s="9">
        <v>179</v>
      </c>
      <c r="X172" s="9" t="str">
        <f>IFERROR(MID(VLOOKUP($B172,Seqs!$A:$B,2,0),Y172,1),"")</f>
        <v/>
      </c>
      <c r="Y172" s="9" t="s">
        <v>23</v>
      </c>
      <c r="Z172" s="9" t="str">
        <f>IFERROR(MID(VLOOKUP($B172,Seqs!$A:$B,2,0),AA172,1),"")</f>
        <v/>
      </c>
      <c r="AA172" s="9" t="s">
        <v>23</v>
      </c>
      <c r="AB172" s="9" t="str">
        <f>IFERROR(MID(VLOOKUP($B172,Seqs!$A:$B,2,0),AC172,1),"")</f>
        <v>H</v>
      </c>
      <c r="AC172" s="9">
        <v>183</v>
      </c>
      <c r="AD172" s="9" t="str">
        <f>IFERROR(MID(VLOOKUP($B172,Seqs!$A:$B,2,0),AE172,1),"")</f>
        <v>V</v>
      </c>
      <c r="AE172" s="9">
        <v>211</v>
      </c>
      <c r="AF172" s="9" t="str">
        <f>IFERROR(MID(VLOOKUP($B172,Seqs!$A:$B,2,0),AG172,1),"")</f>
        <v>C</v>
      </c>
      <c r="AG172" s="9">
        <v>226</v>
      </c>
      <c r="AH172" s="9" t="str">
        <f>IFERROR(MID(VLOOKUP($B172,Seqs!$A:$B,2,0),AI172,1),"")</f>
        <v>D</v>
      </c>
      <c r="AI172" s="9">
        <v>228</v>
      </c>
      <c r="AJ172" s="9" t="str">
        <f>IFERROR(MID(VLOOKUP($B172,Seqs!$A:$B,2,0),AK172,1),"")</f>
        <v>L</v>
      </c>
      <c r="AK172" s="9">
        <v>235</v>
      </c>
      <c r="AL172" s="9" t="str">
        <f>IFERROR(MID(VLOOKUP($B172,Seqs!$A:$B,2,0),AM172,1),"")</f>
        <v>L</v>
      </c>
      <c r="AM172" s="9">
        <v>269</v>
      </c>
      <c r="AN172" s="9" t="str">
        <f>IFERROR(MID(VLOOKUP($B172,Seqs!$A:$B,2,0),AO172,1),"")</f>
        <v>S</v>
      </c>
      <c r="AO172" s="9">
        <v>278</v>
      </c>
      <c r="AP172" s="9" t="str">
        <f>IFERROR(MID(VLOOKUP($B172,Seqs!$A:$B,2,0),AQ172,1),"")</f>
        <v>Q</v>
      </c>
      <c r="AQ172" s="9">
        <v>317</v>
      </c>
      <c r="AR172" s="9" t="str">
        <f>IFERROR(MID(VLOOKUP($B172,Seqs!$A:$B,2,0),AS172,1),"")</f>
        <v>V</v>
      </c>
      <c r="AS172" s="9">
        <v>322</v>
      </c>
      <c r="AT172" s="9" t="str">
        <f>IFERROR(MID(VLOOKUP($B172,Seqs!$A:$B,2,0),AU172,1),"")</f>
        <v>S</v>
      </c>
      <c r="AU172" s="9">
        <v>348</v>
      </c>
      <c r="AV172" s="9" t="str">
        <f>IFERROR(MID(VLOOKUP($B172,Seqs!$A:$B,2,0),AW172,1),"")</f>
        <v>H</v>
      </c>
      <c r="AW172" s="9">
        <v>349</v>
      </c>
      <c r="AX172" s="9" t="str">
        <f>IFERROR(MID(VLOOKUP($B172,Seqs!$A:$B,2,0),AY172,1),"")</f>
        <v>L</v>
      </c>
      <c r="AY172" s="9">
        <v>359</v>
      </c>
      <c r="AZ172" s="113" t="str">
        <f>VLOOKUP(B172,Classification!A:D,2,0)</f>
        <v>A</v>
      </c>
      <c r="BA172" s="101" t="str">
        <f>VLOOKUP(B172,Classification!A:D,4,0)</f>
        <v>Proteinase-activated</v>
      </c>
      <c r="BB172" s="37" t="b">
        <f t="shared" ref="BB172" si="754"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112">
        <f t="shared" ref="BC172" si="755">_xlfn.AGGREGATE(9,6,CG172:CR172)-_xlfn.AGGREGATE(9,6,BU172:CF172)+12</f>
        <v>252</v>
      </c>
      <c r="BD172" s="41" t="s">
        <v>23</v>
      </c>
      <c r="BE172" s="9" t="s">
        <v>1381</v>
      </c>
      <c r="BF172" s="52" t="s">
        <v>1</v>
      </c>
      <c r="BG172" s="52" t="s">
        <v>1384</v>
      </c>
      <c r="BI172" s="114" t="s">
        <v>1293</v>
      </c>
      <c r="BJ172" s="115" t="s">
        <v>1293</v>
      </c>
      <c r="BK172" s="115" t="s">
        <v>1293</v>
      </c>
      <c r="BL172" s="115" t="s">
        <v>1293</v>
      </c>
      <c r="BM172" s="115" t="s">
        <v>1293</v>
      </c>
      <c r="BN172" s="115" t="s">
        <v>1293</v>
      </c>
      <c r="BO172" s="115" t="s">
        <v>1293</v>
      </c>
      <c r="BP172" s="115" t="s">
        <v>1293</v>
      </c>
      <c r="BQ172" s="115" t="s">
        <v>1293</v>
      </c>
      <c r="BR172" s="115" t="s">
        <v>1293</v>
      </c>
      <c r="BS172" s="115" t="s">
        <v>1293</v>
      </c>
      <c r="BT172" s="115" t="s">
        <v>1293</v>
      </c>
      <c r="BU172" s="114">
        <f t="shared" ref="BU172" si="756">E172</f>
        <v>71</v>
      </c>
      <c r="BV172" s="116" t="str">
        <f t="shared" ref="BV172" si="757">I172</f>
        <v>-</v>
      </c>
      <c r="BW172" s="117">
        <f t="shared" ref="BW172" si="758">M172</f>
        <v>108</v>
      </c>
      <c r="BX172" s="116">
        <f t="shared" ref="BX172" si="759">Q172</f>
        <v>138</v>
      </c>
      <c r="BY172" s="117">
        <f t="shared" ref="BY172" si="760">U172</f>
        <v>144</v>
      </c>
      <c r="BZ172" s="116" t="str">
        <f t="shared" ref="BZ172" si="761">Y172</f>
        <v>-</v>
      </c>
      <c r="CA172" s="117">
        <f t="shared" ref="CA172" si="762">AC172</f>
        <v>183</v>
      </c>
      <c r="CB172" s="116">
        <f t="shared" ref="CB172" si="763">AG172</f>
        <v>226</v>
      </c>
      <c r="CC172" s="117">
        <f t="shared" ref="CC172" si="764">AK172</f>
        <v>235</v>
      </c>
      <c r="CD172" s="116">
        <f t="shared" ref="CD172" si="765">AO172</f>
        <v>278</v>
      </c>
      <c r="CE172" s="117">
        <f t="shared" ref="CE172" si="766">AS172</f>
        <v>322</v>
      </c>
      <c r="CF172" s="116">
        <f t="shared" ref="CF172" si="767">AW172</f>
        <v>349</v>
      </c>
      <c r="CG172" s="114">
        <f t="shared" ref="CG172" si="768">G172</f>
        <v>103</v>
      </c>
      <c r="CH172" s="116" t="str">
        <f t="shared" ref="CH172" si="769">K172</f>
        <v>-</v>
      </c>
      <c r="CI172" s="117">
        <f t="shared" ref="CI172" si="770">O172</f>
        <v>137</v>
      </c>
      <c r="CJ172" s="117">
        <f t="shared" ref="CJ172" si="771">S172</f>
        <v>143</v>
      </c>
      <c r="CK172" s="117">
        <f t="shared" ref="CK172" si="772">W172</f>
        <v>179</v>
      </c>
      <c r="CL172" s="117" t="str">
        <f t="shared" ref="CL172" si="773">AA172</f>
        <v>-</v>
      </c>
      <c r="CM172" s="117">
        <f t="shared" ref="CM172" si="774">AE172</f>
        <v>211</v>
      </c>
      <c r="CN172" s="117">
        <f t="shared" ref="CN172" si="775">AI172</f>
        <v>228</v>
      </c>
      <c r="CO172" s="117">
        <f t="shared" ref="CO172" si="776">AM172</f>
        <v>269</v>
      </c>
      <c r="CP172" s="117">
        <f t="shared" ref="CP172" si="777">AQ172</f>
        <v>317</v>
      </c>
      <c r="CQ172" s="117">
        <f t="shared" ref="CQ172" si="778">AU172</f>
        <v>348</v>
      </c>
      <c r="CR172" s="117">
        <f t="shared" ref="CR172" si="779">AY172</f>
        <v>359</v>
      </c>
      <c r="CS172" s="112" t="e">
        <f t="shared" ref="CS172" si="780">M172-K172</f>
        <v>#VALUE!</v>
      </c>
    </row>
    <row r="173" spans="1:1028" x14ac:dyDescent="0.2">
      <c r="A173" s="3" t="str">
        <f t="shared" si="639"/>
        <v>s1pr1_human__wt</v>
      </c>
      <c r="B173" s="3" t="s">
        <v>104</v>
      </c>
      <c r="C173" s="3" t="s">
        <v>100</v>
      </c>
      <c r="D173" s="3" t="str">
        <f>IFERROR(MID(VLOOKUP($B173,Seqs!$A:$B,2,0),E173,1),"")</f>
        <v>E</v>
      </c>
      <c r="E173" s="3">
        <v>42</v>
      </c>
      <c r="F173" s="3" t="str">
        <f>IFERROR(MID(VLOOKUP($B173,Seqs!$A:$B,2,0),G173,1),"")</f>
        <v>T</v>
      </c>
      <c r="G173" s="3">
        <v>73</v>
      </c>
      <c r="H173" s="3" t="str">
        <f>IFERROR(MID(VLOOKUP($B173,Seqs!$A:$B,2,0),I173,1),"")</f>
        <v>K</v>
      </c>
      <c r="I173" s="23">
        <v>74</v>
      </c>
      <c r="J173" s="3" t="str">
        <f>IFERROR(MID(VLOOKUP($B173,Seqs!$A:$B,2,0),K173,1),"")</f>
        <v>H</v>
      </c>
      <c r="K173" s="23">
        <v>77</v>
      </c>
      <c r="L173" s="3" t="str">
        <f>IFERROR(MID(VLOOKUP($B173,Seqs!$A:$B,2,0),M173,1),"")</f>
        <v>R</v>
      </c>
      <c r="M173" s="3">
        <v>78</v>
      </c>
      <c r="N173" s="3" t="str">
        <f>IFERROR(MID(VLOOKUP($B173,Seqs!$A:$B,2,0),O173,1),"")</f>
        <v>L</v>
      </c>
      <c r="O173" s="3">
        <v>104</v>
      </c>
      <c r="P173" s="3" t="str">
        <f>IFERROR(MID(VLOOKUP($B173,Seqs!$A:$B,2,0),Q173,1),"")</f>
        <v>G</v>
      </c>
      <c r="Q173" s="3">
        <v>106</v>
      </c>
      <c r="R173" s="3" t="str">
        <f>IFERROR(MID(VLOOKUP($B173,Seqs!$A:$B,2,0),S173,1),"")</f>
        <v>L</v>
      </c>
      <c r="S173" s="3">
        <v>112</v>
      </c>
      <c r="T173" s="3" t="str">
        <f>IFERROR(MID(VLOOKUP($B173,Seqs!$A:$B,2,0),U173,1),"")</f>
        <v>T</v>
      </c>
      <c r="U173" s="3">
        <v>113</v>
      </c>
      <c r="V173" s="3" t="str">
        <f>IFERROR(MID(VLOOKUP($B173,Seqs!$A:$B,2,0),W173,1),"")</f>
        <v>K</v>
      </c>
      <c r="W173" s="108">
        <v>148</v>
      </c>
      <c r="X173" s="3" t="str">
        <f>IFERROR(MID(VLOOKUP($B173,Seqs!$A:$B,2,0),Y173,1),"")</f>
        <v>M</v>
      </c>
      <c r="Y173" s="108">
        <v>149</v>
      </c>
      <c r="Z173" s="3" t="str">
        <f>IFERROR(MID(VLOOKUP($B173,Seqs!$A:$B,2,0),AA173,1),"")</f>
        <v>S</v>
      </c>
      <c r="AA173" s="108">
        <v>155</v>
      </c>
      <c r="AB173" s="3" t="str">
        <f>IFERROR(MID(VLOOKUP($B173,Seqs!$A:$B,2,0),AC173,1),"")</f>
        <v>N</v>
      </c>
      <c r="AC173" s="108">
        <v>156</v>
      </c>
      <c r="AD173" s="3" t="str">
        <f>IFERROR(MID(VLOOKUP($B173,Seqs!$A:$B,2,0),AE173,1),"")</f>
        <v>G</v>
      </c>
      <c r="AE173" s="3">
        <v>181</v>
      </c>
      <c r="AF173" s="3" t="str">
        <f>IFERROR(MID(VLOOKUP($B173,Seqs!$A:$B,2,0),AG173,1),"")</f>
        <v/>
      </c>
      <c r="AG173" s="3" t="s">
        <v>23</v>
      </c>
      <c r="AH173" s="3" t="str">
        <f>IFERROR(MID(VLOOKUP($B173,Seqs!$A:$B,2,0),AI173,1),"")</f>
        <v/>
      </c>
      <c r="AI173" s="3" t="s">
        <v>23</v>
      </c>
      <c r="AJ173" s="3" t="str">
        <f>IFERROR(MID(VLOOKUP($B173,Seqs!$A:$B,2,0),AK173,1),"")</f>
        <v>H</v>
      </c>
      <c r="AK173" s="3">
        <v>199</v>
      </c>
      <c r="AL173" s="3" t="str">
        <f>IFERROR(MID(VLOOKUP($B173,Seqs!$A:$B,2,0),AM173,1),"")</f>
        <v>T</v>
      </c>
      <c r="AM173" s="3">
        <v>236</v>
      </c>
      <c r="AN173" s="3" t="str">
        <f>IFERROR(MID(VLOOKUP($B173,Seqs!$A:$B,2,0),AO173,1),"")</f>
        <v>S</v>
      </c>
      <c r="AO173" s="3">
        <v>245</v>
      </c>
      <c r="AP173" s="3" t="str">
        <f>IFERROR(MID(VLOOKUP($B173,Seqs!$A:$B,2,0),AQ173,1),"")</f>
        <v>C</v>
      </c>
      <c r="AQ173" s="3">
        <v>282</v>
      </c>
      <c r="AR173" s="3" t="str">
        <f>IFERROR(MID(VLOOKUP($B173,Seqs!$A:$B,2,0),AS173,1),"")</f>
        <v>D</v>
      </c>
      <c r="AS173" s="3">
        <v>288</v>
      </c>
      <c r="AT173" s="3" t="str">
        <f>IFERROR(MID(VLOOKUP($B173,Seqs!$A:$B,2,0),AU173,1),"")</f>
        <v>T</v>
      </c>
      <c r="AU173" s="3">
        <v>314</v>
      </c>
      <c r="AV173" s="3" t="str">
        <f>IFERROR(MID(VLOOKUP($B173,Seqs!$A:$B,2,0),AW173,1),"")</f>
        <v>N</v>
      </c>
      <c r="AW173" s="3">
        <v>315</v>
      </c>
      <c r="AX173" s="3" t="str">
        <f>IFERROR(MID(VLOOKUP($B173,Seqs!$A:$B,2,0),AY173,1),"")</f>
        <v>S</v>
      </c>
      <c r="AY173" s="3">
        <v>327</v>
      </c>
      <c r="AZ173" s="79" t="str">
        <f>VLOOKUP(B173,Classification!A:D,2,0)</f>
        <v>A</v>
      </c>
      <c r="BA173" s="97" t="str">
        <f>VLOOKUP(B173,Classification!A:D,4,0)</f>
        <v>Lysophospholipid(S1P)</v>
      </c>
      <c r="BB173" s="27" t="b">
        <f t="shared" si="640"/>
        <v>1</v>
      </c>
      <c r="BC173" s="23">
        <f t="shared" si="613"/>
        <v>256</v>
      </c>
      <c r="BD173" s="57" t="s">
        <v>1379</v>
      </c>
      <c r="BE173" s="3" t="s">
        <v>1381</v>
      </c>
      <c r="BF173" s="50" t="s">
        <v>1379</v>
      </c>
      <c r="BG173" s="50" t="s">
        <v>1384</v>
      </c>
      <c r="BH173" s="1"/>
      <c r="BI173" s="72" t="s">
        <v>1293</v>
      </c>
      <c r="BJ173" s="58" t="s">
        <v>1293</v>
      </c>
      <c r="BK173" s="58" t="s">
        <v>1293</v>
      </c>
      <c r="BL173" s="58" t="s">
        <v>1293</v>
      </c>
      <c r="BM173" s="58" t="s">
        <v>1293</v>
      </c>
      <c r="BN173" s="58" t="s">
        <v>1293</v>
      </c>
      <c r="BO173" s="58" t="s">
        <v>1293</v>
      </c>
      <c r="BP173" s="58" t="s">
        <v>1293</v>
      </c>
      <c r="BQ173" s="58" t="s">
        <v>1293</v>
      </c>
      <c r="BR173" s="58" t="s">
        <v>1293</v>
      </c>
      <c r="BS173" s="58" t="s">
        <v>1293</v>
      </c>
      <c r="BT173" s="58" t="s">
        <v>1293</v>
      </c>
      <c r="BU173" s="72">
        <f t="shared" si="614"/>
        <v>42</v>
      </c>
      <c r="BV173" s="73">
        <f t="shared" si="615"/>
        <v>74</v>
      </c>
      <c r="BW173" s="74">
        <f t="shared" si="616"/>
        <v>78</v>
      </c>
      <c r="BX173" s="73">
        <f t="shared" si="617"/>
        <v>106</v>
      </c>
      <c r="BY173" s="74">
        <f t="shared" si="618"/>
        <v>113</v>
      </c>
      <c r="BZ173" s="73">
        <f t="shared" si="619"/>
        <v>149</v>
      </c>
      <c r="CA173" s="74">
        <f t="shared" si="620"/>
        <v>156</v>
      </c>
      <c r="CB173" s="73" t="str">
        <f t="shared" si="621"/>
        <v>-</v>
      </c>
      <c r="CC173" s="74">
        <f t="shared" si="622"/>
        <v>199</v>
      </c>
      <c r="CD173" s="73">
        <f t="shared" si="623"/>
        <v>245</v>
      </c>
      <c r="CE173" s="74">
        <f t="shared" si="624"/>
        <v>288</v>
      </c>
      <c r="CF173" s="73">
        <f t="shared" si="625"/>
        <v>315</v>
      </c>
      <c r="CG173" s="72">
        <f t="shared" si="626"/>
        <v>73</v>
      </c>
      <c r="CH173" s="73">
        <f t="shared" si="627"/>
        <v>77</v>
      </c>
      <c r="CI173" s="74">
        <f t="shared" si="628"/>
        <v>104</v>
      </c>
      <c r="CJ173" s="74">
        <f t="shared" si="629"/>
        <v>112</v>
      </c>
      <c r="CK173" s="74">
        <f t="shared" si="630"/>
        <v>148</v>
      </c>
      <c r="CL173" s="74">
        <f t="shared" si="631"/>
        <v>155</v>
      </c>
      <c r="CM173" s="74">
        <f t="shared" si="632"/>
        <v>181</v>
      </c>
      <c r="CN173" s="74" t="str">
        <f t="shared" si="633"/>
        <v>-</v>
      </c>
      <c r="CO173" s="74">
        <f t="shared" si="634"/>
        <v>236</v>
      </c>
      <c r="CP173" s="74">
        <f t="shared" si="635"/>
        <v>282</v>
      </c>
      <c r="CQ173" s="74">
        <f t="shared" si="636"/>
        <v>314</v>
      </c>
      <c r="CR173" s="74">
        <f t="shared" si="637"/>
        <v>327</v>
      </c>
      <c r="CS173" s="23">
        <f t="shared" si="638"/>
        <v>1</v>
      </c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</row>
    <row r="174" spans="1:1028" x14ac:dyDescent="0.2">
      <c r="A174" s="3" t="str">
        <f t="shared" si="639"/>
        <v>s1pr1_human_3V2Y</v>
      </c>
      <c r="B174" s="3" t="s">
        <v>104</v>
      </c>
      <c r="C174" s="3" t="s">
        <v>94</v>
      </c>
      <c r="D174" s="3" t="str">
        <f>IFERROR(MID(VLOOKUP($B174,Seqs!$A:$B,2,0),E174,1),"")</f>
        <v>E</v>
      </c>
      <c r="E174" s="3">
        <v>42</v>
      </c>
      <c r="F174" s="3" t="str">
        <f>IFERROR(MID(VLOOKUP($B174,Seqs!$A:$B,2,0),G174,1),"")</f>
        <v>T</v>
      </c>
      <c r="G174" s="3">
        <v>73</v>
      </c>
      <c r="H174" s="3" t="str">
        <f>IFERROR(MID(VLOOKUP($B174,Seqs!$A:$B,2,0),I174,1),"")</f>
        <v>K</v>
      </c>
      <c r="I174" s="23">
        <v>74</v>
      </c>
      <c r="J174" s="3" t="str">
        <f>IFERROR(MID(VLOOKUP($B174,Seqs!$A:$B,2,0),K174,1),"")</f>
        <v>H</v>
      </c>
      <c r="K174" s="23">
        <v>77</v>
      </c>
      <c r="L174" s="3" t="str">
        <f>IFERROR(MID(VLOOKUP($B174,Seqs!$A:$B,2,0),M174,1),"")</f>
        <v>R</v>
      </c>
      <c r="M174" s="3">
        <v>78</v>
      </c>
      <c r="N174" s="3" t="str">
        <f>IFERROR(MID(VLOOKUP($B174,Seqs!$A:$B,2,0),O174,1),"")</f>
        <v>L</v>
      </c>
      <c r="O174" s="3">
        <v>104</v>
      </c>
      <c r="P174" s="3" t="str">
        <f>IFERROR(MID(VLOOKUP($B174,Seqs!$A:$B,2,0),Q174,1),"")</f>
        <v>G</v>
      </c>
      <c r="Q174" s="3">
        <v>106</v>
      </c>
      <c r="R174" s="3" t="str">
        <f>IFERROR(MID(VLOOKUP($B174,Seqs!$A:$B,2,0),S174,1),"")</f>
        <v>L</v>
      </c>
      <c r="S174" s="3">
        <v>112</v>
      </c>
      <c r="T174" s="3" t="str">
        <f>IFERROR(MID(VLOOKUP($B174,Seqs!$A:$B,2,0),U174,1),"")</f>
        <v>T</v>
      </c>
      <c r="U174" s="3">
        <v>113</v>
      </c>
      <c r="V174" s="3" t="str">
        <f>IFERROR(MID(VLOOKUP($B174,Seqs!$A:$B,2,0),W174,1),"")</f>
        <v>T</v>
      </c>
      <c r="W174" s="108">
        <v>145</v>
      </c>
      <c r="X174" s="3" t="str">
        <f>IFERROR(MID(VLOOKUP($B174,Seqs!$A:$B,2,0),Y174,1),"")</f>
        <v/>
      </c>
      <c r="Y174" s="3" t="s">
        <v>23</v>
      </c>
      <c r="Z174" s="3" t="str">
        <f>IFERROR(MID(VLOOKUP($B174,Seqs!$A:$B,2,0),AA174,1),"")</f>
        <v/>
      </c>
      <c r="AA174" s="3" t="s">
        <v>23</v>
      </c>
      <c r="AB174" s="3" t="str">
        <f>IFERROR(MID(VLOOKUP($B174,Seqs!$A:$B,2,0),AC174,1),"")</f>
        <v>N</v>
      </c>
      <c r="AC174" s="108">
        <v>156</v>
      </c>
      <c r="AD174" s="3" t="str">
        <f>IFERROR(MID(VLOOKUP($B174,Seqs!$A:$B,2,0),AE174,1),"")</f>
        <v>G</v>
      </c>
      <c r="AE174" s="3">
        <v>181</v>
      </c>
      <c r="AF174" s="3" t="str">
        <f>IFERROR(MID(VLOOKUP($B174,Seqs!$A:$B,2,0),AG174,1),"")</f>
        <v/>
      </c>
      <c r="AG174" s="3" t="s">
        <v>23</v>
      </c>
      <c r="AH174" s="3" t="str">
        <f>IFERROR(MID(VLOOKUP($B174,Seqs!$A:$B,2,0),AI174,1),"")</f>
        <v/>
      </c>
      <c r="AI174" s="3" t="s">
        <v>23</v>
      </c>
      <c r="AJ174" s="3" t="str">
        <f>IFERROR(MID(VLOOKUP($B174,Seqs!$A:$B,2,0),AK174,1),"")</f>
        <v>H</v>
      </c>
      <c r="AK174" s="3">
        <v>199</v>
      </c>
      <c r="AL174" s="3" t="str">
        <f>IFERROR(MID(VLOOKUP($B174,Seqs!$A:$B,2,0),AM174,1),"")</f>
        <v>R</v>
      </c>
      <c r="AM174" s="3">
        <v>231</v>
      </c>
      <c r="AN174" s="3" t="str">
        <f>IFERROR(MID(VLOOKUP($B174,Seqs!$A:$B,2,0),AO174,1),"")</f>
        <v>S</v>
      </c>
      <c r="AO174" s="3">
        <v>251</v>
      </c>
      <c r="AP174" s="3" t="str">
        <f>IFERROR(MID(VLOOKUP($B174,Seqs!$A:$B,2,0),AQ174,1),"")</f>
        <v>C</v>
      </c>
      <c r="AQ174" s="3">
        <v>282</v>
      </c>
      <c r="AR174" s="3" t="str">
        <f>IFERROR(MID(VLOOKUP($B174,Seqs!$A:$B,2,0),AS174,1),"")</f>
        <v>D</v>
      </c>
      <c r="AS174" s="3">
        <v>288</v>
      </c>
      <c r="AT174" s="3" t="str">
        <f>IFERROR(MID(VLOOKUP($B174,Seqs!$A:$B,2,0),AU174,1),"")</f>
        <v>T</v>
      </c>
      <c r="AU174" s="3">
        <v>314</v>
      </c>
      <c r="AV174" s="3" t="str">
        <f>IFERROR(MID(VLOOKUP($B174,Seqs!$A:$B,2,0),AW174,1),"")</f>
        <v>N</v>
      </c>
      <c r="AW174" s="3">
        <v>315</v>
      </c>
      <c r="AX174" s="3" t="str">
        <f>IFERROR(MID(VLOOKUP($B174,Seqs!$A:$B,2,0),AY174,1),"")</f>
        <v>I</v>
      </c>
      <c r="AY174" s="3">
        <v>323</v>
      </c>
      <c r="AZ174" s="79" t="str">
        <f>VLOOKUP(B174,Classification!A:D,2,0)</f>
        <v>A</v>
      </c>
      <c r="BA174" s="97" t="str">
        <f>VLOOKUP(B174,Classification!A:D,4,0)</f>
        <v>Lysophospholipid(S1P)</v>
      </c>
      <c r="BB174" s="27" t="b">
        <f t="shared" si="640"/>
        <v>1</v>
      </c>
      <c r="BC174" s="23">
        <f t="shared" si="613"/>
        <v>232</v>
      </c>
      <c r="BD174" s="2" t="s">
        <v>1383</v>
      </c>
      <c r="BE174" s="3" t="s">
        <v>1381</v>
      </c>
      <c r="BF174" s="50" t="s">
        <v>1384</v>
      </c>
      <c r="BG174" s="50" t="s">
        <v>1384</v>
      </c>
      <c r="BH174" s="1"/>
      <c r="BI174" s="72" t="s">
        <v>1293</v>
      </c>
      <c r="BJ174" s="58" t="s">
        <v>1293</v>
      </c>
      <c r="BK174" s="58" t="s">
        <v>1293</v>
      </c>
      <c r="BL174" s="58" t="s">
        <v>1293</v>
      </c>
      <c r="BM174" s="58" t="s">
        <v>1293</v>
      </c>
      <c r="BN174" s="58" t="s">
        <v>1293</v>
      </c>
      <c r="BO174" s="58" t="s">
        <v>1293</v>
      </c>
      <c r="BP174" s="58" t="s">
        <v>1293</v>
      </c>
      <c r="BQ174" s="58" t="s">
        <v>1293</v>
      </c>
      <c r="BR174" s="58" t="s">
        <v>1293</v>
      </c>
      <c r="BS174" s="58" t="s">
        <v>1293</v>
      </c>
      <c r="BT174" s="58" t="s">
        <v>1293</v>
      </c>
      <c r="BU174" s="72">
        <f t="shared" si="614"/>
        <v>42</v>
      </c>
      <c r="BV174" s="73">
        <f t="shared" si="615"/>
        <v>74</v>
      </c>
      <c r="BW174" s="74">
        <f t="shared" si="616"/>
        <v>78</v>
      </c>
      <c r="BX174" s="73">
        <f t="shared" si="617"/>
        <v>106</v>
      </c>
      <c r="BY174" s="74">
        <f t="shared" si="618"/>
        <v>113</v>
      </c>
      <c r="BZ174" s="73" t="str">
        <f t="shared" si="619"/>
        <v>-</v>
      </c>
      <c r="CA174" s="74">
        <f t="shared" si="620"/>
        <v>156</v>
      </c>
      <c r="CB174" s="73" t="str">
        <f t="shared" si="621"/>
        <v>-</v>
      </c>
      <c r="CC174" s="74">
        <f t="shared" si="622"/>
        <v>199</v>
      </c>
      <c r="CD174" s="73">
        <f t="shared" si="623"/>
        <v>251</v>
      </c>
      <c r="CE174" s="74">
        <f t="shared" si="624"/>
        <v>288</v>
      </c>
      <c r="CF174" s="73">
        <f t="shared" si="625"/>
        <v>315</v>
      </c>
      <c r="CG174" s="72">
        <f t="shared" si="626"/>
        <v>73</v>
      </c>
      <c r="CH174" s="73">
        <f t="shared" si="627"/>
        <v>77</v>
      </c>
      <c r="CI174" s="74">
        <f t="shared" si="628"/>
        <v>104</v>
      </c>
      <c r="CJ174" s="74">
        <f t="shared" si="629"/>
        <v>112</v>
      </c>
      <c r="CK174" s="74">
        <f t="shared" si="630"/>
        <v>145</v>
      </c>
      <c r="CL174" s="74" t="str">
        <f t="shared" si="631"/>
        <v>-</v>
      </c>
      <c r="CM174" s="74">
        <f t="shared" si="632"/>
        <v>181</v>
      </c>
      <c r="CN174" s="74" t="str">
        <f t="shared" si="633"/>
        <v>-</v>
      </c>
      <c r="CO174" s="74">
        <f t="shared" si="634"/>
        <v>231</v>
      </c>
      <c r="CP174" s="74">
        <f t="shared" si="635"/>
        <v>282</v>
      </c>
      <c r="CQ174" s="74">
        <f t="shared" si="636"/>
        <v>314</v>
      </c>
      <c r="CR174" s="74">
        <f t="shared" si="637"/>
        <v>323</v>
      </c>
      <c r="CS174" s="23">
        <f t="shared" si="638"/>
        <v>1</v>
      </c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</row>
    <row r="175" spans="1:1028" x14ac:dyDescent="0.2">
      <c r="A175" s="3" t="str">
        <f t="shared" si="639"/>
        <v>us28_hcmva__wt</v>
      </c>
      <c r="B175" s="3" t="s">
        <v>924</v>
      </c>
      <c r="C175" s="3" t="s">
        <v>100</v>
      </c>
      <c r="D175" s="3" t="str">
        <f>IFERROR(MID(VLOOKUP($B175,Seqs!$A:$B,2,0),E175,1),"")</f>
        <v>T</v>
      </c>
      <c r="E175" s="3">
        <v>26</v>
      </c>
      <c r="F175" s="3" t="str">
        <f>IFERROR(MID(VLOOKUP($B175,Seqs!$A:$B,2,0),G175,1),"")</f>
        <v>R</v>
      </c>
      <c r="G175" s="3">
        <v>61</v>
      </c>
      <c r="H175" s="3" t="str">
        <f>IFERROR(MID(VLOOKUP($B175,Seqs!$A:$B,2,0),I175,1),"")</f>
        <v>R</v>
      </c>
      <c r="I175" s="23">
        <v>62</v>
      </c>
      <c r="J175" s="3" t="str">
        <f>IFERROR(MID(VLOOKUP($B175,Seqs!$A:$B,2,0),K175,1),"")</f>
        <v>Q</v>
      </c>
      <c r="K175" s="23">
        <v>65</v>
      </c>
      <c r="L175" s="3" t="str">
        <f>IFERROR(MID(VLOOKUP($B175,Seqs!$A:$B,2,0),M175,1),"")</f>
        <v>C</v>
      </c>
      <c r="M175" s="3">
        <v>66</v>
      </c>
      <c r="N175" s="3" t="str">
        <f>IFERROR(MID(VLOOKUP($B175,Seqs!$A:$B,2,0),O175,1),"")</f>
        <v>D</v>
      </c>
      <c r="O175" s="3">
        <v>95</v>
      </c>
      <c r="P175" s="3" t="str">
        <f>IFERROR(MID(VLOOKUP($B175,Seqs!$A:$B,2,0),Q175,1),"")</f>
        <v/>
      </c>
      <c r="Q175" s="3" t="s">
        <v>23</v>
      </c>
      <c r="R175" s="3" t="str">
        <f>IFERROR(MID(VLOOKUP($B175,Seqs!$A:$B,2,0),S175,1),"")</f>
        <v/>
      </c>
      <c r="S175" s="3" t="s">
        <v>23</v>
      </c>
      <c r="T175" s="3" t="str">
        <f>IFERROR(MID(VLOOKUP($B175,Seqs!$A:$B,2,0),U175,1),"")</f>
        <v>P</v>
      </c>
      <c r="U175" s="3">
        <v>103</v>
      </c>
      <c r="V175" s="3" t="str">
        <f>IFERROR(MID(VLOOKUP($B175,Seqs!$A:$B,2,0),W175,1),"")</f>
        <v>Y</v>
      </c>
      <c r="W175" s="3">
        <v>135</v>
      </c>
      <c r="X175" s="3" t="str">
        <f>IFERROR(MID(VLOOKUP($B175,Seqs!$A:$B,2,0),Y175,1),"")</f>
        <v/>
      </c>
      <c r="Y175" s="3" t="s">
        <v>23</v>
      </c>
      <c r="Z175" s="3" t="str">
        <f>IFERROR(MID(VLOOKUP($B175,Seqs!$A:$B,2,0),AA175,1),"")</f>
        <v/>
      </c>
      <c r="AA175" s="3" t="s">
        <v>23</v>
      </c>
      <c r="AB175" s="3" t="str">
        <f>IFERROR(MID(VLOOKUP($B175,Seqs!$A:$B,2,0),AC175,1),"")</f>
        <v>P</v>
      </c>
      <c r="AC175" s="9">
        <v>140</v>
      </c>
      <c r="AD175" s="3" t="str">
        <f>IFERROR(MID(VLOOKUP($B175,Seqs!$A:$B,2,0),AE175,1),"")</f>
        <v>V</v>
      </c>
      <c r="AE175" s="3">
        <v>165</v>
      </c>
      <c r="AF175" s="3" t="str">
        <f>IFERROR(MID(VLOOKUP($B175,Seqs!$A:$B,2,0),AG175,1),"")</f>
        <v>C</v>
      </c>
      <c r="AG175" s="3">
        <v>173</v>
      </c>
      <c r="AH175" s="3" t="str">
        <f>IFERROR(MID(VLOOKUP($B175,Seqs!$A:$B,2,0),AI175,1),"")</f>
        <v>T</v>
      </c>
      <c r="AI175" s="3">
        <v>175</v>
      </c>
      <c r="AJ175" s="3" t="str">
        <f>IFERROR(MID(VLOOKUP($B175,Seqs!$A:$B,2,0),AK175,1),"")</f>
        <v>V</v>
      </c>
      <c r="AK175" s="3">
        <v>182</v>
      </c>
      <c r="AL175" s="3" t="str">
        <f>IFERROR(MID(VLOOKUP($B175,Seqs!$A:$B,2,0),AM175,1),"")</f>
        <v>S</v>
      </c>
      <c r="AM175" s="3">
        <v>218</v>
      </c>
      <c r="AN175" s="3" t="str">
        <f>IFERROR(MID(VLOOKUP($B175,Seqs!$A:$B,2,0),AO175,1),"")</f>
        <v>H</v>
      </c>
      <c r="AO175" s="3">
        <v>222</v>
      </c>
      <c r="AP175" s="3" t="str">
        <f>IFERROR(MID(VLOOKUP($B175,Seqs!$A:$B,2,0),AQ175,1),"")</f>
        <v>K</v>
      </c>
      <c r="AQ175" s="3">
        <v>257</v>
      </c>
      <c r="AR175" s="3" t="str">
        <f>IFERROR(MID(VLOOKUP($B175,Seqs!$A:$B,2,0),AS175,1),"")</f>
        <v>S</v>
      </c>
      <c r="AS175" s="3">
        <v>262</v>
      </c>
      <c r="AT175" s="3" t="str">
        <f>IFERROR(MID(VLOOKUP($B175,Seqs!$A:$B,2,0),AU175,1),"")</f>
        <v>V</v>
      </c>
      <c r="AU175" s="3">
        <v>294</v>
      </c>
      <c r="AV175" s="3" t="str">
        <f>IFERROR(MID(VLOOKUP($B175,Seqs!$A:$B,2,0),AW175,1),"")</f>
        <v>G</v>
      </c>
      <c r="AW175" s="3">
        <v>295</v>
      </c>
      <c r="AX175" s="3" t="str">
        <f>IFERROR(MID(VLOOKUP($B175,Seqs!$A:$B,2,0),AY175,1),"")</f>
        <v>R</v>
      </c>
      <c r="AY175" s="3">
        <v>310</v>
      </c>
      <c r="AZ175" s="79" t="str">
        <f>VLOOKUP(B175,Classification!A:D,2,0)</f>
        <v>A</v>
      </c>
      <c r="BA175" s="97" t="str">
        <f>VLOOKUP(B175,Classification!A:D,4,0)</f>
        <v>Chemokine</v>
      </c>
      <c r="BB175" s="27" t="b">
        <f t="shared" si="640"/>
        <v>1</v>
      </c>
      <c r="BC175" s="23">
        <f t="shared" si="613"/>
        <v>256</v>
      </c>
      <c r="BD175" s="57" t="s">
        <v>1379</v>
      </c>
      <c r="BE175" s="3" t="s">
        <v>1381</v>
      </c>
      <c r="BF175" s="50" t="s">
        <v>1379</v>
      </c>
      <c r="BG175" s="50" t="s">
        <v>1384</v>
      </c>
      <c r="BH175" s="1"/>
      <c r="BI175" s="72" t="s">
        <v>1293</v>
      </c>
      <c r="BJ175" s="58" t="s">
        <v>1293</v>
      </c>
      <c r="BK175" s="58" t="s">
        <v>1293</v>
      </c>
      <c r="BL175" s="58" t="s">
        <v>1293</v>
      </c>
      <c r="BM175" s="58" t="s">
        <v>1293</v>
      </c>
      <c r="BN175" s="58" t="s">
        <v>1293</v>
      </c>
      <c r="BO175" s="58" t="s">
        <v>1293</v>
      </c>
      <c r="BP175" s="58" t="s">
        <v>1293</v>
      </c>
      <c r="BQ175" s="58" t="s">
        <v>1293</v>
      </c>
      <c r="BR175" s="58" t="s">
        <v>1293</v>
      </c>
      <c r="BS175" s="58" t="s">
        <v>1293</v>
      </c>
      <c r="BT175" s="58" t="s">
        <v>1293</v>
      </c>
      <c r="BU175" s="72">
        <f t="shared" si="614"/>
        <v>26</v>
      </c>
      <c r="BV175" s="73">
        <f t="shared" si="615"/>
        <v>62</v>
      </c>
      <c r="BW175" s="74">
        <f t="shared" si="616"/>
        <v>66</v>
      </c>
      <c r="BX175" s="73" t="str">
        <f t="shared" si="617"/>
        <v>-</v>
      </c>
      <c r="BY175" s="74">
        <f t="shared" si="618"/>
        <v>103</v>
      </c>
      <c r="BZ175" s="73" t="str">
        <f t="shared" si="619"/>
        <v>-</v>
      </c>
      <c r="CA175" s="74">
        <f t="shared" si="620"/>
        <v>140</v>
      </c>
      <c r="CB175" s="73">
        <f t="shared" si="621"/>
        <v>173</v>
      </c>
      <c r="CC175" s="74">
        <f t="shared" si="622"/>
        <v>182</v>
      </c>
      <c r="CD175" s="73">
        <f t="shared" si="623"/>
        <v>222</v>
      </c>
      <c r="CE175" s="74">
        <f t="shared" si="624"/>
        <v>262</v>
      </c>
      <c r="CF175" s="73">
        <f t="shared" si="625"/>
        <v>295</v>
      </c>
      <c r="CG175" s="72">
        <f t="shared" si="626"/>
        <v>61</v>
      </c>
      <c r="CH175" s="73">
        <f t="shared" si="627"/>
        <v>65</v>
      </c>
      <c r="CI175" s="74">
        <f t="shared" si="628"/>
        <v>95</v>
      </c>
      <c r="CJ175" s="74" t="str">
        <f t="shared" si="629"/>
        <v>-</v>
      </c>
      <c r="CK175" s="74">
        <f t="shared" si="630"/>
        <v>135</v>
      </c>
      <c r="CL175" s="74" t="str">
        <f t="shared" si="631"/>
        <v>-</v>
      </c>
      <c r="CM175" s="74">
        <f t="shared" si="632"/>
        <v>165</v>
      </c>
      <c r="CN175" s="74">
        <f t="shared" si="633"/>
        <v>175</v>
      </c>
      <c r="CO175" s="74">
        <f t="shared" si="634"/>
        <v>218</v>
      </c>
      <c r="CP175" s="74">
        <f t="shared" si="635"/>
        <v>257</v>
      </c>
      <c r="CQ175" s="74">
        <f t="shared" si="636"/>
        <v>294</v>
      </c>
      <c r="CR175" s="74">
        <f t="shared" si="637"/>
        <v>310</v>
      </c>
      <c r="CS175" s="23">
        <f t="shared" si="638"/>
        <v>1</v>
      </c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</row>
    <row r="176" spans="1:1028" x14ac:dyDescent="0.2">
      <c r="A176" s="3" t="str">
        <f t="shared" si="639"/>
        <v>us28_hcmva_4XT1</v>
      </c>
      <c r="B176" s="3" t="s">
        <v>924</v>
      </c>
      <c r="C176" s="3" t="s">
        <v>1124</v>
      </c>
      <c r="D176" s="3" t="str">
        <f>IFERROR(MID(VLOOKUP($B176,Seqs!$A:$B,2,0),E176,1),"")</f>
        <v>T</v>
      </c>
      <c r="E176" s="3">
        <v>26</v>
      </c>
      <c r="F176" s="3" t="str">
        <f>IFERROR(MID(VLOOKUP($B176,Seqs!$A:$B,2,0),G176,1),"")</f>
        <v>R</v>
      </c>
      <c r="G176" s="3">
        <v>61</v>
      </c>
      <c r="H176" s="3" t="str">
        <f>IFERROR(MID(VLOOKUP($B176,Seqs!$A:$B,2,0),I176,1),"")</f>
        <v/>
      </c>
      <c r="I176" s="23" t="s">
        <v>23</v>
      </c>
      <c r="J176" s="3" t="str">
        <f>IFERROR(MID(VLOOKUP($B176,Seqs!$A:$B,2,0),K176,1),"")</f>
        <v/>
      </c>
      <c r="K176" s="23" t="s">
        <v>23</v>
      </c>
      <c r="L176" s="3" t="str">
        <f>IFERROR(MID(VLOOKUP($B176,Seqs!$A:$B,2,0),M176,1),"")</f>
        <v>C</v>
      </c>
      <c r="M176" s="3">
        <v>66</v>
      </c>
      <c r="N176" s="3" t="str">
        <f>IFERROR(MID(VLOOKUP($B176,Seqs!$A:$B,2,0),O176,1),"")</f>
        <v>D</v>
      </c>
      <c r="O176" s="3">
        <v>95</v>
      </c>
      <c r="P176" s="3" t="str">
        <f>IFERROR(MID(VLOOKUP($B176,Seqs!$A:$B,2,0),Q176,1),"")</f>
        <v/>
      </c>
      <c r="Q176" s="3" t="s">
        <v>23</v>
      </c>
      <c r="R176" s="3" t="str">
        <f>IFERROR(MID(VLOOKUP($B176,Seqs!$A:$B,2,0),S176,1),"")</f>
        <v/>
      </c>
      <c r="S176" s="3" t="s">
        <v>23</v>
      </c>
      <c r="T176" s="3" t="str">
        <f>IFERROR(MID(VLOOKUP($B176,Seqs!$A:$B,2,0),U176,1),"")</f>
        <v>P</v>
      </c>
      <c r="U176" s="3">
        <v>103</v>
      </c>
      <c r="V176" s="3" t="str">
        <f>IFERROR(MID(VLOOKUP($B176,Seqs!$A:$B,2,0),W176,1),"")</f>
        <v>Y</v>
      </c>
      <c r="W176" s="3">
        <v>135</v>
      </c>
      <c r="X176" s="3" t="str">
        <f>IFERROR(MID(VLOOKUP($B176,Seqs!$A:$B,2,0),Y176,1),"")</f>
        <v/>
      </c>
      <c r="Y176" s="3" t="s">
        <v>23</v>
      </c>
      <c r="Z176" s="3" t="str">
        <f>IFERROR(MID(VLOOKUP($B176,Seqs!$A:$B,2,0),AA176,1),"")</f>
        <v/>
      </c>
      <c r="AA176" s="3" t="s">
        <v>23</v>
      </c>
      <c r="AB176" s="3" t="str">
        <f>IFERROR(MID(VLOOKUP($B176,Seqs!$A:$B,2,0),AC176,1),"")</f>
        <v>P</v>
      </c>
      <c r="AC176" s="9">
        <v>140</v>
      </c>
      <c r="AD176" s="3" t="str">
        <f>IFERROR(MID(VLOOKUP($B176,Seqs!$A:$B,2,0),AE176,1),"")</f>
        <v>V</v>
      </c>
      <c r="AE176" s="3">
        <v>165</v>
      </c>
      <c r="AF176" s="3" t="str">
        <f>IFERROR(MID(VLOOKUP($B176,Seqs!$A:$B,2,0),AG176,1),"")</f>
        <v>C</v>
      </c>
      <c r="AG176" s="3">
        <v>173</v>
      </c>
      <c r="AH176" s="3" t="str">
        <f>IFERROR(MID(VLOOKUP($B176,Seqs!$A:$B,2,0),AI176,1),"")</f>
        <v>T</v>
      </c>
      <c r="AI176" s="3">
        <v>175</v>
      </c>
      <c r="AJ176" s="3" t="str">
        <f>IFERROR(MID(VLOOKUP($B176,Seqs!$A:$B,2,0),AK176,1),"")</f>
        <v>V</v>
      </c>
      <c r="AK176" s="3">
        <v>182</v>
      </c>
      <c r="AL176" s="3" t="str">
        <f>IFERROR(MID(VLOOKUP($B176,Seqs!$A:$B,2,0),AM176,1),"")</f>
        <v>S</v>
      </c>
      <c r="AM176" s="3">
        <v>218</v>
      </c>
      <c r="AN176" s="3" t="str">
        <f>IFERROR(MID(VLOOKUP($B176,Seqs!$A:$B,2,0),AO176,1),"")</f>
        <v>H</v>
      </c>
      <c r="AO176" s="3">
        <v>222</v>
      </c>
      <c r="AP176" s="3" t="str">
        <f>IFERROR(MID(VLOOKUP($B176,Seqs!$A:$B,2,0),AQ176,1),"")</f>
        <v>K</v>
      </c>
      <c r="AQ176" s="3">
        <v>257</v>
      </c>
      <c r="AR176" s="3" t="str">
        <f>IFERROR(MID(VLOOKUP($B176,Seqs!$A:$B,2,0),AS176,1),"")</f>
        <v>C</v>
      </c>
      <c r="AS176" s="3">
        <v>263</v>
      </c>
      <c r="AT176" s="3" t="str">
        <f>IFERROR(MID(VLOOKUP($B176,Seqs!$A:$B,2,0),AU176,1),"")</f>
        <v>V</v>
      </c>
      <c r="AU176" s="3">
        <v>294</v>
      </c>
      <c r="AV176" s="3" t="str">
        <f>IFERROR(MID(VLOOKUP($B176,Seqs!$A:$B,2,0),AW176,1),"")</f>
        <v>G</v>
      </c>
      <c r="AW176" s="3">
        <v>295</v>
      </c>
      <c r="AX176" s="3" t="str">
        <f>IFERROR(MID(VLOOKUP($B176,Seqs!$A:$B,2,0),AY176,1),"")</f>
        <v>R</v>
      </c>
      <c r="AY176" s="3">
        <v>310</v>
      </c>
      <c r="AZ176" s="79" t="str">
        <f>VLOOKUP(B176,Classification!A:D,2,0)</f>
        <v>A</v>
      </c>
      <c r="BA176" s="97" t="str">
        <f>VLOOKUP(B176,Classification!A:D,4,0)</f>
        <v>Chemokine</v>
      </c>
      <c r="BB176" s="27" t="b">
        <f t="shared" si="640"/>
        <v>1</v>
      </c>
      <c r="BC176" s="23">
        <f t="shared" si="613"/>
        <v>252</v>
      </c>
      <c r="BD176" s="4" t="s">
        <v>1382</v>
      </c>
      <c r="BE176" s="3" t="s">
        <v>1297</v>
      </c>
      <c r="BF176" s="50" t="s">
        <v>1384</v>
      </c>
      <c r="BG176" s="50" t="s">
        <v>1384</v>
      </c>
      <c r="BH176" s="1"/>
      <c r="BI176" s="72" t="s">
        <v>1293</v>
      </c>
      <c r="BJ176" s="58" t="s">
        <v>1293</v>
      </c>
      <c r="BK176" s="58" t="s">
        <v>1293</v>
      </c>
      <c r="BL176" s="58" t="s">
        <v>1293</v>
      </c>
      <c r="BM176" s="58" t="s">
        <v>1293</v>
      </c>
      <c r="BN176" s="58" t="s">
        <v>1293</v>
      </c>
      <c r="BO176" s="58" t="s">
        <v>1293</v>
      </c>
      <c r="BP176" s="58" t="s">
        <v>1293</v>
      </c>
      <c r="BQ176" s="58" t="s">
        <v>1293</v>
      </c>
      <c r="BR176" s="58" t="s">
        <v>1293</v>
      </c>
      <c r="BS176" s="58" t="s">
        <v>1293</v>
      </c>
      <c r="BT176" s="58" t="s">
        <v>1293</v>
      </c>
      <c r="BU176" s="72">
        <f t="shared" si="614"/>
        <v>26</v>
      </c>
      <c r="BV176" s="73" t="str">
        <f t="shared" si="615"/>
        <v>-</v>
      </c>
      <c r="BW176" s="74">
        <f t="shared" si="616"/>
        <v>66</v>
      </c>
      <c r="BX176" s="73" t="str">
        <f t="shared" si="617"/>
        <v>-</v>
      </c>
      <c r="BY176" s="74">
        <f t="shared" si="618"/>
        <v>103</v>
      </c>
      <c r="BZ176" s="73" t="str">
        <f t="shared" si="619"/>
        <v>-</v>
      </c>
      <c r="CA176" s="74">
        <f t="shared" si="620"/>
        <v>140</v>
      </c>
      <c r="CB176" s="73">
        <f t="shared" si="621"/>
        <v>173</v>
      </c>
      <c r="CC176" s="74">
        <f t="shared" si="622"/>
        <v>182</v>
      </c>
      <c r="CD176" s="73">
        <f t="shared" si="623"/>
        <v>222</v>
      </c>
      <c r="CE176" s="74">
        <f t="shared" si="624"/>
        <v>263</v>
      </c>
      <c r="CF176" s="73">
        <f t="shared" si="625"/>
        <v>295</v>
      </c>
      <c r="CG176" s="72">
        <f t="shared" si="626"/>
        <v>61</v>
      </c>
      <c r="CH176" s="73" t="str">
        <f t="shared" si="627"/>
        <v>-</v>
      </c>
      <c r="CI176" s="74">
        <f t="shared" si="628"/>
        <v>95</v>
      </c>
      <c r="CJ176" s="74" t="str">
        <f t="shared" si="629"/>
        <v>-</v>
      </c>
      <c r="CK176" s="74">
        <f t="shared" si="630"/>
        <v>135</v>
      </c>
      <c r="CL176" s="74" t="str">
        <f t="shared" si="631"/>
        <v>-</v>
      </c>
      <c r="CM176" s="74">
        <f t="shared" si="632"/>
        <v>165</v>
      </c>
      <c r="CN176" s="74">
        <f t="shared" si="633"/>
        <v>175</v>
      </c>
      <c r="CO176" s="74">
        <f t="shared" si="634"/>
        <v>218</v>
      </c>
      <c r="CP176" s="74">
        <f t="shared" si="635"/>
        <v>257</v>
      </c>
      <c r="CQ176" s="74">
        <f t="shared" si="636"/>
        <v>294</v>
      </c>
      <c r="CR176" s="74">
        <f t="shared" si="637"/>
        <v>310</v>
      </c>
      <c r="CS176" s="23" t="e">
        <f t="shared" si="638"/>
        <v>#VALUE!</v>
      </c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</row>
    <row r="177" spans="1:1029" x14ac:dyDescent="0.2">
      <c r="A177" s="3" t="str">
        <f t="shared" si="639"/>
        <v>us28_hcmva_4XT3</v>
      </c>
      <c r="B177" s="2" t="s">
        <v>924</v>
      </c>
      <c r="C177" s="3" t="s">
        <v>1378</v>
      </c>
      <c r="D177" s="3" t="str">
        <f>IFERROR(MID(VLOOKUP($B177,Seqs!$A:$B,2,0),E177,1),"")</f>
        <v>T</v>
      </c>
      <c r="E177" s="3">
        <v>26</v>
      </c>
      <c r="F177" s="3" t="str">
        <f>IFERROR(MID(VLOOKUP($B177,Seqs!$A:$B,2,0),G177,1),"")</f>
        <v>R</v>
      </c>
      <c r="G177" s="108">
        <v>62</v>
      </c>
      <c r="H177" s="3" t="str">
        <f>IFERROR(MID(VLOOKUP($B177,Seqs!$A:$B,2,0),I177,1),"")</f>
        <v/>
      </c>
      <c r="I177" s="23" t="s">
        <v>23</v>
      </c>
      <c r="J177" s="3" t="str">
        <f>IFERROR(MID(VLOOKUP($B177,Seqs!$A:$B,2,0),K177,1),"")</f>
        <v/>
      </c>
      <c r="K177" s="23" t="s">
        <v>23</v>
      </c>
      <c r="L177" s="3" t="str">
        <f>IFERROR(MID(VLOOKUP($B177,Seqs!$A:$B,2,0),M177,1),"")</f>
        <v>C</v>
      </c>
      <c r="M177" s="3">
        <v>66</v>
      </c>
      <c r="N177" s="3" t="str">
        <f>IFERROR(MID(VLOOKUP($B177,Seqs!$A:$B,2,0),O177,1),"")</f>
        <v>D</v>
      </c>
      <c r="O177" s="3">
        <v>95</v>
      </c>
      <c r="P177" s="3" t="str">
        <f>IFERROR(MID(VLOOKUP($B177,Seqs!$A:$B,2,0),Q177,1),"")</f>
        <v/>
      </c>
      <c r="Q177" s="3" t="s">
        <v>23</v>
      </c>
      <c r="R177" s="3" t="str">
        <f>IFERROR(MID(VLOOKUP($B177,Seqs!$A:$B,2,0),S177,1),"")</f>
        <v/>
      </c>
      <c r="S177" s="3" t="s">
        <v>23</v>
      </c>
      <c r="T177" s="3" t="str">
        <f>IFERROR(MID(VLOOKUP($B177,Seqs!$A:$B,2,0),U177,1),"")</f>
        <v>P</v>
      </c>
      <c r="U177" s="3">
        <v>103</v>
      </c>
      <c r="V177" s="3" t="str">
        <f>IFERROR(MID(VLOOKUP($B177,Seqs!$A:$B,2,0),W177,1),"")</f>
        <v>Y</v>
      </c>
      <c r="W177" s="3">
        <v>135</v>
      </c>
      <c r="X177" s="3" t="str">
        <f>IFERROR(MID(VLOOKUP($B177,Seqs!$A:$B,2,0),Y177,1),"")</f>
        <v/>
      </c>
      <c r="Y177" s="3" t="s">
        <v>23</v>
      </c>
      <c r="Z177" s="3" t="str">
        <f>IFERROR(MID(VLOOKUP($B177,Seqs!$A:$B,2,0),AA177,1),"")</f>
        <v/>
      </c>
      <c r="AA177" s="3" t="s">
        <v>23</v>
      </c>
      <c r="AB177" s="3" t="str">
        <f>IFERROR(MID(VLOOKUP($B177,Seqs!$A:$B,2,0),AC177,1),"")</f>
        <v>P</v>
      </c>
      <c r="AC177" s="9">
        <v>140</v>
      </c>
      <c r="AD177" s="3" t="str">
        <f>IFERROR(MID(VLOOKUP($B177,Seqs!$A:$B,2,0),AE177,1),"")</f>
        <v>V</v>
      </c>
      <c r="AE177" s="3">
        <v>165</v>
      </c>
      <c r="AF177" s="3" t="str">
        <f>IFERROR(MID(VLOOKUP($B177,Seqs!$A:$B,2,0),AG177,1),"")</f>
        <v>C</v>
      </c>
      <c r="AG177" s="3">
        <v>173</v>
      </c>
      <c r="AH177" s="3" t="str">
        <f>IFERROR(MID(VLOOKUP($B177,Seqs!$A:$B,2,0),AI177,1),"")</f>
        <v>T</v>
      </c>
      <c r="AI177" s="3">
        <v>175</v>
      </c>
      <c r="AJ177" s="3" t="str">
        <f>IFERROR(MID(VLOOKUP($B177,Seqs!$A:$B,2,0),AK177,1),"")</f>
        <v>V</v>
      </c>
      <c r="AK177" s="3">
        <v>182</v>
      </c>
      <c r="AL177" s="3" t="str">
        <f>IFERROR(MID(VLOOKUP($B177,Seqs!$A:$B,2,0),AM177,1),"")</f>
        <v>S</v>
      </c>
      <c r="AM177" s="3">
        <v>218</v>
      </c>
      <c r="AN177" s="3" t="str">
        <f>IFERROR(MID(VLOOKUP($B177,Seqs!$A:$B,2,0),AO177,1),"")</f>
        <v>H</v>
      </c>
      <c r="AO177" s="3">
        <v>222</v>
      </c>
      <c r="AP177" s="3" t="str">
        <f>IFERROR(MID(VLOOKUP($B177,Seqs!$A:$B,2,0),AQ177,1),"")</f>
        <v>K</v>
      </c>
      <c r="AQ177" s="3">
        <v>257</v>
      </c>
      <c r="AR177" s="3" t="str">
        <f>IFERROR(MID(VLOOKUP($B177,Seqs!$A:$B,2,0),AS177,1),"")</f>
        <v>C</v>
      </c>
      <c r="AS177" s="3">
        <v>263</v>
      </c>
      <c r="AT177" s="3" t="str">
        <f>IFERROR(MID(VLOOKUP($B177,Seqs!$A:$B,2,0),AU177,1),"")</f>
        <v>V</v>
      </c>
      <c r="AU177" s="3">
        <v>294</v>
      </c>
      <c r="AV177" s="3" t="str">
        <f>IFERROR(MID(VLOOKUP($B177,Seqs!$A:$B,2,0),AW177,1),"")</f>
        <v/>
      </c>
      <c r="AW177" s="3" t="s">
        <v>23</v>
      </c>
      <c r="AX177" s="3" t="str">
        <f>IFERROR(MID(VLOOKUP($B177,Seqs!$A:$B,2,0),AY177,1),"")</f>
        <v/>
      </c>
      <c r="AY177" s="3" t="s">
        <v>23</v>
      </c>
      <c r="AZ177" s="79" t="str">
        <f>VLOOKUP(B177,Classification!A:D,2,0)</f>
        <v>A</v>
      </c>
      <c r="BA177" s="97" t="str">
        <f>VLOOKUP(B177,Classification!A:D,4,0)</f>
        <v>Chemokine</v>
      </c>
      <c r="BB177" s="27" t="b">
        <f t="shared" ref="BB177" si="781"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 t="shared" ref="BC177" si="782">_xlfn.AGGREGATE(9,6,CG177:CR177)-_xlfn.AGGREGATE(9,6,BU177:CF177)+12</f>
        <v>238</v>
      </c>
      <c r="BD177" s="4" t="s">
        <v>1382</v>
      </c>
      <c r="BE177" s="3" t="s">
        <v>1297</v>
      </c>
      <c r="BF177" s="50" t="s">
        <v>1384</v>
      </c>
      <c r="BG177" s="50" t="s">
        <v>1384</v>
      </c>
      <c r="BH177" s="1"/>
      <c r="BI177" s="72" t="s">
        <v>1293</v>
      </c>
      <c r="BJ177" s="58" t="s">
        <v>1293</v>
      </c>
      <c r="BK177" s="58" t="s">
        <v>1293</v>
      </c>
      <c r="BL177" s="58" t="s">
        <v>1293</v>
      </c>
      <c r="BM177" s="58" t="s">
        <v>1293</v>
      </c>
      <c r="BN177" s="58" t="s">
        <v>1293</v>
      </c>
      <c r="BO177" s="58" t="s">
        <v>1293</v>
      </c>
      <c r="BP177" s="58" t="s">
        <v>1293</v>
      </c>
      <c r="BQ177" s="58" t="s">
        <v>1293</v>
      </c>
      <c r="BR177" s="58" t="s">
        <v>1293</v>
      </c>
      <c r="BS177" s="58" t="s">
        <v>1293</v>
      </c>
      <c r="BT177" s="58" t="s">
        <v>1293</v>
      </c>
      <c r="BU177" s="72">
        <f t="shared" ref="BU177" si="783">E177</f>
        <v>26</v>
      </c>
      <c r="BV177" s="73" t="str">
        <f t="shared" ref="BV177" si="784">I177</f>
        <v>-</v>
      </c>
      <c r="BW177" s="74">
        <f t="shared" ref="BW177" si="785">M177</f>
        <v>66</v>
      </c>
      <c r="BX177" s="73" t="str">
        <f t="shared" ref="BX177" si="786">Q177</f>
        <v>-</v>
      </c>
      <c r="BY177" s="74">
        <f t="shared" ref="BY177" si="787">U177</f>
        <v>103</v>
      </c>
      <c r="BZ177" s="73" t="str">
        <f t="shared" ref="BZ177" si="788">Y177</f>
        <v>-</v>
      </c>
      <c r="CA177" s="74">
        <f t="shared" ref="CA177" si="789">AC177</f>
        <v>140</v>
      </c>
      <c r="CB177" s="73">
        <f t="shared" ref="CB177" si="790">AG177</f>
        <v>173</v>
      </c>
      <c r="CC177" s="74">
        <f t="shared" ref="CC177" si="791">AK177</f>
        <v>182</v>
      </c>
      <c r="CD177" s="73">
        <f t="shared" ref="CD177" si="792">AO177</f>
        <v>222</v>
      </c>
      <c r="CE177" s="74">
        <f t="shared" ref="CE177" si="793">AS177</f>
        <v>263</v>
      </c>
      <c r="CF177" s="73" t="str">
        <f t="shared" ref="CF177" si="794">AW177</f>
        <v>-</v>
      </c>
      <c r="CG177" s="72">
        <f t="shared" ref="CG177" si="795">G177</f>
        <v>62</v>
      </c>
      <c r="CH177" s="73" t="str">
        <f t="shared" ref="CH177" si="796">K177</f>
        <v>-</v>
      </c>
      <c r="CI177" s="74">
        <f t="shared" ref="CI177" si="797">O177</f>
        <v>95</v>
      </c>
      <c r="CJ177" s="74" t="str">
        <f t="shared" ref="CJ177" si="798">S177</f>
        <v>-</v>
      </c>
      <c r="CK177" s="74">
        <f t="shared" ref="CK177" si="799">W177</f>
        <v>135</v>
      </c>
      <c r="CL177" s="74" t="str">
        <f t="shared" ref="CL177" si="800">AA177</f>
        <v>-</v>
      </c>
      <c r="CM177" s="74">
        <f t="shared" ref="CM177" si="801">AE177</f>
        <v>165</v>
      </c>
      <c r="CN177" s="74">
        <f t="shared" ref="CN177" si="802">AI177</f>
        <v>175</v>
      </c>
      <c r="CO177" s="74">
        <f t="shared" ref="CO177" si="803">AM177</f>
        <v>218</v>
      </c>
      <c r="CP177" s="74">
        <f t="shared" ref="CP177" si="804">AQ177</f>
        <v>257</v>
      </c>
      <c r="CQ177" s="74">
        <f t="shared" ref="CQ177" si="805">AU177</f>
        <v>294</v>
      </c>
      <c r="CR177" s="74" t="str">
        <f t="shared" ref="CR177" si="806">AY177</f>
        <v>-</v>
      </c>
      <c r="CS177" s="23" t="e">
        <f t="shared" ref="CS177" si="807">M177-K177</f>
        <v>#VALUE!</v>
      </c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  <c r="ALU177" s="6"/>
      <c r="ALV177" s="6"/>
      <c r="ALW177" s="6"/>
      <c r="ALX177" s="6"/>
      <c r="ALY177" s="6"/>
      <c r="ALZ177" s="6"/>
      <c r="AMA177" s="6"/>
      <c r="AMB177" s="6"/>
      <c r="AMC177" s="6"/>
      <c r="AMD177" s="6"/>
      <c r="AME177" s="6"/>
      <c r="AMF177" s="6"/>
      <c r="AMG177" s="6"/>
      <c r="AMH177" s="6"/>
      <c r="AMI177" s="6"/>
      <c r="AMJ177" s="6"/>
      <c r="AMK177" s="6"/>
      <c r="AML177" s="6"/>
      <c r="AMM177" s="6"/>
      <c r="AMN177" s="6"/>
      <c r="AMO177" s="6"/>
    </row>
    <row r="178" spans="1:1029" s="12" customFormat="1" x14ac:dyDescent="0.2">
      <c r="A178" s="9" t="str">
        <f t="shared" ref="A178:A179" si="808">CONCATENATE(B178,"_",C178)</f>
        <v>calcr_human__wt</v>
      </c>
      <c r="B178" s="41" t="s">
        <v>401</v>
      </c>
      <c r="C178" s="9" t="s">
        <v>100</v>
      </c>
      <c r="D178" s="9" t="str">
        <f>IFERROR(MID(VLOOKUP($B178,Seqs!$A:$B,2,0),E178,1),"")</f>
        <v>T</v>
      </c>
      <c r="E178" s="9">
        <v>132</v>
      </c>
      <c r="F178" s="9" t="str">
        <f>IFERROR(MID(VLOOKUP($B178,Seqs!$A:$B,2,0),G178,1),"")</f>
        <v>F</v>
      </c>
      <c r="G178" s="9">
        <v>173</v>
      </c>
      <c r="H178" s="9" t="str">
        <f>IFERROR(MID(VLOOKUP($B178,Seqs!$A:$B,2,0),I178,1),"")</f>
        <v>R</v>
      </c>
      <c r="I178" s="112">
        <v>174</v>
      </c>
      <c r="J178" s="9" t="str">
        <f>IFERROR(MID(VLOOKUP($B178,Seqs!$A:$B,2,0),K178,1),"")</f>
        <v>G</v>
      </c>
      <c r="K178" s="112">
        <v>177</v>
      </c>
      <c r="L178" s="9" t="str">
        <f>IFERROR(MID(VLOOKUP($B178,Seqs!$A:$B,2,0),M178,1),"")</f>
        <v>C</v>
      </c>
      <c r="M178" s="9">
        <v>178</v>
      </c>
      <c r="N178" s="9" t="str">
        <f>IFERROR(MID(VLOOKUP($B178,Seqs!$A:$B,2,0),O178,1),"")</f>
        <v>V</v>
      </c>
      <c r="O178" s="9">
        <v>205</v>
      </c>
      <c r="P178" s="9" t="str">
        <f>IFERROR(MID(VLOOKUP($B178,Seqs!$A:$B,2,0),Q178,1),"")</f>
        <v/>
      </c>
      <c r="Q178" s="9" t="s">
        <v>23</v>
      </c>
      <c r="R178" s="9" t="str">
        <f>IFERROR(MID(VLOOKUP($B178,Seqs!$A:$B,2,0),S178,1),"")</f>
        <v/>
      </c>
      <c r="S178" s="9" t="s">
        <v>23</v>
      </c>
      <c r="T178" s="9" t="str">
        <f>IFERROR(MID(VLOOKUP($B178,Seqs!$A:$B,2,0),U178,1),"")</f>
        <v>D</v>
      </c>
      <c r="U178" s="9">
        <v>215</v>
      </c>
      <c r="V178" s="9" t="str">
        <f>IFERROR(MID(VLOOKUP($B178,Seqs!$A:$B,2,0),W178,1),"")</f>
        <v>V</v>
      </c>
      <c r="W178" s="9">
        <v>250</v>
      </c>
      <c r="X178" s="9" t="str">
        <f>IFERROR(MID(VLOOKUP($B178,Seqs!$A:$B,2,0),Y178,1),"")</f>
        <v/>
      </c>
      <c r="Y178" s="9" t="s">
        <v>23</v>
      </c>
      <c r="Z178" s="9" t="str">
        <f>IFERROR(MID(VLOOKUP($B178,Seqs!$A:$B,2,0),AA178,1),"")</f>
        <v/>
      </c>
      <c r="AA178" s="9" t="s">
        <v>23</v>
      </c>
      <c r="AB178" s="9" t="str">
        <f>IFERROR(MID(VLOOKUP($B178,Seqs!$A:$B,2,0),AC178,1),"")</f>
        <v>R</v>
      </c>
      <c r="AC178" s="9">
        <v>258</v>
      </c>
      <c r="AD178" s="9" t="str">
        <f>IFERROR(MID(VLOOKUP($B178,Seqs!$A:$B,2,0),AE178,1),"")</f>
        <v>F</v>
      </c>
      <c r="AE178" s="9">
        <v>285</v>
      </c>
      <c r="AF178" s="9" t="str">
        <f>IFERROR(MID(VLOOKUP($B178,Seqs!$A:$B,2,0),AG178,1),"")</f>
        <v>C</v>
      </c>
      <c r="AG178" s="9">
        <v>289</v>
      </c>
      <c r="AH178" s="9" t="str">
        <f>IFERROR(MID(VLOOKUP($B178,Seqs!$A:$B,2,0),AI178,1),"")</f>
        <v>L</v>
      </c>
      <c r="AI178" s="9">
        <v>291</v>
      </c>
      <c r="AJ178" s="9" t="str">
        <f>IFERROR(MID(VLOOKUP($B178,Seqs!$A:$B,2,0),AK178,1),"")</f>
        <v>L</v>
      </c>
      <c r="AK178" s="9">
        <v>298</v>
      </c>
      <c r="AL178" s="9" t="str">
        <f>IFERROR(MID(VLOOKUP($B178,Seqs!$A:$B,2,0),AM178,1),"")</f>
        <v>R</v>
      </c>
      <c r="AM178" s="9">
        <v>328</v>
      </c>
      <c r="AN178" s="9" t="str">
        <f>IFERROR(MID(VLOOKUP($B178,Seqs!$A:$B,2,0),AO178,1),"")</f>
        <v>Y</v>
      </c>
      <c r="AO178" s="9">
        <v>338</v>
      </c>
      <c r="AP178" s="9" t="str">
        <f>IFERROR(MID(VLOOKUP($B178,Seqs!$A:$B,2,0),AQ178,1),"")</f>
        <v>W</v>
      </c>
      <c r="AQ178" s="9">
        <v>361</v>
      </c>
      <c r="AR178" s="9" t="str">
        <f>IFERROR(MID(VLOOKUP($B178,Seqs!$A:$B,2,0),AS178,1),"")</f>
        <v>K</v>
      </c>
      <c r="AS178" s="9">
        <v>366</v>
      </c>
      <c r="AT178" s="9" t="str">
        <f>IFERROR(MID(VLOOKUP($B178,Seqs!$A:$B,2,0),AU178,1),"")</f>
        <v>C</v>
      </c>
      <c r="AU178" s="9">
        <v>394</v>
      </c>
      <c r="AV178" s="9" t="str">
        <f>IFERROR(MID(VLOOKUP($B178,Seqs!$A:$B,2,0),AW178,1),"")</f>
        <v>N</v>
      </c>
      <c r="AW178" s="9">
        <v>395</v>
      </c>
      <c r="AX178" s="9" t="str">
        <f>IFERROR(MID(VLOOKUP($B178,Seqs!$A:$B,2,0),AY178,1),"")</f>
        <v>R</v>
      </c>
      <c r="AY178" s="9">
        <v>420</v>
      </c>
      <c r="AZ178" s="113" t="str">
        <f>VLOOKUP(B178,Classification!A:D,2,0)</f>
        <v>B1</v>
      </c>
      <c r="BA178" s="101" t="str">
        <f>VLOOKUP(B178,Classification!A:D,4,0)</f>
        <v>Calcitonin</v>
      </c>
      <c r="BB178" s="37" t="b">
        <f t="shared" ref="BB178:BB179" si="809"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12">
        <f t="shared" ref="BC178:BC179" si="810">_xlfn.AGGREGATE(9,6,CG178:CR178)-_xlfn.AGGREGATE(9,6,BU178:CF178)+12</f>
        <v>253</v>
      </c>
      <c r="BD178" s="11" t="s">
        <v>23</v>
      </c>
      <c r="BE178" s="9" t="s">
        <v>1297</v>
      </c>
      <c r="BF178" s="52" t="s">
        <v>1384</v>
      </c>
      <c r="BG178" s="52" t="s">
        <v>1384</v>
      </c>
      <c r="BI178" s="114" t="s">
        <v>1293</v>
      </c>
      <c r="BJ178" s="115" t="s">
        <v>1293</v>
      </c>
      <c r="BK178" s="115" t="s">
        <v>1293</v>
      </c>
      <c r="BL178" s="115" t="s">
        <v>1293</v>
      </c>
      <c r="BM178" s="115" t="s">
        <v>1293</v>
      </c>
      <c r="BN178" s="115" t="s">
        <v>1293</v>
      </c>
      <c r="BO178" s="115" t="s">
        <v>1293</v>
      </c>
      <c r="BP178" s="115" t="s">
        <v>1293</v>
      </c>
      <c r="BQ178" s="115" t="s">
        <v>1293</v>
      </c>
      <c r="BR178" s="115" t="s">
        <v>1293</v>
      </c>
      <c r="BS178" s="115" t="s">
        <v>1293</v>
      </c>
      <c r="BT178" s="115" t="s">
        <v>1293</v>
      </c>
      <c r="BU178" s="114">
        <f t="shared" ref="BU178:BU179" si="811">E178</f>
        <v>132</v>
      </c>
      <c r="BV178" s="116">
        <f t="shared" ref="BV178:BV179" si="812">I178</f>
        <v>174</v>
      </c>
      <c r="BW178" s="117">
        <f t="shared" ref="BW178:BW179" si="813">M178</f>
        <v>178</v>
      </c>
      <c r="BX178" s="116" t="str">
        <f t="shared" ref="BX178:BX179" si="814">Q178</f>
        <v>-</v>
      </c>
      <c r="BY178" s="117">
        <f t="shared" ref="BY178:BY179" si="815">U178</f>
        <v>215</v>
      </c>
      <c r="BZ178" s="116" t="str">
        <f t="shared" ref="BZ178:BZ179" si="816">Y178</f>
        <v>-</v>
      </c>
      <c r="CA178" s="117">
        <f t="shared" ref="CA178:CA179" si="817">AC178</f>
        <v>258</v>
      </c>
      <c r="CB178" s="116">
        <f t="shared" ref="CB178:CB179" si="818">AG178</f>
        <v>289</v>
      </c>
      <c r="CC178" s="117">
        <f t="shared" ref="CC178:CC179" si="819">AK178</f>
        <v>298</v>
      </c>
      <c r="CD178" s="116">
        <f t="shared" ref="CD178:CD179" si="820">AO178</f>
        <v>338</v>
      </c>
      <c r="CE178" s="117">
        <f t="shared" ref="CE178:CE179" si="821">AS178</f>
        <v>366</v>
      </c>
      <c r="CF178" s="116">
        <f t="shared" ref="CF178:CF179" si="822">AW178</f>
        <v>395</v>
      </c>
      <c r="CG178" s="114">
        <f t="shared" ref="CG178:CG179" si="823">G178</f>
        <v>173</v>
      </c>
      <c r="CH178" s="116">
        <f t="shared" ref="CH178:CH179" si="824">K178</f>
        <v>177</v>
      </c>
      <c r="CI178" s="117">
        <f t="shared" ref="CI178:CI179" si="825">O178</f>
        <v>205</v>
      </c>
      <c r="CJ178" s="117" t="str">
        <f t="shared" ref="CJ178:CJ179" si="826">S178</f>
        <v>-</v>
      </c>
      <c r="CK178" s="117">
        <f t="shared" ref="CK178:CK179" si="827">W178</f>
        <v>250</v>
      </c>
      <c r="CL178" s="117" t="str">
        <f t="shared" ref="CL178:CL179" si="828">AA178</f>
        <v>-</v>
      </c>
      <c r="CM178" s="117">
        <f t="shared" ref="CM178:CM179" si="829">AE178</f>
        <v>285</v>
      </c>
      <c r="CN178" s="117">
        <f t="shared" ref="CN178:CN179" si="830">AI178</f>
        <v>291</v>
      </c>
      <c r="CO178" s="117">
        <f t="shared" ref="CO178:CO179" si="831">AM178</f>
        <v>328</v>
      </c>
      <c r="CP178" s="117">
        <f t="shared" ref="CP178:CP179" si="832">AQ178</f>
        <v>361</v>
      </c>
      <c r="CQ178" s="117">
        <f t="shared" ref="CQ178:CQ179" si="833">AU178</f>
        <v>394</v>
      </c>
      <c r="CR178" s="117">
        <f t="shared" ref="CR178:CR179" si="834">AY178</f>
        <v>420</v>
      </c>
      <c r="CS178" s="112">
        <f t="shared" ref="CS178:CS179" si="835">M178-K178</f>
        <v>1</v>
      </c>
      <c r="CT178" s="118"/>
      <c r="CU178" s="118"/>
      <c r="CV178" s="118"/>
      <c r="CW178" s="118"/>
      <c r="CX178" s="118"/>
      <c r="CY178" s="118"/>
      <c r="CZ178" s="118"/>
      <c r="DA178" s="118"/>
      <c r="DB178" s="118"/>
      <c r="DC178" s="118"/>
      <c r="DD178" s="118"/>
      <c r="DE178" s="118"/>
      <c r="DF178" s="118"/>
      <c r="DG178" s="118"/>
      <c r="DH178" s="118"/>
      <c r="DI178" s="118"/>
      <c r="DJ178" s="118"/>
      <c r="DK178" s="118"/>
      <c r="DL178" s="118"/>
      <c r="DM178" s="118"/>
      <c r="DN178" s="118"/>
      <c r="DO178" s="118"/>
      <c r="DP178" s="118"/>
      <c r="DQ178" s="118"/>
      <c r="DR178" s="118"/>
      <c r="DS178" s="118"/>
      <c r="DT178" s="118"/>
      <c r="DU178" s="118"/>
      <c r="DV178" s="118"/>
      <c r="DW178" s="118"/>
      <c r="DX178" s="118"/>
      <c r="DY178" s="118"/>
      <c r="DZ178" s="118"/>
      <c r="EA178" s="118"/>
      <c r="EB178" s="118"/>
      <c r="EC178" s="118"/>
      <c r="ED178" s="118"/>
      <c r="EE178" s="118"/>
      <c r="EF178" s="118"/>
      <c r="EG178" s="118"/>
      <c r="EH178" s="118"/>
      <c r="EI178" s="118"/>
      <c r="EJ178" s="118"/>
      <c r="EK178" s="118"/>
      <c r="EL178" s="118"/>
      <c r="EM178" s="118"/>
      <c r="EN178" s="118"/>
      <c r="EO178" s="118"/>
      <c r="EP178" s="118"/>
      <c r="EQ178" s="118"/>
      <c r="ER178" s="118"/>
      <c r="ES178" s="118"/>
      <c r="ET178" s="118"/>
      <c r="EU178" s="118"/>
      <c r="EV178" s="118"/>
      <c r="EW178" s="118"/>
      <c r="EX178" s="118"/>
      <c r="EY178" s="118"/>
      <c r="EZ178" s="118"/>
      <c r="FA178" s="118"/>
      <c r="FB178" s="118"/>
      <c r="FC178" s="118"/>
      <c r="FD178" s="118"/>
      <c r="FE178" s="118"/>
      <c r="FF178" s="118"/>
      <c r="FG178" s="118"/>
      <c r="FH178" s="118"/>
      <c r="FI178" s="118"/>
      <c r="FJ178" s="118"/>
      <c r="FK178" s="118"/>
      <c r="FL178" s="118"/>
      <c r="FM178" s="118"/>
      <c r="FN178" s="118"/>
      <c r="FO178" s="118"/>
      <c r="FP178" s="118"/>
      <c r="FQ178" s="118"/>
      <c r="FR178" s="118"/>
      <c r="FS178" s="118"/>
      <c r="FT178" s="118"/>
      <c r="FU178" s="118"/>
      <c r="FV178" s="118"/>
      <c r="FW178" s="118"/>
      <c r="FX178" s="118"/>
      <c r="FY178" s="118"/>
      <c r="FZ178" s="118"/>
      <c r="GA178" s="118"/>
      <c r="GB178" s="118"/>
      <c r="GC178" s="118"/>
      <c r="GD178" s="118"/>
      <c r="GE178" s="118"/>
      <c r="GF178" s="118"/>
      <c r="GG178" s="118"/>
      <c r="GH178" s="118"/>
      <c r="GI178" s="118"/>
      <c r="GJ178" s="118"/>
      <c r="GK178" s="118"/>
      <c r="GL178" s="118"/>
      <c r="GM178" s="118"/>
      <c r="GN178" s="118"/>
      <c r="GO178" s="118"/>
      <c r="GP178" s="118"/>
      <c r="GQ178" s="118"/>
      <c r="GR178" s="118"/>
      <c r="GS178" s="118"/>
      <c r="GT178" s="118"/>
      <c r="GU178" s="118"/>
      <c r="GV178" s="118"/>
      <c r="GW178" s="118"/>
      <c r="GX178" s="118"/>
      <c r="GY178" s="118"/>
      <c r="GZ178" s="118"/>
      <c r="HA178" s="118"/>
      <c r="HB178" s="118"/>
      <c r="HC178" s="118"/>
      <c r="HD178" s="118"/>
      <c r="HE178" s="118"/>
      <c r="HF178" s="118"/>
      <c r="HG178" s="118"/>
      <c r="HH178" s="118"/>
      <c r="HI178" s="118"/>
      <c r="HJ178" s="118"/>
      <c r="HK178" s="118"/>
      <c r="HL178" s="118"/>
      <c r="HM178" s="118"/>
      <c r="HN178" s="118"/>
      <c r="HO178" s="118"/>
      <c r="HP178" s="118"/>
      <c r="HQ178" s="118"/>
      <c r="HR178" s="118"/>
      <c r="HS178" s="118"/>
      <c r="HT178" s="118"/>
      <c r="HU178" s="118"/>
      <c r="HV178" s="118"/>
      <c r="HW178" s="118"/>
      <c r="HX178" s="118"/>
      <c r="HY178" s="118"/>
      <c r="HZ178" s="118"/>
      <c r="IA178" s="118"/>
      <c r="IB178" s="118"/>
      <c r="IC178" s="118"/>
      <c r="ID178" s="118"/>
      <c r="IE178" s="118"/>
      <c r="IF178" s="118"/>
      <c r="IG178" s="118"/>
      <c r="IH178" s="118"/>
      <c r="II178" s="118"/>
      <c r="IJ178" s="118"/>
      <c r="IK178" s="118"/>
      <c r="IL178" s="118"/>
      <c r="IM178" s="118"/>
      <c r="IN178" s="118"/>
      <c r="IO178" s="118"/>
      <c r="IP178" s="118"/>
      <c r="IQ178" s="118"/>
      <c r="IR178" s="118"/>
      <c r="IS178" s="118"/>
      <c r="IT178" s="118"/>
      <c r="IU178" s="118"/>
      <c r="IV178" s="118"/>
      <c r="IW178" s="118"/>
      <c r="IX178" s="118"/>
      <c r="IY178" s="118"/>
      <c r="IZ178" s="118"/>
      <c r="JA178" s="118"/>
      <c r="JB178" s="118"/>
      <c r="JC178" s="118"/>
      <c r="JD178" s="118"/>
      <c r="JE178" s="118"/>
      <c r="JF178" s="118"/>
      <c r="JG178" s="118"/>
      <c r="JH178" s="118"/>
      <c r="JI178" s="118"/>
      <c r="JJ178" s="118"/>
      <c r="JK178" s="118"/>
      <c r="JL178" s="118"/>
      <c r="JM178" s="118"/>
      <c r="JN178" s="118"/>
      <c r="JO178" s="118"/>
      <c r="JP178" s="118"/>
      <c r="JQ178" s="118"/>
      <c r="JR178" s="118"/>
      <c r="JS178" s="118"/>
      <c r="JT178" s="118"/>
      <c r="JU178" s="118"/>
      <c r="JV178" s="118"/>
      <c r="JW178" s="118"/>
      <c r="JX178" s="118"/>
      <c r="JY178" s="118"/>
      <c r="JZ178" s="118"/>
      <c r="KA178" s="118"/>
      <c r="KB178" s="118"/>
      <c r="KC178" s="118"/>
      <c r="KD178" s="118"/>
      <c r="KE178" s="118"/>
      <c r="KF178" s="118"/>
      <c r="KG178" s="118"/>
      <c r="KH178" s="118"/>
      <c r="KI178" s="118"/>
      <c r="KJ178" s="118"/>
      <c r="KK178" s="118"/>
      <c r="KL178" s="118"/>
      <c r="KM178" s="118"/>
      <c r="KN178" s="118"/>
      <c r="KO178" s="118"/>
      <c r="KP178" s="118"/>
      <c r="KQ178" s="118"/>
      <c r="KR178" s="118"/>
      <c r="KS178" s="118"/>
      <c r="KT178" s="118"/>
      <c r="KU178" s="118"/>
      <c r="KV178" s="118"/>
      <c r="KW178" s="118"/>
      <c r="KX178" s="118"/>
      <c r="KY178" s="118"/>
      <c r="KZ178" s="118"/>
      <c r="LA178" s="118"/>
      <c r="LB178" s="118"/>
      <c r="LC178" s="118"/>
      <c r="LD178" s="118"/>
      <c r="LE178" s="118"/>
      <c r="LF178" s="118"/>
      <c r="LG178" s="118"/>
      <c r="LH178" s="118"/>
      <c r="LI178" s="118"/>
      <c r="LJ178" s="118"/>
      <c r="LK178" s="118"/>
      <c r="LL178" s="118"/>
      <c r="LM178" s="118"/>
      <c r="LN178" s="118"/>
      <c r="LO178" s="118"/>
      <c r="LP178" s="118"/>
      <c r="LQ178" s="118"/>
      <c r="LR178" s="118"/>
      <c r="LS178" s="118"/>
      <c r="LT178" s="118"/>
      <c r="LU178" s="118"/>
      <c r="LV178" s="118"/>
      <c r="LW178" s="118"/>
      <c r="LX178" s="118"/>
      <c r="LY178" s="118"/>
      <c r="LZ178" s="118"/>
      <c r="MA178" s="118"/>
      <c r="MB178" s="118"/>
      <c r="MC178" s="118"/>
      <c r="MD178" s="118"/>
      <c r="ME178" s="118"/>
      <c r="MF178" s="118"/>
      <c r="MG178" s="118"/>
      <c r="MH178" s="118"/>
      <c r="MI178" s="118"/>
      <c r="MJ178" s="118"/>
      <c r="MK178" s="118"/>
      <c r="ML178" s="118"/>
      <c r="MM178" s="118"/>
      <c r="MN178" s="118"/>
      <c r="MO178" s="118"/>
      <c r="MP178" s="118"/>
      <c r="MQ178" s="118"/>
      <c r="MR178" s="118"/>
      <c r="MS178" s="118"/>
      <c r="MT178" s="118"/>
      <c r="MU178" s="118"/>
      <c r="MV178" s="118"/>
      <c r="MW178" s="118"/>
      <c r="MX178" s="118"/>
      <c r="MY178" s="118"/>
      <c r="MZ178" s="118"/>
      <c r="NA178" s="118"/>
      <c r="NB178" s="118"/>
      <c r="NC178" s="118"/>
      <c r="ND178" s="118"/>
      <c r="NE178" s="118"/>
      <c r="NF178" s="118"/>
      <c r="NG178" s="118"/>
      <c r="NH178" s="118"/>
      <c r="NI178" s="118"/>
      <c r="NJ178" s="118"/>
      <c r="NK178" s="118"/>
      <c r="NL178" s="118"/>
      <c r="NM178" s="118"/>
      <c r="NN178" s="118"/>
      <c r="NO178" s="118"/>
      <c r="NP178" s="118"/>
      <c r="NQ178" s="118"/>
      <c r="NR178" s="118"/>
      <c r="NS178" s="118"/>
      <c r="NT178" s="118"/>
      <c r="NU178" s="118"/>
      <c r="NV178" s="118"/>
      <c r="NW178" s="118"/>
      <c r="NX178" s="118"/>
      <c r="NY178" s="118"/>
      <c r="NZ178" s="118"/>
      <c r="OA178" s="118"/>
      <c r="OB178" s="118"/>
      <c r="OC178" s="118"/>
      <c r="OD178" s="118"/>
      <c r="OE178" s="118"/>
      <c r="OF178" s="118"/>
      <c r="OG178" s="118"/>
      <c r="OH178" s="118"/>
      <c r="OI178" s="118"/>
      <c r="OJ178" s="118"/>
      <c r="OK178" s="118"/>
      <c r="OL178" s="118"/>
      <c r="OM178" s="118"/>
      <c r="ON178" s="118"/>
      <c r="OO178" s="118"/>
      <c r="OP178" s="118"/>
      <c r="OQ178" s="118"/>
      <c r="OR178" s="118"/>
      <c r="OS178" s="118"/>
      <c r="OT178" s="118"/>
      <c r="OU178" s="118"/>
      <c r="OV178" s="118"/>
      <c r="OW178" s="118"/>
      <c r="OX178" s="118"/>
      <c r="OY178" s="118"/>
      <c r="OZ178" s="118"/>
      <c r="PA178" s="118"/>
      <c r="PB178" s="118"/>
      <c r="PC178" s="118"/>
      <c r="PD178" s="118"/>
      <c r="PE178" s="118"/>
      <c r="PF178" s="118"/>
      <c r="PG178" s="118"/>
      <c r="PH178" s="118"/>
      <c r="PI178" s="118"/>
      <c r="PJ178" s="118"/>
      <c r="PK178" s="118"/>
      <c r="PL178" s="118"/>
      <c r="PM178" s="118"/>
      <c r="PN178" s="118"/>
      <c r="PO178" s="118"/>
      <c r="PP178" s="118"/>
      <c r="PQ178" s="118"/>
      <c r="PR178" s="118"/>
      <c r="PS178" s="118"/>
      <c r="PT178" s="118"/>
      <c r="PU178" s="118"/>
      <c r="PV178" s="118"/>
      <c r="PW178" s="118"/>
      <c r="PX178" s="118"/>
      <c r="PY178" s="118"/>
      <c r="PZ178" s="118"/>
      <c r="QA178" s="118"/>
      <c r="QB178" s="118"/>
      <c r="QC178" s="118"/>
      <c r="QD178" s="118"/>
      <c r="QE178" s="118"/>
      <c r="QF178" s="118"/>
      <c r="QG178" s="118"/>
      <c r="QH178" s="118"/>
      <c r="QI178" s="118"/>
      <c r="QJ178" s="118"/>
      <c r="QK178" s="118"/>
      <c r="QL178" s="118"/>
      <c r="QM178" s="118"/>
      <c r="QN178" s="118"/>
      <c r="QO178" s="118"/>
      <c r="QP178" s="118"/>
      <c r="QQ178" s="118"/>
      <c r="QR178" s="118"/>
      <c r="QS178" s="118"/>
      <c r="QT178" s="118"/>
      <c r="QU178" s="118"/>
      <c r="QV178" s="118"/>
      <c r="QW178" s="118"/>
      <c r="QX178" s="118"/>
      <c r="QY178" s="118"/>
      <c r="QZ178" s="118"/>
      <c r="RA178" s="118"/>
      <c r="RB178" s="118"/>
      <c r="RC178" s="118"/>
      <c r="RD178" s="118"/>
      <c r="RE178" s="118"/>
      <c r="RF178" s="118"/>
      <c r="RG178" s="118"/>
      <c r="RH178" s="118"/>
      <c r="RI178" s="118"/>
      <c r="RJ178" s="118"/>
      <c r="RK178" s="118"/>
      <c r="RL178" s="118"/>
      <c r="RM178" s="118"/>
      <c r="RN178" s="118"/>
      <c r="RO178" s="118"/>
      <c r="RP178" s="118"/>
      <c r="RQ178" s="118"/>
      <c r="RR178" s="118"/>
      <c r="RS178" s="118"/>
      <c r="RT178" s="118"/>
      <c r="RU178" s="118"/>
      <c r="RV178" s="118"/>
      <c r="RW178" s="118"/>
      <c r="RX178" s="118"/>
      <c r="RY178" s="118"/>
      <c r="RZ178" s="118"/>
      <c r="SA178" s="118"/>
      <c r="SB178" s="118"/>
      <c r="SC178" s="118"/>
      <c r="SD178" s="118"/>
      <c r="SE178" s="118"/>
      <c r="SF178" s="118"/>
      <c r="SG178" s="118"/>
      <c r="SH178" s="118"/>
      <c r="SI178" s="118"/>
      <c r="SJ178" s="118"/>
      <c r="SK178" s="118"/>
      <c r="SL178" s="118"/>
      <c r="SM178" s="118"/>
      <c r="SN178" s="118"/>
      <c r="SO178" s="118"/>
      <c r="SP178" s="118"/>
      <c r="SQ178" s="118"/>
      <c r="SR178" s="118"/>
      <c r="SS178" s="118"/>
      <c r="ST178" s="118"/>
      <c r="SU178" s="118"/>
      <c r="SV178" s="118"/>
      <c r="SW178" s="118"/>
      <c r="SX178" s="118"/>
      <c r="SY178" s="118"/>
      <c r="SZ178" s="118"/>
      <c r="TA178" s="118"/>
      <c r="TB178" s="118"/>
      <c r="TC178" s="118"/>
      <c r="TD178" s="118"/>
      <c r="TE178" s="118"/>
      <c r="TF178" s="118"/>
      <c r="TG178" s="118"/>
      <c r="TH178" s="118"/>
      <c r="TI178" s="118"/>
      <c r="TJ178" s="118"/>
      <c r="TK178" s="118"/>
      <c r="TL178" s="118"/>
      <c r="TM178" s="118"/>
      <c r="TN178" s="118"/>
      <c r="TO178" s="118"/>
      <c r="TP178" s="118"/>
      <c r="TQ178" s="118"/>
      <c r="TR178" s="118"/>
      <c r="TS178" s="118"/>
      <c r="TT178" s="118"/>
      <c r="TU178" s="118"/>
      <c r="TV178" s="118"/>
      <c r="TW178" s="118"/>
      <c r="TX178" s="118"/>
      <c r="TY178" s="118"/>
      <c r="TZ178" s="118"/>
      <c r="UA178" s="118"/>
      <c r="UB178" s="118"/>
      <c r="UC178" s="118"/>
      <c r="UD178" s="118"/>
      <c r="UE178" s="118"/>
      <c r="UF178" s="118"/>
      <c r="UG178" s="118"/>
      <c r="UH178" s="118"/>
      <c r="UI178" s="118"/>
      <c r="UJ178" s="118"/>
      <c r="UK178" s="118"/>
      <c r="UL178" s="118"/>
      <c r="UM178" s="118"/>
      <c r="UN178" s="118"/>
      <c r="UO178" s="118"/>
      <c r="UP178" s="118"/>
      <c r="UQ178" s="118"/>
      <c r="UR178" s="118"/>
      <c r="US178" s="118"/>
      <c r="UT178" s="118"/>
      <c r="UU178" s="118"/>
      <c r="UV178" s="118"/>
      <c r="UW178" s="118"/>
      <c r="UX178" s="118"/>
      <c r="UY178" s="118"/>
      <c r="UZ178" s="118"/>
      <c r="VA178" s="118"/>
      <c r="VB178" s="118"/>
      <c r="VC178" s="118"/>
      <c r="VD178" s="118"/>
      <c r="VE178" s="118"/>
      <c r="VF178" s="118"/>
      <c r="VG178" s="118"/>
      <c r="VH178" s="118"/>
      <c r="VI178" s="118"/>
      <c r="VJ178" s="118"/>
      <c r="VK178" s="118"/>
      <c r="VL178" s="118"/>
      <c r="VM178" s="118"/>
      <c r="VN178" s="118"/>
      <c r="VO178" s="118"/>
      <c r="VP178" s="118"/>
      <c r="VQ178" s="118"/>
      <c r="VR178" s="118"/>
      <c r="VS178" s="118"/>
      <c r="VT178" s="118"/>
      <c r="VU178" s="118"/>
      <c r="VV178" s="118"/>
      <c r="VW178" s="118"/>
      <c r="VX178" s="118"/>
      <c r="VY178" s="118"/>
      <c r="VZ178" s="118"/>
      <c r="WA178" s="118"/>
      <c r="WB178" s="118"/>
      <c r="WC178" s="118"/>
      <c r="WD178" s="118"/>
      <c r="WE178" s="118"/>
      <c r="WF178" s="118"/>
      <c r="WG178" s="118"/>
      <c r="WH178" s="118"/>
      <c r="WI178" s="118"/>
      <c r="WJ178" s="118"/>
      <c r="WK178" s="118"/>
      <c r="WL178" s="118"/>
      <c r="WM178" s="118"/>
      <c r="WN178" s="118"/>
      <c r="WO178" s="118"/>
      <c r="WP178" s="118"/>
      <c r="WQ178" s="118"/>
      <c r="WR178" s="118"/>
      <c r="WS178" s="118"/>
      <c r="WT178" s="118"/>
      <c r="WU178" s="118"/>
      <c r="WV178" s="118"/>
      <c r="WW178" s="118"/>
      <c r="WX178" s="118"/>
      <c r="WY178" s="118"/>
      <c r="WZ178" s="118"/>
      <c r="XA178" s="118"/>
      <c r="XB178" s="118"/>
      <c r="XC178" s="118"/>
      <c r="XD178" s="118"/>
      <c r="XE178" s="118"/>
      <c r="XF178" s="118"/>
      <c r="XG178" s="118"/>
      <c r="XH178" s="118"/>
      <c r="XI178" s="118"/>
      <c r="XJ178" s="118"/>
      <c r="XK178" s="118"/>
      <c r="XL178" s="118"/>
      <c r="XM178" s="118"/>
      <c r="XN178" s="118"/>
      <c r="XO178" s="118"/>
      <c r="XP178" s="118"/>
      <c r="XQ178" s="118"/>
      <c r="XR178" s="118"/>
      <c r="XS178" s="118"/>
      <c r="XT178" s="118"/>
      <c r="XU178" s="118"/>
      <c r="XV178" s="118"/>
      <c r="XW178" s="118"/>
      <c r="XX178" s="118"/>
      <c r="XY178" s="118"/>
      <c r="XZ178" s="118"/>
      <c r="YA178" s="118"/>
      <c r="YB178" s="118"/>
      <c r="YC178" s="118"/>
      <c r="YD178" s="118"/>
      <c r="YE178" s="118"/>
      <c r="YF178" s="118"/>
      <c r="YG178" s="118"/>
      <c r="YH178" s="118"/>
      <c r="YI178" s="118"/>
      <c r="YJ178" s="118"/>
      <c r="YK178" s="118"/>
      <c r="YL178" s="118"/>
      <c r="YM178" s="118"/>
      <c r="YN178" s="118"/>
      <c r="YO178" s="118"/>
      <c r="YP178" s="118"/>
      <c r="YQ178" s="118"/>
      <c r="YR178" s="118"/>
      <c r="YS178" s="118"/>
      <c r="YT178" s="118"/>
      <c r="YU178" s="118"/>
      <c r="YV178" s="118"/>
      <c r="YW178" s="118"/>
      <c r="YX178" s="118"/>
      <c r="YY178" s="118"/>
      <c r="YZ178" s="118"/>
      <c r="ZA178" s="118"/>
      <c r="ZB178" s="118"/>
      <c r="ZC178" s="118"/>
      <c r="ZD178" s="118"/>
      <c r="ZE178" s="118"/>
      <c r="ZF178" s="118"/>
      <c r="ZG178" s="118"/>
      <c r="ZH178" s="118"/>
      <c r="ZI178" s="118"/>
      <c r="ZJ178" s="118"/>
      <c r="ZK178" s="118"/>
      <c r="ZL178" s="118"/>
      <c r="ZM178" s="118"/>
      <c r="ZN178" s="118"/>
      <c r="ZO178" s="118"/>
      <c r="ZP178" s="118"/>
      <c r="ZQ178" s="118"/>
      <c r="ZR178" s="118"/>
      <c r="ZS178" s="118"/>
      <c r="ZT178" s="118"/>
      <c r="ZU178" s="118"/>
      <c r="ZV178" s="118"/>
      <c r="ZW178" s="118"/>
      <c r="ZX178" s="118"/>
      <c r="ZY178" s="118"/>
      <c r="ZZ178" s="118"/>
      <c r="AAA178" s="118"/>
      <c r="AAB178" s="118"/>
      <c r="AAC178" s="118"/>
      <c r="AAD178" s="118"/>
      <c r="AAE178" s="118"/>
      <c r="AAF178" s="118"/>
      <c r="AAG178" s="118"/>
      <c r="AAH178" s="118"/>
      <c r="AAI178" s="118"/>
      <c r="AAJ178" s="118"/>
      <c r="AAK178" s="118"/>
      <c r="AAL178" s="118"/>
      <c r="AAM178" s="118"/>
      <c r="AAN178" s="118"/>
      <c r="AAO178" s="118"/>
      <c r="AAP178" s="118"/>
      <c r="AAQ178" s="118"/>
      <c r="AAR178" s="118"/>
      <c r="AAS178" s="118"/>
      <c r="AAT178" s="118"/>
      <c r="AAU178" s="118"/>
      <c r="AAV178" s="118"/>
      <c r="AAW178" s="118"/>
      <c r="AAX178" s="118"/>
      <c r="AAY178" s="118"/>
      <c r="AAZ178" s="118"/>
      <c r="ABA178" s="118"/>
      <c r="ABB178" s="118"/>
      <c r="ABC178" s="118"/>
      <c r="ABD178" s="118"/>
      <c r="ABE178" s="118"/>
      <c r="ABF178" s="118"/>
      <c r="ABG178" s="118"/>
      <c r="ABH178" s="118"/>
      <c r="ABI178" s="118"/>
      <c r="ABJ178" s="118"/>
      <c r="ABK178" s="118"/>
      <c r="ABL178" s="118"/>
      <c r="ABM178" s="118"/>
      <c r="ABN178" s="118"/>
      <c r="ABO178" s="118"/>
      <c r="ABP178" s="118"/>
      <c r="ABQ178" s="118"/>
      <c r="ABR178" s="118"/>
      <c r="ABS178" s="118"/>
      <c r="ABT178" s="118"/>
      <c r="ABU178" s="118"/>
      <c r="ABV178" s="118"/>
      <c r="ABW178" s="118"/>
      <c r="ABX178" s="118"/>
      <c r="ABY178" s="118"/>
      <c r="ABZ178" s="118"/>
      <c r="ACA178" s="118"/>
      <c r="ACB178" s="118"/>
      <c r="ACC178" s="118"/>
      <c r="ACD178" s="118"/>
      <c r="ACE178" s="118"/>
      <c r="ACF178" s="118"/>
      <c r="ACG178" s="118"/>
      <c r="ACH178" s="118"/>
      <c r="ACI178" s="118"/>
      <c r="ACJ178" s="118"/>
      <c r="ACK178" s="118"/>
      <c r="ACL178" s="118"/>
      <c r="ACM178" s="118"/>
      <c r="ACN178" s="118"/>
      <c r="ACO178" s="118"/>
      <c r="ACP178" s="118"/>
      <c r="ACQ178" s="118"/>
      <c r="ACR178" s="118"/>
      <c r="ACS178" s="118"/>
      <c r="ACT178" s="118"/>
      <c r="ACU178" s="118"/>
      <c r="ACV178" s="118"/>
      <c r="ACW178" s="118"/>
      <c r="ACX178" s="118"/>
      <c r="ACY178" s="118"/>
      <c r="ACZ178" s="118"/>
      <c r="ADA178" s="118"/>
      <c r="ADB178" s="118"/>
      <c r="ADC178" s="118"/>
      <c r="ADD178" s="118"/>
      <c r="ADE178" s="118"/>
      <c r="ADF178" s="118"/>
      <c r="ADG178" s="118"/>
      <c r="ADH178" s="118"/>
      <c r="ADI178" s="118"/>
      <c r="ADJ178" s="118"/>
      <c r="ADK178" s="118"/>
      <c r="ADL178" s="118"/>
      <c r="ADM178" s="118"/>
      <c r="ADN178" s="118"/>
      <c r="ADO178" s="118"/>
      <c r="ADP178" s="118"/>
      <c r="ADQ178" s="118"/>
      <c r="ADR178" s="118"/>
      <c r="ADS178" s="118"/>
      <c r="ADT178" s="118"/>
      <c r="ADU178" s="118"/>
      <c r="ADV178" s="118"/>
      <c r="ADW178" s="118"/>
      <c r="ADX178" s="118"/>
      <c r="ADY178" s="118"/>
      <c r="ADZ178" s="118"/>
      <c r="AEA178" s="118"/>
      <c r="AEB178" s="118"/>
      <c r="AEC178" s="118"/>
      <c r="AED178" s="118"/>
      <c r="AEE178" s="118"/>
      <c r="AEF178" s="118"/>
      <c r="AEG178" s="118"/>
      <c r="AEH178" s="118"/>
      <c r="AEI178" s="118"/>
      <c r="AEJ178" s="118"/>
      <c r="AEK178" s="118"/>
      <c r="AEL178" s="118"/>
      <c r="AEM178" s="118"/>
      <c r="AEN178" s="118"/>
      <c r="AEO178" s="118"/>
      <c r="AEP178" s="118"/>
      <c r="AEQ178" s="118"/>
      <c r="AER178" s="118"/>
      <c r="AES178" s="118"/>
      <c r="AET178" s="118"/>
      <c r="AEU178" s="118"/>
      <c r="AEV178" s="118"/>
      <c r="AEW178" s="118"/>
      <c r="AEX178" s="118"/>
      <c r="AEY178" s="118"/>
      <c r="AEZ178" s="118"/>
      <c r="AFA178" s="118"/>
      <c r="AFB178" s="118"/>
      <c r="AFC178" s="118"/>
      <c r="AFD178" s="118"/>
      <c r="AFE178" s="118"/>
      <c r="AFF178" s="118"/>
      <c r="AFG178" s="118"/>
      <c r="AFH178" s="118"/>
      <c r="AFI178" s="118"/>
      <c r="AFJ178" s="118"/>
      <c r="AFK178" s="118"/>
      <c r="AFL178" s="118"/>
      <c r="AFM178" s="118"/>
      <c r="AFN178" s="118"/>
      <c r="AFO178" s="118"/>
      <c r="AFP178" s="118"/>
      <c r="AFQ178" s="118"/>
      <c r="AFR178" s="118"/>
      <c r="AFS178" s="118"/>
      <c r="AFT178" s="118"/>
      <c r="AFU178" s="118"/>
      <c r="AFV178" s="118"/>
      <c r="AFW178" s="118"/>
      <c r="AFX178" s="118"/>
      <c r="AFY178" s="118"/>
      <c r="AFZ178" s="118"/>
      <c r="AGA178" s="118"/>
      <c r="AGB178" s="118"/>
      <c r="AGC178" s="118"/>
      <c r="AGD178" s="118"/>
      <c r="AGE178" s="118"/>
      <c r="AGF178" s="118"/>
      <c r="AGG178" s="118"/>
      <c r="AGH178" s="118"/>
      <c r="AGI178" s="118"/>
      <c r="AGJ178" s="118"/>
      <c r="AGK178" s="118"/>
      <c r="AGL178" s="118"/>
      <c r="AGM178" s="118"/>
      <c r="AGN178" s="118"/>
      <c r="AGO178" s="118"/>
      <c r="AGP178" s="118"/>
      <c r="AGQ178" s="118"/>
      <c r="AGR178" s="118"/>
      <c r="AGS178" s="118"/>
      <c r="AGT178" s="118"/>
      <c r="AGU178" s="118"/>
      <c r="AGV178" s="118"/>
      <c r="AGW178" s="118"/>
      <c r="AGX178" s="118"/>
      <c r="AGY178" s="118"/>
      <c r="AGZ178" s="118"/>
      <c r="AHA178" s="118"/>
      <c r="AHB178" s="118"/>
      <c r="AHC178" s="118"/>
      <c r="AHD178" s="118"/>
      <c r="AHE178" s="118"/>
      <c r="AHF178" s="118"/>
      <c r="AHG178" s="118"/>
      <c r="AHH178" s="118"/>
      <c r="AHI178" s="118"/>
      <c r="AHJ178" s="118"/>
      <c r="AHK178" s="118"/>
      <c r="AHL178" s="118"/>
      <c r="AHM178" s="118"/>
      <c r="AHN178" s="118"/>
      <c r="AHO178" s="118"/>
      <c r="AHP178" s="118"/>
      <c r="AHQ178" s="118"/>
      <c r="AHR178" s="118"/>
      <c r="AHS178" s="118"/>
      <c r="AHT178" s="118"/>
      <c r="AHU178" s="118"/>
      <c r="AHV178" s="118"/>
      <c r="AHW178" s="118"/>
      <c r="AHX178" s="118"/>
      <c r="AHY178" s="118"/>
      <c r="AHZ178" s="118"/>
      <c r="AIA178" s="118"/>
      <c r="AIB178" s="118"/>
      <c r="AIC178" s="118"/>
      <c r="AID178" s="118"/>
      <c r="AIE178" s="118"/>
      <c r="AIF178" s="118"/>
      <c r="AIG178" s="118"/>
      <c r="AIH178" s="118"/>
      <c r="AII178" s="118"/>
      <c r="AIJ178" s="118"/>
      <c r="AIK178" s="118"/>
      <c r="AIL178" s="118"/>
      <c r="AIM178" s="118"/>
      <c r="AIN178" s="118"/>
      <c r="AIO178" s="118"/>
      <c r="AIP178" s="118"/>
      <c r="AIQ178" s="118"/>
      <c r="AIR178" s="118"/>
      <c r="AIS178" s="118"/>
      <c r="AIT178" s="118"/>
      <c r="AIU178" s="118"/>
      <c r="AIV178" s="118"/>
      <c r="AIW178" s="118"/>
      <c r="AIX178" s="118"/>
      <c r="AIY178" s="118"/>
      <c r="AIZ178" s="118"/>
      <c r="AJA178" s="118"/>
      <c r="AJB178" s="118"/>
      <c r="AJC178" s="118"/>
      <c r="AJD178" s="118"/>
      <c r="AJE178" s="118"/>
      <c r="AJF178" s="118"/>
      <c r="AJG178" s="118"/>
      <c r="AJH178" s="118"/>
      <c r="AJI178" s="118"/>
      <c r="AJJ178" s="118"/>
      <c r="AJK178" s="118"/>
      <c r="AJL178" s="118"/>
      <c r="AJM178" s="118"/>
      <c r="AJN178" s="118"/>
      <c r="AJO178" s="118"/>
      <c r="AJP178" s="118"/>
      <c r="AJQ178" s="118"/>
      <c r="AJR178" s="118"/>
      <c r="AJS178" s="118"/>
      <c r="AJT178" s="118"/>
      <c r="AJU178" s="118"/>
      <c r="AJV178" s="118"/>
      <c r="AJW178" s="118"/>
      <c r="AJX178" s="118"/>
      <c r="AJY178" s="118"/>
      <c r="AJZ178" s="118"/>
      <c r="AKA178" s="118"/>
      <c r="AKB178" s="118"/>
      <c r="AKC178" s="118"/>
      <c r="AKD178" s="118"/>
      <c r="AKE178" s="118"/>
      <c r="AKF178" s="118"/>
      <c r="AKG178" s="118"/>
      <c r="AKH178" s="118"/>
      <c r="AKI178" s="118"/>
      <c r="AKJ178" s="118"/>
      <c r="AKK178" s="118"/>
      <c r="AKL178" s="118"/>
      <c r="AKM178" s="118"/>
      <c r="AKN178" s="118"/>
      <c r="AKO178" s="118"/>
      <c r="AKP178" s="118"/>
      <c r="AKQ178" s="118"/>
      <c r="AKR178" s="118"/>
      <c r="AKS178" s="118"/>
      <c r="AKT178" s="118"/>
      <c r="AKU178" s="118"/>
      <c r="AKV178" s="118"/>
      <c r="AKW178" s="118"/>
      <c r="AKX178" s="118"/>
      <c r="AKY178" s="118"/>
      <c r="AKZ178" s="118"/>
      <c r="ALA178" s="118"/>
      <c r="ALB178" s="118"/>
      <c r="ALC178" s="118"/>
      <c r="ALD178" s="118"/>
      <c r="ALE178" s="118"/>
      <c r="ALF178" s="118"/>
      <c r="ALG178" s="118"/>
      <c r="ALH178" s="118"/>
      <c r="ALI178" s="118"/>
      <c r="ALJ178" s="118"/>
      <c r="ALK178" s="118"/>
      <c r="ALL178" s="118"/>
      <c r="ALM178" s="118"/>
      <c r="ALN178" s="118"/>
      <c r="ALO178" s="118"/>
      <c r="ALP178" s="118"/>
      <c r="ALQ178" s="118"/>
      <c r="ALR178" s="118"/>
      <c r="ALS178" s="118"/>
      <c r="ALT178" s="118"/>
      <c r="ALU178" s="118"/>
      <c r="ALV178" s="118"/>
      <c r="ALW178" s="118"/>
      <c r="ALX178" s="118"/>
      <c r="ALY178" s="118"/>
      <c r="ALZ178" s="118"/>
      <c r="AMA178" s="118"/>
      <c r="AMB178" s="118"/>
      <c r="AMC178" s="118"/>
      <c r="AMD178" s="118"/>
      <c r="AME178" s="118"/>
      <c r="AMF178" s="118"/>
      <c r="AMG178" s="118"/>
      <c r="AMH178" s="118"/>
      <c r="AMI178" s="118"/>
      <c r="AMJ178" s="118"/>
      <c r="AMK178" s="118"/>
      <c r="AML178" s="118"/>
      <c r="AMM178" s="118"/>
      <c r="AMN178" s="118"/>
      <c r="AMO178" s="118"/>
    </row>
    <row r="179" spans="1:1029" s="12" customFormat="1" x14ac:dyDescent="0.2">
      <c r="A179" s="9" t="str">
        <f t="shared" si="808"/>
        <v>calcr_human_5UZ7</v>
      </c>
      <c r="B179" s="41" t="s">
        <v>401</v>
      </c>
      <c r="C179" s="9" t="s">
        <v>1409</v>
      </c>
      <c r="D179" s="9" t="str">
        <f>IFERROR(MID(VLOOKUP($B179,Seqs!$A:$B,2,0),E179,1),"")</f>
        <v>A</v>
      </c>
      <c r="E179" s="9">
        <v>136</v>
      </c>
      <c r="F179" s="9" t="str">
        <f>IFERROR(MID(VLOOKUP($B179,Seqs!$A:$B,2,0),G179,1),"")</f>
        <v>F</v>
      </c>
      <c r="G179" s="9">
        <v>173</v>
      </c>
      <c r="H179" s="9" t="str">
        <f>IFERROR(MID(VLOOKUP($B179,Seqs!$A:$B,2,0),I179,1),"")</f>
        <v>R</v>
      </c>
      <c r="I179" s="112">
        <v>174</v>
      </c>
      <c r="J179" s="9" t="str">
        <f>IFERROR(MID(VLOOKUP($B179,Seqs!$A:$B,2,0),K179,1),"")</f>
        <v>G</v>
      </c>
      <c r="K179" s="112">
        <v>177</v>
      </c>
      <c r="L179" s="9" t="str">
        <f>IFERROR(MID(VLOOKUP($B179,Seqs!$A:$B,2,0),M179,1),"")</f>
        <v>C</v>
      </c>
      <c r="M179" s="9">
        <v>178</v>
      </c>
      <c r="N179" s="9" t="str">
        <f>IFERROR(MID(VLOOKUP($B179,Seqs!$A:$B,2,0),O179,1),"")</f>
        <v>V</v>
      </c>
      <c r="O179" s="9">
        <v>205</v>
      </c>
      <c r="P179" s="9" t="str">
        <f>IFERROR(MID(VLOOKUP($B179,Seqs!$A:$B,2,0),Q179,1),"")</f>
        <v/>
      </c>
      <c r="Q179" s="9" t="s">
        <v>23</v>
      </c>
      <c r="R179" s="9" t="str">
        <f>IFERROR(MID(VLOOKUP($B179,Seqs!$A:$B,2,0),S179,1),"")</f>
        <v/>
      </c>
      <c r="S179" s="9" t="s">
        <v>23</v>
      </c>
      <c r="T179" s="9" t="str">
        <f>IFERROR(MID(VLOOKUP($B179,Seqs!$A:$B,2,0),U179,1),"")</f>
        <v>D</v>
      </c>
      <c r="U179" s="9">
        <v>215</v>
      </c>
      <c r="V179" s="9" t="str">
        <f>IFERROR(MID(VLOOKUP($B179,Seqs!$A:$B,2,0),W179,1),"")</f>
        <v>V</v>
      </c>
      <c r="W179" s="9">
        <v>250</v>
      </c>
      <c r="X179" s="9" t="str">
        <f>IFERROR(MID(VLOOKUP($B179,Seqs!$A:$B,2,0),Y179,1),"")</f>
        <v/>
      </c>
      <c r="Y179" s="9" t="s">
        <v>23</v>
      </c>
      <c r="Z179" s="9" t="str">
        <f>IFERROR(MID(VLOOKUP($B179,Seqs!$A:$B,2,0),AA179,1),"")</f>
        <v/>
      </c>
      <c r="AA179" s="9" t="s">
        <v>23</v>
      </c>
      <c r="AB179" s="9" t="str">
        <f>IFERROR(MID(VLOOKUP($B179,Seqs!$A:$B,2,0),AC179,1),"")</f>
        <v>R</v>
      </c>
      <c r="AC179" s="9">
        <v>258</v>
      </c>
      <c r="AD179" s="9" t="str">
        <f>IFERROR(MID(VLOOKUP($B179,Seqs!$A:$B,2,0),AE179,1),"")</f>
        <v>F</v>
      </c>
      <c r="AE179" s="9">
        <v>285</v>
      </c>
      <c r="AF179" s="9" t="str">
        <f>IFERROR(MID(VLOOKUP($B179,Seqs!$A:$B,2,0),AG179,1),"")</f>
        <v>C</v>
      </c>
      <c r="AG179" s="9">
        <v>289</v>
      </c>
      <c r="AH179" s="9" t="str">
        <f>IFERROR(MID(VLOOKUP($B179,Seqs!$A:$B,2,0),AI179,1),"")</f>
        <v>L</v>
      </c>
      <c r="AI179" s="9">
        <v>291</v>
      </c>
      <c r="AJ179" s="9" t="str">
        <f>IFERROR(MID(VLOOKUP($B179,Seqs!$A:$B,2,0),AK179,1),"")</f>
        <v>L</v>
      </c>
      <c r="AK179" s="9">
        <v>298</v>
      </c>
      <c r="AL179" s="9" t="str">
        <f>IFERROR(MID(VLOOKUP($B179,Seqs!$A:$B,2,0),AM179,1),"")</f>
        <v>R</v>
      </c>
      <c r="AM179" s="9">
        <v>328</v>
      </c>
      <c r="AN179" s="9" t="str">
        <f>IFERROR(MID(VLOOKUP($B179,Seqs!$A:$B,2,0),AO179,1),"")</f>
        <v>Y</v>
      </c>
      <c r="AO179" s="9">
        <v>338</v>
      </c>
      <c r="AP179" s="9" t="str">
        <f>IFERROR(MID(VLOOKUP($B179,Seqs!$A:$B,2,0),AQ179,1),"")</f>
        <v>P</v>
      </c>
      <c r="AQ179" s="9">
        <v>360</v>
      </c>
      <c r="AR179" s="9" t="str">
        <f>IFERROR(MID(VLOOKUP($B179,Seqs!$A:$B,2,0),AS179,1),"")</f>
        <v>K</v>
      </c>
      <c r="AS179" s="9">
        <v>366</v>
      </c>
      <c r="AT179" s="9" t="str">
        <f>IFERROR(MID(VLOOKUP($B179,Seqs!$A:$B,2,0),AU179,1),"")</f>
        <v>C</v>
      </c>
      <c r="AU179" s="9">
        <v>394</v>
      </c>
      <c r="AV179" s="9" t="str">
        <f>IFERROR(MID(VLOOKUP($B179,Seqs!$A:$B,2,0),AW179,1),"")</f>
        <v>N</v>
      </c>
      <c r="AW179" s="9">
        <v>395</v>
      </c>
      <c r="AX179" s="9" t="str">
        <f>IFERROR(MID(VLOOKUP($B179,Seqs!$A:$B,2,0),AY179,1),"")</f>
        <v>G</v>
      </c>
      <c r="AY179" s="9">
        <v>418</v>
      </c>
      <c r="AZ179" s="113" t="str">
        <f>VLOOKUP(B179,Classification!A:D,2,0)</f>
        <v>B1</v>
      </c>
      <c r="BA179" s="101" t="str">
        <f>VLOOKUP(B179,Classification!A:D,4,0)</f>
        <v>Calcitonin</v>
      </c>
      <c r="BB179" s="37" t="b">
        <f t="shared" si="809"/>
        <v>1</v>
      </c>
      <c r="BC179" s="112">
        <f t="shared" si="810"/>
        <v>246</v>
      </c>
      <c r="BD179" s="11" t="s">
        <v>1382</v>
      </c>
      <c r="BE179" s="9" t="s">
        <v>1297</v>
      </c>
      <c r="BF179" s="52" t="s">
        <v>1384</v>
      </c>
      <c r="BG179" s="52" t="s">
        <v>1384</v>
      </c>
      <c r="BI179" s="114" t="s">
        <v>1293</v>
      </c>
      <c r="BJ179" s="115" t="s">
        <v>1293</v>
      </c>
      <c r="BK179" s="115" t="s">
        <v>1293</v>
      </c>
      <c r="BL179" s="115" t="s">
        <v>1293</v>
      </c>
      <c r="BM179" s="115" t="s">
        <v>1293</v>
      </c>
      <c r="BN179" s="115" t="s">
        <v>1293</v>
      </c>
      <c r="BO179" s="115" t="s">
        <v>1293</v>
      </c>
      <c r="BP179" s="115" t="s">
        <v>1293</v>
      </c>
      <c r="BQ179" s="115" t="s">
        <v>1293</v>
      </c>
      <c r="BR179" s="115" t="s">
        <v>1293</v>
      </c>
      <c r="BS179" s="115" t="s">
        <v>1293</v>
      </c>
      <c r="BT179" s="115" t="s">
        <v>1293</v>
      </c>
      <c r="BU179" s="114">
        <f t="shared" si="811"/>
        <v>136</v>
      </c>
      <c r="BV179" s="116">
        <f t="shared" si="812"/>
        <v>174</v>
      </c>
      <c r="BW179" s="117">
        <f t="shared" si="813"/>
        <v>178</v>
      </c>
      <c r="BX179" s="116" t="str">
        <f t="shared" si="814"/>
        <v>-</v>
      </c>
      <c r="BY179" s="117">
        <f t="shared" si="815"/>
        <v>215</v>
      </c>
      <c r="BZ179" s="116" t="str">
        <f t="shared" si="816"/>
        <v>-</v>
      </c>
      <c r="CA179" s="117">
        <f t="shared" si="817"/>
        <v>258</v>
      </c>
      <c r="CB179" s="116">
        <f t="shared" si="818"/>
        <v>289</v>
      </c>
      <c r="CC179" s="117">
        <f t="shared" si="819"/>
        <v>298</v>
      </c>
      <c r="CD179" s="116">
        <f t="shared" si="820"/>
        <v>338</v>
      </c>
      <c r="CE179" s="117">
        <f t="shared" si="821"/>
        <v>366</v>
      </c>
      <c r="CF179" s="116">
        <f t="shared" si="822"/>
        <v>395</v>
      </c>
      <c r="CG179" s="114">
        <f t="shared" si="823"/>
        <v>173</v>
      </c>
      <c r="CH179" s="116">
        <f t="shared" si="824"/>
        <v>177</v>
      </c>
      <c r="CI179" s="117">
        <f t="shared" si="825"/>
        <v>205</v>
      </c>
      <c r="CJ179" s="117" t="str">
        <f t="shared" si="826"/>
        <v>-</v>
      </c>
      <c r="CK179" s="117">
        <f t="shared" si="827"/>
        <v>250</v>
      </c>
      <c r="CL179" s="117" t="str">
        <f t="shared" si="828"/>
        <v>-</v>
      </c>
      <c r="CM179" s="117">
        <f t="shared" si="829"/>
        <v>285</v>
      </c>
      <c r="CN179" s="117">
        <f t="shared" si="830"/>
        <v>291</v>
      </c>
      <c r="CO179" s="117">
        <f t="shared" si="831"/>
        <v>328</v>
      </c>
      <c r="CP179" s="117">
        <f t="shared" si="832"/>
        <v>360</v>
      </c>
      <c r="CQ179" s="117">
        <f t="shared" si="833"/>
        <v>394</v>
      </c>
      <c r="CR179" s="117">
        <f t="shared" si="834"/>
        <v>418</v>
      </c>
      <c r="CS179" s="112">
        <f t="shared" si="835"/>
        <v>1</v>
      </c>
      <c r="CT179" s="118"/>
      <c r="CU179" s="118"/>
      <c r="CV179" s="118"/>
      <c r="CW179" s="118"/>
      <c r="CX179" s="118"/>
      <c r="CY179" s="118"/>
      <c r="CZ179" s="118"/>
      <c r="DA179" s="118"/>
      <c r="DB179" s="118"/>
      <c r="DC179" s="118"/>
      <c r="DD179" s="118"/>
      <c r="DE179" s="118"/>
      <c r="DF179" s="118"/>
      <c r="DG179" s="118"/>
      <c r="DH179" s="118"/>
      <c r="DI179" s="118"/>
      <c r="DJ179" s="118"/>
      <c r="DK179" s="118"/>
      <c r="DL179" s="118"/>
      <c r="DM179" s="118"/>
      <c r="DN179" s="118"/>
      <c r="DO179" s="118"/>
      <c r="DP179" s="118"/>
      <c r="DQ179" s="118"/>
      <c r="DR179" s="118"/>
      <c r="DS179" s="118"/>
      <c r="DT179" s="118"/>
      <c r="DU179" s="118"/>
      <c r="DV179" s="118"/>
      <c r="DW179" s="118"/>
      <c r="DX179" s="118"/>
      <c r="DY179" s="118"/>
      <c r="DZ179" s="118"/>
      <c r="EA179" s="118"/>
      <c r="EB179" s="118"/>
      <c r="EC179" s="118"/>
      <c r="ED179" s="118"/>
      <c r="EE179" s="118"/>
      <c r="EF179" s="118"/>
      <c r="EG179" s="118"/>
      <c r="EH179" s="118"/>
      <c r="EI179" s="118"/>
      <c r="EJ179" s="118"/>
      <c r="EK179" s="118"/>
      <c r="EL179" s="118"/>
      <c r="EM179" s="118"/>
      <c r="EN179" s="118"/>
      <c r="EO179" s="118"/>
      <c r="EP179" s="118"/>
      <c r="EQ179" s="118"/>
      <c r="ER179" s="118"/>
      <c r="ES179" s="118"/>
      <c r="ET179" s="118"/>
      <c r="EU179" s="118"/>
      <c r="EV179" s="118"/>
      <c r="EW179" s="118"/>
      <c r="EX179" s="118"/>
      <c r="EY179" s="118"/>
      <c r="EZ179" s="118"/>
      <c r="FA179" s="118"/>
      <c r="FB179" s="118"/>
      <c r="FC179" s="118"/>
      <c r="FD179" s="118"/>
      <c r="FE179" s="118"/>
      <c r="FF179" s="118"/>
      <c r="FG179" s="118"/>
      <c r="FH179" s="118"/>
      <c r="FI179" s="118"/>
      <c r="FJ179" s="118"/>
      <c r="FK179" s="118"/>
      <c r="FL179" s="118"/>
      <c r="FM179" s="118"/>
      <c r="FN179" s="118"/>
      <c r="FO179" s="118"/>
      <c r="FP179" s="118"/>
      <c r="FQ179" s="118"/>
      <c r="FR179" s="118"/>
      <c r="FS179" s="118"/>
      <c r="FT179" s="118"/>
      <c r="FU179" s="118"/>
      <c r="FV179" s="118"/>
      <c r="FW179" s="118"/>
      <c r="FX179" s="118"/>
      <c r="FY179" s="118"/>
      <c r="FZ179" s="118"/>
      <c r="GA179" s="118"/>
      <c r="GB179" s="118"/>
      <c r="GC179" s="118"/>
      <c r="GD179" s="118"/>
      <c r="GE179" s="118"/>
      <c r="GF179" s="118"/>
      <c r="GG179" s="118"/>
      <c r="GH179" s="118"/>
      <c r="GI179" s="118"/>
      <c r="GJ179" s="118"/>
      <c r="GK179" s="118"/>
      <c r="GL179" s="118"/>
      <c r="GM179" s="118"/>
      <c r="GN179" s="118"/>
      <c r="GO179" s="118"/>
      <c r="GP179" s="118"/>
      <c r="GQ179" s="118"/>
      <c r="GR179" s="118"/>
      <c r="GS179" s="118"/>
      <c r="GT179" s="118"/>
      <c r="GU179" s="118"/>
      <c r="GV179" s="118"/>
      <c r="GW179" s="118"/>
      <c r="GX179" s="118"/>
      <c r="GY179" s="118"/>
      <c r="GZ179" s="118"/>
      <c r="HA179" s="118"/>
      <c r="HB179" s="118"/>
      <c r="HC179" s="118"/>
      <c r="HD179" s="118"/>
      <c r="HE179" s="118"/>
      <c r="HF179" s="118"/>
      <c r="HG179" s="118"/>
      <c r="HH179" s="118"/>
      <c r="HI179" s="118"/>
      <c r="HJ179" s="118"/>
      <c r="HK179" s="118"/>
      <c r="HL179" s="118"/>
      <c r="HM179" s="118"/>
      <c r="HN179" s="118"/>
      <c r="HO179" s="118"/>
      <c r="HP179" s="118"/>
      <c r="HQ179" s="118"/>
      <c r="HR179" s="118"/>
      <c r="HS179" s="118"/>
      <c r="HT179" s="118"/>
      <c r="HU179" s="118"/>
      <c r="HV179" s="118"/>
      <c r="HW179" s="118"/>
      <c r="HX179" s="118"/>
      <c r="HY179" s="118"/>
      <c r="HZ179" s="118"/>
      <c r="IA179" s="118"/>
      <c r="IB179" s="118"/>
      <c r="IC179" s="118"/>
      <c r="ID179" s="118"/>
      <c r="IE179" s="118"/>
      <c r="IF179" s="118"/>
      <c r="IG179" s="118"/>
      <c r="IH179" s="118"/>
      <c r="II179" s="118"/>
      <c r="IJ179" s="118"/>
      <c r="IK179" s="118"/>
      <c r="IL179" s="118"/>
      <c r="IM179" s="118"/>
      <c r="IN179" s="118"/>
      <c r="IO179" s="118"/>
      <c r="IP179" s="118"/>
      <c r="IQ179" s="118"/>
      <c r="IR179" s="118"/>
      <c r="IS179" s="118"/>
      <c r="IT179" s="118"/>
      <c r="IU179" s="118"/>
      <c r="IV179" s="118"/>
      <c r="IW179" s="118"/>
      <c r="IX179" s="118"/>
      <c r="IY179" s="118"/>
      <c r="IZ179" s="118"/>
      <c r="JA179" s="118"/>
      <c r="JB179" s="118"/>
      <c r="JC179" s="118"/>
      <c r="JD179" s="118"/>
      <c r="JE179" s="118"/>
      <c r="JF179" s="118"/>
      <c r="JG179" s="118"/>
      <c r="JH179" s="118"/>
      <c r="JI179" s="118"/>
      <c r="JJ179" s="118"/>
      <c r="JK179" s="118"/>
      <c r="JL179" s="118"/>
      <c r="JM179" s="118"/>
      <c r="JN179" s="118"/>
      <c r="JO179" s="118"/>
      <c r="JP179" s="118"/>
      <c r="JQ179" s="118"/>
      <c r="JR179" s="118"/>
      <c r="JS179" s="118"/>
      <c r="JT179" s="118"/>
      <c r="JU179" s="118"/>
      <c r="JV179" s="118"/>
      <c r="JW179" s="118"/>
      <c r="JX179" s="118"/>
      <c r="JY179" s="118"/>
      <c r="JZ179" s="118"/>
      <c r="KA179" s="118"/>
      <c r="KB179" s="118"/>
      <c r="KC179" s="118"/>
      <c r="KD179" s="118"/>
      <c r="KE179" s="118"/>
      <c r="KF179" s="118"/>
      <c r="KG179" s="118"/>
      <c r="KH179" s="118"/>
      <c r="KI179" s="118"/>
      <c r="KJ179" s="118"/>
      <c r="KK179" s="118"/>
      <c r="KL179" s="118"/>
      <c r="KM179" s="118"/>
      <c r="KN179" s="118"/>
      <c r="KO179" s="118"/>
      <c r="KP179" s="118"/>
      <c r="KQ179" s="118"/>
      <c r="KR179" s="118"/>
      <c r="KS179" s="118"/>
      <c r="KT179" s="118"/>
      <c r="KU179" s="118"/>
      <c r="KV179" s="118"/>
      <c r="KW179" s="118"/>
      <c r="KX179" s="118"/>
      <c r="KY179" s="118"/>
      <c r="KZ179" s="118"/>
      <c r="LA179" s="118"/>
      <c r="LB179" s="118"/>
      <c r="LC179" s="118"/>
      <c r="LD179" s="118"/>
      <c r="LE179" s="118"/>
      <c r="LF179" s="118"/>
      <c r="LG179" s="118"/>
      <c r="LH179" s="118"/>
      <c r="LI179" s="118"/>
      <c r="LJ179" s="118"/>
      <c r="LK179" s="118"/>
      <c r="LL179" s="118"/>
      <c r="LM179" s="118"/>
      <c r="LN179" s="118"/>
      <c r="LO179" s="118"/>
      <c r="LP179" s="118"/>
      <c r="LQ179" s="118"/>
      <c r="LR179" s="118"/>
      <c r="LS179" s="118"/>
      <c r="LT179" s="118"/>
      <c r="LU179" s="118"/>
      <c r="LV179" s="118"/>
      <c r="LW179" s="118"/>
      <c r="LX179" s="118"/>
      <c r="LY179" s="118"/>
      <c r="LZ179" s="118"/>
      <c r="MA179" s="118"/>
      <c r="MB179" s="118"/>
      <c r="MC179" s="118"/>
      <c r="MD179" s="118"/>
      <c r="ME179" s="118"/>
      <c r="MF179" s="118"/>
      <c r="MG179" s="118"/>
      <c r="MH179" s="118"/>
      <c r="MI179" s="118"/>
      <c r="MJ179" s="118"/>
      <c r="MK179" s="118"/>
      <c r="ML179" s="118"/>
      <c r="MM179" s="118"/>
      <c r="MN179" s="118"/>
      <c r="MO179" s="118"/>
      <c r="MP179" s="118"/>
      <c r="MQ179" s="118"/>
      <c r="MR179" s="118"/>
      <c r="MS179" s="118"/>
      <c r="MT179" s="118"/>
      <c r="MU179" s="118"/>
      <c r="MV179" s="118"/>
      <c r="MW179" s="118"/>
      <c r="MX179" s="118"/>
      <c r="MY179" s="118"/>
      <c r="MZ179" s="118"/>
      <c r="NA179" s="118"/>
      <c r="NB179" s="118"/>
      <c r="NC179" s="118"/>
      <c r="ND179" s="118"/>
      <c r="NE179" s="118"/>
      <c r="NF179" s="118"/>
      <c r="NG179" s="118"/>
      <c r="NH179" s="118"/>
      <c r="NI179" s="118"/>
      <c r="NJ179" s="118"/>
      <c r="NK179" s="118"/>
      <c r="NL179" s="118"/>
      <c r="NM179" s="118"/>
      <c r="NN179" s="118"/>
      <c r="NO179" s="118"/>
      <c r="NP179" s="118"/>
      <c r="NQ179" s="118"/>
      <c r="NR179" s="118"/>
      <c r="NS179" s="118"/>
      <c r="NT179" s="118"/>
      <c r="NU179" s="118"/>
      <c r="NV179" s="118"/>
      <c r="NW179" s="118"/>
      <c r="NX179" s="118"/>
      <c r="NY179" s="118"/>
      <c r="NZ179" s="118"/>
      <c r="OA179" s="118"/>
      <c r="OB179" s="118"/>
      <c r="OC179" s="118"/>
      <c r="OD179" s="118"/>
      <c r="OE179" s="118"/>
      <c r="OF179" s="118"/>
      <c r="OG179" s="118"/>
      <c r="OH179" s="118"/>
      <c r="OI179" s="118"/>
      <c r="OJ179" s="118"/>
      <c r="OK179" s="118"/>
      <c r="OL179" s="118"/>
      <c r="OM179" s="118"/>
      <c r="ON179" s="118"/>
      <c r="OO179" s="118"/>
      <c r="OP179" s="118"/>
      <c r="OQ179" s="118"/>
      <c r="OR179" s="118"/>
      <c r="OS179" s="118"/>
      <c r="OT179" s="118"/>
      <c r="OU179" s="118"/>
      <c r="OV179" s="118"/>
      <c r="OW179" s="118"/>
      <c r="OX179" s="118"/>
      <c r="OY179" s="118"/>
      <c r="OZ179" s="118"/>
      <c r="PA179" s="118"/>
      <c r="PB179" s="118"/>
      <c r="PC179" s="118"/>
      <c r="PD179" s="118"/>
      <c r="PE179" s="118"/>
      <c r="PF179" s="118"/>
      <c r="PG179" s="118"/>
      <c r="PH179" s="118"/>
      <c r="PI179" s="118"/>
      <c r="PJ179" s="118"/>
      <c r="PK179" s="118"/>
      <c r="PL179" s="118"/>
      <c r="PM179" s="118"/>
      <c r="PN179" s="118"/>
      <c r="PO179" s="118"/>
      <c r="PP179" s="118"/>
      <c r="PQ179" s="118"/>
      <c r="PR179" s="118"/>
      <c r="PS179" s="118"/>
      <c r="PT179" s="118"/>
      <c r="PU179" s="118"/>
      <c r="PV179" s="118"/>
      <c r="PW179" s="118"/>
      <c r="PX179" s="118"/>
      <c r="PY179" s="118"/>
      <c r="PZ179" s="118"/>
      <c r="QA179" s="118"/>
      <c r="QB179" s="118"/>
      <c r="QC179" s="118"/>
      <c r="QD179" s="118"/>
      <c r="QE179" s="118"/>
      <c r="QF179" s="118"/>
      <c r="QG179" s="118"/>
      <c r="QH179" s="118"/>
      <c r="QI179" s="118"/>
      <c r="QJ179" s="118"/>
      <c r="QK179" s="118"/>
      <c r="QL179" s="118"/>
      <c r="QM179" s="118"/>
      <c r="QN179" s="118"/>
      <c r="QO179" s="118"/>
      <c r="QP179" s="118"/>
      <c r="QQ179" s="118"/>
      <c r="QR179" s="118"/>
      <c r="QS179" s="118"/>
      <c r="QT179" s="118"/>
      <c r="QU179" s="118"/>
      <c r="QV179" s="118"/>
      <c r="QW179" s="118"/>
      <c r="QX179" s="118"/>
      <c r="QY179" s="118"/>
      <c r="QZ179" s="118"/>
      <c r="RA179" s="118"/>
      <c r="RB179" s="118"/>
      <c r="RC179" s="118"/>
      <c r="RD179" s="118"/>
      <c r="RE179" s="118"/>
      <c r="RF179" s="118"/>
      <c r="RG179" s="118"/>
      <c r="RH179" s="118"/>
      <c r="RI179" s="118"/>
      <c r="RJ179" s="118"/>
      <c r="RK179" s="118"/>
      <c r="RL179" s="118"/>
      <c r="RM179" s="118"/>
      <c r="RN179" s="118"/>
      <c r="RO179" s="118"/>
      <c r="RP179" s="118"/>
      <c r="RQ179" s="118"/>
      <c r="RR179" s="118"/>
      <c r="RS179" s="118"/>
      <c r="RT179" s="118"/>
      <c r="RU179" s="118"/>
      <c r="RV179" s="118"/>
      <c r="RW179" s="118"/>
      <c r="RX179" s="118"/>
      <c r="RY179" s="118"/>
      <c r="RZ179" s="118"/>
      <c r="SA179" s="118"/>
      <c r="SB179" s="118"/>
      <c r="SC179" s="118"/>
      <c r="SD179" s="118"/>
      <c r="SE179" s="118"/>
      <c r="SF179" s="118"/>
      <c r="SG179" s="118"/>
      <c r="SH179" s="118"/>
      <c r="SI179" s="118"/>
      <c r="SJ179" s="118"/>
      <c r="SK179" s="118"/>
      <c r="SL179" s="118"/>
      <c r="SM179" s="118"/>
      <c r="SN179" s="118"/>
      <c r="SO179" s="118"/>
      <c r="SP179" s="118"/>
      <c r="SQ179" s="118"/>
      <c r="SR179" s="118"/>
      <c r="SS179" s="118"/>
      <c r="ST179" s="118"/>
      <c r="SU179" s="118"/>
      <c r="SV179" s="118"/>
      <c r="SW179" s="118"/>
      <c r="SX179" s="118"/>
      <c r="SY179" s="118"/>
      <c r="SZ179" s="118"/>
      <c r="TA179" s="118"/>
      <c r="TB179" s="118"/>
      <c r="TC179" s="118"/>
      <c r="TD179" s="118"/>
      <c r="TE179" s="118"/>
      <c r="TF179" s="118"/>
      <c r="TG179" s="118"/>
      <c r="TH179" s="118"/>
      <c r="TI179" s="118"/>
      <c r="TJ179" s="118"/>
      <c r="TK179" s="118"/>
      <c r="TL179" s="118"/>
      <c r="TM179" s="118"/>
      <c r="TN179" s="118"/>
      <c r="TO179" s="118"/>
      <c r="TP179" s="118"/>
      <c r="TQ179" s="118"/>
      <c r="TR179" s="118"/>
      <c r="TS179" s="118"/>
      <c r="TT179" s="118"/>
      <c r="TU179" s="118"/>
      <c r="TV179" s="118"/>
      <c r="TW179" s="118"/>
      <c r="TX179" s="118"/>
      <c r="TY179" s="118"/>
      <c r="TZ179" s="118"/>
      <c r="UA179" s="118"/>
      <c r="UB179" s="118"/>
      <c r="UC179" s="118"/>
      <c r="UD179" s="118"/>
      <c r="UE179" s="118"/>
      <c r="UF179" s="118"/>
      <c r="UG179" s="118"/>
      <c r="UH179" s="118"/>
      <c r="UI179" s="118"/>
      <c r="UJ179" s="118"/>
      <c r="UK179" s="118"/>
      <c r="UL179" s="118"/>
      <c r="UM179" s="118"/>
      <c r="UN179" s="118"/>
      <c r="UO179" s="118"/>
      <c r="UP179" s="118"/>
      <c r="UQ179" s="118"/>
      <c r="UR179" s="118"/>
      <c r="US179" s="118"/>
      <c r="UT179" s="118"/>
      <c r="UU179" s="118"/>
      <c r="UV179" s="118"/>
      <c r="UW179" s="118"/>
      <c r="UX179" s="118"/>
      <c r="UY179" s="118"/>
      <c r="UZ179" s="118"/>
      <c r="VA179" s="118"/>
      <c r="VB179" s="118"/>
      <c r="VC179" s="118"/>
      <c r="VD179" s="118"/>
      <c r="VE179" s="118"/>
      <c r="VF179" s="118"/>
      <c r="VG179" s="118"/>
      <c r="VH179" s="118"/>
      <c r="VI179" s="118"/>
      <c r="VJ179" s="118"/>
      <c r="VK179" s="118"/>
      <c r="VL179" s="118"/>
      <c r="VM179" s="118"/>
      <c r="VN179" s="118"/>
      <c r="VO179" s="118"/>
      <c r="VP179" s="118"/>
      <c r="VQ179" s="118"/>
      <c r="VR179" s="118"/>
      <c r="VS179" s="118"/>
      <c r="VT179" s="118"/>
      <c r="VU179" s="118"/>
      <c r="VV179" s="118"/>
      <c r="VW179" s="118"/>
      <c r="VX179" s="118"/>
      <c r="VY179" s="118"/>
      <c r="VZ179" s="118"/>
      <c r="WA179" s="118"/>
      <c r="WB179" s="118"/>
      <c r="WC179" s="118"/>
      <c r="WD179" s="118"/>
      <c r="WE179" s="118"/>
      <c r="WF179" s="118"/>
      <c r="WG179" s="118"/>
      <c r="WH179" s="118"/>
      <c r="WI179" s="118"/>
      <c r="WJ179" s="118"/>
      <c r="WK179" s="118"/>
      <c r="WL179" s="118"/>
      <c r="WM179" s="118"/>
      <c r="WN179" s="118"/>
      <c r="WO179" s="118"/>
      <c r="WP179" s="118"/>
      <c r="WQ179" s="118"/>
      <c r="WR179" s="118"/>
      <c r="WS179" s="118"/>
      <c r="WT179" s="118"/>
      <c r="WU179" s="118"/>
      <c r="WV179" s="118"/>
      <c r="WW179" s="118"/>
      <c r="WX179" s="118"/>
      <c r="WY179" s="118"/>
      <c r="WZ179" s="118"/>
      <c r="XA179" s="118"/>
      <c r="XB179" s="118"/>
      <c r="XC179" s="118"/>
      <c r="XD179" s="118"/>
      <c r="XE179" s="118"/>
      <c r="XF179" s="118"/>
      <c r="XG179" s="118"/>
      <c r="XH179" s="118"/>
      <c r="XI179" s="118"/>
      <c r="XJ179" s="118"/>
      <c r="XK179" s="118"/>
      <c r="XL179" s="118"/>
      <c r="XM179" s="118"/>
      <c r="XN179" s="118"/>
      <c r="XO179" s="118"/>
      <c r="XP179" s="118"/>
      <c r="XQ179" s="118"/>
      <c r="XR179" s="118"/>
      <c r="XS179" s="118"/>
      <c r="XT179" s="118"/>
      <c r="XU179" s="118"/>
      <c r="XV179" s="118"/>
      <c r="XW179" s="118"/>
      <c r="XX179" s="118"/>
      <c r="XY179" s="118"/>
      <c r="XZ179" s="118"/>
      <c r="YA179" s="118"/>
      <c r="YB179" s="118"/>
      <c r="YC179" s="118"/>
      <c r="YD179" s="118"/>
      <c r="YE179" s="118"/>
      <c r="YF179" s="118"/>
      <c r="YG179" s="118"/>
      <c r="YH179" s="118"/>
      <c r="YI179" s="118"/>
      <c r="YJ179" s="118"/>
      <c r="YK179" s="118"/>
      <c r="YL179" s="118"/>
      <c r="YM179" s="118"/>
      <c r="YN179" s="118"/>
      <c r="YO179" s="118"/>
      <c r="YP179" s="118"/>
      <c r="YQ179" s="118"/>
      <c r="YR179" s="118"/>
      <c r="YS179" s="118"/>
      <c r="YT179" s="118"/>
      <c r="YU179" s="118"/>
      <c r="YV179" s="118"/>
      <c r="YW179" s="118"/>
      <c r="YX179" s="118"/>
      <c r="YY179" s="118"/>
      <c r="YZ179" s="118"/>
      <c r="ZA179" s="118"/>
      <c r="ZB179" s="118"/>
      <c r="ZC179" s="118"/>
      <c r="ZD179" s="118"/>
      <c r="ZE179" s="118"/>
      <c r="ZF179" s="118"/>
      <c r="ZG179" s="118"/>
      <c r="ZH179" s="118"/>
      <c r="ZI179" s="118"/>
      <c r="ZJ179" s="118"/>
      <c r="ZK179" s="118"/>
      <c r="ZL179" s="118"/>
      <c r="ZM179" s="118"/>
      <c r="ZN179" s="118"/>
      <c r="ZO179" s="118"/>
      <c r="ZP179" s="118"/>
      <c r="ZQ179" s="118"/>
      <c r="ZR179" s="118"/>
      <c r="ZS179" s="118"/>
      <c r="ZT179" s="118"/>
      <c r="ZU179" s="118"/>
      <c r="ZV179" s="118"/>
      <c r="ZW179" s="118"/>
      <c r="ZX179" s="118"/>
      <c r="ZY179" s="118"/>
      <c r="ZZ179" s="118"/>
      <c r="AAA179" s="118"/>
      <c r="AAB179" s="118"/>
      <c r="AAC179" s="118"/>
      <c r="AAD179" s="118"/>
      <c r="AAE179" s="118"/>
      <c r="AAF179" s="118"/>
      <c r="AAG179" s="118"/>
      <c r="AAH179" s="118"/>
      <c r="AAI179" s="118"/>
      <c r="AAJ179" s="118"/>
      <c r="AAK179" s="118"/>
      <c r="AAL179" s="118"/>
      <c r="AAM179" s="118"/>
      <c r="AAN179" s="118"/>
      <c r="AAO179" s="118"/>
      <c r="AAP179" s="118"/>
      <c r="AAQ179" s="118"/>
      <c r="AAR179" s="118"/>
      <c r="AAS179" s="118"/>
      <c r="AAT179" s="118"/>
      <c r="AAU179" s="118"/>
      <c r="AAV179" s="118"/>
      <c r="AAW179" s="118"/>
      <c r="AAX179" s="118"/>
      <c r="AAY179" s="118"/>
      <c r="AAZ179" s="118"/>
      <c r="ABA179" s="118"/>
      <c r="ABB179" s="118"/>
      <c r="ABC179" s="118"/>
      <c r="ABD179" s="118"/>
      <c r="ABE179" s="118"/>
      <c r="ABF179" s="118"/>
      <c r="ABG179" s="118"/>
      <c r="ABH179" s="118"/>
      <c r="ABI179" s="118"/>
      <c r="ABJ179" s="118"/>
      <c r="ABK179" s="118"/>
      <c r="ABL179" s="118"/>
      <c r="ABM179" s="118"/>
      <c r="ABN179" s="118"/>
      <c r="ABO179" s="118"/>
      <c r="ABP179" s="118"/>
      <c r="ABQ179" s="118"/>
      <c r="ABR179" s="118"/>
      <c r="ABS179" s="118"/>
      <c r="ABT179" s="118"/>
      <c r="ABU179" s="118"/>
      <c r="ABV179" s="118"/>
      <c r="ABW179" s="118"/>
      <c r="ABX179" s="118"/>
      <c r="ABY179" s="118"/>
      <c r="ABZ179" s="118"/>
      <c r="ACA179" s="118"/>
      <c r="ACB179" s="118"/>
      <c r="ACC179" s="118"/>
      <c r="ACD179" s="118"/>
      <c r="ACE179" s="118"/>
      <c r="ACF179" s="118"/>
      <c r="ACG179" s="118"/>
      <c r="ACH179" s="118"/>
      <c r="ACI179" s="118"/>
      <c r="ACJ179" s="118"/>
      <c r="ACK179" s="118"/>
      <c r="ACL179" s="118"/>
      <c r="ACM179" s="118"/>
      <c r="ACN179" s="118"/>
      <c r="ACO179" s="118"/>
      <c r="ACP179" s="118"/>
      <c r="ACQ179" s="118"/>
      <c r="ACR179" s="118"/>
      <c r="ACS179" s="118"/>
      <c r="ACT179" s="118"/>
      <c r="ACU179" s="118"/>
      <c r="ACV179" s="118"/>
      <c r="ACW179" s="118"/>
      <c r="ACX179" s="118"/>
      <c r="ACY179" s="118"/>
      <c r="ACZ179" s="118"/>
      <c r="ADA179" s="118"/>
      <c r="ADB179" s="118"/>
      <c r="ADC179" s="118"/>
      <c r="ADD179" s="118"/>
      <c r="ADE179" s="118"/>
      <c r="ADF179" s="118"/>
      <c r="ADG179" s="118"/>
      <c r="ADH179" s="118"/>
      <c r="ADI179" s="118"/>
      <c r="ADJ179" s="118"/>
      <c r="ADK179" s="118"/>
      <c r="ADL179" s="118"/>
      <c r="ADM179" s="118"/>
      <c r="ADN179" s="118"/>
      <c r="ADO179" s="118"/>
      <c r="ADP179" s="118"/>
      <c r="ADQ179" s="118"/>
      <c r="ADR179" s="118"/>
      <c r="ADS179" s="118"/>
      <c r="ADT179" s="118"/>
      <c r="ADU179" s="118"/>
      <c r="ADV179" s="118"/>
      <c r="ADW179" s="118"/>
      <c r="ADX179" s="118"/>
      <c r="ADY179" s="118"/>
      <c r="ADZ179" s="118"/>
      <c r="AEA179" s="118"/>
      <c r="AEB179" s="118"/>
      <c r="AEC179" s="118"/>
      <c r="AED179" s="118"/>
      <c r="AEE179" s="118"/>
      <c r="AEF179" s="118"/>
      <c r="AEG179" s="118"/>
      <c r="AEH179" s="118"/>
      <c r="AEI179" s="118"/>
      <c r="AEJ179" s="118"/>
      <c r="AEK179" s="118"/>
      <c r="AEL179" s="118"/>
      <c r="AEM179" s="118"/>
      <c r="AEN179" s="118"/>
      <c r="AEO179" s="118"/>
      <c r="AEP179" s="118"/>
      <c r="AEQ179" s="118"/>
      <c r="AER179" s="118"/>
      <c r="AES179" s="118"/>
      <c r="AET179" s="118"/>
      <c r="AEU179" s="118"/>
      <c r="AEV179" s="118"/>
      <c r="AEW179" s="118"/>
      <c r="AEX179" s="118"/>
      <c r="AEY179" s="118"/>
      <c r="AEZ179" s="118"/>
      <c r="AFA179" s="118"/>
      <c r="AFB179" s="118"/>
      <c r="AFC179" s="118"/>
      <c r="AFD179" s="118"/>
      <c r="AFE179" s="118"/>
      <c r="AFF179" s="118"/>
      <c r="AFG179" s="118"/>
      <c r="AFH179" s="118"/>
      <c r="AFI179" s="118"/>
      <c r="AFJ179" s="118"/>
      <c r="AFK179" s="118"/>
      <c r="AFL179" s="118"/>
      <c r="AFM179" s="118"/>
      <c r="AFN179" s="118"/>
      <c r="AFO179" s="118"/>
      <c r="AFP179" s="118"/>
      <c r="AFQ179" s="118"/>
      <c r="AFR179" s="118"/>
      <c r="AFS179" s="118"/>
      <c r="AFT179" s="118"/>
      <c r="AFU179" s="118"/>
      <c r="AFV179" s="118"/>
      <c r="AFW179" s="118"/>
      <c r="AFX179" s="118"/>
      <c r="AFY179" s="118"/>
      <c r="AFZ179" s="118"/>
      <c r="AGA179" s="118"/>
      <c r="AGB179" s="118"/>
      <c r="AGC179" s="118"/>
      <c r="AGD179" s="118"/>
      <c r="AGE179" s="118"/>
      <c r="AGF179" s="118"/>
      <c r="AGG179" s="118"/>
      <c r="AGH179" s="118"/>
      <c r="AGI179" s="118"/>
      <c r="AGJ179" s="118"/>
      <c r="AGK179" s="118"/>
      <c r="AGL179" s="118"/>
      <c r="AGM179" s="118"/>
      <c r="AGN179" s="118"/>
      <c r="AGO179" s="118"/>
      <c r="AGP179" s="118"/>
      <c r="AGQ179" s="118"/>
      <c r="AGR179" s="118"/>
      <c r="AGS179" s="118"/>
      <c r="AGT179" s="118"/>
      <c r="AGU179" s="118"/>
      <c r="AGV179" s="118"/>
      <c r="AGW179" s="118"/>
      <c r="AGX179" s="118"/>
      <c r="AGY179" s="118"/>
      <c r="AGZ179" s="118"/>
      <c r="AHA179" s="118"/>
      <c r="AHB179" s="118"/>
      <c r="AHC179" s="118"/>
      <c r="AHD179" s="118"/>
      <c r="AHE179" s="118"/>
      <c r="AHF179" s="118"/>
      <c r="AHG179" s="118"/>
      <c r="AHH179" s="118"/>
      <c r="AHI179" s="118"/>
      <c r="AHJ179" s="118"/>
      <c r="AHK179" s="118"/>
      <c r="AHL179" s="118"/>
      <c r="AHM179" s="118"/>
      <c r="AHN179" s="118"/>
      <c r="AHO179" s="118"/>
      <c r="AHP179" s="118"/>
      <c r="AHQ179" s="118"/>
      <c r="AHR179" s="118"/>
      <c r="AHS179" s="118"/>
      <c r="AHT179" s="118"/>
      <c r="AHU179" s="118"/>
      <c r="AHV179" s="118"/>
      <c r="AHW179" s="118"/>
      <c r="AHX179" s="118"/>
      <c r="AHY179" s="118"/>
      <c r="AHZ179" s="118"/>
      <c r="AIA179" s="118"/>
      <c r="AIB179" s="118"/>
      <c r="AIC179" s="118"/>
      <c r="AID179" s="118"/>
      <c r="AIE179" s="118"/>
      <c r="AIF179" s="118"/>
      <c r="AIG179" s="118"/>
      <c r="AIH179" s="118"/>
      <c r="AII179" s="118"/>
      <c r="AIJ179" s="118"/>
      <c r="AIK179" s="118"/>
      <c r="AIL179" s="118"/>
      <c r="AIM179" s="118"/>
      <c r="AIN179" s="118"/>
      <c r="AIO179" s="118"/>
      <c r="AIP179" s="118"/>
      <c r="AIQ179" s="118"/>
      <c r="AIR179" s="118"/>
      <c r="AIS179" s="118"/>
      <c r="AIT179" s="118"/>
      <c r="AIU179" s="118"/>
      <c r="AIV179" s="118"/>
      <c r="AIW179" s="118"/>
      <c r="AIX179" s="118"/>
      <c r="AIY179" s="118"/>
      <c r="AIZ179" s="118"/>
      <c r="AJA179" s="118"/>
      <c r="AJB179" s="118"/>
      <c r="AJC179" s="118"/>
      <c r="AJD179" s="118"/>
      <c r="AJE179" s="118"/>
      <c r="AJF179" s="118"/>
      <c r="AJG179" s="118"/>
      <c r="AJH179" s="118"/>
      <c r="AJI179" s="118"/>
      <c r="AJJ179" s="118"/>
      <c r="AJK179" s="118"/>
      <c r="AJL179" s="118"/>
      <c r="AJM179" s="118"/>
      <c r="AJN179" s="118"/>
      <c r="AJO179" s="118"/>
      <c r="AJP179" s="118"/>
      <c r="AJQ179" s="118"/>
      <c r="AJR179" s="118"/>
      <c r="AJS179" s="118"/>
      <c r="AJT179" s="118"/>
      <c r="AJU179" s="118"/>
      <c r="AJV179" s="118"/>
      <c r="AJW179" s="118"/>
      <c r="AJX179" s="118"/>
      <c r="AJY179" s="118"/>
      <c r="AJZ179" s="118"/>
      <c r="AKA179" s="118"/>
      <c r="AKB179" s="118"/>
      <c r="AKC179" s="118"/>
      <c r="AKD179" s="118"/>
      <c r="AKE179" s="118"/>
      <c r="AKF179" s="118"/>
      <c r="AKG179" s="118"/>
      <c r="AKH179" s="118"/>
      <c r="AKI179" s="118"/>
      <c r="AKJ179" s="118"/>
      <c r="AKK179" s="118"/>
      <c r="AKL179" s="118"/>
      <c r="AKM179" s="118"/>
      <c r="AKN179" s="118"/>
      <c r="AKO179" s="118"/>
      <c r="AKP179" s="118"/>
      <c r="AKQ179" s="118"/>
      <c r="AKR179" s="118"/>
      <c r="AKS179" s="118"/>
      <c r="AKT179" s="118"/>
      <c r="AKU179" s="118"/>
      <c r="AKV179" s="118"/>
      <c r="AKW179" s="118"/>
      <c r="AKX179" s="118"/>
      <c r="AKY179" s="118"/>
      <c r="AKZ179" s="118"/>
      <c r="ALA179" s="118"/>
      <c r="ALB179" s="118"/>
      <c r="ALC179" s="118"/>
      <c r="ALD179" s="118"/>
      <c r="ALE179" s="118"/>
      <c r="ALF179" s="118"/>
      <c r="ALG179" s="118"/>
      <c r="ALH179" s="118"/>
      <c r="ALI179" s="118"/>
      <c r="ALJ179" s="118"/>
      <c r="ALK179" s="118"/>
      <c r="ALL179" s="118"/>
      <c r="ALM179" s="118"/>
      <c r="ALN179" s="118"/>
      <c r="ALO179" s="118"/>
      <c r="ALP179" s="118"/>
      <c r="ALQ179" s="118"/>
      <c r="ALR179" s="118"/>
      <c r="ALS179" s="118"/>
      <c r="ALT179" s="118"/>
      <c r="ALU179" s="118"/>
      <c r="ALV179" s="118"/>
      <c r="ALW179" s="118"/>
      <c r="ALX179" s="118"/>
      <c r="ALY179" s="118"/>
      <c r="ALZ179" s="118"/>
      <c r="AMA179" s="118"/>
      <c r="AMB179" s="118"/>
      <c r="AMC179" s="118"/>
      <c r="AMD179" s="118"/>
      <c r="AME179" s="118"/>
      <c r="AMF179" s="118"/>
      <c r="AMG179" s="118"/>
      <c r="AMH179" s="118"/>
      <c r="AMI179" s="118"/>
      <c r="AMJ179" s="118"/>
      <c r="AMK179" s="118"/>
      <c r="AML179" s="118"/>
      <c r="AMM179" s="118"/>
      <c r="AMN179" s="118"/>
      <c r="AMO179" s="118"/>
    </row>
    <row r="180" spans="1:1029" x14ac:dyDescent="0.2">
      <c r="A180" s="3" t="str">
        <f t="shared" si="639"/>
        <v>crfr1_human__wt</v>
      </c>
      <c r="B180" s="3" t="s">
        <v>38</v>
      </c>
      <c r="C180" s="3" t="s">
        <v>100</v>
      </c>
      <c r="D180" s="3" t="str">
        <f>IFERROR(MID(VLOOKUP($B180,Seqs!$A:$B,2,0),E180,1),"")</f>
        <v>Q</v>
      </c>
      <c r="E180" s="3">
        <v>103</v>
      </c>
      <c r="F180" s="3" t="str">
        <f>IFERROR(MID(VLOOKUP($B180,Seqs!$A:$B,2,0),G180,1),"")</f>
        <v>L</v>
      </c>
      <c r="G180" s="3">
        <v>144</v>
      </c>
      <c r="H180" s="3" t="str">
        <f>IFERROR(MID(VLOOKUP($B180,Seqs!$A:$B,2,0),I180,1),"")</f>
        <v>R</v>
      </c>
      <c r="I180" s="23">
        <v>145</v>
      </c>
      <c r="J180" s="3" t="str">
        <f>IFERROR(MID(VLOOKUP($B180,Seqs!$A:$B,2,0),K180,1),"")</f>
        <v>R</v>
      </c>
      <c r="K180" s="23">
        <v>148</v>
      </c>
      <c r="L180" s="3" t="str">
        <f>IFERROR(MID(VLOOKUP($B180,Seqs!$A:$B,2,0),M180,1),"")</f>
        <v>C</v>
      </c>
      <c r="M180" s="23">
        <v>149</v>
      </c>
      <c r="N180" s="3" t="str">
        <f>IFERROR(MID(VLOOKUP($B180,Seqs!$A:$B,2,0),O180,1),"")</f>
        <v>T</v>
      </c>
      <c r="O180" s="3">
        <v>175</v>
      </c>
      <c r="P180" s="3" t="str">
        <f>IFERROR(MID(VLOOKUP($B180,Seqs!$A:$B,2,0),Q180,1),"")</f>
        <v/>
      </c>
      <c r="Q180" s="3" t="s">
        <v>23</v>
      </c>
      <c r="R180" s="3" t="str">
        <f>IFERROR(MID(VLOOKUP($B180,Seqs!$A:$B,2,0),S180,1),"")</f>
        <v/>
      </c>
      <c r="S180" s="3" t="s">
        <v>23</v>
      </c>
      <c r="T180" s="3" t="str">
        <f>IFERROR(MID(VLOOKUP($B180,Seqs!$A:$B,2,0),U180,1),"")</f>
        <v>V</v>
      </c>
      <c r="U180" s="3">
        <v>185</v>
      </c>
      <c r="V180" s="3" t="str">
        <f>IFERROR(MID(VLOOKUP($B180,Seqs!$A:$B,2,0),W180,1),"")</f>
        <v>L</v>
      </c>
      <c r="W180" s="3">
        <v>219</v>
      </c>
      <c r="X180" s="3" t="str">
        <f>IFERROR(MID(VLOOKUP($B180,Seqs!$A:$B,2,0),Y180,1),"")</f>
        <v/>
      </c>
      <c r="Y180" s="3" t="s">
        <v>23</v>
      </c>
      <c r="Z180" s="3" t="str">
        <f>IFERROR(MID(VLOOKUP($B180,Seqs!$A:$B,2,0),AA180,1),"")</f>
        <v/>
      </c>
      <c r="AA180" s="3" t="s">
        <v>23</v>
      </c>
      <c r="AB180" s="3" t="str">
        <f>IFERROR(MID(VLOOKUP($B180,Seqs!$A:$B,2,0),AC180,1),"")</f>
        <v>L</v>
      </c>
      <c r="AC180" s="9">
        <v>226</v>
      </c>
      <c r="AD180" s="3" t="str">
        <f>IFERROR(MID(VLOOKUP($B180,Seqs!$A:$B,2,0),AE180,1),"")</f>
        <v>D</v>
      </c>
      <c r="AE180" s="3">
        <v>254</v>
      </c>
      <c r="AF180" s="3" t="str">
        <f>IFERROR(MID(VLOOKUP($B180,Seqs!$A:$B,2,0),AG180,1),"")</f>
        <v>C</v>
      </c>
      <c r="AG180" s="3">
        <v>258</v>
      </c>
      <c r="AH180" s="3" t="str">
        <f>IFERROR(MID(VLOOKUP($B180,Seqs!$A:$B,2,0),AI180,1),"")</f>
        <v>F</v>
      </c>
      <c r="AI180" s="3">
        <v>260</v>
      </c>
      <c r="AJ180" s="3" t="str">
        <f>IFERROR(MID(VLOOKUP($B180,Seqs!$A:$B,2,0),AK180,1),"")</f>
        <v>T</v>
      </c>
      <c r="AK180" s="3">
        <v>268</v>
      </c>
      <c r="AL180" s="3" t="str">
        <f>IFERROR(MID(VLOOKUP($B180,Seqs!$A:$B,2,0),AM180,1),"")</f>
        <v>L</v>
      </c>
      <c r="AM180" s="3">
        <v>298</v>
      </c>
      <c r="AN180" s="3" t="str">
        <f>IFERROR(MID(VLOOKUP($B180,Seqs!$A:$B,2,0),AO180,1),"")</f>
        <v>S</v>
      </c>
      <c r="AO180" s="3">
        <v>304</v>
      </c>
      <c r="AP180" s="3" t="str">
        <f>IFERROR(MID(VLOOKUP($B180,Seqs!$A:$B,2,0),AQ180,1),"")</f>
        <v>V</v>
      </c>
      <c r="AQ180" s="3">
        <v>332</v>
      </c>
      <c r="AR180" s="3" t="str">
        <f>IFERROR(MID(VLOOKUP($B180,Seqs!$A:$B,2,0),AS180,1),"")</f>
        <v>V</v>
      </c>
      <c r="AS180" s="3">
        <v>339</v>
      </c>
      <c r="AT180" s="3" t="str">
        <f>IFERROR(MID(VLOOKUP($B180,Seqs!$A:$B,2,0),AU180,1),"")</f>
        <v>L</v>
      </c>
      <c r="AU180" s="3">
        <v>366</v>
      </c>
      <c r="AV180" s="3" t="str">
        <f>IFERROR(MID(VLOOKUP($B180,Seqs!$A:$B,2,0),AW180,1),"")</f>
        <v>N</v>
      </c>
      <c r="AW180" s="3">
        <v>367</v>
      </c>
      <c r="AX180" s="3" t="str">
        <f>IFERROR(MID(VLOOKUP($B180,Seqs!$A:$B,2,0),AY180,1),"")</f>
        <v>A</v>
      </c>
      <c r="AY180" s="3">
        <v>392</v>
      </c>
      <c r="AZ180" s="79" t="str">
        <f>VLOOKUP(B180,Classification!A:D,2,0)</f>
        <v>B1</v>
      </c>
      <c r="BA180" s="97" t="str">
        <f>VLOOKUP(B180,Classification!A:D,4,0)</f>
        <v>Corticotropin-releasingfact</v>
      </c>
      <c r="BB180" s="27" t="b">
        <f t="shared" si="640"/>
        <v>1</v>
      </c>
      <c r="BC180" s="23">
        <f t="shared" ref="BC180:BC210" si="836">_xlfn.AGGREGATE(9,6,CG180:CR180)-_xlfn.AGGREGATE(9,6,BU180:CF180)+12</f>
        <v>256</v>
      </c>
      <c r="BD180" s="57" t="s">
        <v>1379</v>
      </c>
      <c r="BE180" s="3" t="s">
        <v>1381</v>
      </c>
      <c r="BF180" s="50" t="s">
        <v>1379</v>
      </c>
      <c r="BG180" s="50" t="s">
        <v>1384</v>
      </c>
      <c r="BH180" s="1"/>
      <c r="BI180" s="72" t="s">
        <v>1293</v>
      </c>
      <c r="BJ180" s="58" t="s">
        <v>1293</v>
      </c>
      <c r="BK180" s="58" t="s">
        <v>1293</v>
      </c>
      <c r="BL180" s="58" t="s">
        <v>1293</v>
      </c>
      <c r="BM180" s="58" t="s">
        <v>1293</v>
      </c>
      <c r="BN180" s="58" t="s">
        <v>1293</v>
      </c>
      <c r="BO180" s="58" t="s">
        <v>1293</v>
      </c>
      <c r="BP180" s="58" t="s">
        <v>1293</v>
      </c>
      <c r="BQ180" s="58" t="s">
        <v>1293</v>
      </c>
      <c r="BR180" s="58" t="s">
        <v>1293</v>
      </c>
      <c r="BS180" s="58" t="s">
        <v>1293</v>
      </c>
      <c r="BT180" s="58" t="s">
        <v>1293</v>
      </c>
      <c r="BU180" s="72">
        <f t="shared" ref="BU180:BU210" si="837">E180</f>
        <v>103</v>
      </c>
      <c r="BV180" s="73">
        <f t="shared" ref="BV180:BV210" si="838">I180</f>
        <v>145</v>
      </c>
      <c r="BW180" s="74">
        <f t="shared" ref="BW180:BW210" si="839">M180</f>
        <v>149</v>
      </c>
      <c r="BX180" s="73" t="str">
        <f t="shared" ref="BX180:BX210" si="840">Q180</f>
        <v>-</v>
      </c>
      <c r="BY180" s="74">
        <f t="shared" ref="BY180:BY210" si="841">U180</f>
        <v>185</v>
      </c>
      <c r="BZ180" s="73" t="str">
        <f t="shared" ref="BZ180:BZ210" si="842">Y180</f>
        <v>-</v>
      </c>
      <c r="CA180" s="74">
        <f t="shared" ref="CA180:CA210" si="843">AC180</f>
        <v>226</v>
      </c>
      <c r="CB180" s="73">
        <f t="shared" ref="CB180:CB210" si="844">AG180</f>
        <v>258</v>
      </c>
      <c r="CC180" s="74">
        <f t="shared" ref="CC180:CC210" si="845">AK180</f>
        <v>268</v>
      </c>
      <c r="CD180" s="73">
        <f t="shared" ref="CD180:CD210" si="846">AO180</f>
        <v>304</v>
      </c>
      <c r="CE180" s="74">
        <f t="shared" ref="CE180:CE210" si="847">AS180</f>
        <v>339</v>
      </c>
      <c r="CF180" s="73">
        <f t="shared" ref="CF180:CF210" si="848">AW180</f>
        <v>367</v>
      </c>
      <c r="CG180" s="72">
        <f t="shared" ref="CG180:CG210" si="849">G180</f>
        <v>144</v>
      </c>
      <c r="CH180" s="73">
        <f t="shared" ref="CH180:CH210" si="850">K180</f>
        <v>148</v>
      </c>
      <c r="CI180" s="74">
        <f t="shared" ref="CI180:CI210" si="851">O180</f>
        <v>175</v>
      </c>
      <c r="CJ180" s="74" t="str">
        <f t="shared" ref="CJ180:CJ210" si="852">S180</f>
        <v>-</v>
      </c>
      <c r="CK180" s="74">
        <f t="shared" ref="CK180:CK210" si="853">W180</f>
        <v>219</v>
      </c>
      <c r="CL180" s="74" t="str">
        <f t="shared" ref="CL180:CL210" si="854">AA180</f>
        <v>-</v>
      </c>
      <c r="CM180" s="74">
        <f t="shared" ref="CM180:CM210" si="855">AE180</f>
        <v>254</v>
      </c>
      <c r="CN180" s="74">
        <f t="shared" ref="CN180:CN210" si="856">AI180</f>
        <v>260</v>
      </c>
      <c r="CO180" s="74">
        <f t="shared" ref="CO180:CO210" si="857">AM180</f>
        <v>298</v>
      </c>
      <c r="CP180" s="74">
        <f t="shared" ref="CP180:CP210" si="858">AQ180</f>
        <v>332</v>
      </c>
      <c r="CQ180" s="74">
        <f t="shared" ref="CQ180:CQ210" si="859">AU180</f>
        <v>366</v>
      </c>
      <c r="CR180" s="74">
        <f t="shared" ref="CR180:CR210" si="860">AY180</f>
        <v>392</v>
      </c>
      <c r="CS180" s="23">
        <f t="shared" ref="CS180:CS210" si="861">M180-K180</f>
        <v>1</v>
      </c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1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1"/>
      <c r="AFW180" s="1"/>
      <c r="AFX180" s="1"/>
      <c r="AFY180" s="1"/>
      <c r="AFZ180" s="1"/>
      <c r="AGA180" s="1"/>
      <c r="AGB180" s="1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1"/>
      <c r="AHD180" s="1"/>
      <c r="AHE180" s="1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1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1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1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1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1"/>
      <c r="AKR180" s="1"/>
      <c r="AKS180" s="1"/>
      <c r="AKT180" s="1"/>
      <c r="AKU180" s="1"/>
      <c r="AKV180" s="1"/>
      <c r="AKW180" s="1"/>
      <c r="AKX180" s="1"/>
      <c r="AKY180" s="1"/>
      <c r="AKZ180" s="1"/>
      <c r="ALA180" s="1"/>
      <c r="ALB180" s="1"/>
      <c r="ALC180" s="1"/>
      <c r="ALD180" s="1"/>
      <c r="ALE180" s="1"/>
      <c r="ALF180" s="1"/>
      <c r="ALG180" s="1"/>
      <c r="ALH180" s="1"/>
      <c r="ALI180" s="1"/>
      <c r="ALJ180" s="1"/>
      <c r="ALK180" s="1"/>
      <c r="ALL180" s="1"/>
      <c r="ALM180" s="1"/>
      <c r="ALN180" s="1"/>
      <c r="ALO180" s="1"/>
      <c r="ALP180" s="1"/>
      <c r="ALQ180" s="1"/>
      <c r="ALR180" s="1"/>
      <c r="ALS180" s="1"/>
      <c r="ALT180" s="1"/>
      <c r="ALU180" s="1"/>
      <c r="ALV180" s="1"/>
      <c r="ALW180" s="1"/>
      <c r="ALX180" s="1"/>
      <c r="ALY180" s="1"/>
      <c r="ALZ180" s="1"/>
      <c r="AMA180" s="1"/>
      <c r="AMB180" s="1"/>
      <c r="AMC180" s="1"/>
      <c r="AMD180" s="1"/>
      <c r="AME180" s="1"/>
      <c r="AMF180" s="1"/>
      <c r="AMG180" s="1"/>
      <c r="AMH180" s="1"/>
      <c r="AMI180" s="1"/>
      <c r="AMJ180" s="1"/>
      <c r="AMK180" s="1"/>
      <c r="AML180" s="1"/>
      <c r="AMM180" s="1"/>
      <c r="AMN180" s="1"/>
    </row>
    <row r="181" spans="1:1029" x14ac:dyDescent="0.2">
      <c r="A181" s="3" t="str">
        <f t="shared" si="639"/>
        <v>crfr1_human_4K5Y</v>
      </c>
      <c r="B181" s="3" t="s">
        <v>38</v>
      </c>
      <c r="C181" s="3" t="s">
        <v>95</v>
      </c>
      <c r="D181" s="3" t="str">
        <f>IFERROR(MID(VLOOKUP($B181,Seqs!$A:$B,2,0),E181,1),"")</f>
        <v>H</v>
      </c>
      <c r="E181" s="3">
        <v>117</v>
      </c>
      <c r="F181" s="3" t="str">
        <f>IFERROR(MID(VLOOKUP($B181,Seqs!$A:$B,2,0),G181,1),"")</f>
        <v>L</v>
      </c>
      <c r="G181" s="3">
        <v>144</v>
      </c>
      <c r="H181" s="3" t="str">
        <f>IFERROR(MID(VLOOKUP($B181,Seqs!$A:$B,2,0),I181,1),"")</f>
        <v>R</v>
      </c>
      <c r="I181" s="23">
        <v>145</v>
      </c>
      <c r="J181" s="3" t="str">
        <f>IFERROR(MID(VLOOKUP($B181,Seqs!$A:$B,2,0),K181,1),"")</f>
        <v>R</v>
      </c>
      <c r="K181" s="23">
        <v>148</v>
      </c>
      <c r="L181" s="3" t="str">
        <f>IFERROR(MID(VLOOKUP($B181,Seqs!$A:$B,2,0),M181,1),"")</f>
        <v>C</v>
      </c>
      <c r="M181" s="23">
        <v>149</v>
      </c>
      <c r="N181" s="3" t="str">
        <f>IFERROR(MID(VLOOKUP($B181,Seqs!$A:$B,2,0),O181,1),"")</f>
        <v>T</v>
      </c>
      <c r="O181" s="3">
        <v>175</v>
      </c>
      <c r="P181" s="3" t="str">
        <f>IFERROR(MID(VLOOKUP($B181,Seqs!$A:$B,2,0),Q181,1),"")</f>
        <v/>
      </c>
      <c r="Q181" s="3" t="s">
        <v>23</v>
      </c>
      <c r="R181" s="3" t="str">
        <f>IFERROR(MID(VLOOKUP($B181,Seqs!$A:$B,2,0),S181,1),"")</f>
        <v/>
      </c>
      <c r="S181" s="3" t="s">
        <v>23</v>
      </c>
      <c r="T181" s="3" t="str">
        <f>IFERROR(MID(VLOOKUP($B181,Seqs!$A:$B,2,0),U181,1),"")</f>
        <v>V</v>
      </c>
      <c r="U181" s="3">
        <v>185</v>
      </c>
      <c r="V181" s="3" t="str">
        <f>IFERROR(MID(VLOOKUP($B181,Seqs!$A:$B,2,0),W181,1),"")</f>
        <v>L</v>
      </c>
      <c r="W181" s="3">
        <v>219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L</v>
      </c>
      <c r="AC181" s="9">
        <v>226</v>
      </c>
      <c r="AD181" s="3" t="str">
        <f>IFERROR(MID(VLOOKUP($B181,Seqs!$A:$B,2,0),AE181,1),"")</f>
        <v>D</v>
      </c>
      <c r="AE181" s="3">
        <v>254</v>
      </c>
      <c r="AF181" s="3" t="str">
        <f>IFERROR(MID(VLOOKUP($B181,Seqs!$A:$B,2,0),AG181,1),"")</f>
        <v>C</v>
      </c>
      <c r="AG181" s="3">
        <v>258</v>
      </c>
      <c r="AH181" s="3" t="str">
        <f>IFERROR(MID(VLOOKUP($B181,Seqs!$A:$B,2,0),AI181,1),"")</f>
        <v>F</v>
      </c>
      <c r="AI181" s="3">
        <v>260</v>
      </c>
      <c r="AJ181" s="3" t="str">
        <f>IFERROR(MID(VLOOKUP($B181,Seqs!$A:$B,2,0),AK181,1),"")</f>
        <v>T</v>
      </c>
      <c r="AK181" s="3">
        <v>268</v>
      </c>
      <c r="AL181" s="3" t="str">
        <f>IFERROR(MID(VLOOKUP($B181,Seqs!$A:$B,2,0),AM181,1),"")</f>
        <v>L</v>
      </c>
      <c r="AM181" s="3">
        <v>298</v>
      </c>
      <c r="AN181" s="3" t="str">
        <f>IFERROR(MID(VLOOKUP($B181,Seqs!$A:$B,2,0),AO181,1),"")</f>
        <v>S</v>
      </c>
      <c r="AO181" s="3">
        <v>304</v>
      </c>
      <c r="AP181" s="3" t="str">
        <f>IFERROR(MID(VLOOKUP($B181,Seqs!$A:$B,2,0),AQ181,1),"")</f>
        <v>V</v>
      </c>
      <c r="AQ181" s="3">
        <v>332</v>
      </c>
      <c r="AR181" s="3" t="str">
        <f>IFERROR(MID(VLOOKUP($B181,Seqs!$A:$B,2,0),AS181,1),"")</f>
        <v>V</v>
      </c>
      <c r="AS181" s="3">
        <v>339</v>
      </c>
      <c r="AT181" s="3" t="str">
        <f>IFERROR(MID(VLOOKUP($B181,Seqs!$A:$B,2,0),AU181,1),"")</f>
        <v>F</v>
      </c>
      <c r="AU181" s="3">
        <v>362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9" t="str">
        <f>VLOOKUP(B181,Classification!A:D,2,0)</f>
        <v>B1</v>
      </c>
      <c r="BA181" s="97" t="str">
        <f>VLOOKUP(B181,Classification!A:D,4,0)</f>
        <v>Corticotropin-releasingfact</v>
      </c>
      <c r="BB181" s="27" t="b">
        <f t="shared" si="640"/>
        <v>1</v>
      </c>
      <c r="BC181" s="23">
        <f t="shared" si="836"/>
        <v>213</v>
      </c>
      <c r="BD181" s="4" t="s">
        <v>23</v>
      </c>
      <c r="BE181" s="3" t="s">
        <v>1381</v>
      </c>
      <c r="BF181" s="50" t="s">
        <v>1384</v>
      </c>
      <c r="BG181" s="50" t="s">
        <v>1384</v>
      </c>
      <c r="BH181" s="1"/>
      <c r="BI181" s="72" t="s">
        <v>1293</v>
      </c>
      <c r="BJ181" s="58" t="s">
        <v>1293</v>
      </c>
      <c r="BK181" s="58" t="s">
        <v>1293</v>
      </c>
      <c r="BL181" s="58" t="s">
        <v>1293</v>
      </c>
      <c r="BM181" s="58" t="s">
        <v>1293</v>
      </c>
      <c r="BN181" s="58" t="s">
        <v>1293</v>
      </c>
      <c r="BO181" s="58" t="s">
        <v>1293</v>
      </c>
      <c r="BP181" s="58" t="s">
        <v>1293</v>
      </c>
      <c r="BQ181" s="58" t="s">
        <v>1293</v>
      </c>
      <c r="BR181" s="58" t="s">
        <v>1293</v>
      </c>
      <c r="BS181" s="58" t="s">
        <v>1293</v>
      </c>
      <c r="BT181" s="58" t="s">
        <v>1293</v>
      </c>
      <c r="BU181" s="72">
        <f t="shared" si="837"/>
        <v>117</v>
      </c>
      <c r="BV181" s="73">
        <f t="shared" si="838"/>
        <v>145</v>
      </c>
      <c r="BW181" s="74">
        <f t="shared" si="839"/>
        <v>149</v>
      </c>
      <c r="BX181" s="73" t="str">
        <f t="shared" si="840"/>
        <v>-</v>
      </c>
      <c r="BY181" s="74">
        <f t="shared" si="841"/>
        <v>185</v>
      </c>
      <c r="BZ181" s="73" t="str">
        <f t="shared" si="842"/>
        <v>-</v>
      </c>
      <c r="CA181" s="74">
        <f t="shared" si="843"/>
        <v>226</v>
      </c>
      <c r="CB181" s="73">
        <f t="shared" si="844"/>
        <v>258</v>
      </c>
      <c r="CC181" s="74">
        <f t="shared" si="845"/>
        <v>268</v>
      </c>
      <c r="CD181" s="73">
        <f t="shared" si="846"/>
        <v>304</v>
      </c>
      <c r="CE181" s="74">
        <f t="shared" si="847"/>
        <v>339</v>
      </c>
      <c r="CF181" s="73" t="str">
        <f t="shared" si="848"/>
        <v>-</v>
      </c>
      <c r="CG181" s="72">
        <f t="shared" si="849"/>
        <v>144</v>
      </c>
      <c r="CH181" s="73">
        <f t="shared" si="850"/>
        <v>148</v>
      </c>
      <c r="CI181" s="74">
        <f t="shared" si="851"/>
        <v>175</v>
      </c>
      <c r="CJ181" s="74" t="str">
        <f t="shared" si="852"/>
        <v>-</v>
      </c>
      <c r="CK181" s="74">
        <f t="shared" si="853"/>
        <v>219</v>
      </c>
      <c r="CL181" s="74" t="str">
        <f t="shared" si="854"/>
        <v>-</v>
      </c>
      <c r="CM181" s="74">
        <f t="shared" si="855"/>
        <v>254</v>
      </c>
      <c r="CN181" s="74">
        <f t="shared" si="856"/>
        <v>260</v>
      </c>
      <c r="CO181" s="74">
        <f t="shared" si="857"/>
        <v>298</v>
      </c>
      <c r="CP181" s="74">
        <f t="shared" si="858"/>
        <v>332</v>
      </c>
      <c r="CQ181" s="74">
        <f t="shared" si="859"/>
        <v>362</v>
      </c>
      <c r="CR181" s="74" t="str">
        <f t="shared" si="860"/>
        <v>-</v>
      </c>
      <c r="CS181" s="23">
        <f t="shared" si="861"/>
        <v>1</v>
      </c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  <c r="ADW181" s="1"/>
      <c r="ADX181" s="1"/>
      <c r="ADY181" s="1"/>
      <c r="ADZ181" s="1"/>
      <c r="AEA181" s="1"/>
      <c r="AEB181" s="1"/>
      <c r="AEC181" s="1"/>
      <c r="AED181" s="1"/>
      <c r="AEE181" s="1"/>
      <c r="AEF181" s="1"/>
      <c r="AEG181" s="1"/>
      <c r="AEH181" s="1"/>
      <c r="AEI181" s="1"/>
      <c r="AEJ181" s="1"/>
      <c r="AEK181" s="1"/>
      <c r="AEL181" s="1"/>
      <c r="AEM181" s="1"/>
      <c r="AEN181" s="1"/>
      <c r="AEO181" s="1"/>
      <c r="AEP181" s="1"/>
      <c r="AEQ181" s="1"/>
      <c r="AER181" s="1"/>
      <c r="AES181" s="1"/>
      <c r="AET181" s="1"/>
      <c r="AEU181" s="1"/>
      <c r="AEV181" s="1"/>
      <c r="AEW181" s="1"/>
      <c r="AEX181" s="1"/>
      <c r="AEY181" s="1"/>
      <c r="AEZ181" s="1"/>
      <c r="AFA181" s="1"/>
      <c r="AFB181" s="1"/>
      <c r="AFC181" s="1"/>
      <c r="AFD181" s="1"/>
      <c r="AFE181" s="1"/>
      <c r="AFF181" s="1"/>
      <c r="AFG181" s="1"/>
      <c r="AFH181" s="1"/>
      <c r="AFI181" s="1"/>
      <c r="AFJ181" s="1"/>
      <c r="AFK181" s="1"/>
      <c r="AFL181" s="1"/>
      <c r="AFM181" s="1"/>
      <c r="AFN181" s="1"/>
      <c r="AFO181" s="1"/>
      <c r="AFP181" s="1"/>
      <c r="AFQ181" s="1"/>
      <c r="AFR181" s="1"/>
      <c r="AFS181" s="1"/>
      <c r="AFT181" s="1"/>
      <c r="AFU181" s="1"/>
      <c r="AFV181" s="1"/>
      <c r="AFW181" s="1"/>
      <c r="AFX181" s="1"/>
      <c r="AFY181" s="1"/>
      <c r="AFZ181" s="1"/>
      <c r="AGA181" s="1"/>
      <c r="AGB181" s="1"/>
      <c r="AGC181" s="1"/>
      <c r="AGD181" s="1"/>
      <c r="AGE181" s="1"/>
      <c r="AGF181" s="1"/>
      <c r="AGG181" s="1"/>
      <c r="AGH181" s="1"/>
      <c r="AGI181" s="1"/>
      <c r="AGJ181" s="1"/>
      <c r="AGK181" s="1"/>
      <c r="AGL181" s="1"/>
      <c r="AGM181" s="1"/>
      <c r="AGN181" s="1"/>
      <c r="AGO181" s="1"/>
      <c r="AGP181" s="1"/>
      <c r="AGQ181" s="1"/>
      <c r="AGR181" s="1"/>
      <c r="AGS181" s="1"/>
      <c r="AGT181" s="1"/>
      <c r="AGU181" s="1"/>
      <c r="AGV181" s="1"/>
      <c r="AGW181" s="1"/>
      <c r="AGX181" s="1"/>
      <c r="AGY181" s="1"/>
      <c r="AGZ181" s="1"/>
      <c r="AHA181" s="1"/>
      <c r="AHB181" s="1"/>
      <c r="AHC181" s="1"/>
      <c r="AHD181" s="1"/>
      <c r="AHE181" s="1"/>
      <c r="AHF181" s="1"/>
      <c r="AHG181" s="1"/>
      <c r="AHH181" s="1"/>
      <c r="AHI181" s="1"/>
      <c r="AHJ181" s="1"/>
      <c r="AHK181" s="1"/>
      <c r="AHL181" s="1"/>
      <c r="AHM181" s="1"/>
      <c r="AHN181" s="1"/>
      <c r="AHO181" s="1"/>
      <c r="AHP181" s="1"/>
      <c r="AHQ181" s="1"/>
      <c r="AHR181" s="1"/>
      <c r="AHS181" s="1"/>
      <c r="AHT181" s="1"/>
      <c r="AHU181" s="1"/>
      <c r="AHV181" s="1"/>
      <c r="AHW181" s="1"/>
      <c r="AHX181" s="1"/>
      <c r="AHY181" s="1"/>
      <c r="AHZ181" s="1"/>
      <c r="AIA181" s="1"/>
      <c r="AIB181" s="1"/>
      <c r="AIC181" s="1"/>
      <c r="AID181" s="1"/>
      <c r="AIE181" s="1"/>
      <c r="AIF181" s="1"/>
      <c r="AIG181" s="1"/>
      <c r="AIH181" s="1"/>
      <c r="AII181" s="1"/>
      <c r="AIJ181" s="1"/>
      <c r="AIK181" s="1"/>
      <c r="AIL181" s="1"/>
      <c r="AIM181" s="1"/>
      <c r="AIN181" s="1"/>
      <c r="AIO181" s="1"/>
      <c r="AIP181" s="1"/>
      <c r="AIQ181" s="1"/>
      <c r="AIR181" s="1"/>
      <c r="AIS181" s="1"/>
      <c r="AIT181" s="1"/>
      <c r="AIU181" s="1"/>
      <c r="AIV181" s="1"/>
      <c r="AIW181" s="1"/>
      <c r="AIX181" s="1"/>
      <c r="AIY181" s="1"/>
      <c r="AIZ181" s="1"/>
      <c r="AJA181" s="1"/>
      <c r="AJB181" s="1"/>
      <c r="AJC181" s="1"/>
      <c r="AJD181" s="1"/>
      <c r="AJE181" s="1"/>
      <c r="AJF181" s="1"/>
      <c r="AJG181" s="1"/>
      <c r="AJH181" s="1"/>
      <c r="AJI181" s="1"/>
      <c r="AJJ181" s="1"/>
      <c r="AJK181" s="1"/>
      <c r="AJL181" s="1"/>
      <c r="AJM181" s="1"/>
      <c r="AJN181" s="1"/>
      <c r="AJO181" s="1"/>
      <c r="AJP181" s="1"/>
      <c r="AJQ181" s="1"/>
      <c r="AJR181" s="1"/>
      <c r="AJS181" s="1"/>
      <c r="AJT181" s="1"/>
      <c r="AJU181" s="1"/>
      <c r="AJV181" s="1"/>
      <c r="AJW181" s="1"/>
      <c r="AJX181" s="1"/>
      <c r="AJY181" s="1"/>
      <c r="AJZ181" s="1"/>
      <c r="AKA181" s="1"/>
      <c r="AKB181" s="1"/>
      <c r="AKC181" s="1"/>
      <c r="AKD181" s="1"/>
      <c r="AKE181" s="1"/>
      <c r="AKF181" s="1"/>
      <c r="AKG181" s="1"/>
      <c r="AKH181" s="1"/>
      <c r="AKI181" s="1"/>
      <c r="AKJ181" s="1"/>
      <c r="AKK181" s="1"/>
      <c r="AKL181" s="1"/>
      <c r="AKM181" s="1"/>
      <c r="AKN181" s="1"/>
      <c r="AKO181" s="1"/>
      <c r="AKP181" s="1"/>
      <c r="AKQ181" s="1"/>
      <c r="AKR181" s="1"/>
      <c r="AKS181" s="1"/>
      <c r="AKT181" s="1"/>
      <c r="AKU181" s="1"/>
      <c r="AKV181" s="1"/>
      <c r="AKW181" s="1"/>
      <c r="AKX181" s="1"/>
      <c r="AKY181" s="1"/>
      <c r="AKZ181" s="1"/>
      <c r="ALA181" s="1"/>
      <c r="ALB181" s="1"/>
      <c r="ALC181" s="1"/>
      <c r="ALD181" s="1"/>
      <c r="ALE181" s="1"/>
      <c r="ALF181" s="1"/>
      <c r="ALG181" s="1"/>
      <c r="ALH181" s="1"/>
      <c r="ALI181" s="1"/>
      <c r="ALJ181" s="1"/>
      <c r="ALK181" s="1"/>
      <c r="ALL181" s="1"/>
      <c r="ALM181" s="1"/>
      <c r="ALN181" s="1"/>
      <c r="ALO181" s="1"/>
      <c r="ALP181" s="1"/>
      <c r="ALQ181" s="1"/>
      <c r="ALR181" s="1"/>
      <c r="ALS181" s="1"/>
      <c r="ALT181" s="1"/>
      <c r="ALU181" s="1"/>
      <c r="ALV181" s="1"/>
      <c r="ALW181" s="1"/>
      <c r="ALX181" s="1"/>
      <c r="ALY181" s="1"/>
      <c r="ALZ181" s="1"/>
      <c r="AMA181" s="1"/>
      <c r="AMB181" s="1"/>
      <c r="AMC181" s="1"/>
      <c r="AMD181" s="1"/>
      <c r="AME181" s="1"/>
      <c r="AMF181" s="1"/>
      <c r="AMG181" s="1"/>
      <c r="AMH181" s="1"/>
      <c r="AMI181" s="1"/>
      <c r="AMJ181" s="1"/>
      <c r="AMK181" s="1"/>
      <c r="AML181" s="1"/>
      <c r="AMM181" s="1"/>
      <c r="AMN181" s="1"/>
    </row>
    <row r="182" spans="1:1029" x14ac:dyDescent="0.2">
      <c r="A182" s="3" t="str">
        <f t="shared" si="639"/>
        <v>crfr1_human_4K5Y_dist</v>
      </c>
      <c r="B182" s="3" t="s">
        <v>38</v>
      </c>
      <c r="C182" s="3" t="s">
        <v>1161</v>
      </c>
      <c r="D182" s="3" t="str">
        <f>IFERROR(MID(VLOOKUP($B182,Seqs!$A:$B,2,0),E182,1),"")</f>
        <v>H</v>
      </c>
      <c r="E182" s="3">
        <v>117</v>
      </c>
      <c r="F182" s="3" t="str">
        <f>IFERROR(MID(VLOOKUP($B182,Seqs!$A:$B,2,0),G182,1),"")</f>
        <v>L</v>
      </c>
      <c r="G182" s="3">
        <v>144</v>
      </c>
      <c r="H182" s="3" t="str">
        <f>IFERROR(MID(VLOOKUP($B182,Seqs!$A:$B,2,0),I182,1),"")</f>
        <v>R</v>
      </c>
      <c r="I182" s="23">
        <v>145</v>
      </c>
      <c r="J182" s="3" t="str">
        <f>IFERROR(MID(VLOOKUP($B182,Seqs!$A:$B,2,0),K182,1),"")</f>
        <v>R</v>
      </c>
      <c r="K182" s="23">
        <v>148</v>
      </c>
      <c r="L182" s="3" t="str">
        <f>IFERROR(MID(VLOOKUP($B182,Seqs!$A:$B,2,0),M182,1),"")</f>
        <v>C</v>
      </c>
      <c r="M182" s="23">
        <v>149</v>
      </c>
      <c r="N182" s="3" t="str">
        <f>IFERROR(MID(VLOOKUP($B182,Seqs!$A:$B,2,0),O182,1),"")</f>
        <v>T</v>
      </c>
      <c r="O182" s="3">
        <v>175</v>
      </c>
      <c r="P182" s="3" t="str">
        <f>IFERROR(MID(VLOOKUP($B182,Seqs!$A:$B,2,0),Q182,1),"")</f>
        <v/>
      </c>
      <c r="Q182" s="3" t="s">
        <v>23</v>
      </c>
      <c r="R182" s="3" t="str">
        <f>IFERROR(MID(VLOOKUP($B182,Seqs!$A:$B,2,0),S182,1),"")</f>
        <v/>
      </c>
      <c r="S182" s="3" t="s">
        <v>23</v>
      </c>
      <c r="T182" s="3" t="str">
        <f>IFERROR(MID(VLOOKUP($B182,Seqs!$A:$B,2,0),U182,1),"")</f>
        <v>V</v>
      </c>
      <c r="U182" s="3">
        <v>185</v>
      </c>
      <c r="V182" s="3" t="str">
        <f>IFERROR(MID(VLOOKUP($B182,Seqs!$A:$B,2,0),W182,1),"")</f>
        <v>L</v>
      </c>
      <c r="W182" s="3">
        <v>219</v>
      </c>
      <c r="X182" s="3" t="str">
        <f>IFERROR(MID(VLOOKUP($B182,Seqs!$A:$B,2,0),Y182,1),"")</f>
        <v/>
      </c>
      <c r="Y182" s="3" t="s">
        <v>23</v>
      </c>
      <c r="Z182" s="3" t="str">
        <f>IFERROR(MID(VLOOKUP($B182,Seqs!$A:$B,2,0),AA182,1),"")</f>
        <v/>
      </c>
      <c r="AA182" s="3" t="s">
        <v>23</v>
      </c>
      <c r="AB182" s="3" t="str">
        <f>IFERROR(MID(VLOOKUP($B182,Seqs!$A:$B,2,0),AC182,1),"")</f>
        <v>L</v>
      </c>
      <c r="AC182" s="9">
        <v>226</v>
      </c>
      <c r="AD182" s="3" t="str">
        <f>IFERROR(MID(VLOOKUP($B182,Seqs!$A:$B,2,0),AE182,1),"")</f>
        <v>D</v>
      </c>
      <c r="AE182" s="3">
        <v>254</v>
      </c>
      <c r="AF182" s="3" t="str">
        <f>IFERROR(MID(VLOOKUP($B182,Seqs!$A:$B,2,0),AG182,1),"")</f>
        <v>C</v>
      </c>
      <c r="AG182" s="3">
        <v>258</v>
      </c>
      <c r="AH182" s="3" t="str">
        <f>IFERROR(MID(VLOOKUP($B182,Seqs!$A:$B,2,0),AI182,1),"")</f>
        <v>F</v>
      </c>
      <c r="AI182" s="3">
        <v>260</v>
      </c>
      <c r="AJ182" s="3" t="str">
        <f>IFERROR(MID(VLOOKUP($B182,Seqs!$A:$B,2,0),AK182,1),"")</f>
        <v>T</v>
      </c>
      <c r="AK182" s="3">
        <v>268</v>
      </c>
      <c r="AL182" s="3" t="str">
        <f>IFERROR(MID(VLOOKUP($B182,Seqs!$A:$B,2,0),AM182,1),"")</f>
        <v>L</v>
      </c>
      <c r="AM182" s="3">
        <v>298</v>
      </c>
      <c r="AN182" s="3" t="str">
        <f>IFERROR(MID(VLOOKUP($B182,Seqs!$A:$B,2,0),AO182,1),"")</f>
        <v>S</v>
      </c>
      <c r="AO182" s="3">
        <v>304</v>
      </c>
      <c r="AP182" s="3" t="str">
        <f>IFERROR(MID(VLOOKUP($B182,Seqs!$A:$B,2,0),AQ182,1),"")</f>
        <v>V</v>
      </c>
      <c r="AQ182" s="3">
        <v>332</v>
      </c>
      <c r="AR182" s="3" t="str">
        <f>IFERROR(MID(VLOOKUP($B182,Seqs!$A:$B,2,0),AS182,1),"")</f>
        <v>V</v>
      </c>
      <c r="AS182" s="3">
        <v>339</v>
      </c>
      <c r="AT182" s="3" t="str">
        <f>IFERROR(MID(VLOOKUP($B182,Seqs!$A:$B,2,0),AU182,1),"")</f>
        <v>L</v>
      </c>
      <c r="AU182" s="3">
        <v>366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9" t="str">
        <f>VLOOKUP(B182,Classification!A:D,2,0)</f>
        <v>B1</v>
      </c>
      <c r="BA182" s="97" t="str">
        <f>VLOOKUP(B182,Classification!A:D,4,0)</f>
        <v>Corticotropin-releasingfact</v>
      </c>
      <c r="BB182" s="27" t="b">
        <f t="shared" si="640"/>
        <v>1</v>
      </c>
      <c r="BC182" s="23">
        <f t="shared" si="836"/>
        <v>217</v>
      </c>
      <c r="BD182" s="57" t="s">
        <v>1379</v>
      </c>
      <c r="BE182" s="3" t="s">
        <v>1381</v>
      </c>
      <c r="BF182" s="50" t="s">
        <v>1384</v>
      </c>
      <c r="BG182" s="50" t="s">
        <v>1384</v>
      </c>
      <c r="BH182" s="3" t="s">
        <v>1163</v>
      </c>
      <c r="BI182" s="72" t="s">
        <v>1293</v>
      </c>
      <c r="BJ182" s="58" t="s">
        <v>1293</v>
      </c>
      <c r="BK182" s="58" t="s">
        <v>1293</v>
      </c>
      <c r="BL182" s="58" t="s">
        <v>1293</v>
      </c>
      <c r="BM182" s="58" t="s">
        <v>1293</v>
      </c>
      <c r="BN182" s="58" t="s">
        <v>1293</v>
      </c>
      <c r="BO182" s="58" t="s">
        <v>1293</v>
      </c>
      <c r="BP182" s="58" t="s">
        <v>1293</v>
      </c>
      <c r="BQ182" s="58" t="s">
        <v>1293</v>
      </c>
      <c r="BR182" s="58" t="s">
        <v>1293</v>
      </c>
      <c r="BS182" s="58" t="s">
        <v>1293</v>
      </c>
      <c r="BT182" s="58" t="s">
        <v>1293</v>
      </c>
      <c r="BU182" s="72">
        <f t="shared" si="837"/>
        <v>117</v>
      </c>
      <c r="BV182" s="73">
        <f t="shared" si="838"/>
        <v>145</v>
      </c>
      <c r="BW182" s="74">
        <f t="shared" si="839"/>
        <v>149</v>
      </c>
      <c r="BX182" s="73" t="str">
        <f t="shared" si="840"/>
        <v>-</v>
      </c>
      <c r="BY182" s="74">
        <f t="shared" si="841"/>
        <v>185</v>
      </c>
      <c r="BZ182" s="73" t="str">
        <f t="shared" si="842"/>
        <v>-</v>
      </c>
      <c r="CA182" s="74">
        <f t="shared" si="843"/>
        <v>226</v>
      </c>
      <c r="CB182" s="73">
        <f t="shared" si="844"/>
        <v>258</v>
      </c>
      <c r="CC182" s="74">
        <f t="shared" si="845"/>
        <v>268</v>
      </c>
      <c r="CD182" s="73">
        <f t="shared" si="846"/>
        <v>304</v>
      </c>
      <c r="CE182" s="74">
        <f t="shared" si="847"/>
        <v>339</v>
      </c>
      <c r="CF182" s="73" t="str">
        <f t="shared" si="848"/>
        <v>-</v>
      </c>
      <c r="CG182" s="72">
        <f t="shared" si="849"/>
        <v>144</v>
      </c>
      <c r="CH182" s="73">
        <f t="shared" si="850"/>
        <v>148</v>
      </c>
      <c r="CI182" s="74">
        <f t="shared" si="851"/>
        <v>175</v>
      </c>
      <c r="CJ182" s="74" t="str">
        <f t="shared" si="852"/>
        <v>-</v>
      </c>
      <c r="CK182" s="74">
        <f t="shared" si="853"/>
        <v>219</v>
      </c>
      <c r="CL182" s="74" t="str">
        <f t="shared" si="854"/>
        <v>-</v>
      </c>
      <c r="CM182" s="74">
        <f t="shared" si="855"/>
        <v>254</v>
      </c>
      <c r="CN182" s="74">
        <f t="shared" si="856"/>
        <v>260</v>
      </c>
      <c r="CO182" s="74">
        <f t="shared" si="857"/>
        <v>298</v>
      </c>
      <c r="CP182" s="74">
        <f t="shared" si="858"/>
        <v>332</v>
      </c>
      <c r="CQ182" s="74">
        <f t="shared" si="859"/>
        <v>366</v>
      </c>
      <c r="CR182" s="74" t="str">
        <f t="shared" si="860"/>
        <v>-</v>
      </c>
      <c r="CS182" s="23">
        <f t="shared" si="861"/>
        <v>1</v>
      </c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  <c r="ADW182" s="1"/>
      <c r="ADX182" s="1"/>
      <c r="ADY182" s="1"/>
      <c r="ADZ182" s="1"/>
      <c r="AEA182" s="1"/>
      <c r="AEB182" s="1"/>
      <c r="AEC182" s="1"/>
      <c r="AED182" s="1"/>
      <c r="AEE182" s="1"/>
      <c r="AEF182" s="1"/>
      <c r="AEG182" s="1"/>
      <c r="AEH182" s="1"/>
      <c r="AEI182" s="1"/>
      <c r="AEJ182" s="1"/>
      <c r="AEK182" s="1"/>
      <c r="AEL182" s="1"/>
      <c r="AEM182" s="1"/>
      <c r="AEN182" s="1"/>
      <c r="AEO182" s="1"/>
      <c r="AEP182" s="1"/>
      <c r="AEQ182" s="1"/>
      <c r="AER182" s="1"/>
      <c r="AES182" s="1"/>
      <c r="AET182" s="1"/>
      <c r="AEU182" s="1"/>
      <c r="AEV182" s="1"/>
      <c r="AEW182" s="1"/>
      <c r="AEX182" s="1"/>
      <c r="AEY182" s="1"/>
      <c r="AEZ182" s="1"/>
      <c r="AFA182" s="1"/>
      <c r="AFB182" s="1"/>
      <c r="AFC182" s="1"/>
      <c r="AFD182" s="1"/>
      <c r="AFE182" s="1"/>
      <c r="AFF182" s="1"/>
      <c r="AFG182" s="1"/>
      <c r="AFH182" s="1"/>
      <c r="AFI182" s="1"/>
      <c r="AFJ182" s="1"/>
      <c r="AFK182" s="1"/>
      <c r="AFL182" s="1"/>
      <c r="AFM182" s="1"/>
      <c r="AFN182" s="1"/>
      <c r="AFO182" s="1"/>
      <c r="AFP182" s="1"/>
      <c r="AFQ182" s="1"/>
      <c r="AFR182" s="1"/>
      <c r="AFS182" s="1"/>
      <c r="AFT182" s="1"/>
      <c r="AFU182" s="1"/>
      <c r="AFV182" s="1"/>
      <c r="AFW182" s="1"/>
      <c r="AFX182" s="1"/>
      <c r="AFY182" s="1"/>
      <c r="AFZ182" s="1"/>
      <c r="AGA182" s="1"/>
      <c r="AGB182" s="1"/>
      <c r="AGC182" s="1"/>
      <c r="AGD182" s="1"/>
      <c r="AGE182" s="1"/>
      <c r="AGF182" s="1"/>
      <c r="AGG182" s="1"/>
      <c r="AGH182" s="1"/>
      <c r="AGI182" s="1"/>
      <c r="AGJ182" s="1"/>
      <c r="AGK182" s="1"/>
      <c r="AGL182" s="1"/>
      <c r="AGM182" s="1"/>
      <c r="AGN182" s="1"/>
      <c r="AGO182" s="1"/>
      <c r="AGP182" s="1"/>
      <c r="AGQ182" s="1"/>
      <c r="AGR182" s="1"/>
      <c r="AGS182" s="1"/>
      <c r="AGT182" s="1"/>
      <c r="AGU182" s="1"/>
      <c r="AGV182" s="1"/>
      <c r="AGW182" s="1"/>
      <c r="AGX182" s="1"/>
      <c r="AGY182" s="1"/>
      <c r="AGZ182" s="1"/>
      <c r="AHA182" s="1"/>
      <c r="AHB182" s="1"/>
      <c r="AHC182" s="1"/>
      <c r="AHD182" s="1"/>
      <c r="AHE182" s="1"/>
      <c r="AHF182" s="1"/>
      <c r="AHG182" s="1"/>
      <c r="AHH182" s="1"/>
      <c r="AHI182" s="1"/>
      <c r="AHJ182" s="1"/>
      <c r="AHK182" s="1"/>
      <c r="AHL182" s="1"/>
      <c r="AHM182" s="1"/>
      <c r="AHN182" s="1"/>
      <c r="AHO182" s="1"/>
      <c r="AHP182" s="1"/>
      <c r="AHQ182" s="1"/>
      <c r="AHR182" s="1"/>
      <c r="AHS182" s="1"/>
      <c r="AHT182" s="1"/>
      <c r="AHU182" s="1"/>
      <c r="AHV182" s="1"/>
      <c r="AHW182" s="1"/>
      <c r="AHX182" s="1"/>
      <c r="AHY182" s="1"/>
      <c r="AHZ182" s="1"/>
      <c r="AIA182" s="1"/>
      <c r="AIB182" s="1"/>
      <c r="AIC182" s="1"/>
      <c r="AID182" s="1"/>
      <c r="AIE182" s="1"/>
      <c r="AIF182" s="1"/>
      <c r="AIG182" s="1"/>
      <c r="AIH182" s="1"/>
      <c r="AII182" s="1"/>
      <c r="AIJ182" s="1"/>
      <c r="AIK182" s="1"/>
      <c r="AIL182" s="1"/>
      <c r="AIM182" s="1"/>
      <c r="AIN182" s="1"/>
      <c r="AIO182" s="1"/>
      <c r="AIP182" s="1"/>
      <c r="AIQ182" s="1"/>
      <c r="AIR182" s="1"/>
      <c r="AIS182" s="1"/>
      <c r="AIT182" s="1"/>
      <c r="AIU182" s="1"/>
      <c r="AIV182" s="1"/>
      <c r="AIW182" s="1"/>
      <c r="AIX182" s="1"/>
      <c r="AIY182" s="1"/>
      <c r="AIZ182" s="1"/>
      <c r="AJA182" s="1"/>
      <c r="AJB182" s="1"/>
      <c r="AJC182" s="1"/>
      <c r="AJD182" s="1"/>
      <c r="AJE182" s="1"/>
      <c r="AJF182" s="1"/>
      <c r="AJG182" s="1"/>
      <c r="AJH182" s="1"/>
      <c r="AJI182" s="1"/>
      <c r="AJJ182" s="1"/>
      <c r="AJK182" s="1"/>
      <c r="AJL182" s="1"/>
      <c r="AJM182" s="1"/>
      <c r="AJN182" s="1"/>
      <c r="AJO182" s="1"/>
      <c r="AJP182" s="1"/>
      <c r="AJQ182" s="1"/>
      <c r="AJR182" s="1"/>
      <c r="AJS182" s="1"/>
      <c r="AJT182" s="1"/>
      <c r="AJU182" s="1"/>
      <c r="AJV182" s="1"/>
      <c r="AJW182" s="1"/>
      <c r="AJX182" s="1"/>
      <c r="AJY182" s="1"/>
      <c r="AJZ182" s="1"/>
      <c r="AKA182" s="1"/>
      <c r="AKB182" s="1"/>
      <c r="AKC182" s="1"/>
      <c r="AKD182" s="1"/>
      <c r="AKE182" s="1"/>
      <c r="AKF182" s="1"/>
      <c r="AKG182" s="1"/>
      <c r="AKH182" s="1"/>
      <c r="AKI182" s="1"/>
      <c r="AKJ182" s="1"/>
      <c r="AKK182" s="1"/>
      <c r="AKL182" s="1"/>
      <c r="AKM182" s="1"/>
      <c r="AKN182" s="1"/>
      <c r="AKO182" s="1"/>
      <c r="AKP182" s="1"/>
      <c r="AKQ182" s="1"/>
      <c r="AKR182" s="1"/>
      <c r="AKS182" s="1"/>
      <c r="AKT182" s="1"/>
      <c r="AKU182" s="1"/>
      <c r="AKV182" s="1"/>
      <c r="AKW182" s="1"/>
      <c r="AKX182" s="1"/>
      <c r="AKY182" s="1"/>
      <c r="AKZ182" s="1"/>
      <c r="ALA182" s="1"/>
      <c r="ALB182" s="1"/>
      <c r="ALC182" s="1"/>
      <c r="ALD182" s="1"/>
      <c r="ALE182" s="1"/>
      <c r="ALF182" s="1"/>
      <c r="ALG182" s="1"/>
      <c r="ALH182" s="1"/>
      <c r="ALI182" s="1"/>
      <c r="ALJ182" s="1"/>
      <c r="ALK182" s="1"/>
      <c r="ALL182" s="1"/>
      <c r="ALM182" s="1"/>
      <c r="ALN182" s="1"/>
      <c r="ALO182" s="1"/>
      <c r="ALP182" s="1"/>
      <c r="ALQ182" s="1"/>
      <c r="ALR182" s="1"/>
      <c r="ALS182" s="1"/>
      <c r="ALT182" s="1"/>
      <c r="ALU182" s="1"/>
      <c r="ALV182" s="1"/>
      <c r="ALW182" s="1"/>
      <c r="ALX182" s="1"/>
      <c r="ALY182" s="1"/>
      <c r="ALZ182" s="1"/>
      <c r="AMA182" s="1"/>
      <c r="AMB182" s="1"/>
      <c r="AMC182" s="1"/>
      <c r="AMD182" s="1"/>
      <c r="AME182" s="1"/>
      <c r="AMF182" s="1"/>
      <c r="AMG182" s="1"/>
      <c r="AMH182" s="1"/>
      <c r="AMI182" s="1"/>
      <c r="AMJ182" s="1"/>
      <c r="AMK182" s="1"/>
      <c r="AML182" s="1"/>
      <c r="AMM182" s="1"/>
      <c r="AMN182" s="1"/>
    </row>
    <row r="183" spans="1:1029" x14ac:dyDescent="0.2">
      <c r="A183" s="3" t="str">
        <f t="shared" si="639"/>
        <v>crfr1_human_4Z9G</v>
      </c>
      <c r="B183" s="3" t="s">
        <v>38</v>
      </c>
      <c r="C183" s="3" t="s">
        <v>1060</v>
      </c>
      <c r="D183" s="3" t="str">
        <f>IFERROR(MID(VLOOKUP($B183,Seqs!$A:$B,2,0),E183,1),"")</f>
        <v>S</v>
      </c>
      <c r="E183" s="3">
        <v>112</v>
      </c>
      <c r="F183" s="3" t="str">
        <f>IFERROR(MID(VLOOKUP($B183,Seqs!$A:$B,2,0),G183,1),"")</f>
        <v>L</v>
      </c>
      <c r="G183" s="3">
        <v>144</v>
      </c>
      <c r="H183" s="3" t="str">
        <f>IFERROR(MID(VLOOKUP($B183,Seqs!$A:$B,2,0),I183,1),"")</f>
        <v>R</v>
      </c>
      <c r="I183" s="23">
        <v>145</v>
      </c>
      <c r="J183" s="3" t="str">
        <f>IFERROR(MID(VLOOKUP($B183,Seqs!$A:$B,2,0),K183,1),"")</f>
        <v>R</v>
      </c>
      <c r="K183" s="23">
        <v>148</v>
      </c>
      <c r="L183" s="3" t="str">
        <f>IFERROR(MID(VLOOKUP($B183,Seqs!$A:$B,2,0),M183,1),"")</f>
        <v>C</v>
      </c>
      <c r="M183" s="23">
        <v>149</v>
      </c>
      <c r="N183" s="3" t="str">
        <f>IFERROR(MID(VLOOKUP($B183,Seqs!$A:$B,2,0),O183,1),"")</f>
        <v>T</v>
      </c>
      <c r="O183" s="3">
        <v>175</v>
      </c>
      <c r="P183" s="3" t="str">
        <f>IFERROR(MID(VLOOKUP($B183,Seqs!$A:$B,2,0),Q183,1),"")</f>
        <v/>
      </c>
      <c r="Q183" s="3" t="s">
        <v>23</v>
      </c>
      <c r="R183" s="3" t="str">
        <f>IFERROR(MID(VLOOKUP($B183,Seqs!$A:$B,2,0),S183,1),"")</f>
        <v/>
      </c>
      <c r="S183" s="3" t="s">
        <v>23</v>
      </c>
      <c r="T183" s="3" t="str">
        <f>IFERROR(MID(VLOOKUP($B183,Seqs!$A:$B,2,0),U183,1),"")</f>
        <v>V</v>
      </c>
      <c r="U183" s="3">
        <v>185</v>
      </c>
      <c r="V183" s="3" t="str">
        <f>IFERROR(MID(VLOOKUP($B183,Seqs!$A:$B,2,0),W183,1),"")</f>
        <v>L</v>
      </c>
      <c r="W183" s="3">
        <v>219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L</v>
      </c>
      <c r="AC183" s="9">
        <v>226</v>
      </c>
      <c r="AD183" s="3" t="str">
        <f>IFERROR(MID(VLOOKUP($B183,Seqs!$A:$B,2,0),AE183,1),"")</f>
        <v>D</v>
      </c>
      <c r="AE183" s="3">
        <v>254</v>
      </c>
      <c r="AF183" s="3" t="str">
        <f>IFERROR(MID(VLOOKUP($B183,Seqs!$A:$B,2,0),AG183,1),"")</f>
        <v>C</v>
      </c>
      <c r="AG183" s="3">
        <v>258</v>
      </c>
      <c r="AH183" s="3" t="str">
        <f>IFERROR(MID(VLOOKUP($B183,Seqs!$A:$B,2,0),AI183,1),"")</f>
        <v>F</v>
      </c>
      <c r="AI183" s="3">
        <v>260</v>
      </c>
      <c r="AJ183" s="3" t="str">
        <f>IFERROR(MID(VLOOKUP($B183,Seqs!$A:$B,2,0),AK183,1),"")</f>
        <v>T</v>
      </c>
      <c r="AK183" s="3">
        <v>268</v>
      </c>
      <c r="AL183" s="3" t="str">
        <f>IFERROR(MID(VLOOKUP($B183,Seqs!$A:$B,2,0),AM183,1),"")</f>
        <v>L</v>
      </c>
      <c r="AM183" s="3">
        <v>298</v>
      </c>
      <c r="AN183" s="3" t="str">
        <f>IFERROR(MID(VLOOKUP($B183,Seqs!$A:$B,2,0),AO183,1),"")</f>
        <v>S</v>
      </c>
      <c r="AO183" s="3">
        <v>304</v>
      </c>
      <c r="AP183" s="3" t="str">
        <f>IFERROR(MID(VLOOKUP($B183,Seqs!$A:$B,2,0),AQ183,1),"")</f>
        <v>V</v>
      </c>
      <c r="AQ183" s="3">
        <v>332</v>
      </c>
      <c r="AR183" s="3" t="str">
        <f>IFERROR(MID(VLOOKUP($B183,Seqs!$A:$B,2,0),AS183,1),"")</f>
        <v>V</v>
      </c>
      <c r="AS183" s="3">
        <v>339</v>
      </c>
      <c r="AT183" s="3" t="str">
        <f>IFERROR(MID(VLOOKUP($B183,Seqs!$A:$B,2,0),AU183,1),"")</f>
        <v>F</v>
      </c>
      <c r="AU183" s="3">
        <v>362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9" t="str">
        <f>VLOOKUP(B183,Classification!A:D,2,0)</f>
        <v>B1</v>
      </c>
      <c r="BA183" s="97" t="str">
        <f>VLOOKUP(B183,Classification!A:D,4,0)</f>
        <v>Corticotropin-releasingfact</v>
      </c>
      <c r="BB183" s="27" t="b">
        <f t="shared" si="640"/>
        <v>1</v>
      </c>
      <c r="BC183" s="23">
        <f t="shared" si="836"/>
        <v>218</v>
      </c>
      <c r="BD183" s="2" t="s">
        <v>1383</v>
      </c>
      <c r="BE183" s="3" t="s">
        <v>1381</v>
      </c>
      <c r="BF183" s="50" t="s">
        <v>1384</v>
      </c>
      <c r="BG183" s="50" t="s">
        <v>1384</v>
      </c>
      <c r="BH183" s="1"/>
      <c r="BI183" s="72" t="s">
        <v>1293</v>
      </c>
      <c r="BJ183" s="58" t="s">
        <v>1293</v>
      </c>
      <c r="BK183" s="58" t="s">
        <v>1293</v>
      </c>
      <c r="BL183" s="58" t="s">
        <v>1293</v>
      </c>
      <c r="BM183" s="58" t="s">
        <v>1293</v>
      </c>
      <c r="BN183" s="58" t="s">
        <v>1293</v>
      </c>
      <c r="BO183" s="58" t="s">
        <v>1293</v>
      </c>
      <c r="BP183" s="58" t="s">
        <v>1293</v>
      </c>
      <c r="BQ183" s="58" t="s">
        <v>1293</v>
      </c>
      <c r="BR183" s="58" t="s">
        <v>1293</v>
      </c>
      <c r="BS183" s="58" t="s">
        <v>1293</v>
      </c>
      <c r="BT183" s="58" t="s">
        <v>1293</v>
      </c>
      <c r="BU183" s="72">
        <f t="shared" si="837"/>
        <v>112</v>
      </c>
      <c r="BV183" s="73">
        <f t="shared" si="838"/>
        <v>145</v>
      </c>
      <c r="BW183" s="74">
        <f t="shared" si="839"/>
        <v>149</v>
      </c>
      <c r="BX183" s="73" t="str">
        <f t="shared" si="840"/>
        <v>-</v>
      </c>
      <c r="BY183" s="74">
        <f t="shared" si="841"/>
        <v>185</v>
      </c>
      <c r="BZ183" s="73" t="str">
        <f t="shared" si="842"/>
        <v>-</v>
      </c>
      <c r="CA183" s="74">
        <f t="shared" si="843"/>
        <v>226</v>
      </c>
      <c r="CB183" s="73">
        <f t="shared" si="844"/>
        <v>258</v>
      </c>
      <c r="CC183" s="74">
        <f t="shared" si="845"/>
        <v>268</v>
      </c>
      <c r="CD183" s="73">
        <f t="shared" si="846"/>
        <v>304</v>
      </c>
      <c r="CE183" s="74">
        <f t="shared" si="847"/>
        <v>339</v>
      </c>
      <c r="CF183" s="73" t="str">
        <f t="shared" si="848"/>
        <v>-</v>
      </c>
      <c r="CG183" s="72">
        <f t="shared" si="849"/>
        <v>144</v>
      </c>
      <c r="CH183" s="73">
        <f t="shared" si="850"/>
        <v>148</v>
      </c>
      <c r="CI183" s="74">
        <f t="shared" si="851"/>
        <v>175</v>
      </c>
      <c r="CJ183" s="74" t="str">
        <f t="shared" si="852"/>
        <v>-</v>
      </c>
      <c r="CK183" s="74">
        <f t="shared" si="853"/>
        <v>219</v>
      </c>
      <c r="CL183" s="74" t="str">
        <f t="shared" si="854"/>
        <v>-</v>
      </c>
      <c r="CM183" s="74">
        <f t="shared" si="855"/>
        <v>254</v>
      </c>
      <c r="CN183" s="74">
        <f t="shared" si="856"/>
        <v>260</v>
      </c>
      <c r="CO183" s="74">
        <f t="shared" si="857"/>
        <v>298</v>
      </c>
      <c r="CP183" s="74">
        <f t="shared" si="858"/>
        <v>332</v>
      </c>
      <c r="CQ183" s="74">
        <f t="shared" si="859"/>
        <v>362</v>
      </c>
      <c r="CR183" s="74" t="str">
        <f t="shared" si="860"/>
        <v>-</v>
      </c>
      <c r="CS183" s="23">
        <f t="shared" si="861"/>
        <v>1</v>
      </c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  <c r="ADW183" s="1"/>
      <c r="ADX183" s="1"/>
      <c r="ADY183" s="1"/>
      <c r="ADZ183" s="1"/>
      <c r="AEA183" s="1"/>
      <c r="AEB183" s="1"/>
      <c r="AEC183" s="1"/>
      <c r="AED183" s="1"/>
      <c r="AEE183" s="1"/>
      <c r="AEF183" s="1"/>
      <c r="AEG183" s="1"/>
      <c r="AEH183" s="1"/>
      <c r="AEI183" s="1"/>
      <c r="AEJ183" s="1"/>
      <c r="AEK183" s="1"/>
      <c r="AEL183" s="1"/>
      <c r="AEM183" s="1"/>
      <c r="AEN183" s="1"/>
      <c r="AEO183" s="1"/>
      <c r="AEP183" s="1"/>
      <c r="AEQ183" s="1"/>
      <c r="AER183" s="1"/>
      <c r="AES183" s="1"/>
      <c r="AET183" s="1"/>
      <c r="AEU183" s="1"/>
      <c r="AEV183" s="1"/>
      <c r="AEW183" s="1"/>
      <c r="AEX183" s="1"/>
      <c r="AEY183" s="1"/>
      <c r="AEZ183" s="1"/>
      <c r="AFA183" s="1"/>
      <c r="AFB183" s="1"/>
      <c r="AFC183" s="1"/>
      <c r="AFD183" s="1"/>
      <c r="AFE183" s="1"/>
      <c r="AFF183" s="1"/>
      <c r="AFG183" s="1"/>
      <c r="AFH183" s="1"/>
      <c r="AFI183" s="1"/>
      <c r="AFJ183" s="1"/>
      <c r="AFK183" s="1"/>
      <c r="AFL183" s="1"/>
      <c r="AFM183" s="1"/>
      <c r="AFN183" s="1"/>
      <c r="AFO183" s="1"/>
      <c r="AFP183" s="1"/>
      <c r="AFQ183" s="1"/>
      <c r="AFR183" s="1"/>
      <c r="AFS183" s="1"/>
      <c r="AFT183" s="1"/>
      <c r="AFU183" s="1"/>
      <c r="AFV183" s="1"/>
      <c r="AFW183" s="1"/>
      <c r="AFX183" s="1"/>
      <c r="AFY183" s="1"/>
      <c r="AFZ183" s="1"/>
      <c r="AGA183" s="1"/>
      <c r="AGB183" s="1"/>
      <c r="AGC183" s="1"/>
      <c r="AGD183" s="1"/>
      <c r="AGE183" s="1"/>
      <c r="AGF183" s="1"/>
      <c r="AGG183" s="1"/>
      <c r="AGH183" s="1"/>
      <c r="AGI183" s="1"/>
      <c r="AGJ183" s="1"/>
      <c r="AGK183" s="1"/>
      <c r="AGL183" s="1"/>
      <c r="AGM183" s="1"/>
      <c r="AGN183" s="1"/>
      <c r="AGO183" s="1"/>
      <c r="AGP183" s="1"/>
      <c r="AGQ183" s="1"/>
      <c r="AGR183" s="1"/>
      <c r="AGS183" s="1"/>
      <c r="AGT183" s="1"/>
      <c r="AGU183" s="1"/>
      <c r="AGV183" s="1"/>
      <c r="AGW183" s="1"/>
      <c r="AGX183" s="1"/>
      <c r="AGY183" s="1"/>
      <c r="AGZ183" s="1"/>
      <c r="AHA183" s="1"/>
      <c r="AHB183" s="1"/>
      <c r="AHC183" s="1"/>
      <c r="AHD183" s="1"/>
      <c r="AHE183" s="1"/>
      <c r="AHF183" s="1"/>
      <c r="AHG183" s="1"/>
      <c r="AHH183" s="1"/>
      <c r="AHI183" s="1"/>
      <c r="AHJ183" s="1"/>
      <c r="AHK183" s="1"/>
      <c r="AHL183" s="1"/>
      <c r="AHM183" s="1"/>
      <c r="AHN183" s="1"/>
      <c r="AHO183" s="1"/>
      <c r="AHP183" s="1"/>
      <c r="AHQ183" s="1"/>
      <c r="AHR183" s="1"/>
      <c r="AHS183" s="1"/>
      <c r="AHT183" s="1"/>
      <c r="AHU183" s="1"/>
      <c r="AHV183" s="1"/>
      <c r="AHW183" s="1"/>
      <c r="AHX183" s="1"/>
      <c r="AHY183" s="1"/>
      <c r="AHZ183" s="1"/>
      <c r="AIA183" s="1"/>
      <c r="AIB183" s="1"/>
      <c r="AIC183" s="1"/>
      <c r="AID183" s="1"/>
      <c r="AIE183" s="1"/>
      <c r="AIF183" s="1"/>
      <c r="AIG183" s="1"/>
      <c r="AIH183" s="1"/>
      <c r="AII183" s="1"/>
      <c r="AIJ183" s="1"/>
      <c r="AIK183" s="1"/>
      <c r="AIL183" s="1"/>
      <c r="AIM183" s="1"/>
      <c r="AIN183" s="1"/>
      <c r="AIO183" s="1"/>
      <c r="AIP183" s="1"/>
      <c r="AIQ183" s="1"/>
      <c r="AIR183" s="1"/>
      <c r="AIS183" s="1"/>
      <c r="AIT183" s="1"/>
      <c r="AIU183" s="1"/>
      <c r="AIV183" s="1"/>
      <c r="AIW183" s="1"/>
      <c r="AIX183" s="1"/>
      <c r="AIY183" s="1"/>
      <c r="AIZ183" s="1"/>
      <c r="AJA183" s="1"/>
      <c r="AJB183" s="1"/>
      <c r="AJC183" s="1"/>
      <c r="AJD183" s="1"/>
      <c r="AJE183" s="1"/>
      <c r="AJF183" s="1"/>
      <c r="AJG183" s="1"/>
      <c r="AJH183" s="1"/>
      <c r="AJI183" s="1"/>
      <c r="AJJ183" s="1"/>
      <c r="AJK183" s="1"/>
      <c r="AJL183" s="1"/>
      <c r="AJM183" s="1"/>
      <c r="AJN183" s="1"/>
      <c r="AJO183" s="1"/>
      <c r="AJP183" s="1"/>
      <c r="AJQ183" s="1"/>
      <c r="AJR183" s="1"/>
      <c r="AJS183" s="1"/>
      <c r="AJT183" s="1"/>
      <c r="AJU183" s="1"/>
      <c r="AJV183" s="1"/>
      <c r="AJW183" s="1"/>
      <c r="AJX183" s="1"/>
      <c r="AJY183" s="1"/>
      <c r="AJZ183" s="1"/>
      <c r="AKA183" s="1"/>
      <c r="AKB183" s="1"/>
      <c r="AKC183" s="1"/>
      <c r="AKD183" s="1"/>
      <c r="AKE183" s="1"/>
      <c r="AKF183" s="1"/>
      <c r="AKG183" s="1"/>
      <c r="AKH183" s="1"/>
      <c r="AKI183" s="1"/>
      <c r="AKJ183" s="1"/>
      <c r="AKK183" s="1"/>
      <c r="AKL183" s="1"/>
      <c r="AKM183" s="1"/>
      <c r="AKN183" s="1"/>
      <c r="AKO183" s="1"/>
      <c r="AKP183" s="1"/>
      <c r="AKQ183" s="1"/>
      <c r="AKR183" s="1"/>
      <c r="AKS183" s="1"/>
      <c r="AKT183" s="1"/>
      <c r="AKU183" s="1"/>
      <c r="AKV183" s="1"/>
      <c r="AKW183" s="1"/>
      <c r="AKX183" s="1"/>
      <c r="AKY183" s="1"/>
      <c r="AKZ183" s="1"/>
      <c r="ALA183" s="1"/>
      <c r="ALB183" s="1"/>
      <c r="ALC183" s="1"/>
      <c r="ALD183" s="1"/>
      <c r="ALE183" s="1"/>
      <c r="ALF183" s="1"/>
      <c r="ALG183" s="1"/>
      <c r="ALH183" s="1"/>
      <c r="ALI183" s="1"/>
      <c r="ALJ183" s="1"/>
      <c r="ALK183" s="1"/>
      <c r="ALL183" s="1"/>
      <c r="ALM183" s="1"/>
      <c r="ALN183" s="1"/>
      <c r="ALO183" s="1"/>
      <c r="ALP183" s="1"/>
      <c r="ALQ183" s="1"/>
      <c r="ALR183" s="1"/>
      <c r="ALS183" s="1"/>
      <c r="ALT183" s="1"/>
      <c r="ALU183" s="1"/>
      <c r="ALV183" s="1"/>
      <c r="ALW183" s="1"/>
      <c r="ALX183" s="1"/>
      <c r="ALY183" s="1"/>
      <c r="ALZ183" s="1"/>
      <c r="AMA183" s="1"/>
      <c r="AMB183" s="1"/>
      <c r="AMC183" s="1"/>
      <c r="AMD183" s="1"/>
      <c r="AME183" s="1"/>
      <c r="AMF183" s="1"/>
      <c r="AMG183" s="1"/>
      <c r="AMH183" s="1"/>
      <c r="AMI183" s="1"/>
      <c r="AMJ183" s="1"/>
      <c r="AMK183" s="1"/>
      <c r="AML183" s="1"/>
      <c r="AMM183" s="1"/>
      <c r="AMN183" s="1"/>
    </row>
    <row r="184" spans="1:1029" x14ac:dyDescent="0.2">
      <c r="A184" s="3" t="str">
        <f t="shared" si="639"/>
        <v>crfr1_human_4Z9G_dist</v>
      </c>
      <c r="B184" s="3" t="s">
        <v>38</v>
      </c>
      <c r="C184" s="3" t="s">
        <v>1162</v>
      </c>
      <c r="D184" s="3" t="str">
        <f>IFERROR(MID(VLOOKUP($B184,Seqs!$A:$B,2,0),E184,1),"")</f>
        <v>S</v>
      </c>
      <c r="E184" s="3">
        <v>112</v>
      </c>
      <c r="F184" s="3" t="str">
        <f>IFERROR(MID(VLOOKUP($B184,Seqs!$A:$B,2,0),G184,1),"")</f>
        <v>L</v>
      </c>
      <c r="G184" s="3">
        <v>144</v>
      </c>
      <c r="H184" s="3" t="str">
        <f>IFERROR(MID(VLOOKUP($B184,Seqs!$A:$B,2,0),I184,1),"")</f>
        <v>R</v>
      </c>
      <c r="I184" s="23">
        <v>145</v>
      </c>
      <c r="J184" s="3" t="str">
        <f>IFERROR(MID(VLOOKUP($B184,Seqs!$A:$B,2,0),K184,1),"")</f>
        <v>R</v>
      </c>
      <c r="K184" s="23">
        <v>148</v>
      </c>
      <c r="L184" s="3" t="str">
        <f>IFERROR(MID(VLOOKUP($B184,Seqs!$A:$B,2,0),M184,1),"")</f>
        <v>C</v>
      </c>
      <c r="M184" s="23">
        <v>149</v>
      </c>
      <c r="N184" s="3" t="str">
        <f>IFERROR(MID(VLOOKUP($B184,Seqs!$A:$B,2,0),O184,1),"")</f>
        <v>T</v>
      </c>
      <c r="O184" s="3">
        <v>175</v>
      </c>
      <c r="P184" s="3" t="str">
        <f>IFERROR(MID(VLOOKUP($B184,Seqs!$A:$B,2,0),Q184,1),"")</f>
        <v/>
      </c>
      <c r="Q184" s="3" t="s">
        <v>23</v>
      </c>
      <c r="R184" s="3" t="str">
        <f>IFERROR(MID(VLOOKUP($B184,Seqs!$A:$B,2,0),S184,1),"")</f>
        <v/>
      </c>
      <c r="S184" s="3" t="s">
        <v>23</v>
      </c>
      <c r="T184" s="3" t="str">
        <f>IFERROR(MID(VLOOKUP($B184,Seqs!$A:$B,2,0),U184,1),"")</f>
        <v>V</v>
      </c>
      <c r="U184" s="3">
        <v>185</v>
      </c>
      <c r="V184" s="3" t="str">
        <f>IFERROR(MID(VLOOKUP($B184,Seqs!$A:$B,2,0),W184,1),"")</f>
        <v>L</v>
      </c>
      <c r="W184" s="3">
        <v>219</v>
      </c>
      <c r="X184" s="3" t="str">
        <f>IFERROR(MID(VLOOKUP($B184,Seqs!$A:$B,2,0),Y184,1),"")</f>
        <v/>
      </c>
      <c r="Y184" s="3" t="s">
        <v>23</v>
      </c>
      <c r="Z184" s="3" t="str">
        <f>IFERROR(MID(VLOOKUP($B184,Seqs!$A:$B,2,0),AA184,1),"")</f>
        <v/>
      </c>
      <c r="AA184" s="3" t="s">
        <v>23</v>
      </c>
      <c r="AB184" s="3" t="str">
        <f>IFERROR(MID(VLOOKUP($B184,Seqs!$A:$B,2,0),AC184,1),"")</f>
        <v>L</v>
      </c>
      <c r="AC184" s="9">
        <v>226</v>
      </c>
      <c r="AD184" s="3" t="str">
        <f>IFERROR(MID(VLOOKUP($B184,Seqs!$A:$B,2,0),AE184,1),"")</f>
        <v>D</v>
      </c>
      <c r="AE184" s="3">
        <v>254</v>
      </c>
      <c r="AF184" s="3" t="str">
        <f>IFERROR(MID(VLOOKUP($B184,Seqs!$A:$B,2,0),AG184,1),"")</f>
        <v>C</v>
      </c>
      <c r="AG184" s="3">
        <v>258</v>
      </c>
      <c r="AH184" s="3" t="str">
        <f>IFERROR(MID(VLOOKUP($B184,Seqs!$A:$B,2,0),AI184,1),"")</f>
        <v>F</v>
      </c>
      <c r="AI184" s="3">
        <v>260</v>
      </c>
      <c r="AJ184" s="3" t="str">
        <f>IFERROR(MID(VLOOKUP($B184,Seqs!$A:$B,2,0),AK184,1),"")</f>
        <v>T</v>
      </c>
      <c r="AK184" s="3">
        <v>268</v>
      </c>
      <c r="AL184" s="3" t="str">
        <f>IFERROR(MID(VLOOKUP($B184,Seqs!$A:$B,2,0),AM184,1),"")</f>
        <v>L</v>
      </c>
      <c r="AM184" s="3">
        <v>298</v>
      </c>
      <c r="AN184" s="3" t="str">
        <f>IFERROR(MID(VLOOKUP($B184,Seqs!$A:$B,2,0),AO184,1),"")</f>
        <v>S</v>
      </c>
      <c r="AO184" s="3">
        <v>304</v>
      </c>
      <c r="AP184" s="3" t="str">
        <f>IFERROR(MID(VLOOKUP($B184,Seqs!$A:$B,2,0),AQ184,1),"")</f>
        <v>V</v>
      </c>
      <c r="AQ184" s="3">
        <v>332</v>
      </c>
      <c r="AR184" s="3" t="str">
        <f>IFERROR(MID(VLOOKUP($B184,Seqs!$A:$B,2,0),AS184,1),"")</f>
        <v>V</v>
      </c>
      <c r="AS184" s="3">
        <v>339</v>
      </c>
      <c r="AT184" s="3" t="str">
        <f>IFERROR(MID(VLOOKUP($B184,Seqs!$A:$B,2,0),AU184,1),"")</f>
        <v>E</v>
      </c>
      <c r="AU184" s="3">
        <v>369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9" t="str">
        <f>VLOOKUP(B184,Classification!A:D,2,0)</f>
        <v>B1</v>
      </c>
      <c r="BA184" s="97" t="str">
        <f>VLOOKUP(B184,Classification!A:D,4,0)</f>
        <v>Corticotropin-releasingfact</v>
      </c>
      <c r="BB184" s="27" t="b">
        <f t="shared" si="640"/>
        <v>1</v>
      </c>
      <c r="BC184" s="23">
        <f t="shared" si="836"/>
        <v>225</v>
      </c>
      <c r="BD184" s="57" t="s">
        <v>1379</v>
      </c>
      <c r="BE184" s="3" t="s">
        <v>1381</v>
      </c>
      <c r="BF184" s="50" t="s">
        <v>1384</v>
      </c>
      <c r="BG184" s="50" t="s">
        <v>1384</v>
      </c>
      <c r="BH184" s="3" t="s">
        <v>1163</v>
      </c>
      <c r="BI184" s="72" t="s">
        <v>1293</v>
      </c>
      <c r="BJ184" s="58" t="s">
        <v>1293</v>
      </c>
      <c r="BK184" s="58" t="s">
        <v>1293</v>
      </c>
      <c r="BL184" s="58" t="s">
        <v>1293</v>
      </c>
      <c r="BM184" s="58" t="s">
        <v>1293</v>
      </c>
      <c r="BN184" s="58" t="s">
        <v>1293</v>
      </c>
      <c r="BO184" s="58" t="s">
        <v>1293</v>
      </c>
      <c r="BP184" s="58" t="s">
        <v>1293</v>
      </c>
      <c r="BQ184" s="58" t="s">
        <v>1293</v>
      </c>
      <c r="BR184" s="58" t="s">
        <v>1293</v>
      </c>
      <c r="BS184" s="58" t="s">
        <v>1293</v>
      </c>
      <c r="BT184" s="58" t="s">
        <v>1293</v>
      </c>
      <c r="BU184" s="72">
        <f t="shared" si="837"/>
        <v>112</v>
      </c>
      <c r="BV184" s="73">
        <f t="shared" si="838"/>
        <v>145</v>
      </c>
      <c r="BW184" s="74">
        <f t="shared" si="839"/>
        <v>149</v>
      </c>
      <c r="BX184" s="73" t="str">
        <f t="shared" si="840"/>
        <v>-</v>
      </c>
      <c r="BY184" s="74">
        <f t="shared" si="841"/>
        <v>185</v>
      </c>
      <c r="BZ184" s="73" t="str">
        <f t="shared" si="842"/>
        <v>-</v>
      </c>
      <c r="CA184" s="74">
        <f t="shared" si="843"/>
        <v>226</v>
      </c>
      <c r="CB184" s="73">
        <f t="shared" si="844"/>
        <v>258</v>
      </c>
      <c r="CC184" s="74">
        <f t="shared" si="845"/>
        <v>268</v>
      </c>
      <c r="CD184" s="73">
        <f t="shared" si="846"/>
        <v>304</v>
      </c>
      <c r="CE184" s="74">
        <f t="shared" si="847"/>
        <v>339</v>
      </c>
      <c r="CF184" s="73" t="str">
        <f t="shared" si="848"/>
        <v>-</v>
      </c>
      <c r="CG184" s="72">
        <f t="shared" si="849"/>
        <v>144</v>
      </c>
      <c r="CH184" s="73">
        <f t="shared" si="850"/>
        <v>148</v>
      </c>
      <c r="CI184" s="74">
        <f t="shared" si="851"/>
        <v>175</v>
      </c>
      <c r="CJ184" s="74" t="str">
        <f t="shared" si="852"/>
        <v>-</v>
      </c>
      <c r="CK184" s="74">
        <f t="shared" si="853"/>
        <v>219</v>
      </c>
      <c r="CL184" s="74" t="str">
        <f t="shared" si="854"/>
        <v>-</v>
      </c>
      <c r="CM184" s="74">
        <f t="shared" si="855"/>
        <v>254</v>
      </c>
      <c r="CN184" s="74">
        <f t="shared" si="856"/>
        <v>260</v>
      </c>
      <c r="CO184" s="74">
        <f t="shared" si="857"/>
        <v>298</v>
      </c>
      <c r="CP184" s="74">
        <f t="shared" si="858"/>
        <v>332</v>
      </c>
      <c r="CQ184" s="74">
        <f t="shared" si="859"/>
        <v>369</v>
      </c>
      <c r="CR184" s="74" t="str">
        <f t="shared" si="860"/>
        <v>-</v>
      </c>
      <c r="CS184" s="23">
        <f t="shared" si="861"/>
        <v>1</v>
      </c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  <c r="ADW184" s="1"/>
      <c r="ADX184" s="1"/>
      <c r="ADY184" s="1"/>
      <c r="ADZ184" s="1"/>
      <c r="AEA184" s="1"/>
      <c r="AEB184" s="1"/>
      <c r="AEC184" s="1"/>
      <c r="AED184" s="1"/>
      <c r="AEE184" s="1"/>
      <c r="AEF184" s="1"/>
      <c r="AEG184" s="1"/>
      <c r="AEH184" s="1"/>
      <c r="AEI184" s="1"/>
      <c r="AEJ184" s="1"/>
      <c r="AEK184" s="1"/>
      <c r="AEL184" s="1"/>
      <c r="AEM184" s="1"/>
      <c r="AEN184" s="1"/>
      <c r="AEO184" s="1"/>
      <c r="AEP184" s="1"/>
      <c r="AEQ184" s="1"/>
      <c r="AER184" s="1"/>
      <c r="AES184" s="1"/>
      <c r="AET184" s="1"/>
      <c r="AEU184" s="1"/>
      <c r="AEV184" s="1"/>
      <c r="AEW184" s="1"/>
      <c r="AEX184" s="1"/>
      <c r="AEY184" s="1"/>
      <c r="AEZ184" s="1"/>
      <c r="AFA184" s="1"/>
      <c r="AFB184" s="1"/>
      <c r="AFC184" s="1"/>
      <c r="AFD184" s="1"/>
      <c r="AFE184" s="1"/>
      <c r="AFF184" s="1"/>
      <c r="AFG184" s="1"/>
      <c r="AFH184" s="1"/>
      <c r="AFI184" s="1"/>
      <c r="AFJ184" s="1"/>
      <c r="AFK184" s="1"/>
      <c r="AFL184" s="1"/>
      <c r="AFM184" s="1"/>
      <c r="AFN184" s="1"/>
      <c r="AFO184" s="1"/>
      <c r="AFP184" s="1"/>
      <c r="AFQ184" s="1"/>
      <c r="AFR184" s="1"/>
      <c r="AFS184" s="1"/>
      <c r="AFT184" s="1"/>
      <c r="AFU184" s="1"/>
      <c r="AFV184" s="1"/>
      <c r="AFW184" s="1"/>
      <c r="AFX184" s="1"/>
      <c r="AFY184" s="1"/>
      <c r="AFZ184" s="1"/>
      <c r="AGA184" s="1"/>
      <c r="AGB184" s="1"/>
      <c r="AGC184" s="1"/>
      <c r="AGD184" s="1"/>
      <c r="AGE184" s="1"/>
      <c r="AGF184" s="1"/>
      <c r="AGG184" s="1"/>
      <c r="AGH184" s="1"/>
      <c r="AGI184" s="1"/>
      <c r="AGJ184" s="1"/>
      <c r="AGK184" s="1"/>
      <c r="AGL184" s="1"/>
      <c r="AGM184" s="1"/>
      <c r="AGN184" s="1"/>
      <c r="AGO184" s="1"/>
      <c r="AGP184" s="1"/>
      <c r="AGQ184" s="1"/>
      <c r="AGR184" s="1"/>
      <c r="AGS184" s="1"/>
      <c r="AGT184" s="1"/>
      <c r="AGU184" s="1"/>
      <c r="AGV184" s="1"/>
      <c r="AGW184" s="1"/>
      <c r="AGX184" s="1"/>
      <c r="AGY184" s="1"/>
      <c r="AGZ184" s="1"/>
      <c r="AHA184" s="1"/>
      <c r="AHB184" s="1"/>
      <c r="AHC184" s="1"/>
      <c r="AHD184" s="1"/>
      <c r="AHE184" s="1"/>
      <c r="AHF184" s="1"/>
      <c r="AHG184" s="1"/>
      <c r="AHH184" s="1"/>
      <c r="AHI184" s="1"/>
      <c r="AHJ184" s="1"/>
      <c r="AHK184" s="1"/>
      <c r="AHL184" s="1"/>
      <c r="AHM184" s="1"/>
      <c r="AHN184" s="1"/>
      <c r="AHO184" s="1"/>
      <c r="AHP184" s="1"/>
      <c r="AHQ184" s="1"/>
      <c r="AHR184" s="1"/>
      <c r="AHS184" s="1"/>
      <c r="AHT184" s="1"/>
      <c r="AHU184" s="1"/>
      <c r="AHV184" s="1"/>
      <c r="AHW184" s="1"/>
      <c r="AHX184" s="1"/>
      <c r="AHY184" s="1"/>
      <c r="AHZ184" s="1"/>
      <c r="AIA184" s="1"/>
      <c r="AIB184" s="1"/>
      <c r="AIC184" s="1"/>
      <c r="AID184" s="1"/>
      <c r="AIE184" s="1"/>
      <c r="AIF184" s="1"/>
      <c r="AIG184" s="1"/>
      <c r="AIH184" s="1"/>
      <c r="AII184" s="1"/>
      <c r="AIJ184" s="1"/>
      <c r="AIK184" s="1"/>
      <c r="AIL184" s="1"/>
      <c r="AIM184" s="1"/>
      <c r="AIN184" s="1"/>
      <c r="AIO184" s="1"/>
      <c r="AIP184" s="1"/>
      <c r="AIQ184" s="1"/>
      <c r="AIR184" s="1"/>
      <c r="AIS184" s="1"/>
      <c r="AIT184" s="1"/>
      <c r="AIU184" s="1"/>
      <c r="AIV184" s="1"/>
      <c r="AIW184" s="1"/>
      <c r="AIX184" s="1"/>
      <c r="AIY184" s="1"/>
      <c r="AIZ184" s="1"/>
      <c r="AJA184" s="1"/>
      <c r="AJB184" s="1"/>
      <c r="AJC184" s="1"/>
      <c r="AJD184" s="1"/>
      <c r="AJE184" s="1"/>
      <c r="AJF184" s="1"/>
      <c r="AJG184" s="1"/>
      <c r="AJH184" s="1"/>
      <c r="AJI184" s="1"/>
      <c r="AJJ184" s="1"/>
      <c r="AJK184" s="1"/>
      <c r="AJL184" s="1"/>
      <c r="AJM184" s="1"/>
      <c r="AJN184" s="1"/>
      <c r="AJO184" s="1"/>
      <c r="AJP184" s="1"/>
      <c r="AJQ184" s="1"/>
      <c r="AJR184" s="1"/>
      <c r="AJS184" s="1"/>
      <c r="AJT184" s="1"/>
      <c r="AJU184" s="1"/>
      <c r="AJV184" s="1"/>
      <c r="AJW184" s="1"/>
      <c r="AJX184" s="1"/>
      <c r="AJY184" s="1"/>
      <c r="AJZ184" s="1"/>
      <c r="AKA184" s="1"/>
      <c r="AKB184" s="1"/>
      <c r="AKC184" s="1"/>
      <c r="AKD184" s="1"/>
      <c r="AKE184" s="1"/>
      <c r="AKF184" s="1"/>
      <c r="AKG184" s="1"/>
      <c r="AKH184" s="1"/>
      <c r="AKI184" s="1"/>
      <c r="AKJ184" s="1"/>
      <c r="AKK184" s="1"/>
      <c r="AKL184" s="1"/>
      <c r="AKM184" s="1"/>
      <c r="AKN184" s="1"/>
      <c r="AKO184" s="1"/>
      <c r="AKP184" s="1"/>
      <c r="AKQ184" s="1"/>
      <c r="AKR184" s="1"/>
      <c r="AKS184" s="1"/>
      <c r="AKT184" s="1"/>
      <c r="AKU184" s="1"/>
      <c r="AKV184" s="1"/>
      <c r="AKW184" s="1"/>
      <c r="AKX184" s="1"/>
      <c r="AKY184" s="1"/>
      <c r="AKZ184" s="1"/>
      <c r="ALA184" s="1"/>
      <c r="ALB184" s="1"/>
      <c r="ALC184" s="1"/>
      <c r="ALD184" s="1"/>
      <c r="ALE184" s="1"/>
      <c r="ALF184" s="1"/>
      <c r="ALG184" s="1"/>
      <c r="ALH184" s="1"/>
      <c r="ALI184" s="1"/>
      <c r="ALJ184" s="1"/>
      <c r="ALK184" s="1"/>
      <c r="ALL184" s="1"/>
      <c r="ALM184" s="1"/>
      <c r="ALN184" s="1"/>
      <c r="ALO184" s="1"/>
      <c r="ALP184" s="1"/>
      <c r="ALQ184" s="1"/>
      <c r="ALR184" s="1"/>
      <c r="ALS184" s="1"/>
      <c r="ALT184" s="1"/>
      <c r="ALU184" s="1"/>
      <c r="ALV184" s="1"/>
      <c r="ALW184" s="1"/>
      <c r="ALX184" s="1"/>
      <c r="ALY184" s="1"/>
      <c r="ALZ184" s="1"/>
      <c r="AMA184" s="1"/>
      <c r="AMB184" s="1"/>
      <c r="AMC184" s="1"/>
      <c r="AMD184" s="1"/>
      <c r="AME184" s="1"/>
      <c r="AMF184" s="1"/>
      <c r="AMG184" s="1"/>
      <c r="AMH184" s="1"/>
      <c r="AMI184" s="1"/>
      <c r="AMJ184" s="1"/>
      <c r="AMK184" s="1"/>
      <c r="AML184" s="1"/>
      <c r="AMM184" s="1"/>
      <c r="AMN184" s="1"/>
    </row>
    <row r="185" spans="1:1029" x14ac:dyDescent="0.2">
      <c r="A185" s="3" t="str">
        <f t="shared" si="639"/>
        <v>glr_human__wt</v>
      </c>
      <c r="B185" s="3" t="s">
        <v>32</v>
      </c>
      <c r="C185" s="3" t="s">
        <v>100</v>
      </c>
      <c r="D185" s="3" t="str">
        <f>IFERROR(MID(VLOOKUP($B185,Seqs!$A:$B,2,0),E185,1),"")</f>
        <v>Q</v>
      </c>
      <c r="E185" s="108">
        <v>131</v>
      </c>
      <c r="F185" s="3" t="str">
        <f>IFERROR(MID(VLOOKUP($B185,Seqs!$A:$B,2,0),G185,1),"")</f>
        <v>L</v>
      </c>
      <c r="G185" s="3">
        <v>166</v>
      </c>
      <c r="H185" s="3" t="str">
        <f>IFERROR(MID(VLOOKUP($B185,Seqs!$A:$B,2,0),I185,1),"")</f>
        <v>S</v>
      </c>
      <c r="I185" s="23">
        <v>167</v>
      </c>
      <c r="J185" s="3" t="str">
        <f>IFERROR(MID(VLOOKUP($B185,Seqs!$A:$B,2,0),K185,1),"")</f>
        <v>H</v>
      </c>
      <c r="K185" s="23">
        <v>170</v>
      </c>
      <c r="L185" s="3" t="str">
        <f>IFERROR(MID(VLOOKUP($B185,Seqs!$A:$B,2,0),M185,1),"")</f>
        <v>C</v>
      </c>
      <c r="M185" s="23">
        <v>171</v>
      </c>
      <c r="N185" s="3" t="str">
        <f>IFERROR(MID(VLOOKUP($B185,Seqs!$A:$B,2,0),O185,1),"")</f>
        <v>R</v>
      </c>
      <c r="O185" s="108">
        <v>201</v>
      </c>
      <c r="P185" s="3" t="str">
        <f>IFERROR(MID(VLOOKUP($B185,Seqs!$A:$B,2,0),Q185,1),"")</f>
        <v/>
      </c>
      <c r="Q185" s="3" t="s">
        <v>23</v>
      </c>
      <c r="R185" s="3" t="str">
        <f>IFERROR(MID(VLOOKUP($B185,Seqs!$A:$B,2,0),S185,1),"")</f>
        <v/>
      </c>
      <c r="S185" s="3" t="s">
        <v>23</v>
      </c>
      <c r="T185" s="3" t="str">
        <f>IFERROR(MID(VLOOKUP($B185,Seqs!$A:$B,2,0),U185,1),"")</f>
        <v>S</v>
      </c>
      <c r="U185" s="3">
        <v>217</v>
      </c>
      <c r="V185" s="3" t="str">
        <f>IFERROR(MID(VLOOKUP($B185,Seqs!$A:$B,2,0),W185,1),"")</f>
        <v>L</v>
      </c>
      <c r="W185" s="3">
        <v>255</v>
      </c>
      <c r="X185" s="3" t="str">
        <f>IFERROR(MID(VLOOKUP($B185,Seqs!$A:$B,2,0),Y185,1),"")</f>
        <v/>
      </c>
      <c r="Y185" s="3" t="s">
        <v>23</v>
      </c>
      <c r="Z185" s="3" t="str">
        <f>IFERROR(MID(VLOOKUP($B185,Seqs!$A:$B,2,0),AA185,1),"")</f>
        <v/>
      </c>
      <c r="AA185" s="3" t="s">
        <v>23</v>
      </c>
      <c r="AB185" s="3" t="str">
        <f>IFERROR(MID(VLOOKUP($B185,Seqs!$A:$B,2,0),AC185,1),"")</f>
        <v>S</v>
      </c>
      <c r="AC185" s="9">
        <v>262</v>
      </c>
      <c r="AD185" s="3" t="str">
        <f>IFERROR(MID(VLOOKUP($B185,Seqs!$A:$B,2,0),AE185,1),"")</f>
        <v>E</v>
      </c>
      <c r="AE185" s="3">
        <v>290</v>
      </c>
      <c r="AF185" s="3" t="str">
        <f>IFERROR(MID(VLOOKUP($B185,Seqs!$A:$B,2,0),AG185,1),"")</f>
        <v>C</v>
      </c>
      <c r="AG185" s="3">
        <v>294</v>
      </c>
      <c r="AH185" s="3" t="str">
        <f>IFERROR(MID(VLOOKUP($B185,Seqs!$A:$B,2,0),AI185,1),"")</f>
        <v>T</v>
      </c>
      <c r="AI185" s="3">
        <v>296</v>
      </c>
      <c r="AJ185" s="3" t="str">
        <f>IFERROR(MID(VLOOKUP($B185,Seqs!$A:$B,2,0),AK185,1),"")</f>
        <v>N</v>
      </c>
      <c r="AK185" s="3">
        <v>300</v>
      </c>
      <c r="AL185" s="3" t="str">
        <f>IFERROR(MID(VLOOKUP($B185,Seqs!$A:$B,2,0),AM185,1),"")</f>
        <v>A</v>
      </c>
      <c r="AM185" s="3">
        <v>335</v>
      </c>
      <c r="AN185" s="3" t="str">
        <f>IFERROR(MID(VLOOKUP($B185,Seqs!$A:$B,2,0),AO185,1),"")</f>
        <v>Y</v>
      </c>
      <c r="AO185" s="3">
        <v>343</v>
      </c>
      <c r="AP185" s="3" t="str">
        <f>IFERROR(MID(VLOOKUP($B185,Seqs!$A:$B,2,0),AQ185,1),"")</f>
        <v>F</v>
      </c>
      <c r="AQ185" s="3">
        <v>367</v>
      </c>
      <c r="AR185" s="3" t="str">
        <f>IFERROR(MID(VLOOKUP($B185,Seqs!$A:$B,2,0),AS185,1),"")</f>
        <v>Q</v>
      </c>
      <c r="AS185" s="3">
        <v>374</v>
      </c>
      <c r="AT185" s="3" t="str">
        <f>IFERROR(MID(VLOOKUP($B185,Seqs!$A:$B,2,0),AU185,1),"")</f>
        <v>L</v>
      </c>
      <c r="AU185" s="3">
        <v>403</v>
      </c>
      <c r="AV185" s="3" t="str">
        <f>IFERROR(MID(VLOOKUP($B185,Seqs!$A:$B,2,0),AW185,1),"")</f>
        <v>N</v>
      </c>
      <c r="AW185" s="3">
        <v>404</v>
      </c>
      <c r="AX185" s="3" t="str">
        <f>IFERROR(MID(VLOOKUP($B185,Seqs!$A:$B,2,0),AY185,1),"")</f>
        <v>N</v>
      </c>
      <c r="AY185" s="3">
        <v>429</v>
      </c>
      <c r="AZ185" s="79" t="str">
        <f>VLOOKUP(B185,Classification!A:D,2,0)</f>
        <v>B1</v>
      </c>
      <c r="BA185" s="97" t="str">
        <f>VLOOKUP(B185,Classification!A:D,4,0)</f>
        <v>Glucagonreceptorfamily</v>
      </c>
      <c r="BB185" s="27" t="b">
        <f t="shared" si="640"/>
        <v>1</v>
      </c>
      <c r="BC185" s="23">
        <f t="shared" si="836"/>
        <v>261</v>
      </c>
      <c r="BD185" s="57" t="s">
        <v>1379</v>
      </c>
      <c r="BE185" s="3" t="s">
        <v>1381</v>
      </c>
      <c r="BF185" s="50" t="s">
        <v>1379</v>
      </c>
      <c r="BG185" s="50" t="s">
        <v>1384</v>
      </c>
      <c r="BH185" s="1"/>
      <c r="BI185" s="72" t="s">
        <v>1293</v>
      </c>
      <c r="BJ185" s="58" t="s">
        <v>1293</v>
      </c>
      <c r="BK185" s="58" t="s">
        <v>1293</v>
      </c>
      <c r="BL185" s="58" t="s">
        <v>1293</v>
      </c>
      <c r="BM185" s="58" t="s">
        <v>1293</v>
      </c>
      <c r="BN185" s="58" t="s">
        <v>1293</v>
      </c>
      <c r="BO185" s="58" t="s">
        <v>1293</v>
      </c>
      <c r="BP185" s="58" t="s">
        <v>1293</v>
      </c>
      <c r="BQ185" s="58" t="s">
        <v>1293</v>
      </c>
      <c r="BR185" s="58" t="s">
        <v>1293</v>
      </c>
      <c r="BS185" s="58" t="s">
        <v>1293</v>
      </c>
      <c r="BT185" s="58" t="s">
        <v>1293</v>
      </c>
      <c r="BU185" s="72">
        <f t="shared" si="837"/>
        <v>131</v>
      </c>
      <c r="BV185" s="73">
        <f t="shared" si="838"/>
        <v>167</v>
      </c>
      <c r="BW185" s="74">
        <f t="shared" si="839"/>
        <v>171</v>
      </c>
      <c r="BX185" s="73" t="str">
        <f t="shared" si="840"/>
        <v>-</v>
      </c>
      <c r="BY185" s="74">
        <f t="shared" si="841"/>
        <v>217</v>
      </c>
      <c r="BZ185" s="73" t="str">
        <f t="shared" si="842"/>
        <v>-</v>
      </c>
      <c r="CA185" s="74">
        <f t="shared" si="843"/>
        <v>262</v>
      </c>
      <c r="CB185" s="73">
        <f t="shared" si="844"/>
        <v>294</v>
      </c>
      <c r="CC185" s="74">
        <f t="shared" si="845"/>
        <v>300</v>
      </c>
      <c r="CD185" s="73">
        <f t="shared" si="846"/>
        <v>343</v>
      </c>
      <c r="CE185" s="74">
        <f t="shared" si="847"/>
        <v>374</v>
      </c>
      <c r="CF185" s="73">
        <f t="shared" si="848"/>
        <v>404</v>
      </c>
      <c r="CG185" s="72">
        <f t="shared" si="849"/>
        <v>166</v>
      </c>
      <c r="CH185" s="73">
        <f t="shared" si="850"/>
        <v>170</v>
      </c>
      <c r="CI185" s="74">
        <f t="shared" si="851"/>
        <v>201</v>
      </c>
      <c r="CJ185" s="74" t="str">
        <f t="shared" si="852"/>
        <v>-</v>
      </c>
      <c r="CK185" s="74">
        <f t="shared" si="853"/>
        <v>255</v>
      </c>
      <c r="CL185" s="74" t="str">
        <f t="shared" si="854"/>
        <v>-</v>
      </c>
      <c r="CM185" s="74">
        <f t="shared" si="855"/>
        <v>290</v>
      </c>
      <c r="CN185" s="74">
        <f t="shared" si="856"/>
        <v>296</v>
      </c>
      <c r="CO185" s="74">
        <f t="shared" si="857"/>
        <v>335</v>
      </c>
      <c r="CP185" s="74">
        <f t="shared" si="858"/>
        <v>367</v>
      </c>
      <c r="CQ185" s="74">
        <f t="shared" si="859"/>
        <v>403</v>
      </c>
      <c r="CR185" s="74">
        <f t="shared" si="860"/>
        <v>429</v>
      </c>
      <c r="CS185" s="23">
        <f t="shared" si="861"/>
        <v>1</v>
      </c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</row>
    <row r="186" spans="1:1029" x14ac:dyDescent="0.2">
      <c r="A186" s="3" t="str">
        <f t="shared" si="639"/>
        <v>glr_human_4L6R</v>
      </c>
      <c r="B186" s="3" t="s">
        <v>32</v>
      </c>
      <c r="C186" s="3" t="s">
        <v>51</v>
      </c>
      <c r="D186" s="3" t="str">
        <f>IFERROR(MID(VLOOKUP($B186,Seqs!$A:$B,2,0),E186,1),"")</f>
        <v>G</v>
      </c>
      <c r="E186" s="3">
        <v>125</v>
      </c>
      <c r="F186" s="3" t="str">
        <f>IFERROR(MID(VLOOKUP($B186,Seqs!$A:$B,2,0),G186,1),"")</f>
        <v>G</v>
      </c>
      <c r="G186" s="3">
        <v>164</v>
      </c>
      <c r="H186" s="3" t="str">
        <f>IFERROR(MID(VLOOKUP($B186,Seqs!$A:$B,2,0),I186,1),"")</f>
        <v>S</v>
      </c>
      <c r="I186" s="23">
        <v>167</v>
      </c>
      <c r="J186" s="3" t="str">
        <f>IFERROR(MID(VLOOKUP($B186,Seqs!$A:$B,2,0),K186,1),"")</f>
        <v>H</v>
      </c>
      <c r="K186" s="23">
        <v>170</v>
      </c>
      <c r="L186" s="3" t="str">
        <f>IFERROR(MID(VLOOKUP($B186,Seqs!$A:$B,2,0),M186,1),"")</f>
        <v>C</v>
      </c>
      <c r="M186" s="23">
        <v>171</v>
      </c>
      <c r="N186" s="3" t="str">
        <f>IFERROR(MID(VLOOKUP($B186,Seqs!$A:$B,2,0),O186,1),"")</f>
        <v>R</v>
      </c>
      <c r="O186" s="3">
        <v>199</v>
      </c>
      <c r="P186" s="3" t="str">
        <f>IFERROR(MID(VLOOKUP($B186,Seqs!$A:$B,2,0),Q186,1),"")</f>
        <v/>
      </c>
      <c r="Q186" s="3" t="s">
        <v>23</v>
      </c>
      <c r="R186" s="3" t="str">
        <f>IFERROR(MID(VLOOKUP($B186,Seqs!$A:$B,2,0),S186,1),"")</f>
        <v/>
      </c>
      <c r="S186" s="3" t="s">
        <v>23</v>
      </c>
      <c r="T186" s="3" t="str">
        <f>IFERROR(MID(VLOOKUP($B186,Seqs!$A:$B,2,0),U186,1),"")</f>
        <v>S</v>
      </c>
      <c r="U186" s="3">
        <v>217</v>
      </c>
      <c r="V186" s="3" t="str">
        <f>IFERROR(MID(VLOOKUP($B186,Seqs!$A:$B,2,0),W186,1),"")</f>
        <v>L</v>
      </c>
      <c r="W186" s="3">
        <v>255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A</v>
      </c>
      <c r="AC186" s="9">
        <v>274</v>
      </c>
      <c r="AD186" s="3" t="str">
        <f>IFERROR(MID(VLOOKUP($B186,Seqs!$A:$B,2,0),AE186,1),"")</f>
        <v>E</v>
      </c>
      <c r="AE186" s="3">
        <v>290</v>
      </c>
      <c r="AF186" s="3" t="str">
        <f>IFERROR(MID(VLOOKUP($B186,Seqs!$A:$B,2,0),AG186,1),"")</f>
        <v>C</v>
      </c>
      <c r="AG186" s="3">
        <v>294</v>
      </c>
      <c r="AH186" s="3" t="str">
        <f>IFERROR(MID(VLOOKUP($B186,Seqs!$A:$B,2,0),AI186,1),"")</f>
        <v>T</v>
      </c>
      <c r="AI186" s="3">
        <v>296</v>
      </c>
      <c r="AJ186" s="3" t="str">
        <f>IFERROR(MID(VLOOKUP($B186,Seqs!$A:$B,2,0),AK186,1),"")</f>
        <v>N</v>
      </c>
      <c r="AK186" s="3">
        <v>300</v>
      </c>
      <c r="AL186" s="3" t="str">
        <f>IFERROR(MID(VLOOKUP($B186,Seqs!$A:$B,2,0),AM186,1),"")</f>
        <v>A</v>
      </c>
      <c r="AM186" s="3">
        <v>335</v>
      </c>
      <c r="AN186" s="3" t="str">
        <f>IFERROR(MID(VLOOKUP($B186,Seqs!$A:$B,2,0),AO186,1),"")</f>
        <v>Y</v>
      </c>
      <c r="AO186" s="3">
        <v>343</v>
      </c>
      <c r="AP186" s="3" t="str">
        <f>IFERROR(MID(VLOOKUP($B186,Seqs!$A:$B,2,0),AQ186,1),"")</f>
        <v>F</v>
      </c>
      <c r="AQ186" s="3">
        <v>367</v>
      </c>
      <c r="AR186" s="3" t="str">
        <f>IFERROR(MID(VLOOKUP($B186,Seqs!$A:$B,2,0),AS186,1),"")</f>
        <v>Q</v>
      </c>
      <c r="AS186" s="3">
        <v>374</v>
      </c>
      <c r="AT186" s="3" t="str">
        <f>IFERROR(MID(VLOOKUP($B186,Seqs!$A:$B,2,0),AU186,1),"")</f>
        <v>L</v>
      </c>
      <c r="AU186" s="3">
        <v>403</v>
      </c>
      <c r="AV186" s="3" t="str">
        <f>IFERROR(MID(VLOOKUP($B186,Seqs!$A:$B,2,0),AW186,1),"")</f>
        <v>N</v>
      </c>
      <c r="AW186" s="3">
        <v>404</v>
      </c>
      <c r="AX186" s="3" t="str">
        <f>IFERROR(MID(VLOOKUP($B186,Seqs!$A:$B,2,0),AY186,1),"")</f>
        <v>N</v>
      </c>
      <c r="AY186" s="3">
        <v>429</v>
      </c>
      <c r="AZ186" s="79" t="str">
        <f>VLOOKUP(B186,Classification!A:D,2,0)</f>
        <v>B1</v>
      </c>
      <c r="BA186" s="97" t="str">
        <f>VLOOKUP(B186,Classification!A:D,4,0)</f>
        <v>Glucagonreceptorfamily</v>
      </c>
      <c r="BB186" s="27" t="b">
        <f t="shared" si="640"/>
        <v>1</v>
      </c>
      <c r="BC186" s="23">
        <f t="shared" si="836"/>
        <v>251</v>
      </c>
      <c r="BD186" s="2" t="s">
        <v>23</v>
      </c>
      <c r="BE186" s="3" t="s">
        <v>1381</v>
      </c>
      <c r="BF186" s="50" t="s">
        <v>1384</v>
      </c>
      <c r="BG186" s="50" t="s">
        <v>1384</v>
      </c>
      <c r="BH186" s="1"/>
      <c r="BI186" s="72" t="s">
        <v>1293</v>
      </c>
      <c r="BJ186" s="58" t="s">
        <v>1293</v>
      </c>
      <c r="BK186" s="58" t="s">
        <v>1293</v>
      </c>
      <c r="BL186" s="58" t="s">
        <v>1293</v>
      </c>
      <c r="BM186" s="58" t="s">
        <v>1293</v>
      </c>
      <c r="BN186" s="58" t="s">
        <v>1293</v>
      </c>
      <c r="BO186" s="58" t="s">
        <v>1293</v>
      </c>
      <c r="BP186" s="58" t="s">
        <v>1293</v>
      </c>
      <c r="BQ186" s="58" t="s">
        <v>1293</v>
      </c>
      <c r="BR186" s="58" t="s">
        <v>1293</v>
      </c>
      <c r="BS186" s="58" t="s">
        <v>1293</v>
      </c>
      <c r="BT186" s="58" t="s">
        <v>1293</v>
      </c>
      <c r="BU186" s="72">
        <f t="shared" si="837"/>
        <v>125</v>
      </c>
      <c r="BV186" s="73">
        <f t="shared" si="838"/>
        <v>167</v>
      </c>
      <c r="BW186" s="74">
        <f t="shared" si="839"/>
        <v>171</v>
      </c>
      <c r="BX186" s="73" t="str">
        <f t="shared" si="840"/>
        <v>-</v>
      </c>
      <c r="BY186" s="74">
        <f t="shared" si="841"/>
        <v>217</v>
      </c>
      <c r="BZ186" s="73" t="str">
        <f t="shared" si="842"/>
        <v>-</v>
      </c>
      <c r="CA186" s="74">
        <f t="shared" si="843"/>
        <v>274</v>
      </c>
      <c r="CB186" s="73">
        <f t="shared" si="844"/>
        <v>294</v>
      </c>
      <c r="CC186" s="74">
        <f t="shared" si="845"/>
        <v>300</v>
      </c>
      <c r="CD186" s="73">
        <f t="shared" si="846"/>
        <v>343</v>
      </c>
      <c r="CE186" s="74">
        <f t="shared" si="847"/>
        <v>374</v>
      </c>
      <c r="CF186" s="73">
        <f t="shared" si="848"/>
        <v>404</v>
      </c>
      <c r="CG186" s="72">
        <f t="shared" si="849"/>
        <v>164</v>
      </c>
      <c r="CH186" s="73">
        <f t="shared" si="850"/>
        <v>170</v>
      </c>
      <c r="CI186" s="74">
        <f t="shared" si="851"/>
        <v>199</v>
      </c>
      <c r="CJ186" s="74" t="str">
        <f t="shared" si="852"/>
        <v>-</v>
      </c>
      <c r="CK186" s="74">
        <f t="shared" si="853"/>
        <v>255</v>
      </c>
      <c r="CL186" s="74" t="str">
        <f t="shared" si="854"/>
        <v>-</v>
      </c>
      <c r="CM186" s="74">
        <f t="shared" si="855"/>
        <v>290</v>
      </c>
      <c r="CN186" s="74">
        <f t="shared" si="856"/>
        <v>296</v>
      </c>
      <c r="CO186" s="74">
        <f t="shared" si="857"/>
        <v>335</v>
      </c>
      <c r="CP186" s="74">
        <f t="shared" si="858"/>
        <v>367</v>
      </c>
      <c r="CQ186" s="74">
        <f t="shared" si="859"/>
        <v>403</v>
      </c>
      <c r="CR186" s="74">
        <f t="shared" si="860"/>
        <v>429</v>
      </c>
      <c r="CS186" s="23">
        <f t="shared" si="861"/>
        <v>1</v>
      </c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</row>
    <row r="187" spans="1:1029" x14ac:dyDescent="0.2">
      <c r="A187" s="3" t="str">
        <f t="shared" si="639"/>
        <v>glr_human_4L6R_dist</v>
      </c>
      <c r="B187" s="3" t="s">
        <v>32</v>
      </c>
      <c r="C187" s="3" t="s">
        <v>1282</v>
      </c>
      <c r="D187" s="3" t="str">
        <f>IFERROR(MID(VLOOKUP($B187,Seqs!$A:$B,2,0),E187,1),"")</f>
        <v>G</v>
      </c>
      <c r="E187" s="3">
        <v>125</v>
      </c>
      <c r="F187" s="3" t="str">
        <f>IFERROR(MID(VLOOKUP($B187,Seqs!$A:$B,2,0),G187,1),"")</f>
        <v>G</v>
      </c>
      <c r="G187" s="3">
        <v>164</v>
      </c>
      <c r="H187" s="3" t="str">
        <f>IFERROR(MID(VLOOKUP($B187,Seqs!$A:$B,2,0),I187,1),"")</f>
        <v>S</v>
      </c>
      <c r="I187" s="23">
        <v>167</v>
      </c>
      <c r="J187" s="3" t="str">
        <f>IFERROR(MID(VLOOKUP($B187,Seqs!$A:$B,2,0),K187,1),"")</f>
        <v>H</v>
      </c>
      <c r="K187" s="23">
        <v>170</v>
      </c>
      <c r="L187" s="3" t="str">
        <f>IFERROR(MID(VLOOKUP($B187,Seqs!$A:$B,2,0),M187,1),"")</f>
        <v>C</v>
      </c>
      <c r="M187" s="23">
        <v>171</v>
      </c>
      <c r="N187" s="3" t="str">
        <f>IFERROR(MID(VLOOKUP($B187,Seqs!$A:$B,2,0),O187,1),"")</f>
        <v>R</v>
      </c>
      <c r="O187" s="3">
        <v>199</v>
      </c>
      <c r="P187" s="3" t="str">
        <f>IFERROR(MID(VLOOKUP($B187,Seqs!$A:$B,2,0),Q187,1),"")</f>
        <v/>
      </c>
      <c r="Q187" s="3" t="s">
        <v>23</v>
      </c>
      <c r="R187" s="3" t="str">
        <f>IFERROR(MID(VLOOKUP($B187,Seqs!$A:$B,2,0),S187,1),"")</f>
        <v/>
      </c>
      <c r="S187" s="3" t="s">
        <v>23</v>
      </c>
      <c r="T187" s="3" t="str">
        <f>IFERROR(MID(VLOOKUP($B187,Seqs!$A:$B,2,0),U187,1),"")</f>
        <v>S</v>
      </c>
      <c r="U187" s="3">
        <v>217</v>
      </c>
      <c r="V187" s="3" t="str">
        <f>IFERROR(MID(VLOOKUP($B187,Seqs!$A:$B,2,0),W187,1),"")</f>
        <v>L</v>
      </c>
      <c r="W187" s="3">
        <v>255</v>
      </c>
      <c r="X187" s="3" t="str">
        <f>IFERROR(MID(VLOOKUP($B187,Seqs!$A:$B,2,0),Y187,1),"")</f>
        <v/>
      </c>
      <c r="Y187" s="3" t="s">
        <v>23</v>
      </c>
      <c r="Z187" s="3" t="str">
        <f>IFERROR(MID(VLOOKUP($B187,Seqs!$A:$B,2,0),AA187,1),"")</f>
        <v/>
      </c>
      <c r="AA187" s="3" t="s">
        <v>23</v>
      </c>
      <c r="AB187" s="3" t="str">
        <f>IFERROR(MID(VLOOKUP($B187,Seqs!$A:$B,2,0),AC187,1),"")</f>
        <v>S</v>
      </c>
      <c r="AC187" s="9">
        <v>262</v>
      </c>
      <c r="AD187" s="3" t="str">
        <f>IFERROR(MID(VLOOKUP($B187,Seqs!$A:$B,2,0),AE187,1),"")</f>
        <v>E</v>
      </c>
      <c r="AE187" s="3">
        <v>290</v>
      </c>
      <c r="AF187" s="3" t="str">
        <f>IFERROR(MID(VLOOKUP($B187,Seqs!$A:$B,2,0),AG187,1),"")</f>
        <v>C</v>
      </c>
      <c r="AG187" s="3">
        <v>294</v>
      </c>
      <c r="AH187" s="3" t="str">
        <f>IFERROR(MID(VLOOKUP($B187,Seqs!$A:$B,2,0),AI187,1),"")</f>
        <v>T</v>
      </c>
      <c r="AI187" s="3">
        <v>296</v>
      </c>
      <c r="AJ187" s="3" t="str">
        <f>IFERROR(MID(VLOOKUP($B187,Seqs!$A:$B,2,0),AK187,1),"")</f>
        <v>N</v>
      </c>
      <c r="AK187" s="3">
        <v>300</v>
      </c>
      <c r="AL187" s="3" t="str">
        <f>IFERROR(MID(VLOOKUP($B187,Seqs!$A:$B,2,0),AM187,1),"")</f>
        <v>A</v>
      </c>
      <c r="AM187" s="3">
        <v>335</v>
      </c>
      <c r="AN187" s="3" t="str">
        <f>IFERROR(MID(VLOOKUP($B187,Seqs!$A:$B,2,0),AO187,1),"")</f>
        <v>Y</v>
      </c>
      <c r="AO187" s="3">
        <v>343</v>
      </c>
      <c r="AP187" s="3" t="str">
        <f>IFERROR(MID(VLOOKUP($B187,Seqs!$A:$B,2,0),AQ187,1),"")</f>
        <v>F</v>
      </c>
      <c r="AQ187" s="3">
        <v>367</v>
      </c>
      <c r="AR187" s="3" t="str">
        <f>IFERROR(MID(VLOOKUP($B187,Seqs!$A:$B,2,0),AS187,1),"")</f>
        <v>Q</v>
      </c>
      <c r="AS187" s="3">
        <v>374</v>
      </c>
      <c r="AT187" s="3" t="str">
        <f>IFERROR(MID(VLOOKUP($B187,Seqs!$A:$B,2,0),AU187,1),"")</f>
        <v>L</v>
      </c>
      <c r="AU187" s="3">
        <v>403</v>
      </c>
      <c r="AV187" s="3" t="str">
        <f>IFERROR(MID(VLOOKUP($B187,Seqs!$A:$B,2,0),AW187,1),"")</f>
        <v>N</v>
      </c>
      <c r="AW187" s="3">
        <v>404</v>
      </c>
      <c r="AX187" s="3" t="str">
        <f>IFERROR(MID(VLOOKUP($B187,Seqs!$A:$B,2,0),AY187,1),"")</f>
        <v>N</v>
      </c>
      <c r="AY187" s="3">
        <v>429</v>
      </c>
      <c r="AZ187" s="79" t="str">
        <f>VLOOKUP(B187,Classification!A:D,2,0)</f>
        <v>B1</v>
      </c>
      <c r="BA187" s="97" t="str">
        <f>VLOOKUP(B187,Classification!A:D,4,0)</f>
        <v>Glucagonreceptorfamily</v>
      </c>
      <c r="BB187" s="27" t="b">
        <f t="shared" si="640"/>
        <v>1</v>
      </c>
      <c r="BC187" s="23">
        <f t="shared" si="836"/>
        <v>263</v>
      </c>
      <c r="BD187" s="57" t="s">
        <v>1379</v>
      </c>
      <c r="BE187" s="3" t="s">
        <v>1381</v>
      </c>
      <c r="BF187" s="50" t="s">
        <v>1384</v>
      </c>
      <c r="BG187" s="50" t="s">
        <v>1384</v>
      </c>
      <c r="BH187" s="1"/>
      <c r="BI187" s="72" t="s">
        <v>1293</v>
      </c>
      <c r="BJ187" s="58" t="s">
        <v>1293</v>
      </c>
      <c r="BK187" s="58" t="s">
        <v>1293</v>
      </c>
      <c r="BL187" s="58" t="s">
        <v>1293</v>
      </c>
      <c r="BM187" s="58" t="s">
        <v>1293</v>
      </c>
      <c r="BN187" s="58" t="s">
        <v>1293</v>
      </c>
      <c r="BO187" s="58" t="s">
        <v>1293</v>
      </c>
      <c r="BP187" s="58" t="s">
        <v>1293</v>
      </c>
      <c r="BQ187" s="58" t="s">
        <v>1293</v>
      </c>
      <c r="BR187" s="58" t="s">
        <v>1293</v>
      </c>
      <c r="BS187" s="58" t="s">
        <v>1293</v>
      </c>
      <c r="BT187" s="58" t="s">
        <v>1293</v>
      </c>
      <c r="BU187" s="72">
        <f t="shared" si="837"/>
        <v>125</v>
      </c>
      <c r="BV187" s="73">
        <f t="shared" si="838"/>
        <v>167</v>
      </c>
      <c r="BW187" s="74">
        <f t="shared" si="839"/>
        <v>171</v>
      </c>
      <c r="BX187" s="73" t="str">
        <f t="shared" si="840"/>
        <v>-</v>
      </c>
      <c r="BY187" s="74">
        <f t="shared" si="841"/>
        <v>217</v>
      </c>
      <c r="BZ187" s="73" t="str">
        <f t="shared" si="842"/>
        <v>-</v>
      </c>
      <c r="CA187" s="74">
        <f t="shared" si="843"/>
        <v>262</v>
      </c>
      <c r="CB187" s="73">
        <f t="shared" si="844"/>
        <v>294</v>
      </c>
      <c r="CC187" s="74">
        <f t="shared" si="845"/>
        <v>300</v>
      </c>
      <c r="CD187" s="73">
        <f t="shared" si="846"/>
        <v>343</v>
      </c>
      <c r="CE187" s="74">
        <f t="shared" si="847"/>
        <v>374</v>
      </c>
      <c r="CF187" s="73">
        <f t="shared" si="848"/>
        <v>404</v>
      </c>
      <c r="CG187" s="72">
        <f t="shared" si="849"/>
        <v>164</v>
      </c>
      <c r="CH187" s="73">
        <f t="shared" si="850"/>
        <v>170</v>
      </c>
      <c r="CI187" s="74">
        <f t="shared" si="851"/>
        <v>199</v>
      </c>
      <c r="CJ187" s="74" t="str">
        <f t="shared" si="852"/>
        <v>-</v>
      </c>
      <c r="CK187" s="74">
        <f t="shared" si="853"/>
        <v>255</v>
      </c>
      <c r="CL187" s="74" t="str">
        <f t="shared" si="854"/>
        <v>-</v>
      </c>
      <c r="CM187" s="74">
        <f t="shared" si="855"/>
        <v>290</v>
      </c>
      <c r="CN187" s="74">
        <f t="shared" si="856"/>
        <v>296</v>
      </c>
      <c r="CO187" s="74">
        <f t="shared" si="857"/>
        <v>335</v>
      </c>
      <c r="CP187" s="74">
        <f t="shared" si="858"/>
        <v>367</v>
      </c>
      <c r="CQ187" s="74">
        <f t="shared" si="859"/>
        <v>403</v>
      </c>
      <c r="CR187" s="74">
        <f t="shared" si="860"/>
        <v>429</v>
      </c>
      <c r="CS187" s="23">
        <f t="shared" si="861"/>
        <v>1</v>
      </c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</row>
    <row r="188" spans="1:1029" x14ac:dyDescent="0.2">
      <c r="A188" s="3" t="str">
        <f t="shared" ref="A188:A210" si="862">CONCATENATE(B188,"_",C188)</f>
        <v>glr_human_5EE7</v>
      </c>
      <c r="B188" s="3" t="s">
        <v>32</v>
      </c>
      <c r="C188" s="3" t="s">
        <v>49</v>
      </c>
      <c r="D188" s="3" t="str">
        <f>IFERROR(MID(VLOOKUP($B188,Seqs!$A:$B,2,0),E188,1),"")</f>
        <v>Y</v>
      </c>
      <c r="E188" s="3">
        <v>138</v>
      </c>
      <c r="F188" s="3" t="str">
        <f>IFERROR(MID(VLOOKUP($B188,Seqs!$A:$B,2,0),G188,1),"")</f>
        <v>L</v>
      </c>
      <c r="G188" s="3">
        <v>166</v>
      </c>
      <c r="H188" s="3" t="str">
        <f>IFERROR(MID(VLOOKUP($B188,Seqs!$A:$B,2,0),I188,1),"")</f>
        <v>S</v>
      </c>
      <c r="I188" s="23">
        <v>167</v>
      </c>
      <c r="J188" s="3" t="str">
        <f>IFERROR(MID(VLOOKUP($B188,Seqs!$A:$B,2,0),K188,1),"")</f>
        <v>H</v>
      </c>
      <c r="K188" s="23">
        <v>170</v>
      </c>
      <c r="L188" s="3" t="str">
        <f>IFERROR(MID(VLOOKUP($B188,Seqs!$A:$B,2,0),M188,1),"")</f>
        <v>C</v>
      </c>
      <c r="M188" s="23">
        <v>171</v>
      </c>
      <c r="N188" s="3" t="str">
        <f>IFERROR(MID(VLOOKUP($B188,Seqs!$A:$B,2,0),O188,1),"")</f>
        <v>R</v>
      </c>
      <c r="O188" s="3">
        <v>199</v>
      </c>
      <c r="P188" s="3" t="str">
        <f>IFERROR(MID(VLOOKUP($B188,Seqs!$A:$B,2,0),Q188,1),"")</f>
        <v/>
      </c>
      <c r="Q188" s="3" t="s">
        <v>23</v>
      </c>
      <c r="R188" s="3" t="str">
        <f>IFERROR(MID(VLOOKUP($B188,Seqs!$A:$B,2,0),S188,1),"")</f>
        <v/>
      </c>
      <c r="S188" s="3" t="s">
        <v>23</v>
      </c>
      <c r="T188" s="3" t="str">
        <f>IFERROR(MID(VLOOKUP($B188,Seqs!$A:$B,2,0),U188,1),"")</f>
        <v>D</v>
      </c>
      <c r="U188" s="3">
        <v>218</v>
      </c>
      <c r="V188" s="3" t="str">
        <f>IFERROR(MID(VLOOKUP($B188,Seqs!$A:$B,2,0),W188,1),"")</f>
        <v>G</v>
      </c>
      <c r="W188" s="3">
        <v>254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S</v>
      </c>
      <c r="AC188" s="9">
        <v>262</v>
      </c>
      <c r="AD188" s="3" t="str">
        <f>IFERROR(MID(VLOOKUP($B188,Seqs!$A:$B,2,0),AE188,1),"")</f>
        <v>E</v>
      </c>
      <c r="AE188" s="3">
        <v>290</v>
      </c>
      <c r="AF188" s="3" t="str">
        <f>IFERROR(MID(VLOOKUP($B188,Seqs!$A:$B,2,0),AG188,1),"")</f>
        <v>C</v>
      </c>
      <c r="AG188" s="3">
        <v>294</v>
      </c>
      <c r="AH188" s="3" t="str">
        <f>IFERROR(MID(VLOOKUP($B188,Seqs!$A:$B,2,0),AI188,1),"")</f>
        <v>T</v>
      </c>
      <c r="AI188" s="3">
        <v>296</v>
      </c>
      <c r="AJ188" s="3" t="str">
        <f>IFERROR(MID(VLOOKUP($B188,Seqs!$A:$B,2,0),AK188,1),"")</f>
        <v>R</v>
      </c>
      <c r="AK188" s="108">
        <v>308</v>
      </c>
      <c r="AL188" s="3" t="str">
        <f>IFERROR(MID(VLOOKUP($B188,Seqs!$A:$B,2,0),AM188,1),"")</f>
        <v>A</v>
      </c>
      <c r="AM188" s="3">
        <v>335</v>
      </c>
      <c r="AN188" s="3" t="str">
        <f>IFERROR(MID(VLOOKUP($B188,Seqs!$A:$B,2,0),AO188,1),"")</f>
        <v>Y</v>
      </c>
      <c r="AO188" s="3">
        <v>343</v>
      </c>
      <c r="AP188" s="3" t="str">
        <f>IFERROR(MID(VLOOKUP($B188,Seqs!$A:$B,2,0),AQ188,1),"")</f>
        <v>D</v>
      </c>
      <c r="AQ188" s="3">
        <v>370</v>
      </c>
      <c r="AR188" s="3" t="str">
        <f>IFERROR(MID(VLOOKUP($B188,Seqs!$A:$B,2,0),AS188,1),"")</f>
        <v>S</v>
      </c>
      <c r="AS188" s="3">
        <v>379</v>
      </c>
      <c r="AT188" s="3" t="str">
        <f>IFERROR(MID(VLOOKUP($B188,Seqs!$A:$B,2,0),AU188,1),"")</f>
        <v>F</v>
      </c>
      <c r="AU188" s="3">
        <v>402</v>
      </c>
      <c r="AV188" s="3" t="str">
        <f>IFERROR(MID(VLOOKUP($B188,Seqs!$A:$B,2,0),AW188,1),"")</f>
        <v>N</v>
      </c>
      <c r="AW188" s="3">
        <v>404</v>
      </c>
      <c r="AX188" s="3" t="str">
        <f>IFERROR(MID(VLOOKUP($B188,Seqs!$A:$B,2,0),AY188,1),"")</f>
        <v>R</v>
      </c>
      <c r="AY188" s="3">
        <v>417</v>
      </c>
      <c r="AZ188" s="79" t="str">
        <f>VLOOKUP(B188,Classification!A:D,2,0)</f>
        <v>B1</v>
      </c>
      <c r="BA188" s="97" t="str">
        <f>VLOOKUP(B188,Classification!A:D,4,0)</f>
        <v>Glucagonreceptorfamily</v>
      </c>
      <c r="BB188" s="27" t="b">
        <f t="shared" ref="BB188:BB210" si="863">AND(E188&lt;G188,OR(G188&lt;I188,I188="-"),OR(I188&lt;K188,I188="-"),OR(K188&lt;M188,K188="-"),M188&lt;O188,OR(O188&lt;Q188,Q188="-"),OR(Q188&lt;S188,Q188="-"),OR(S188&lt;U188,S188="-"),U188&lt;W188,OR(W188&lt;Y188,Y188="-"),OR(Y188&lt;AA188,Y188="-"),OR(AA188&lt;AC188,AA188="-"),AC188&lt;AE188,OR(AE188&lt;AG188,AG188="-"),OR(AG188&lt;AI188,AG188="-"),OR(AI188&lt;AK188,AI188="-"),AK188&lt;AM188,AM188&lt;AO188,AO188&lt;AQ188,AQ188&lt;AS188,AS188&lt;AU188,OR(AU188&lt;AW188,AW188="-"),OR(AW188&lt;AY188,AW188="-"))</f>
        <v>1</v>
      </c>
      <c r="BC188" s="23">
        <f t="shared" si="836"/>
        <v>227</v>
      </c>
      <c r="BD188" s="4" t="s">
        <v>23</v>
      </c>
      <c r="BE188" s="3" t="s">
        <v>1381</v>
      </c>
      <c r="BF188" s="50" t="s">
        <v>1384</v>
      </c>
      <c r="BG188" s="50" t="s">
        <v>1384</v>
      </c>
      <c r="BH188" s="1"/>
      <c r="BI188" s="72" t="s">
        <v>1293</v>
      </c>
      <c r="BJ188" s="58" t="s">
        <v>1293</v>
      </c>
      <c r="BK188" s="58" t="s">
        <v>1293</v>
      </c>
      <c r="BL188" s="58" t="s">
        <v>1293</v>
      </c>
      <c r="BM188" s="58" t="s">
        <v>1293</v>
      </c>
      <c r="BN188" s="58" t="s">
        <v>1293</v>
      </c>
      <c r="BO188" s="58" t="s">
        <v>1293</v>
      </c>
      <c r="BP188" s="58" t="s">
        <v>1293</v>
      </c>
      <c r="BQ188" s="58" t="s">
        <v>1293</v>
      </c>
      <c r="BR188" s="58" t="s">
        <v>1293</v>
      </c>
      <c r="BS188" s="58" t="s">
        <v>1293</v>
      </c>
      <c r="BT188" s="58" t="s">
        <v>1293</v>
      </c>
      <c r="BU188" s="72">
        <f t="shared" si="837"/>
        <v>138</v>
      </c>
      <c r="BV188" s="73">
        <f t="shared" si="838"/>
        <v>167</v>
      </c>
      <c r="BW188" s="74">
        <f t="shared" si="839"/>
        <v>171</v>
      </c>
      <c r="BX188" s="73" t="str">
        <f t="shared" si="840"/>
        <v>-</v>
      </c>
      <c r="BY188" s="74">
        <f t="shared" si="841"/>
        <v>218</v>
      </c>
      <c r="BZ188" s="73" t="str">
        <f t="shared" si="842"/>
        <v>-</v>
      </c>
      <c r="CA188" s="74">
        <f t="shared" si="843"/>
        <v>262</v>
      </c>
      <c r="CB188" s="73">
        <f t="shared" si="844"/>
        <v>294</v>
      </c>
      <c r="CC188" s="74">
        <f t="shared" si="845"/>
        <v>308</v>
      </c>
      <c r="CD188" s="73">
        <f t="shared" si="846"/>
        <v>343</v>
      </c>
      <c r="CE188" s="74">
        <f t="shared" si="847"/>
        <v>379</v>
      </c>
      <c r="CF188" s="73">
        <f t="shared" si="848"/>
        <v>404</v>
      </c>
      <c r="CG188" s="72">
        <f t="shared" si="849"/>
        <v>166</v>
      </c>
      <c r="CH188" s="73">
        <f t="shared" si="850"/>
        <v>170</v>
      </c>
      <c r="CI188" s="74">
        <f t="shared" si="851"/>
        <v>199</v>
      </c>
      <c r="CJ188" s="74" t="str">
        <f t="shared" si="852"/>
        <v>-</v>
      </c>
      <c r="CK188" s="74">
        <f t="shared" si="853"/>
        <v>254</v>
      </c>
      <c r="CL188" s="74" t="str">
        <f t="shared" si="854"/>
        <v>-</v>
      </c>
      <c r="CM188" s="74">
        <f t="shared" si="855"/>
        <v>290</v>
      </c>
      <c r="CN188" s="74">
        <f t="shared" si="856"/>
        <v>296</v>
      </c>
      <c r="CO188" s="74">
        <f t="shared" si="857"/>
        <v>335</v>
      </c>
      <c r="CP188" s="74">
        <f t="shared" si="858"/>
        <v>370</v>
      </c>
      <c r="CQ188" s="74">
        <f t="shared" si="859"/>
        <v>402</v>
      </c>
      <c r="CR188" s="74">
        <f t="shared" si="860"/>
        <v>417</v>
      </c>
      <c r="CS188" s="23">
        <f t="shared" si="861"/>
        <v>1</v>
      </c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</row>
    <row r="189" spans="1:1029" s="12" customFormat="1" x14ac:dyDescent="0.2">
      <c r="A189" s="9" t="str">
        <f t="shared" ref="A189" si="864">CONCATENATE(B189,"_",C189)</f>
        <v>glr_human_5XEZ</v>
      </c>
      <c r="B189" s="9" t="s">
        <v>32</v>
      </c>
      <c r="C189" s="9" t="s">
        <v>1419</v>
      </c>
      <c r="D189" s="9" t="str">
        <f>IFERROR(MID(VLOOKUP($B189,Seqs!$A:$B,2,0),E189,1),"")</f>
        <v>Q</v>
      </c>
      <c r="E189" s="9">
        <v>131</v>
      </c>
      <c r="F189" s="9" t="str">
        <f>IFERROR(MID(VLOOKUP($B189,Seqs!$A:$B,2,0),G189,1),"")</f>
        <v>G</v>
      </c>
      <c r="G189" s="9">
        <v>164</v>
      </c>
      <c r="H189" s="9" t="str">
        <f>IFERROR(MID(VLOOKUP($B189,Seqs!$A:$B,2,0),I189,1),"")</f>
        <v>S</v>
      </c>
      <c r="I189" s="112">
        <v>167</v>
      </c>
      <c r="J189" s="9" t="str">
        <f>IFERROR(MID(VLOOKUP($B189,Seqs!$A:$B,2,0),K189,1),"")</f>
        <v>H</v>
      </c>
      <c r="K189" s="112">
        <v>170</v>
      </c>
      <c r="L189" s="9" t="str">
        <f>IFERROR(MID(VLOOKUP($B189,Seqs!$A:$B,2,0),M189,1),"")</f>
        <v>C</v>
      </c>
      <c r="M189" s="112">
        <v>171</v>
      </c>
      <c r="N189" s="9" t="str">
        <f>IFERROR(MID(VLOOKUP($B189,Seqs!$A:$B,2,0),O189,1),"")</f>
        <v>R</v>
      </c>
      <c r="O189" s="9">
        <v>201</v>
      </c>
      <c r="P189" s="9" t="str">
        <f>IFERROR(MID(VLOOKUP($B189,Seqs!$A:$B,2,0),Q189,1),"")</f>
        <v/>
      </c>
      <c r="Q189" s="9" t="s">
        <v>23</v>
      </c>
      <c r="R189" s="9" t="str">
        <f>IFERROR(MID(VLOOKUP($B189,Seqs!$A:$B,2,0),S189,1),"")</f>
        <v/>
      </c>
      <c r="S189" s="9" t="s">
        <v>23</v>
      </c>
      <c r="T189" s="9" t="str">
        <f>IFERROR(MID(VLOOKUP($B189,Seqs!$A:$B,2,0),U189,1),"")</f>
        <v>S</v>
      </c>
      <c r="U189" s="9">
        <v>217</v>
      </c>
      <c r="V189" s="9" t="str">
        <f>IFERROR(MID(VLOOKUP($B189,Seqs!$A:$B,2,0),W189,1),"")</f>
        <v>L</v>
      </c>
      <c r="W189" s="9">
        <v>255</v>
      </c>
      <c r="X189" s="9" t="str">
        <f>IFERROR(MID(VLOOKUP($B189,Seqs!$A:$B,2,0),Y189,1),"")</f>
        <v/>
      </c>
      <c r="Y189" s="9" t="s">
        <v>23</v>
      </c>
      <c r="Z189" s="9" t="str">
        <f>IFERROR(MID(VLOOKUP($B189,Seqs!$A:$B,2,0),AA189,1),"")</f>
        <v/>
      </c>
      <c r="AA189" s="9" t="s">
        <v>23</v>
      </c>
      <c r="AB189" s="9" t="str">
        <f>IFERROR(MID(VLOOKUP($B189,Seqs!$A:$B,2,0),AC189,1),"")</f>
        <v>E</v>
      </c>
      <c r="AC189" s="9">
        <v>260</v>
      </c>
      <c r="AD189" s="9" t="str">
        <f>IFERROR(MID(VLOOKUP($B189,Seqs!$A:$B,2,0),AE189,1),"")</f>
        <v>E</v>
      </c>
      <c r="AE189" s="9">
        <v>290</v>
      </c>
      <c r="AF189" s="9" t="str">
        <f>IFERROR(MID(VLOOKUP($B189,Seqs!$A:$B,2,0),AG189,1),"")</f>
        <v>C</v>
      </c>
      <c r="AG189" s="9">
        <v>294</v>
      </c>
      <c r="AH189" s="9" t="str">
        <f>IFERROR(MID(VLOOKUP($B189,Seqs!$A:$B,2,0),AI189,1),"")</f>
        <v>T</v>
      </c>
      <c r="AI189" s="9">
        <v>296</v>
      </c>
      <c r="AJ189" s="9" t="str">
        <f>IFERROR(MID(VLOOKUP($B189,Seqs!$A:$B,2,0),AK189,1),"")</f>
        <v>G</v>
      </c>
      <c r="AK189" s="9">
        <v>302</v>
      </c>
      <c r="AL189" s="9" t="str">
        <f>IFERROR(MID(VLOOKUP($B189,Seqs!$A:$B,2,0),AM189,1),"")</f>
        <v>R</v>
      </c>
      <c r="AM189" s="9">
        <v>334</v>
      </c>
      <c r="AN189" s="9" t="str">
        <f>IFERROR(MID(VLOOKUP($B189,Seqs!$A:$B,2,0),AO189,1),"")</f>
        <v>D</v>
      </c>
      <c r="AO189" s="9">
        <v>342</v>
      </c>
      <c r="AP189" s="9" t="str">
        <f>IFERROR(MID(VLOOKUP($B189,Seqs!$A:$B,2,0),AQ189,1),"")</f>
        <v>F</v>
      </c>
      <c r="AQ189" s="9">
        <v>367</v>
      </c>
      <c r="AR189" s="9" t="str">
        <f>IFERROR(MID(VLOOKUP($B189,Seqs!$A:$B,2,0),AS189,1),"")</f>
        <v>G</v>
      </c>
      <c r="AS189" s="9">
        <v>375</v>
      </c>
      <c r="AT189" s="9" t="str">
        <f>IFERROR(MID(VLOOKUP($B189,Seqs!$A:$B,2,0),AU189,1),"")</f>
        <v>L</v>
      </c>
      <c r="AU189" s="9">
        <v>403</v>
      </c>
      <c r="AV189" s="9" t="str">
        <f>IFERROR(MID(VLOOKUP($B189,Seqs!$A:$B,2,0),AW189,1),"")</f>
        <v>N</v>
      </c>
      <c r="AW189" s="9">
        <v>404</v>
      </c>
      <c r="AX189" s="9" t="str">
        <f>IFERROR(MID(VLOOKUP($B189,Seqs!$A:$B,2,0),AY189,1),"")</f>
        <v>W</v>
      </c>
      <c r="AY189" s="9">
        <v>415</v>
      </c>
      <c r="AZ189" s="113" t="str">
        <f>VLOOKUP(B189,Classification!A:D,2,0)</f>
        <v>B1</v>
      </c>
      <c r="BA189" s="101" t="str">
        <f>VLOOKUP(B189,Classification!A:D,4,0)</f>
        <v>Glucagonreceptorfamily</v>
      </c>
      <c r="BB189" s="37" t="b">
        <f t="shared" ref="BB189" si="865">AND(E189&lt;G189,OR(G189&lt;I189,I189="-"),OR(I189&lt;K189,I189="-"),OR(K189&lt;M189,K189="-"),M189&lt;O189,OR(O189&lt;Q189,Q189="-"),OR(Q189&lt;S189,Q189="-"),OR(S189&lt;U189,S189="-"),U189&lt;W189,OR(W189&lt;Y189,Y189="-"),OR(Y189&lt;AA189,Y189="-"),OR(AA189&lt;AC189,AA189="-"),AC189&lt;AE189,OR(AE189&lt;AG189,AG189="-"),OR(AG189&lt;AI189,AG189="-"),OR(AI189&lt;AK189,AI189="-"),AK189&lt;AM189,AM189&lt;AO189,AO189&lt;AQ189,AQ189&lt;AS189,AS189&lt;AU189,OR(AU189&lt;AW189,AW189="-"),OR(AW189&lt;AY189,AW189="-"))</f>
        <v>1</v>
      </c>
      <c r="BC189" s="112">
        <f t="shared" ref="BC189" si="866">_xlfn.AGGREGATE(9,6,CG189:CR189)-_xlfn.AGGREGATE(9,6,BU189:CF189)+12</f>
        <v>244</v>
      </c>
      <c r="BD189" s="11" t="s">
        <v>1383</v>
      </c>
      <c r="BE189" s="9" t="s">
        <v>1381</v>
      </c>
      <c r="BF189" s="52" t="s">
        <v>1287</v>
      </c>
      <c r="BG189" s="52" t="s">
        <v>1287</v>
      </c>
      <c r="BI189" s="114" t="s">
        <v>1293</v>
      </c>
      <c r="BJ189" s="115" t="s">
        <v>1293</v>
      </c>
      <c r="BK189" s="115" t="s">
        <v>1293</v>
      </c>
      <c r="BL189" s="115" t="s">
        <v>1293</v>
      </c>
      <c r="BM189" s="115" t="s">
        <v>1293</v>
      </c>
      <c r="BN189" s="115" t="s">
        <v>1293</v>
      </c>
      <c r="BO189" s="115" t="s">
        <v>1293</v>
      </c>
      <c r="BP189" s="115" t="s">
        <v>1293</v>
      </c>
      <c r="BQ189" s="115" t="s">
        <v>1293</v>
      </c>
      <c r="BR189" s="115" t="s">
        <v>1293</v>
      </c>
      <c r="BS189" s="115" t="s">
        <v>1293</v>
      </c>
      <c r="BT189" s="115" t="s">
        <v>1293</v>
      </c>
      <c r="BU189" s="114">
        <f t="shared" ref="BU189" si="867">E189</f>
        <v>131</v>
      </c>
      <c r="BV189" s="116">
        <f t="shared" ref="BV189" si="868">I189</f>
        <v>167</v>
      </c>
      <c r="BW189" s="117">
        <f t="shared" ref="BW189" si="869">M189</f>
        <v>171</v>
      </c>
      <c r="BX189" s="116" t="str">
        <f t="shared" ref="BX189" si="870">Q189</f>
        <v>-</v>
      </c>
      <c r="BY189" s="117">
        <f t="shared" ref="BY189" si="871">U189</f>
        <v>217</v>
      </c>
      <c r="BZ189" s="116" t="str">
        <f t="shared" ref="BZ189" si="872">Y189</f>
        <v>-</v>
      </c>
      <c r="CA189" s="117">
        <f t="shared" ref="CA189" si="873">AC189</f>
        <v>260</v>
      </c>
      <c r="CB189" s="116">
        <f t="shared" ref="CB189" si="874">AG189</f>
        <v>294</v>
      </c>
      <c r="CC189" s="117">
        <f t="shared" ref="CC189" si="875">AK189</f>
        <v>302</v>
      </c>
      <c r="CD189" s="116">
        <f t="shared" ref="CD189" si="876">AO189</f>
        <v>342</v>
      </c>
      <c r="CE189" s="117">
        <f t="shared" ref="CE189" si="877">AS189</f>
        <v>375</v>
      </c>
      <c r="CF189" s="116">
        <f t="shared" ref="CF189" si="878">AW189</f>
        <v>404</v>
      </c>
      <c r="CG189" s="114">
        <f t="shared" ref="CG189" si="879">G189</f>
        <v>164</v>
      </c>
      <c r="CH189" s="116">
        <f t="shared" ref="CH189" si="880">K189</f>
        <v>170</v>
      </c>
      <c r="CI189" s="117">
        <f t="shared" ref="CI189" si="881">O189</f>
        <v>201</v>
      </c>
      <c r="CJ189" s="117" t="str">
        <f t="shared" ref="CJ189" si="882">S189</f>
        <v>-</v>
      </c>
      <c r="CK189" s="117">
        <f t="shared" ref="CK189" si="883">W189</f>
        <v>255</v>
      </c>
      <c r="CL189" s="117" t="str">
        <f t="shared" ref="CL189" si="884">AA189</f>
        <v>-</v>
      </c>
      <c r="CM189" s="117">
        <f t="shared" ref="CM189" si="885">AE189</f>
        <v>290</v>
      </c>
      <c r="CN189" s="117">
        <f t="shared" ref="CN189" si="886">AI189</f>
        <v>296</v>
      </c>
      <c r="CO189" s="117">
        <f t="shared" ref="CO189" si="887">AM189</f>
        <v>334</v>
      </c>
      <c r="CP189" s="117">
        <f t="shared" ref="CP189" si="888">AQ189</f>
        <v>367</v>
      </c>
      <c r="CQ189" s="117">
        <f t="shared" ref="CQ189" si="889">AU189</f>
        <v>403</v>
      </c>
      <c r="CR189" s="117">
        <f t="shared" ref="CR189" si="890">AY189</f>
        <v>415</v>
      </c>
      <c r="CS189" s="112">
        <f t="shared" ref="CS189" si="891">M189-K189</f>
        <v>1</v>
      </c>
    </row>
    <row r="190" spans="1:1029" s="12" customFormat="1" x14ac:dyDescent="0.2">
      <c r="A190" s="9" t="str">
        <f t="shared" ref="A190" si="892">CONCATENATE(B190,"_",C190)</f>
        <v>glr_human_5XF1</v>
      </c>
      <c r="B190" s="9" t="s">
        <v>32</v>
      </c>
      <c r="C190" s="9" t="s">
        <v>1420</v>
      </c>
      <c r="D190" s="9" t="str">
        <f>IFERROR(MID(VLOOKUP($B190,Seqs!$A:$B,2,0),E190,1),"")</f>
        <v>Q</v>
      </c>
      <c r="E190" s="9">
        <v>131</v>
      </c>
      <c r="F190" s="9" t="str">
        <f>IFERROR(MID(VLOOKUP($B190,Seqs!$A:$B,2,0),G190,1),"")</f>
        <v>L</v>
      </c>
      <c r="G190" s="9">
        <v>166</v>
      </c>
      <c r="H190" s="9" t="str">
        <f>IFERROR(MID(VLOOKUP($B190,Seqs!$A:$B,2,0),I190,1),"")</f>
        <v>S</v>
      </c>
      <c r="I190" s="112">
        <v>167</v>
      </c>
      <c r="J190" s="9" t="str">
        <f>IFERROR(MID(VLOOKUP($B190,Seqs!$A:$B,2,0),K190,1),"")</f>
        <v>H</v>
      </c>
      <c r="K190" s="112">
        <v>170</v>
      </c>
      <c r="L190" s="9" t="str">
        <f>IFERROR(MID(VLOOKUP($B190,Seqs!$A:$B,2,0),M190,1),"")</f>
        <v>N</v>
      </c>
      <c r="M190" s="112">
        <v>174</v>
      </c>
      <c r="N190" s="9" t="str">
        <f>IFERROR(MID(VLOOKUP($B190,Seqs!$A:$B,2,0),O190,1),"")</f>
        <v>R</v>
      </c>
      <c r="O190" s="9">
        <v>201</v>
      </c>
      <c r="P190" s="9" t="str">
        <f>IFERROR(MID(VLOOKUP($B190,Seqs!$A:$B,2,0),Q190,1),"")</f>
        <v/>
      </c>
      <c r="Q190" s="9" t="s">
        <v>23</v>
      </c>
      <c r="R190" s="9" t="str">
        <f>IFERROR(MID(VLOOKUP($B190,Seqs!$A:$B,2,0),S190,1),"")</f>
        <v/>
      </c>
      <c r="S190" s="9" t="s">
        <v>23</v>
      </c>
      <c r="T190" s="9" t="str">
        <f>IFERROR(MID(VLOOKUP($B190,Seqs!$A:$B,2,0),U190,1),"")</f>
        <v>S</v>
      </c>
      <c r="U190" s="9">
        <v>217</v>
      </c>
      <c r="V190" s="9" t="str">
        <f>IFERROR(MID(VLOOKUP($B190,Seqs!$A:$B,2,0),W190,1),"")</f>
        <v>L</v>
      </c>
      <c r="W190" s="9">
        <v>255</v>
      </c>
      <c r="X190" s="9" t="str">
        <f>IFERROR(MID(VLOOKUP($B190,Seqs!$A:$B,2,0),Y190,1),"")</f>
        <v/>
      </c>
      <c r="Y190" s="9" t="s">
        <v>23</v>
      </c>
      <c r="Z190" s="9" t="str">
        <f>IFERROR(MID(VLOOKUP($B190,Seqs!$A:$B,2,0),AA190,1),"")</f>
        <v/>
      </c>
      <c r="AA190" s="9" t="s">
        <v>23</v>
      </c>
      <c r="AB190" s="9" t="str">
        <f>IFERROR(MID(VLOOKUP($B190,Seqs!$A:$B,2,0),AC190,1),"")</f>
        <v>R</v>
      </c>
      <c r="AC190" s="9">
        <v>261</v>
      </c>
      <c r="AD190" s="9" t="str">
        <f>IFERROR(MID(VLOOKUP($B190,Seqs!$A:$B,2,0),AE190,1),"")</f>
        <v>F</v>
      </c>
      <c r="AE190" s="9">
        <v>289</v>
      </c>
      <c r="AF190" s="9" t="str">
        <f>IFERROR(MID(VLOOKUP($B190,Seqs!$A:$B,2,0),AG190,1),"")</f>
        <v>C</v>
      </c>
      <c r="AG190" s="9">
        <v>294</v>
      </c>
      <c r="AH190" s="9" t="str">
        <f>IFERROR(MID(VLOOKUP($B190,Seqs!$A:$B,2,0),AI190,1),"")</f>
        <v>T</v>
      </c>
      <c r="AI190" s="9">
        <v>296</v>
      </c>
      <c r="AJ190" s="9" t="str">
        <f>IFERROR(MID(VLOOKUP($B190,Seqs!$A:$B,2,0),AK190,1),"")</f>
        <v>D</v>
      </c>
      <c r="AK190" s="9">
        <v>299</v>
      </c>
      <c r="AL190" s="9" t="str">
        <f>IFERROR(MID(VLOOKUP($B190,Seqs!$A:$B,2,0),AM190,1),"")</f>
        <v>L</v>
      </c>
      <c r="AM190" s="9">
        <v>333</v>
      </c>
      <c r="AN190" s="9" t="str">
        <f>IFERROR(MID(VLOOKUP($B190,Seqs!$A:$B,2,0),AO190,1),"")</f>
        <v>D</v>
      </c>
      <c r="AO190" s="9">
        <v>342</v>
      </c>
      <c r="AP190" s="9" t="str">
        <f>IFERROR(MID(VLOOKUP($B190,Seqs!$A:$B,2,0),AQ190,1),"")</f>
        <v>V</v>
      </c>
      <c r="AQ190" s="9">
        <v>368</v>
      </c>
      <c r="AR190" s="9" t="str">
        <f>IFERROR(MID(VLOOKUP($B190,Seqs!$A:$B,2,0),AS190,1),"")</f>
        <v>L</v>
      </c>
      <c r="AS190" s="9">
        <v>377</v>
      </c>
      <c r="AT190" s="9" t="str">
        <f>IFERROR(MID(VLOOKUP($B190,Seqs!$A:$B,2,0),AU190,1),"")</f>
        <v>L</v>
      </c>
      <c r="AU190" s="9">
        <v>403</v>
      </c>
      <c r="AV190" s="9" t="str">
        <f>IFERROR(MID(VLOOKUP($B190,Seqs!$A:$B,2,0),AW190,1),"")</f>
        <v>N</v>
      </c>
      <c r="AW190" s="9">
        <v>404</v>
      </c>
      <c r="AX190" s="9" t="str">
        <f>IFERROR(MID(VLOOKUP($B190,Seqs!$A:$B,2,0),AY190,1),"")</f>
        <v>W</v>
      </c>
      <c r="AY190" s="9">
        <v>415</v>
      </c>
      <c r="AZ190" s="113" t="str">
        <f>VLOOKUP(B190,Classification!A:D,2,0)</f>
        <v>B1</v>
      </c>
      <c r="BA190" s="101" t="str">
        <f>VLOOKUP(B190,Classification!A:D,4,0)</f>
        <v>Glucagonreceptorfamily</v>
      </c>
      <c r="BB190" s="37" t="b">
        <f t="shared" ref="BB190" si="893">AND(E190&lt;G190,OR(G190&lt;I190,I190="-"),OR(I190&lt;K190,I190="-"),OR(K190&lt;M190,K190="-"),M190&lt;O190,OR(O190&lt;Q190,Q190="-"),OR(Q190&lt;S190,Q190="-"),OR(S190&lt;U190,S190="-"),U190&lt;W190,OR(W190&lt;Y190,Y190="-"),OR(Y190&lt;AA190,Y190="-"),OR(AA190&lt;AC190,AA190="-"),AC190&lt;AE190,OR(AE190&lt;AG190,AG190="-"),OR(AG190&lt;AI190,AG190="-"),OR(AI190&lt;AK190,AI190="-"),AK190&lt;AM190,AM190&lt;AO190,AO190&lt;AQ190,AQ190&lt;AS190,AS190&lt;AU190,OR(AU190&lt;AW190,AW190="-"),OR(AW190&lt;AY190,AW190="-"))</f>
        <v>1</v>
      </c>
      <c r="BC190" s="112">
        <f t="shared" ref="BC190" si="894">_xlfn.AGGREGATE(9,6,CG190:CR190)-_xlfn.AGGREGATE(9,6,BU190:CF190)+12</f>
        <v>242</v>
      </c>
      <c r="BD190" s="11" t="s">
        <v>23</v>
      </c>
      <c r="BE190" s="9" t="s">
        <v>1381</v>
      </c>
      <c r="BF190" s="52" t="s">
        <v>1287</v>
      </c>
      <c r="BG190" s="52" t="s">
        <v>1287</v>
      </c>
      <c r="BI190" s="114" t="s">
        <v>1293</v>
      </c>
      <c r="BJ190" s="115" t="s">
        <v>1293</v>
      </c>
      <c r="BK190" s="115" t="s">
        <v>1293</v>
      </c>
      <c r="BL190" s="115" t="s">
        <v>1293</v>
      </c>
      <c r="BM190" s="115" t="s">
        <v>1293</v>
      </c>
      <c r="BN190" s="115" t="s">
        <v>1293</v>
      </c>
      <c r="BO190" s="115" t="s">
        <v>1293</v>
      </c>
      <c r="BP190" s="115" t="s">
        <v>1293</v>
      </c>
      <c r="BQ190" s="115" t="s">
        <v>1293</v>
      </c>
      <c r="BR190" s="115" t="s">
        <v>1293</v>
      </c>
      <c r="BS190" s="115" t="s">
        <v>1293</v>
      </c>
      <c r="BT190" s="115" t="s">
        <v>1293</v>
      </c>
      <c r="BU190" s="114">
        <f t="shared" ref="BU190" si="895">E190</f>
        <v>131</v>
      </c>
      <c r="BV190" s="116">
        <f t="shared" ref="BV190" si="896">I190</f>
        <v>167</v>
      </c>
      <c r="BW190" s="117">
        <f t="shared" ref="BW190" si="897">M190</f>
        <v>174</v>
      </c>
      <c r="BX190" s="116" t="str">
        <f t="shared" ref="BX190" si="898">Q190</f>
        <v>-</v>
      </c>
      <c r="BY190" s="117">
        <f t="shared" ref="BY190" si="899">U190</f>
        <v>217</v>
      </c>
      <c r="BZ190" s="116" t="str">
        <f t="shared" ref="BZ190" si="900">Y190</f>
        <v>-</v>
      </c>
      <c r="CA190" s="117">
        <f t="shared" ref="CA190" si="901">AC190</f>
        <v>261</v>
      </c>
      <c r="CB190" s="116">
        <f t="shared" ref="CB190" si="902">AG190</f>
        <v>294</v>
      </c>
      <c r="CC190" s="117">
        <f t="shared" ref="CC190" si="903">AK190</f>
        <v>299</v>
      </c>
      <c r="CD190" s="116">
        <f t="shared" ref="CD190" si="904">AO190</f>
        <v>342</v>
      </c>
      <c r="CE190" s="117">
        <f t="shared" ref="CE190" si="905">AS190</f>
        <v>377</v>
      </c>
      <c r="CF190" s="116">
        <f t="shared" ref="CF190" si="906">AW190</f>
        <v>404</v>
      </c>
      <c r="CG190" s="114">
        <f t="shared" ref="CG190" si="907">G190</f>
        <v>166</v>
      </c>
      <c r="CH190" s="116">
        <f t="shared" ref="CH190" si="908">K190</f>
        <v>170</v>
      </c>
      <c r="CI190" s="117">
        <f t="shared" ref="CI190" si="909">O190</f>
        <v>201</v>
      </c>
      <c r="CJ190" s="117" t="str">
        <f t="shared" ref="CJ190" si="910">S190</f>
        <v>-</v>
      </c>
      <c r="CK190" s="117">
        <f t="shared" ref="CK190" si="911">W190</f>
        <v>255</v>
      </c>
      <c r="CL190" s="117" t="str">
        <f t="shared" ref="CL190" si="912">AA190</f>
        <v>-</v>
      </c>
      <c r="CM190" s="117">
        <f t="shared" ref="CM190" si="913">AE190</f>
        <v>289</v>
      </c>
      <c r="CN190" s="117">
        <f t="shared" ref="CN190" si="914">AI190</f>
        <v>296</v>
      </c>
      <c r="CO190" s="117">
        <f t="shared" ref="CO190" si="915">AM190</f>
        <v>333</v>
      </c>
      <c r="CP190" s="117">
        <f t="shared" ref="CP190" si="916">AQ190</f>
        <v>368</v>
      </c>
      <c r="CQ190" s="117">
        <f t="shared" ref="CQ190" si="917">AU190</f>
        <v>403</v>
      </c>
      <c r="CR190" s="117">
        <f t="shared" ref="CR190" si="918">AY190</f>
        <v>415</v>
      </c>
      <c r="CS190" s="112">
        <f t="shared" ref="CS190" si="919">M190-K190</f>
        <v>4</v>
      </c>
    </row>
    <row r="191" spans="1:1029" s="12" customFormat="1" x14ac:dyDescent="0.2">
      <c r="A191" s="9" t="str">
        <f t="shared" ref="A191:A193" si="920">CONCATENATE(B191,"_",C191)</f>
        <v>glp1r_human__wt</v>
      </c>
      <c r="B191" s="9" t="s">
        <v>406</v>
      </c>
      <c r="C191" s="9" t="s">
        <v>100</v>
      </c>
      <c r="D191" s="9" t="str">
        <f>IFERROR(MID(VLOOKUP($B191,Seqs!$A:$B,2,0),E191,1),"")</f>
        <v>E</v>
      </c>
      <c r="E191" s="9">
        <v>138</v>
      </c>
      <c r="F191" s="9" t="str">
        <f>IFERROR(MID(VLOOKUP($B191,Seqs!$A:$B,2,0),G191,1),"")</f>
        <v>F</v>
      </c>
      <c r="G191" s="9">
        <v>169</v>
      </c>
      <c r="H191" s="9" t="str">
        <f>IFERROR(MID(VLOOKUP($B191,Seqs!$A:$B,2,0),I191,1),"")</f>
        <v>R</v>
      </c>
      <c r="I191" s="112">
        <v>170</v>
      </c>
      <c r="J191" s="9" t="str">
        <f>IFERROR(MID(VLOOKUP($B191,Seqs!$A:$B,2,0),K191,1),"")</f>
        <v>H</v>
      </c>
      <c r="K191" s="112">
        <v>173</v>
      </c>
      <c r="L191" s="9" t="str">
        <f>IFERROR(MID(VLOOKUP($B191,Seqs!$A:$B,2,0),M191,1),"")</f>
        <v>C</v>
      </c>
      <c r="M191" s="112">
        <v>174</v>
      </c>
      <c r="N191" s="9" t="str">
        <f>IFERROR(MID(VLOOKUP($B191,Seqs!$A:$B,2,0),O191,1),"")</f>
        <v>S</v>
      </c>
      <c r="O191" s="9">
        <v>206</v>
      </c>
      <c r="P191" s="9" t="str">
        <f>IFERROR(MID(VLOOKUP($B191,Seqs!$A:$B,2,0),Q191,1),"")</f>
        <v/>
      </c>
      <c r="Q191" s="9" t="s">
        <v>23</v>
      </c>
      <c r="R191" s="9" t="str">
        <f>IFERROR(MID(VLOOKUP($B191,Seqs!$A:$B,2,0),S191,1),"")</f>
        <v/>
      </c>
      <c r="S191" s="9" t="s">
        <v>23</v>
      </c>
      <c r="T191" s="9" t="str">
        <f>IFERROR(MID(VLOOKUP($B191,Seqs!$A:$B,2,0),U191,1),"")</f>
        <v>L</v>
      </c>
      <c r="U191" s="9">
        <v>224</v>
      </c>
      <c r="V191" s="9" t="str">
        <f>IFERROR(MID(VLOOKUP($B191,Seqs!$A:$B,2,0),W191,1),"")</f>
        <v>F</v>
      </c>
      <c r="W191" s="9">
        <v>257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E</v>
      </c>
      <c r="AC191" s="9">
        <v>262</v>
      </c>
      <c r="AD191" s="9" t="str">
        <f>IFERROR(MID(VLOOKUP($B191,Seqs!$A:$B,2,0),AE191,1),"")</f>
        <v>E</v>
      </c>
      <c r="AE191" s="9">
        <v>292</v>
      </c>
      <c r="AF191" s="9" t="str">
        <f>IFERROR(MID(VLOOKUP($B191,Seqs!$A:$B,2,0),AG191,1),"")</f>
        <v>C</v>
      </c>
      <c r="AG191" s="9">
        <v>296</v>
      </c>
      <c r="AH191" s="9" t="str">
        <f>IFERROR(MID(VLOOKUP($B191,Seqs!$A:$B,2,0),AI191,1),"")</f>
        <v>T</v>
      </c>
      <c r="AI191" s="9">
        <v>298</v>
      </c>
      <c r="AJ191" s="9" t="str">
        <f>IFERROR(MID(VLOOKUP($B191,Seqs!$A:$B,2,0),AK191,1),"")</f>
        <v>N</v>
      </c>
      <c r="AK191" s="9">
        <v>302</v>
      </c>
      <c r="AL191" s="9" t="str">
        <f>IFERROR(MID(VLOOKUP($B191,Seqs!$A:$B,2,0),AM191,1),"")</f>
        <v>A</v>
      </c>
      <c r="AM191" s="9">
        <v>337</v>
      </c>
      <c r="AN191" s="9" t="str">
        <f>IFERROR(MID(VLOOKUP($B191,Seqs!$A:$B,2,0),AO191,1),"")</f>
        <v>D</v>
      </c>
      <c r="AO191" s="9">
        <v>344</v>
      </c>
      <c r="AP191" s="9" t="str">
        <f>IFERROR(MID(VLOOKUP($B191,Seqs!$A:$B,2,0),AQ191,1),"")</f>
        <v>H</v>
      </c>
      <c r="AQ191" s="9">
        <v>374</v>
      </c>
      <c r="AR191" s="9" t="str">
        <f>IFERROR(MID(VLOOKUP($B191,Seqs!$A:$B,2,0),AS191,1),"")</f>
        <v>G</v>
      </c>
      <c r="AS191" s="9">
        <v>377</v>
      </c>
      <c r="AT191" s="9" t="str">
        <f>IFERROR(MID(VLOOKUP($B191,Seqs!$A:$B,2,0),AU191,1),"")</f>
        <v>V</v>
      </c>
      <c r="AU191" s="9">
        <v>405</v>
      </c>
      <c r="AV191" s="9" t="str">
        <f>IFERROR(MID(VLOOKUP($B191,Seqs!$A:$B,2,0),AW191,1),"")</f>
        <v>N</v>
      </c>
      <c r="AW191" s="9">
        <v>406</v>
      </c>
      <c r="AX191" s="9" t="str">
        <f>IFERROR(MID(VLOOKUP($B191,Seqs!$A:$B,2,0),AY191,1),"")</f>
        <v>S</v>
      </c>
      <c r="AY191" s="9">
        <v>431</v>
      </c>
      <c r="AZ191" s="113" t="str">
        <f>VLOOKUP(B191,Classification!A:D,2,0)</f>
        <v>B1</v>
      </c>
      <c r="BA191" s="101" t="str">
        <f>VLOOKUP(B191,Classification!A:D,4,0)</f>
        <v>Glucagonreceptorfamily</v>
      </c>
      <c r="BB191" s="37" t="b">
        <f t="shared" ref="BB191:BB193" si="921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12">
        <f t="shared" ref="BC191:BC193" si="922">_xlfn.AGGREGATE(9,6,CG191:CR191)-_xlfn.AGGREGATE(9,6,BU191:CF191)+12</f>
        <v>261</v>
      </c>
      <c r="BD191" s="11" t="s">
        <v>23</v>
      </c>
      <c r="BE191" s="9" t="s">
        <v>1381</v>
      </c>
      <c r="BF191" s="52" t="s">
        <v>1384</v>
      </c>
      <c r="BG191" s="52" t="s">
        <v>1384</v>
      </c>
      <c r="BI191" s="114" t="s">
        <v>1293</v>
      </c>
      <c r="BJ191" s="115" t="s">
        <v>1293</v>
      </c>
      <c r="BK191" s="115" t="s">
        <v>1293</v>
      </c>
      <c r="BL191" s="115" t="s">
        <v>1293</v>
      </c>
      <c r="BM191" s="115" t="s">
        <v>1293</v>
      </c>
      <c r="BN191" s="115" t="s">
        <v>1293</v>
      </c>
      <c r="BO191" s="115" t="s">
        <v>1293</v>
      </c>
      <c r="BP191" s="115" t="s">
        <v>1293</v>
      </c>
      <c r="BQ191" s="115" t="s">
        <v>1293</v>
      </c>
      <c r="BR191" s="115" t="s">
        <v>1293</v>
      </c>
      <c r="BS191" s="115" t="s">
        <v>1293</v>
      </c>
      <c r="BT191" s="115" t="s">
        <v>1293</v>
      </c>
      <c r="BU191" s="114">
        <f t="shared" ref="BU191:BU193" si="923">E191</f>
        <v>138</v>
      </c>
      <c r="BV191" s="116">
        <f t="shared" ref="BV191:BV193" si="924">I191</f>
        <v>170</v>
      </c>
      <c r="BW191" s="117">
        <f t="shared" ref="BW191:BW193" si="925">M191</f>
        <v>174</v>
      </c>
      <c r="BX191" s="116" t="str">
        <f t="shared" ref="BX191:BX193" si="926">Q191</f>
        <v>-</v>
      </c>
      <c r="BY191" s="117">
        <f t="shared" ref="BY191:BY193" si="927">U191</f>
        <v>224</v>
      </c>
      <c r="BZ191" s="116" t="str">
        <f t="shared" ref="BZ191:BZ193" si="928">Y191</f>
        <v>-</v>
      </c>
      <c r="CA191" s="117">
        <f t="shared" ref="CA191:CA193" si="929">AC191</f>
        <v>262</v>
      </c>
      <c r="CB191" s="116">
        <f t="shared" ref="CB191:CB193" si="930">AG191</f>
        <v>296</v>
      </c>
      <c r="CC191" s="117">
        <f t="shared" ref="CC191:CC193" si="931">AK191</f>
        <v>302</v>
      </c>
      <c r="CD191" s="116">
        <f t="shared" ref="CD191:CD193" si="932">AO191</f>
        <v>344</v>
      </c>
      <c r="CE191" s="117">
        <f t="shared" ref="CE191:CE193" si="933">AS191</f>
        <v>377</v>
      </c>
      <c r="CF191" s="116">
        <f t="shared" ref="CF191:CF193" si="934">AW191</f>
        <v>406</v>
      </c>
      <c r="CG191" s="114">
        <f t="shared" ref="CG191:CG193" si="935">G191</f>
        <v>169</v>
      </c>
      <c r="CH191" s="116">
        <f t="shared" ref="CH191:CH193" si="936">K191</f>
        <v>173</v>
      </c>
      <c r="CI191" s="117">
        <f t="shared" ref="CI191:CI193" si="937">O191</f>
        <v>206</v>
      </c>
      <c r="CJ191" s="117" t="str">
        <f t="shared" ref="CJ191:CJ193" si="938">S191</f>
        <v>-</v>
      </c>
      <c r="CK191" s="117">
        <f t="shared" ref="CK191:CK193" si="939">W191</f>
        <v>257</v>
      </c>
      <c r="CL191" s="117" t="str">
        <f t="shared" ref="CL191:CL193" si="940">AA191</f>
        <v>-</v>
      </c>
      <c r="CM191" s="117">
        <f t="shared" ref="CM191:CM193" si="941">AE191</f>
        <v>292</v>
      </c>
      <c r="CN191" s="117">
        <f t="shared" ref="CN191:CN193" si="942">AI191</f>
        <v>298</v>
      </c>
      <c r="CO191" s="117">
        <f t="shared" ref="CO191:CO193" si="943">AM191</f>
        <v>337</v>
      </c>
      <c r="CP191" s="117">
        <f t="shared" ref="CP191:CP193" si="944">AQ191</f>
        <v>374</v>
      </c>
      <c r="CQ191" s="117">
        <f t="shared" ref="CQ191:CQ193" si="945">AU191</f>
        <v>405</v>
      </c>
      <c r="CR191" s="117">
        <f t="shared" ref="CR191:CR193" si="946">AY191</f>
        <v>431</v>
      </c>
      <c r="CS191" s="112">
        <f t="shared" ref="CS191:CS193" si="947">M191-K191</f>
        <v>1</v>
      </c>
    </row>
    <row r="192" spans="1:1029" s="12" customFormat="1" x14ac:dyDescent="0.2">
      <c r="A192" s="9" t="str">
        <f t="shared" ref="A192" si="948">CONCATENATE(B192,"_",C192)</f>
        <v>glp1r_human_5VEW</v>
      </c>
      <c r="B192" s="9" t="s">
        <v>406</v>
      </c>
      <c r="C192" s="9" t="s">
        <v>1416</v>
      </c>
      <c r="D192" s="9" t="str">
        <f>IFERROR(MID(VLOOKUP($B192,Seqs!$A:$B,2,0),E192,1),"")</f>
        <v>S</v>
      </c>
      <c r="E192" s="9">
        <v>136</v>
      </c>
      <c r="F192" s="9" t="str">
        <f>IFERROR(MID(VLOOKUP($B192,Seqs!$A:$B,2,0),G192,1),"")</f>
        <v>F</v>
      </c>
      <c r="G192" s="9">
        <v>169</v>
      </c>
      <c r="H192" s="9" t="str">
        <f>IFERROR(MID(VLOOKUP($B192,Seqs!$A:$B,2,0),I192,1),"")</f>
        <v>R</v>
      </c>
      <c r="I192" s="112">
        <v>170</v>
      </c>
      <c r="J192" s="9" t="str">
        <f>IFERROR(MID(VLOOKUP($B192,Seqs!$A:$B,2,0),K192,1),"")</f>
        <v>H</v>
      </c>
      <c r="K192" s="112">
        <v>173</v>
      </c>
      <c r="L192" s="9" t="str">
        <f>IFERROR(MID(VLOOKUP($B192,Seqs!$A:$B,2,0),M192,1),"")</f>
        <v>C</v>
      </c>
      <c r="M192" s="112">
        <v>174</v>
      </c>
      <c r="N192" s="9" t="str">
        <f>IFERROR(MID(VLOOKUP($B192,Seqs!$A:$B,2,0),O192,1),"")</f>
        <v>L</v>
      </c>
      <c r="O192" s="9">
        <v>201</v>
      </c>
      <c r="P192" s="9" t="str">
        <f>IFERROR(MID(VLOOKUP($B192,Seqs!$A:$B,2,0),Q192,1),"")</f>
        <v/>
      </c>
      <c r="Q192" s="9" t="s">
        <v>23</v>
      </c>
      <c r="R192" s="9" t="str">
        <f>IFERROR(MID(VLOOKUP($B192,Seqs!$A:$B,2,0),S192,1),"")</f>
        <v/>
      </c>
      <c r="S192" s="9" t="s">
        <v>23</v>
      </c>
      <c r="T192" s="9" t="str">
        <f>IFERROR(MID(VLOOKUP($B192,Seqs!$A:$B,2,0),U192,1),"")</f>
        <v>L</v>
      </c>
      <c r="U192" s="9">
        <v>224</v>
      </c>
      <c r="V192" s="9" t="str">
        <f>IFERROR(MID(VLOOKUP($B192,Seqs!$A:$B,2,0),W192,1),"")</f>
        <v>F</v>
      </c>
      <c r="W192" s="9">
        <v>257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E</v>
      </c>
      <c r="AC192" s="9">
        <v>262</v>
      </c>
      <c r="AD192" s="9" t="str">
        <f>IFERROR(MID(VLOOKUP($B192,Seqs!$A:$B,2,0),AE192,1),"")</f>
        <v>E</v>
      </c>
      <c r="AE192" s="9">
        <v>292</v>
      </c>
      <c r="AF192" s="9" t="str">
        <f>IFERROR(MID(VLOOKUP($B192,Seqs!$A:$B,2,0),AG192,1),"")</f>
        <v>C</v>
      </c>
      <c r="AG192" s="9">
        <v>296</v>
      </c>
      <c r="AH192" s="9" t="str">
        <f>IFERROR(MID(VLOOKUP($B192,Seqs!$A:$B,2,0),AI192,1),"")</f>
        <v>T</v>
      </c>
      <c r="AI192" s="9">
        <v>298</v>
      </c>
      <c r="AJ192" s="9" t="str">
        <f>IFERROR(MID(VLOOKUP($B192,Seqs!$A:$B,2,0),AK192,1),"")</f>
        <v>Y</v>
      </c>
      <c r="AK192" s="9">
        <v>305</v>
      </c>
      <c r="AL192" s="9" t="str">
        <f>IFERROR(MID(VLOOKUP($B192,Seqs!$A:$B,2,0),AM192,1),"")</f>
        <v>A</v>
      </c>
      <c r="AM192" s="9">
        <v>337</v>
      </c>
      <c r="AN192" s="9" t="str">
        <f>IFERROR(MID(VLOOKUP($B192,Seqs!$A:$B,2,0),AO192,1),"")</f>
        <v>D</v>
      </c>
      <c r="AO192" s="9">
        <v>344</v>
      </c>
      <c r="AP192" s="9" t="str">
        <f>IFERROR(MID(VLOOKUP($B192,Seqs!$A:$B,2,0),AQ192,1),"")</f>
        <v>F</v>
      </c>
      <c r="AQ192" s="9">
        <v>367</v>
      </c>
      <c r="AR192" s="9" t="str">
        <f>IFERROR(MID(VLOOKUP($B192,Seqs!$A:$B,2,0),AS192,1),"")</f>
        <v>R</v>
      </c>
      <c r="AS192" s="9">
        <v>380</v>
      </c>
      <c r="AT192" s="9" t="str">
        <f>IFERROR(MID(VLOOKUP($B192,Seqs!$A:$B,2,0),AU192,1),"")</f>
        <v>V</v>
      </c>
      <c r="AU192" s="9">
        <v>405</v>
      </c>
      <c r="AV192" s="9" t="str">
        <f>IFERROR(MID(VLOOKUP($B192,Seqs!$A:$B,2,0),AW192,1),"")</f>
        <v>N</v>
      </c>
      <c r="AW192" s="9">
        <v>406</v>
      </c>
      <c r="AX192" s="9" t="str">
        <f>IFERROR(MID(VLOOKUP($B192,Seqs!$A:$B,2,0),AY192,1),"")</f>
        <v>L</v>
      </c>
      <c r="AY192" s="9">
        <v>422</v>
      </c>
      <c r="AZ192" s="113" t="str">
        <f>VLOOKUP(B192,Classification!A:D,2,0)</f>
        <v>B1</v>
      </c>
      <c r="BA192" s="101" t="str">
        <f>VLOOKUP(B192,Classification!A:D,4,0)</f>
        <v>Glucagonreceptorfamily</v>
      </c>
      <c r="BB192" s="37" t="b">
        <f t="shared" ref="BB192" si="949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12">
        <f t="shared" ref="BC192" si="950">_xlfn.AGGREGATE(9,6,CG192:CR192)-_xlfn.AGGREGATE(9,6,BU192:CF192)+12</f>
        <v>236</v>
      </c>
      <c r="BD192" s="11" t="s">
        <v>1383</v>
      </c>
      <c r="BE192" s="9" t="s">
        <v>1381</v>
      </c>
      <c r="BF192" s="52" t="s">
        <v>1287</v>
      </c>
      <c r="BG192" s="52" t="s">
        <v>1287</v>
      </c>
      <c r="BI192" s="114" t="s">
        <v>1293</v>
      </c>
      <c r="BJ192" s="115" t="s">
        <v>1293</v>
      </c>
      <c r="BK192" s="115" t="s">
        <v>1293</v>
      </c>
      <c r="BL192" s="115" t="s">
        <v>1293</v>
      </c>
      <c r="BM192" s="115" t="s">
        <v>1293</v>
      </c>
      <c r="BN192" s="115" t="s">
        <v>1293</v>
      </c>
      <c r="BO192" s="115" t="s">
        <v>1293</v>
      </c>
      <c r="BP192" s="115" t="s">
        <v>1293</v>
      </c>
      <c r="BQ192" s="115" t="s">
        <v>1293</v>
      </c>
      <c r="BR192" s="115" t="s">
        <v>1293</v>
      </c>
      <c r="BS192" s="115" t="s">
        <v>1293</v>
      </c>
      <c r="BT192" s="115" t="s">
        <v>1293</v>
      </c>
      <c r="BU192" s="114">
        <f t="shared" ref="BU192" si="951">E192</f>
        <v>136</v>
      </c>
      <c r="BV192" s="116">
        <f t="shared" ref="BV192" si="952">I192</f>
        <v>170</v>
      </c>
      <c r="BW192" s="117">
        <f t="shared" ref="BW192" si="953">M192</f>
        <v>174</v>
      </c>
      <c r="BX192" s="116" t="str">
        <f t="shared" ref="BX192" si="954">Q192</f>
        <v>-</v>
      </c>
      <c r="BY192" s="117">
        <f t="shared" ref="BY192" si="955">U192</f>
        <v>224</v>
      </c>
      <c r="BZ192" s="116" t="str">
        <f t="shared" ref="BZ192" si="956">Y192</f>
        <v>-</v>
      </c>
      <c r="CA192" s="117">
        <f t="shared" ref="CA192" si="957">AC192</f>
        <v>262</v>
      </c>
      <c r="CB192" s="116">
        <f t="shared" ref="CB192" si="958">AG192</f>
        <v>296</v>
      </c>
      <c r="CC192" s="117">
        <f t="shared" ref="CC192" si="959">AK192</f>
        <v>305</v>
      </c>
      <c r="CD192" s="116">
        <f t="shared" ref="CD192" si="960">AO192</f>
        <v>344</v>
      </c>
      <c r="CE192" s="117">
        <f t="shared" ref="CE192" si="961">AS192</f>
        <v>380</v>
      </c>
      <c r="CF192" s="116">
        <f t="shared" ref="CF192" si="962">AW192</f>
        <v>406</v>
      </c>
      <c r="CG192" s="114">
        <f t="shared" ref="CG192" si="963">G192</f>
        <v>169</v>
      </c>
      <c r="CH192" s="116">
        <f t="shared" ref="CH192" si="964">K192</f>
        <v>173</v>
      </c>
      <c r="CI192" s="117">
        <f t="shared" ref="CI192" si="965">O192</f>
        <v>201</v>
      </c>
      <c r="CJ192" s="117" t="str">
        <f t="shared" ref="CJ192" si="966">S192</f>
        <v>-</v>
      </c>
      <c r="CK192" s="117">
        <f t="shared" ref="CK192" si="967">W192</f>
        <v>257</v>
      </c>
      <c r="CL192" s="117" t="str">
        <f t="shared" ref="CL192" si="968">AA192</f>
        <v>-</v>
      </c>
      <c r="CM192" s="117">
        <f t="shared" ref="CM192" si="969">AE192</f>
        <v>292</v>
      </c>
      <c r="CN192" s="117">
        <f t="shared" ref="CN192" si="970">AI192</f>
        <v>298</v>
      </c>
      <c r="CO192" s="117">
        <f t="shared" ref="CO192" si="971">AM192</f>
        <v>337</v>
      </c>
      <c r="CP192" s="117">
        <f t="shared" ref="CP192" si="972">AQ192</f>
        <v>367</v>
      </c>
      <c r="CQ192" s="117">
        <f t="shared" ref="CQ192" si="973">AU192</f>
        <v>405</v>
      </c>
      <c r="CR192" s="117">
        <f t="shared" ref="CR192" si="974">AY192</f>
        <v>422</v>
      </c>
      <c r="CS192" s="112">
        <f t="shared" ref="CS192" si="975">M192-K192</f>
        <v>1</v>
      </c>
    </row>
    <row r="193" spans="1:1029" s="12" customFormat="1" x14ac:dyDescent="0.2">
      <c r="A193" s="9" t="str">
        <f t="shared" si="920"/>
        <v>glp1r_human_5VEX</v>
      </c>
      <c r="B193" s="9" t="s">
        <v>406</v>
      </c>
      <c r="C193" s="9" t="s">
        <v>1415</v>
      </c>
      <c r="D193" s="9" t="str">
        <f>IFERROR(MID(VLOOKUP($B193,Seqs!$A:$B,2,0),E193,1),"")</f>
        <v>S</v>
      </c>
      <c r="E193" s="9">
        <v>136</v>
      </c>
      <c r="F193" s="9" t="str">
        <f>IFERROR(MID(VLOOKUP($B193,Seqs!$A:$B,2,0),G193,1),"")</f>
        <v>F</v>
      </c>
      <c r="G193" s="9">
        <v>169</v>
      </c>
      <c r="H193" s="9" t="str">
        <f>IFERROR(MID(VLOOKUP($B193,Seqs!$A:$B,2,0),I193,1),"")</f>
        <v>R</v>
      </c>
      <c r="I193" s="112">
        <v>170</v>
      </c>
      <c r="J193" s="9" t="str">
        <f>IFERROR(MID(VLOOKUP($B193,Seqs!$A:$B,2,0),K193,1),"")</f>
        <v>H</v>
      </c>
      <c r="K193" s="112">
        <v>173</v>
      </c>
      <c r="L193" s="9" t="str">
        <f>IFERROR(MID(VLOOKUP($B193,Seqs!$A:$B,2,0),M193,1),"")</f>
        <v>C</v>
      </c>
      <c r="M193" s="112">
        <v>174</v>
      </c>
      <c r="N193" s="9" t="str">
        <f>IFERROR(MID(VLOOKUP($B193,Seqs!$A:$B,2,0),O193,1),"")</f>
        <v>L</v>
      </c>
      <c r="O193" s="9">
        <v>201</v>
      </c>
      <c r="P193" s="9" t="str">
        <f>IFERROR(MID(VLOOKUP($B193,Seqs!$A:$B,2,0),Q193,1),"")</f>
        <v/>
      </c>
      <c r="Q193" s="9" t="s">
        <v>23</v>
      </c>
      <c r="R193" s="9" t="str">
        <f>IFERROR(MID(VLOOKUP($B193,Seqs!$A:$B,2,0),S193,1),"")</f>
        <v/>
      </c>
      <c r="S193" s="9" t="s">
        <v>23</v>
      </c>
      <c r="T193" s="9" t="str">
        <f>IFERROR(MID(VLOOKUP($B193,Seqs!$A:$B,2,0),U193,1),"")</f>
        <v>L</v>
      </c>
      <c r="U193" s="9">
        <v>224</v>
      </c>
      <c r="V193" s="9" t="str">
        <f>IFERROR(MID(VLOOKUP($B193,Seqs!$A:$B,2,0),W193,1),"")</f>
        <v>F</v>
      </c>
      <c r="W193" s="9">
        <v>257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E</v>
      </c>
      <c r="AC193" s="9">
        <v>262</v>
      </c>
      <c r="AD193" s="9" t="str">
        <f>IFERROR(MID(VLOOKUP($B193,Seqs!$A:$B,2,0),AE193,1),"")</f>
        <v>E</v>
      </c>
      <c r="AE193" s="9">
        <v>292</v>
      </c>
      <c r="AF193" s="9" t="str">
        <f>IFERROR(MID(VLOOKUP($B193,Seqs!$A:$B,2,0),AG193,1),"")</f>
        <v>C</v>
      </c>
      <c r="AG193" s="9">
        <v>296</v>
      </c>
      <c r="AH193" s="9" t="str">
        <f>IFERROR(MID(VLOOKUP($B193,Seqs!$A:$B,2,0),AI193,1),"")</f>
        <v>T</v>
      </c>
      <c r="AI193" s="9">
        <v>298</v>
      </c>
      <c r="AJ193" s="9" t="str">
        <f>IFERROR(MID(VLOOKUP($B193,Seqs!$A:$B,2,0),AK193,1),"")</f>
        <v>Y</v>
      </c>
      <c r="AK193" s="9">
        <v>305</v>
      </c>
      <c r="AL193" s="9" t="str">
        <f>IFERROR(MID(VLOOKUP($B193,Seqs!$A:$B,2,0),AM193,1),"")</f>
        <v>A</v>
      </c>
      <c r="AM193" s="9">
        <v>337</v>
      </c>
      <c r="AN193" s="9" t="str">
        <f>IFERROR(MID(VLOOKUP($B193,Seqs!$A:$B,2,0),AO193,1),"")</f>
        <v>D</v>
      </c>
      <c r="AO193" s="9">
        <v>344</v>
      </c>
      <c r="AP193" s="9" t="str">
        <f>IFERROR(MID(VLOOKUP($B193,Seqs!$A:$B,2,0),AQ193,1),"")</f>
        <v>F</v>
      </c>
      <c r="AQ193" s="9">
        <v>367</v>
      </c>
      <c r="AR193" s="9" t="str">
        <f>IFERROR(MID(VLOOKUP($B193,Seqs!$A:$B,2,0),AS193,1),"")</f>
        <v>R</v>
      </c>
      <c r="AS193" s="9">
        <v>380</v>
      </c>
      <c r="AT193" s="9" t="str">
        <f>IFERROR(MID(VLOOKUP($B193,Seqs!$A:$B,2,0),AU193,1),"")</f>
        <v>V</v>
      </c>
      <c r="AU193" s="9">
        <v>405</v>
      </c>
      <c r="AV193" s="9" t="str">
        <f>IFERROR(MID(VLOOKUP($B193,Seqs!$A:$B,2,0),AW193,1),"")</f>
        <v>N</v>
      </c>
      <c r="AW193" s="9">
        <v>406</v>
      </c>
      <c r="AX193" s="9" t="str">
        <f>IFERROR(MID(VLOOKUP($B193,Seqs!$A:$B,2,0),AY193,1),"")</f>
        <v>L</v>
      </c>
      <c r="AY193" s="9">
        <v>422</v>
      </c>
      <c r="AZ193" s="113" t="str">
        <f>VLOOKUP(B193,Classification!A:D,2,0)</f>
        <v>B1</v>
      </c>
      <c r="BA193" s="101" t="str">
        <f>VLOOKUP(B193,Classification!A:D,4,0)</f>
        <v>Glucagonreceptorfamily</v>
      </c>
      <c r="BB193" s="37" t="b">
        <f t="shared" si="921"/>
        <v>1</v>
      </c>
      <c r="BC193" s="112">
        <f t="shared" si="922"/>
        <v>236</v>
      </c>
      <c r="BD193" s="11" t="s">
        <v>23</v>
      </c>
      <c r="BE193" s="9" t="s">
        <v>1381</v>
      </c>
      <c r="BF193" s="52" t="s">
        <v>1</v>
      </c>
      <c r="BG193" s="52" t="s">
        <v>1</v>
      </c>
      <c r="BI193" s="114" t="s">
        <v>1293</v>
      </c>
      <c r="BJ193" s="115" t="s">
        <v>1293</v>
      </c>
      <c r="BK193" s="115" t="s">
        <v>1293</v>
      </c>
      <c r="BL193" s="115" t="s">
        <v>1293</v>
      </c>
      <c r="BM193" s="115" t="s">
        <v>1293</v>
      </c>
      <c r="BN193" s="115" t="s">
        <v>1293</v>
      </c>
      <c r="BO193" s="115" t="s">
        <v>1293</v>
      </c>
      <c r="BP193" s="115" t="s">
        <v>1293</v>
      </c>
      <c r="BQ193" s="115" t="s">
        <v>1293</v>
      </c>
      <c r="BR193" s="115" t="s">
        <v>1293</v>
      </c>
      <c r="BS193" s="115" t="s">
        <v>1293</v>
      </c>
      <c r="BT193" s="115" t="s">
        <v>1293</v>
      </c>
      <c r="BU193" s="114">
        <f t="shared" si="923"/>
        <v>136</v>
      </c>
      <c r="BV193" s="116">
        <f t="shared" si="924"/>
        <v>170</v>
      </c>
      <c r="BW193" s="117">
        <f t="shared" si="925"/>
        <v>174</v>
      </c>
      <c r="BX193" s="116" t="str">
        <f t="shared" si="926"/>
        <v>-</v>
      </c>
      <c r="BY193" s="117">
        <f t="shared" si="927"/>
        <v>224</v>
      </c>
      <c r="BZ193" s="116" t="str">
        <f t="shared" si="928"/>
        <v>-</v>
      </c>
      <c r="CA193" s="117">
        <f t="shared" si="929"/>
        <v>262</v>
      </c>
      <c r="CB193" s="116">
        <f t="shared" si="930"/>
        <v>296</v>
      </c>
      <c r="CC193" s="117">
        <f t="shared" si="931"/>
        <v>305</v>
      </c>
      <c r="CD193" s="116">
        <f t="shared" si="932"/>
        <v>344</v>
      </c>
      <c r="CE193" s="117">
        <f t="shared" si="933"/>
        <v>380</v>
      </c>
      <c r="CF193" s="116">
        <f t="shared" si="934"/>
        <v>406</v>
      </c>
      <c r="CG193" s="114">
        <f t="shared" si="935"/>
        <v>169</v>
      </c>
      <c r="CH193" s="116">
        <f t="shared" si="936"/>
        <v>173</v>
      </c>
      <c r="CI193" s="117">
        <f t="shared" si="937"/>
        <v>201</v>
      </c>
      <c r="CJ193" s="117" t="str">
        <f t="shared" si="938"/>
        <v>-</v>
      </c>
      <c r="CK193" s="117">
        <f t="shared" si="939"/>
        <v>257</v>
      </c>
      <c r="CL193" s="117" t="str">
        <f t="shared" si="940"/>
        <v>-</v>
      </c>
      <c r="CM193" s="117">
        <f t="shared" si="941"/>
        <v>292</v>
      </c>
      <c r="CN193" s="117">
        <f t="shared" si="942"/>
        <v>298</v>
      </c>
      <c r="CO193" s="117">
        <f t="shared" si="943"/>
        <v>337</v>
      </c>
      <c r="CP193" s="117">
        <f t="shared" si="944"/>
        <v>367</v>
      </c>
      <c r="CQ193" s="117">
        <f t="shared" si="945"/>
        <v>405</v>
      </c>
      <c r="CR193" s="117">
        <f t="shared" si="946"/>
        <v>422</v>
      </c>
      <c r="CS193" s="112">
        <f t="shared" si="947"/>
        <v>1</v>
      </c>
    </row>
    <row r="194" spans="1:1029" s="12" customFormat="1" x14ac:dyDescent="0.2">
      <c r="A194" s="9" t="str">
        <f t="shared" ref="A194" si="976">CONCATENATE(B194,"_",C194)</f>
        <v>glp1r_human_5NX2</v>
      </c>
      <c r="B194" s="9" t="s">
        <v>406</v>
      </c>
      <c r="C194" s="9" t="s">
        <v>1428</v>
      </c>
      <c r="D194" s="9" t="str">
        <f>IFERROR(MID(VLOOKUP($B194,Seqs!$A:$B,2,0),E194,1),"")</f>
        <v>E</v>
      </c>
      <c r="E194" s="9">
        <v>138</v>
      </c>
      <c r="F194" s="9" t="str">
        <f>IFERROR(MID(VLOOKUP($B194,Seqs!$A:$B,2,0),G194,1),"")</f>
        <v>F</v>
      </c>
      <c r="G194" s="9">
        <v>169</v>
      </c>
      <c r="H194" s="9" t="str">
        <f>IFERROR(MID(VLOOKUP($B194,Seqs!$A:$B,2,0),I194,1),"")</f>
        <v>R</v>
      </c>
      <c r="I194" s="112">
        <v>170</v>
      </c>
      <c r="J194" s="9" t="str">
        <f>IFERROR(MID(VLOOKUP($B194,Seqs!$A:$B,2,0),K194,1),"")</f>
        <v>H</v>
      </c>
      <c r="K194" s="112">
        <v>173</v>
      </c>
      <c r="L194" s="9" t="str">
        <f>IFERROR(MID(VLOOKUP($B194,Seqs!$A:$B,2,0),M194,1),"")</f>
        <v>C</v>
      </c>
      <c r="M194" s="112">
        <v>174</v>
      </c>
      <c r="N194" s="9" t="str">
        <f>IFERROR(MID(VLOOKUP($B194,Seqs!$A:$B,2,0),O194,1),"")</f>
        <v>S</v>
      </c>
      <c r="O194" s="9">
        <v>206</v>
      </c>
      <c r="P194" s="9" t="str">
        <f>IFERROR(MID(VLOOKUP($B194,Seqs!$A:$B,2,0),Q194,1),"")</f>
        <v/>
      </c>
      <c r="Q194" s="9" t="s">
        <v>23</v>
      </c>
      <c r="R194" s="9" t="str">
        <f>IFERROR(MID(VLOOKUP($B194,Seqs!$A:$B,2,0),S194,1),"")</f>
        <v/>
      </c>
      <c r="S194" s="9" t="s">
        <v>23</v>
      </c>
      <c r="T194" s="9" t="str">
        <f>IFERROR(MID(VLOOKUP($B194,Seqs!$A:$B,2,0),U194,1),"")</f>
        <v>L</v>
      </c>
      <c r="U194" s="9">
        <v>224</v>
      </c>
      <c r="V194" s="9" t="str">
        <f>IFERROR(MID(VLOOKUP($B194,Seqs!$A:$B,2,0),W194,1),"")</f>
        <v>F</v>
      </c>
      <c r="W194" s="9">
        <v>257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E</v>
      </c>
      <c r="AC194" s="9">
        <v>262</v>
      </c>
      <c r="AD194" s="9" t="str">
        <f>IFERROR(MID(VLOOKUP($B194,Seqs!$A:$B,2,0),AE194,1),"")</f>
        <v>Y</v>
      </c>
      <c r="AE194" s="9">
        <v>291</v>
      </c>
      <c r="AF194" s="9" t="str">
        <f>IFERROR(MID(VLOOKUP($B194,Seqs!$A:$B,2,0),AG194,1),"")</f>
        <v>C</v>
      </c>
      <c r="AG194" s="9">
        <v>296</v>
      </c>
      <c r="AH194" s="9" t="str">
        <f>IFERROR(MID(VLOOKUP($B194,Seqs!$A:$B,2,0),AI194,1),"")</f>
        <v>T</v>
      </c>
      <c r="AI194" s="9">
        <v>298</v>
      </c>
      <c r="AJ194" s="9" t="str">
        <f>IFERROR(MID(VLOOKUP($B194,Seqs!$A:$B,2,0),AK194,1),"")</f>
        <v>N</v>
      </c>
      <c r="AK194" s="9">
        <v>302</v>
      </c>
      <c r="AL194" s="9" t="str">
        <f>IFERROR(MID(VLOOKUP($B194,Seqs!$A:$B,2,0),AM194,1),"")</f>
        <v>L</v>
      </c>
      <c r="AM194" s="9">
        <v>335</v>
      </c>
      <c r="AN194" s="9" t="str">
        <f>IFERROR(MID(VLOOKUP($B194,Seqs!$A:$B,2,0),AO194,1),"")</f>
        <v>M</v>
      </c>
      <c r="AO194" s="9">
        <v>340</v>
      </c>
      <c r="AP194" s="9" t="str">
        <f>IFERROR(MID(VLOOKUP($B194,Seqs!$A:$B,2,0),AQ194,1),"")</f>
        <v>H</v>
      </c>
      <c r="AQ194" s="9">
        <v>374</v>
      </c>
      <c r="AR194" s="9" t="str">
        <f>IFERROR(MID(VLOOKUP($B194,Seqs!$A:$B,2,0),AS194,1),"")</f>
        <v>G</v>
      </c>
      <c r="AS194" s="9">
        <v>377</v>
      </c>
      <c r="AT194" s="9" t="str">
        <f>IFERROR(MID(VLOOKUP($B194,Seqs!$A:$B,2,0),AU194,1),"")</f>
        <v>V</v>
      </c>
      <c r="AU194" s="9">
        <v>405</v>
      </c>
      <c r="AV194" s="9" t="str">
        <f>IFERROR(MID(VLOOKUP($B194,Seqs!$A:$B,2,0),AW194,1),"")</f>
        <v>N</v>
      </c>
      <c r="AW194" s="9">
        <v>406</v>
      </c>
      <c r="AX194" s="9" t="str">
        <f>IFERROR(MID(VLOOKUP($B194,Seqs!$A:$B,2,0),AY194,1),"")</f>
        <v>S</v>
      </c>
      <c r="AY194" s="9">
        <v>416</v>
      </c>
      <c r="AZ194" s="113" t="str">
        <f>VLOOKUP(B194,Classification!A:D,2,0)</f>
        <v>B1</v>
      </c>
      <c r="BA194" s="101" t="str">
        <f>VLOOKUP(B194,Classification!A:D,4,0)</f>
        <v>Glucagonreceptorfamily</v>
      </c>
      <c r="BB194" s="37" t="b">
        <f t="shared" ref="BB194" si="977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12">
        <f t="shared" ref="BC194" si="978">_xlfn.AGGREGATE(9,6,CG194:CR194)-_xlfn.AGGREGATE(9,6,BU194:CF194)+12</f>
        <v>247</v>
      </c>
      <c r="BD194" s="11" t="s">
        <v>1382</v>
      </c>
      <c r="BE194" s="9" t="s">
        <v>1297</v>
      </c>
      <c r="BF194" s="52" t="s">
        <v>1</v>
      </c>
      <c r="BG194" s="52" t="s">
        <v>1</v>
      </c>
      <c r="BI194" s="114" t="s">
        <v>1293</v>
      </c>
      <c r="BJ194" s="115" t="s">
        <v>1293</v>
      </c>
      <c r="BK194" s="115" t="s">
        <v>1293</v>
      </c>
      <c r="BL194" s="115" t="s">
        <v>1293</v>
      </c>
      <c r="BM194" s="115" t="s">
        <v>1293</v>
      </c>
      <c r="BN194" s="115" t="s">
        <v>1293</v>
      </c>
      <c r="BO194" s="115" t="s">
        <v>1293</v>
      </c>
      <c r="BP194" s="115" t="s">
        <v>1293</v>
      </c>
      <c r="BQ194" s="115" t="s">
        <v>1293</v>
      </c>
      <c r="BR194" s="115" t="s">
        <v>1293</v>
      </c>
      <c r="BS194" s="115" t="s">
        <v>1293</v>
      </c>
      <c r="BT194" s="115" t="s">
        <v>1293</v>
      </c>
      <c r="BU194" s="114">
        <f t="shared" ref="BU194" si="979">E194</f>
        <v>138</v>
      </c>
      <c r="BV194" s="116">
        <f t="shared" ref="BV194" si="980">I194</f>
        <v>170</v>
      </c>
      <c r="BW194" s="117">
        <f t="shared" ref="BW194" si="981">M194</f>
        <v>174</v>
      </c>
      <c r="BX194" s="116" t="str">
        <f t="shared" ref="BX194" si="982">Q194</f>
        <v>-</v>
      </c>
      <c r="BY194" s="117">
        <f t="shared" ref="BY194" si="983">U194</f>
        <v>224</v>
      </c>
      <c r="BZ194" s="116" t="str">
        <f t="shared" ref="BZ194" si="984">Y194</f>
        <v>-</v>
      </c>
      <c r="CA194" s="117">
        <f t="shared" ref="CA194" si="985">AC194</f>
        <v>262</v>
      </c>
      <c r="CB194" s="116">
        <f t="shared" ref="CB194" si="986">AG194</f>
        <v>296</v>
      </c>
      <c r="CC194" s="117">
        <f t="shared" ref="CC194" si="987">AK194</f>
        <v>302</v>
      </c>
      <c r="CD194" s="116">
        <f t="shared" ref="CD194" si="988">AO194</f>
        <v>340</v>
      </c>
      <c r="CE194" s="117">
        <f t="shared" ref="CE194" si="989">AS194</f>
        <v>377</v>
      </c>
      <c r="CF194" s="116">
        <f t="shared" ref="CF194" si="990">AW194</f>
        <v>406</v>
      </c>
      <c r="CG194" s="114">
        <f t="shared" ref="CG194" si="991">G194</f>
        <v>169</v>
      </c>
      <c r="CH194" s="116">
        <f t="shared" ref="CH194" si="992">K194</f>
        <v>173</v>
      </c>
      <c r="CI194" s="117">
        <f t="shared" ref="CI194" si="993">O194</f>
        <v>206</v>
      </c>
      <c r="CJ194" s="117" t="str">
        <f t="shared" ref="CJ194" si="994">S194</f>
        <v>-</v>
      </c>
      <c r="CK194" s="117">
        <f t="shared" ref="CK194" si="995">W194</f>
        <v>257</v>
      </c>
      <c r="CL194" s="117" t="str">
        <f t="shared" ref="CL194" si="996">AA194</f>
        <v>-</v>
      </c>
      <c r="CM194" s="117">
        <f t="shared" ref="CM194" si="997">AE194</f>
        <v>291</v>
      </c>
      <c r="CN194" s="117">
        <f t="shared" ref="CN194" si="998">AI194</f>
        <v>298</v>
      </c>
      <c r="CO194" s="117">
        <f t="shared" ref="CO194" si="999">AM194</f>
        <v>335</v>
      </c>
      <c r="CP194" s="117">
        <f t="shared" ref="CP194" si="1000">AQ194</f>
        <v>374</v>
      </c>
      <c r="CQ194" s="117">
        <f t="shared" ref="CQ194" si="1001">AU194</f>
        <v>405</v>
      </c>
      <c r="CR194" s="117">
        <f t="shared" ref="CR194" si="1002">AY194</f>
        <v>416</v>
      </c>
      <c r="CS194" s="112">
        <f t="shared" ref="CS194" si="1003">M194-K194</f>
        <v>1</v>
      </c>
    </row>
    <row r="195" spans="1:1029" s="12" customFormat="1" x14ac:dyDescent="0.2">
      <c r="A195" s="9" t="str">
        <f t="shared" ref="A195:A196" si="1004">CONCATENATE(B195,"_",C195)</f>
        <v>g1sgd4_rabit__wt</v>
      </c>
      <c r="B195" s="9" t="s">
        <v>1430</v>
      </c>
      <c r="C195" s="9" t="s">
        <v>100</v>
      </c>
      <c r="D195" s="9" t="str">
        <f>IFERROR(MID(VLOOKUP($B195,Seqs!$A:$B,2,0),E195,1),"")</f>
        <v>P</v>
      </c>
      <c r="E195" s="9">
        <v>137</v>
      </c>
      <c r="F195" s="9" t="str">
        <f>IFERROR(MID(VLOOKUP($B195,Seqs!$A:$B,2,0),G195,1),"")</f>
        <v>F</v>
      </c>
      <c r="G195" s="9">
        <v>169</v>
      </c>
      <c r="H195" s="9" t="str">
        <f>IFERROR(MID(VLOOKUP($B195,Seqs!$A:$B,2,0),I195,1),"")</f>
        <v>R</v>
      </c>
      <c r="I195" s="112">
        <v>170</v>
      </c>
      <c r="J195" s="9" t="str">
        <f>IFERROR(MID(VLOOKUP($B195,Seqs!$A:$B,2,0),K195,1),"")</f>
        <v>H</v>
      </c>
      <c r="K195" s="112">
        <v>173</v>
      </c>
      <c r="L195" s="9" t="str">
        <f>IFERROR(MID(VLOOKUP($B195,Seqs!$A:$B,2,0),M195,1),"")</f>
        <v>C</v>
      </c>
      <c r="M195" s="112">
        <v>174</v>
      </c>
      <c r="N195" s="9" t="str">
        <f>IFERROR(MID(VLOOKUP($B195,Seqs!$A:$B,2,0),O195,1),"")</f>
        <v>Q</v>
      </c>
      <c r="O195" s="9">
        <v>211</v>
      </c>
      <c r="P195" s="9" t="str">
        <f>IFERROR(MID(VLOOKUP($B195,Seqs!$A:$B,2,0),Q195,1),"")</f>
        <v/>
      </c>
      <c r="Q195" s="9" t="s">
        <v>23</v>
      </c>
      <c r="R195" s="9" t="str">
        <f>IFERROR(MID(VLOOKUP($B195,Seqs!$A:$B,2,0),S195,1),"")</f>
        <v/>
      </c>
      <c r="S195" s="9" t="s">
        <v>23</v>
      </c>
      <c r="T195" s="9" t="str">
        <f>IFERROR(MID(VLOOKUP($B195,Seqs!$A:$B,2,0),U195,1),"")</f>
        <v>L</v>
      </c>
      <c r="U195" s="9">
        <v>224</v>
      </c>
      <c r="V195" s="9" t="str">
        <f>IFERROR(MID(VLOOKUP($B195,Seqs!$A:$B,2,0),W195,1),"")</f>
        <v>F</v>
      </c>
      <c r="W195" s="9">
        <v>257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261</v>
      </c>
      <c r="AD195" s="9" t="str">
        <f>IFERROR(MID(VLOOKUP($B195,Seqs!$A:$B,2,0),AE195,1),"")</f>
        <v>E</v>
      </c>
      <c r="AE195" s="9">
        <v>292</v>
      </c>
      <c r="AF195" s="9" t="str">
        <f>IFERROR(MID(VLOOKUP($B195,Seqs!$A:$B,2,0),AG195,1),"")</f>
        <v>C</v>
      </c>
      <c r="AG195" s="9">
        <v>296</v>
      </c>
      <c r="AH195" s="9" t="str">
        <f>IFERROR(MID(VLOOKUP($B195,Seqs!$A:$B,2,0),AI195,1),"")</f>
        <v>T</v>
      </c>
      <c r="AI195" s="9">
        <v>298</v>
      </c>
      <c r="AJ195" s="9" t="str">
        <f>IFERROR(MID(VLOOKUP($B195,Seqs!$A:$B,2,0),AK195,1),"")</f>
        <v>Y</v>
      </c>
      <c r="AK195" s="9">
        <v>305</v>
      </c>
      <c r="AL195" s="9" t="str">
        <f>IFERROR(MID(VLOOKUP($B195,Seqs!$A:$B,2,0),AM195,1),"")</f>
        <v>A</v>
      </c>
      <c r="AM195" s="9">
        <v>337</v>
      </c>
      <c r="AN195" s="9" t="str">
        <f>IFERROR(MID(VLOOKUP($B195,Seqs!$A:$B,2,0),AO195,1),"")</f>
        <v>K</v>
      </c>
      <c r="AO195" s="9">
        <v>346</v>
      </c>
      <c r="AP195" s="9" t="str">
        <f>IFERROR(MID(VLOOKUP($B195,Seqs!$A:$B,2,0),AQ195,1),"")</f>
        <v>F</v>
      </c>
      <c r="AQ195" s="9">
        <v>369</v>
      </c>
      <c r="AR195" s="9" t="str">
        <f>IFERROR(MID(VLOOKUP($B195,Seqs!$A:$B,2,0),AS195,1),"")</f>
        <v>L</v>
      </c>
      <c r="AS195" s="9">
        <v>379</v>
      </c>
      <c r="AT195" s="9" t="str">
        <f>IFERROR(MID(VLOOKUP($B195,Seqs!$A:$B,2,0),AU195,1),"")</f>
        <v>V</v>
      </c>
      <c r="AU195" s="9">
        <v>405</v>
      </c>
      <c r="AV195" s="9" t="str">
        <f>IFERROR(MID(VLOOKUP($B195,Seqs!$A:$B,2,0),AW195,1),"")</f>
        <v>N</v>
      </c>
      <c r="AW195" s="9">
        <v>406</v>
      </c>
      <c r="AX195" s="9" t="str">
        <f>IFERROR(MID(VLOOKUP($B195,Seqs!$A:$B,2,0),AY195,1),"")</f>
        <v>S</v>
      </c>
      <c r="AY195" s="9">
        <v>431</v>
      </c>
      <c r="AZ195" s="113" t="str">
        <f>VLOOKUP(B195,Classification!A:D,2,0)</f>
        <v>B1</v>
      </c>
      <c r="BA195" s="101" t="str">
        <f>VLOOKUP(B195,Classification!A:D,4,0)</f>
        <v>Glucagonreceptorfamily</v>
      </c>
      <c r="BB195" s="37" t="b">
        <f t="shared" ref="BB195:BB196" si="1005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12">
        <f t="shared" ref="BC195:BC196" si="1006">_xlfn.AGGREGATE(9,6,CG195:CR195)-_xlfn.AGGREGATE(9,6,BU195:CF195)+12</f>
        <v>256</v>
      </c>
      <c r="BD195" s="11" t="s">
        <v>23</v>
      </c>
      <c r="BE195" s="9" t="s">
        <v>1297</v>
      </c>
      <c r="BF195" s="52"/>
      <c r="BG195" s="52"/>
      <c r="BI195" s="114" t="s">
        <v>1293</v>
      </c>
      <c r="BJ195" s="115" t="s">
        <v>1293</v>
      </c>
      <c r="BK195" s="115" t="s">
        <v>1293</v>
      </c>
      <c r="BL195" s="115" t="s">
        <v>1293</v>
      </c>
      <c r="BM195" s="115" t="s">
        <v>1293</v>
      </c>
      <c r="BN195" s="115" t="s">
        <v>1293</v>
      </c>
      <c r="BO195" s="115" t="s">
        <v>1293</v>
      </c>
      <c r="BP195" s="115" t="s">
        <v>1293</v>
      </c>
      <c r="BQ195" s="115" t="s">
        <v>1293</v>
      </c>
      <c r="BR195" s="115" t="s">
        <v>1293</v>
      </c>
      <c r="BS195" s="115" t="s">
        <v>1293</v>
      </c>
      <c r="BT195" s="115" t="s">
        <v>1293</v>
      </c>
      <c r="BU195" s="114">
        <f t="shared" ref="BU195:BU196" si="1007">E195</f>
        <v>137</v>
      </c>
      <c r="BV195" s="116">
        <f t="shared" ref="BV195:BV196" si="1008">I195</f>
        <v>170</v>
      </c>
      <c r="BW195" s="117">
        <f t="shared" ref="BW195:BW196" si="1009">M195</f>
        <v>174</v>
      </c>
      <c r="BX195" s="116" t="str">
        <f t="shared" ref="BX195:BX196" si="1010">Q195</f>
        <v>-</v>
      </c>
      <c r="BY195" s="117">
        <f t="shared" ref="BY195:BY196" si="1011">U195</f>
        <v>224</v>
      </c>
      <c r="BZ195" s="116" t="str">
        <f t="shared" ref="BZ195:BZ196" si="1012">Y195</f>
        <v>-</v>
      </c>
      <c r="CA195" s="117">
        <f t="shared" ref="CA195:CA196" si="1013">AC195</f>
        <v>261</v>
      </c>
      <c r="CB195" s="116">
        <f t="shared" ref="CB195:CB196" si="1014">AG195</f>
        <v>296</v>
      </c>
      <c r="CC195" s="117">
        <f t="shared" ref="CC195:CC196" si="1015">AK195</f>
        <v>305</v>
      </c>
      <c r="CD195" s="116">
        <f t="shared" ref="CD195:CD196" si="1016">AO195</f>
        <v>346</v>
      </c>
      <c r="CE195" s="117">
        <f t="shared" ref="CE195:CE196" si="1017">AS195</f>
        <v>379</v>
      </c>
      <c r="CF195" s="116">
        <f t="shared" ref="CF195:CF196" si="1018">AW195</f>
        <v>406</v>
      </c>
      <c r="CG195" s="114">
        <f t="shared" ref="CG195:CG196" si="1019">G195</f>
        <v>169</v>
      </c>
      <c r="CH195" s="116">
        <f t="shared" ref="CH195:CH196" si="1020">K195</f>
        <v>173</v>
      </c>
      <c r="CI195" s="117">
        <f t="shared" ref="CI195:CI196" si="1021">O195</f>
        <v>211</v>
      </c>
      <c r="CJ195" s="117" t="str">
        <f t="shared" ref="CJ195:CJ196" si="1022">S195</f>
        <v>-</v>
      </c>
      <c r="CK195" s="117">
        <f t="shared" ref="CK195:CK196" si="1023">W195</f>
        <v>257</v>
      </c>
      <c r="CL195" s="117" t="str">
        <f t="shared" ref="CL195:CL196" si="1024">AA195</f>
        <v>-</v>
      </c>
      <c r="CM195" s="117">
        <f t="shared" ref="CM195:CM196" si="1025">AE195</f>
        <v>292</v>
      </c>
      <c r="CN195" s="117">
        <f t="shared" ref="CN195:CN196" si="1026">AI195</f>
        <v>298</v>
      </c>
      <c r="CO195" s="117">
        <f t="shared" ref="CO195:CO196" si="1027">AM195</f>
        <v>337</v>
      </c>
      <c r="CP195" s="117">
        <f t="shared" ref="CP195:CP196" si="1028">AQ195</f>
        <v>369</v>
      </c>
      <c r="CQ195" s="117">
        <f t="shared" ref="CQ195:CQ196" si="1029">AU195</f>
        <v>405</v>
      </c>
      <c r="CR195" s="117">
        <f t="shared" ref="CR195:CR196" si="1030">AY195</f>
        <v>431</v>
      </c>
      <c r="CS195" s="112">
        <f t="shared" ref="CS195:CS196" si="1031">M195-K195</f>
        <v>1</v>
      </c>
    </row>
    <row r="196" spans="1:1029" s="12" customFormat="1" x14ac:dyDescent="0.2">
      <c r="A196" s="9" t="str">
        <f t="shared" si="1004"/>
        <v>g1sgd4_rabit_5VAI</v>
      </c>
      <c r="B196" s="9" t="s">
        <v>1430</v>
      </c>
      <c r="C196" s="9" t="s">
        <v>1432</v>
      </c>
      <c r="D196" s="9" t="str">
        <f>IFERROR(MID(VLOOKUP($B196,Seqs!$A:$B,2,0),E196,1),"")</f>
        <v>P</v>
      </c>
      <c r="E196" s="9">
        <v>137</v>
      </c>
      <c r="F196" s="9" t="str">
        <f>IFERROR(MID(VLOOKUP($B196,Seqs!$A:$B,2,0),G196,1),"")</f>
        <v>G</v>
      </c>
      <c r="G196" s="9">
        <v>168</v>
      </c>
      <c r="H196" s="9" t="str">
        <f>IFERROR(MID(VLOOKUP($B196,Seqs!$A:$B,2,0),I196,1),"")</f>
        <v>R</v>
      </c>
      <c r="I196" s="112">
        <v>170</v>
      </c>
      <c r="J196" s="9" t="str">
        <f>IFERROR(MID(VLOOKUP($B196,Seqs!$A:$B,2,0),K196,1),"")</f>
        <v>H</v>
      </c>
      <c r="K196" s="112">
        <v>173</v>
      </c>
      <c r="L196" s="9" t="str">
        <f>IFERROR(MID(VLOOKUP($B196,Seqs!$A:$B,2,0),M196,1),"")</f>
        <v>C</v>
      </c>
      <c r="M196" s="112">
        <v>174</v>
      </c>
      <c r="N196" s="9" t="str">
        <f>IFERROR(MID(VLOOKUP($B196,Seqs!$A:$B,2,0),O196,1),"")</f>
        <v>Q</v>
      </c>
      <c r="O196" s="9">
        <v>211</v>
      </c>
      <c r="P196" s="9" t="str">
        <f>IFERROR(MID(VLOOKUP($B196,Seqs!$A:$B,2,0),Q196,1),"")</f>
        <v/>
      </c>
      <c r="Q196" s="9" t="s">
        <v>23</v>
      </c>
      <c r="R196" s="9" t="str">
        <f>IFERROR(MID(VLOOKUP($B196,Seqs!$A:$B,2,0),S196,1),"")</f>
        <v/>
      </c>
      <c r="S196" s="9" t="s">
        <v>23</v>
      </c>
      <c r="T196" s="9" t="str">
        <f>IFERROR(MID(VLOOKUP($B196,Seqs!$A:$B,2,0),U196,1),"")</f>
        <v>L</v>
      </c>
      <c r="U196" s="9">
        <v>224</v>
      </c>
      <c r="V196" s="9" t="str">
        <f>IFERROR(MID(VLOOKUP($B196,Seqs!$A:$B,2,0),W196,1),"")</f>
        <v>F</v>
      </c>
      <c r="W196" s="9">
        <v>257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S</v>
      </c>
      <c r="AC196" s="9">
        <v>261</v>
      </c>
      <c r="AD196" s="9" t="str">
        <f>IFERROR(MID(VLOOKUP($B196,Seqs!$A:$B,2,0),AE196,1),"")</f>
        <v>E</v>
      </c>
      <c r="AE196" s="9">
        <v>292</v>
      </c>
      <c r="AF196" s="9" t="str">
        <f>IFERROR(MID(VLOOKUP($B196,Seqs!$A:$B,2,0),AG196,1),"")</f>
        <v>C</v>
      </c>
      <c r="AG196" s="9">
        <v>296</v>
      </c>
      <c r="AH196" s="9" t="str">
        <f>IFERROR(MID(VLOOKUP($B196,Seqs!$A:$B,2,0),AI196,1),"")</f>
        <v>T</v>
      </c>
      <c r="AI196" s="9">
        <v>298</v>
      </c>
      <c r="AJ196" s="9" t="str">
        <f>IFERROR(MID(VLOOKUP($B196,Seqs!$A:$B,2,0),AK196,1),"")</f>
        <v>Y</v>
      </c>
      <c r="AK196" s="9">
        <v>305</v>
      </c>
      <c r="AL196" s="9" t="str">
        <f>IFERROR(MID(VLOOKUP($B196,Seqs!$A:$B,2,0),AM196,1),"")</f>
        <v>A</v>
      </c>
      <c r="AM196" s="9">
        <v>337</v>
      </c>
      <c r="AN196" s="9" t="str">
        <f>IFERROR(MID(VLOOKUP($B196,Seqs!$A:$B,2,0),AO196,1),"")</f>
        <v>K</v>
      </c>
      <c r="AO196" s="9">
        <v>346</v>
      </c>
      <c r="AP196" s="9" t="str">
        <f>IFERROR(MID(VLOOKUP($B196,Seqs!$A:$B,2,0),AQ196,1),"")</f>
        <v>F</v>
      </c>
      <c r="AQ196" s="9">
        <v>369</v>
      </c>
      <c r="AR196" s="9" t="str">
        <f>IFERROR(MID(VLOOKUP($B196,Seqs!$A:$B,2,0),AS196,1),"")</f>
        <v>L</v>
      </c>
      <c r="AS196" s="9">
        <v>379</v>
      </c>
      <c r="AT196" s="9" t="str">
        <f>IFERROR(MID(VLOOKUP($B196,Seqs!$A:$B,2,0),AU196,1),"")</f>
        <v>V</v>
      </c>
      <c r="AU196" s="9">
        <v>405</v>
      </c>
      <c r="AV196" s="9" t="str">
        <f>IFERROR(MID(VLOOKUP($B196,Seqs!$A:$B,2,0),AW196,1),"")</f>
        <v>N</v>
      </c>
      <c r="AW196" s="9">
        <v>406</v>
      </c>
      <c r="AX196" s="9" t="str">
        <f>IFERROR(MID(VLOOKUP($B196,Seqs!$A:$B,2,0),AY196,1),"")</f>
        <v>R</v>
      </c>
      <c r="AY196" s="9">
        <v>421</v>
      </c>
      <c r="AZ196" s="113" t="str">
        <f>VLOOKUP(B196,Classification!A:D,2,0)</f>
        <v>B1</v>
      </c>
      <c r="BA196" s="101" t="str">
        <f>VLOOKUP(B196,Classification!A:D,4,0)</f>
        <v>Glucagonreceptorfamily</v>
      </c>
      <c r="BB196" s="37" t="b">
        <f t="shared" si="1005"/>
        <v>1</v>
      </c>
      <c r="BC196" s="112">
        <f t="shared" si="1006"/>
        <v>245</v>
      </c>
      <c r="BD196" s="11" t="s">
        <v>1382</v>
      </c>
      <c r="BE196" s="9" t="s">
        <v>1297</v>
      </c>
      <c r="BF196" s="52" t="s">
        <v>1433</v>
      </c>
      <c r="BG196" s="52" t="s">
        <v>1433</v>
      </c>
      <c r="BI196" s="114" t="s">
        <v>1293</v>
      </c>
      <c r="BJ196" s="115" t="s">
        <v>1293</v>
      </c>
      <c r="BK196" s="115" t="s">
        <v>1293</v>
      </c>
      <c r="BL196" s="115" t="s">
        <v>1293</v>
      </c>
      <c r="BM196" s="115" t="s">
        <v>1293</v>
      </c>
      <c r="BN196" s="115" t="s">
        <v>1293</v>
      </c>
      <c r="BO196" s="115" t="s">
        <v>1293</v>
      </c>
      <c r="BP196" s="115" t="s">
        <v>1293</v>
      </c>
      <c r="BQ196" s="115" t="s">
        <v>1293</v>
      </c>
      <c r="BR196" s="115" t="s">
        <v>1293</v>
      </c>
      <c r="BS196" s="115" t="s">
        <v>1293</v>
      </c>
      <c r="BT196" s="115" t="s">
        <v>1293</v>
      </c>
      <c r="BU196" s="114">
        <f t="shared" si="1007"/>
        <v>137</v>
      </c>
      <c r="BV196" s="116">
        <f t="shared" si="1008"/>
        <v>170</v>
      </c>
      <c r="BW196" s="117">
        <f t="shared" si="1009"/>
        <v>174</v>
      </c>
      <c r="BX196" s="116" t="str">
        <f t="shared" si="1010"/>
        <v>-</v>
      </c>
      <c r="BY196" s="117">
        <f t="shared" si="1011"/>
        <v>224</v>
      </c>
      <c r="BZ196" s="116" t="str">
        <f t="shared" si="1012"/>
        <v>-</v>
      </c>
      <c r="CA196" s="117">
        <f t="shared" si="1013"/>
        <v>261</v>
      </c>
      <c r="CB196" s="116">
        <f t="shared" si="1014"/>
        <v>296</v>
      </c>
      <c r="CC196" s="117">
        <f t="shared" si="1015"/>
        <v>305</v>
      </c>
      <c r="CD196" s="116">
        <f t="shared" si="1016"/>
        <v>346</v>
      </c>
      <c r="CE196" s="117">
        <f t="shared" si="1017"/>
        <v>379</v>
      </c>
      <c r="CF196" s="116">
        <f t="shared" si="1018"/>
        <v>406</v>
      </c>
      <c r="CG196" s="114">
        <f t="shared" si="1019"/>
        <v>168</v>
      </c>
      <c r="CH196" s="116">
        <f t="shared" si="1020"/>
        <v>173</v>
      </c>
      <c r="CI196" s="117">
        <f t="shared" si="1021"/>
        <v>211</v>
      </c>
      <c r="CJ196" s="117" t="str">
        <f t="shared" si="1022"/>
        <v>-</v>
      </c>
      <c r="CK196" s="117">
        <f t="shared" si="1023"/>
        <v>257</v>
      </c>
      <c r="CL196" s="117" t="str">
        <f t="shared" si="1024"/>
        <v>-</v>
      </c>
      <c r="CM196" s="117">
        <f t="shared" si="1025"/>
        <v>292</v>
      </c>
      <c r="CN196" s="117">
        <f t="shared" si="1026"/>
        <v>298</v>
      </c>
      <c r="CO196" s="117">
        <f t="shared" si="1027"/>
        <v>337</v>
      </c>
      <c r="CP196" s="117">
        <f t="shared" si="1028"/>
        <v>369</v>
      </c>
      <c r="CQ196" s="117">
        <f t="shared" si="1029"/>
        <v>405</v>
      </c>
      <c r="CR196" s="117">
        <f t="shared" si="1030"/>
        <v>421</v>
      </c>
      <c r="CS196" s="112">
        <f t="shared" si="1031"/>
        <v>1</v>
      </c>
    </row>
    <row r="197" spans="1:1029" x14ac:dyDescent="0.2">
      <c r="A197" s="3" t="str">
        <f t="shared" si="862"/>
        <v>grm1_human__wt</v>
      </c>
      <c r="B197" s="3" t="s">
        <v>40</v>
      </c>
      <c r="C197" s="3" t="s">
        <v>100</v>
      </c>
      <c r="D197" s="3" t="str">
        <f>IFERROR(MID(VLOOKUP($B197,Seqs!$A:$B,2,0),E197,1),"")</f>
        <v>I</v>
      </c>
      <c r="E197" s="3">
        <v>591</v>
      </c>
      <c r="F197" s="3" t="str">
        <f>IFERROR(MID(VLOOKUP($B197,Seqs!$A:$B,2,0),G197,1),"")</f>
        <v>Y</v>
      </c>
      <c r="G197" s="3">
        <v>617</v>
      </c>
      <c r="H197" s="3" t="str">
        <f>IFERROR(MID(VLOOKUP($B197,Seqs!$A:$B,2,0),I197,1),"")</f>
        <v>T</v>
      </c>
      <c r="I197" s="23">
        <v>620</v>
      </c>
      <c r="J197" s="3" t="str">
        <f>IFERROR(MID(VLOOKUP($B197,Seqs!$A:$B,2,0),K197,1),"")</f>
        <v>S</v>
      </c>
      <c r="K197" s="23">
        <v>626</v>
      </c>
      <c r="L197" s="3" t="str">
        <f>IFERROR(MID(VLOOKUP($B197,Seqs!$A:$B,2,0),M197,1),"")</f>
        <v>S</v>
      </c>
      <c r="M197" s="3">
        <v>627</v>
      </c>
      <c r="N197" s="3" t="str">
        <f>IFERROR(MID(VLOOKUP($B197,Seqs!$A:$B,2,0),O197,1),"")</f>
        <v>I</v>
      </c>
      <c r="O197" s="3">
        <v>649</v>
      </c>
      <c r="P197" s="3" t="str">
        <f>IFERROR(MID(VLOOKUP($B197,Seqs!$A:$B,2,0),Q197,1),"")</f>
        <v/>
      </c>
      <c r="Q197" s="3" t="s">
        <v>23</v>
      </c>
      <c r="R197" s="3" t="str">
        <f>IFERROR(MID(VLOOKUP($B197,Seqs!$A:$B,2,0),S197,1),"")</f>
        <v/>
      </c>
      <c r="S197" s="3" t="s">
        <v>23</v>
      </c>
      <c r="T197" s="3" t="str">
        <f>IFERROR(MID(VLOOKUP($B197,Seqs!$A:$B,2,0),U197,1),"")</f>
        <v>T</v>
      </c>
      <c r="U197" s="3">
        <v>654</v>
      </c>
      <c r="V197" s="3" t="str">
        <f>IFERROR(MID(VLOOKUP($B197,Seqs!$A:$B,2,0),W197,1),"")</f>
        <v>L</v>
      </c>
      <c r="W197" s="3">
        <v>686</v>
      </c>
      <c r="X197" s="3" t="str">
        <f>IFERROR(MID(VLOOKUP($B197,Seqs!$A:$B,2,0),Y197,1),"")</f>
        <v/>
      </c>
      <c r="Y197" s="3" t="s">
        <v>23</v>
      </c>
      <c r="Z197" s="3" t="str">
        <f>IFERROR(MID(VLOOKUP($B197,Seqs!$A:$B,2,0),AA197,1),"")</f>
        <v/>
      </c>
      <c r="AA197" s="3" t="s">
        <v>23</v>
      </c>
      <c r="AB197" s="3" t="str">
        <f>IFERROR(MID(VLOOKUP($B197,Seqs!$A:$B,2,0),AC197,1),"")</f>
        <v>S</v>
      </c>
      <c r="AC197" s="9">
        <v>702</v>
      </c>
      <c r="AD197" s="3" t="str">
        <f>IFERROR(MID(VLOOKUP($B197,Seqs!$A:$B,2,0),AE197,1),"")</f>
        <v>E</v>
      </c>
      <c r="AE197" s="3">
        <v>728</v>
      </c>
      <c r="AF197" s="3" t="str">
        <f>IFERROR(MID(VLOOKUP($B197,Seqs!$A:$B,2,0),AG197,1),"")</f>
        <v>C</v>
      </c>
      <c r="AG197" s="3">
        <v>746</v>
      </c>
      <c r="AH197" s="3" t="str">
        <f>IFERROR(MID(VLOOKUP($B197,Seqs!$A:$B,2,0),AI197,1),"")</f>
        <v>T</v>
      </c>
      <c r="AI197" s="3">
        <v>748</v>
      </c>
      <c r="AJ197" s="3" t="str">
        <f>IFERROR(MID(VLOOKUP($B197,Seqs!$A:$B,2,0),AK197,1),"")</f>
        <v>N</v>
      </c>
      <c r="AK197" s="3">
        <v>750</v>
      </c>
      <c r="AL197" s="3" t="str">
        <f>IFERROR(MID(VLOOKUP($B197,Seqs!$A:$B,2,0),AM197,1),"")</f>
        <v>T</v>
      </c>
      <c r="AM197" s="3">
        <v>774</v>
      </c>
      <c r="AN197" s="3" t="str">
        <f>IFERROR(MID(VLOOKUP($B197,Seqs!$A:$B,2,0),AO197,1),"")</f>
        <v>E</v>
      </c>
      <c r="AO197" s="3">
        <v>783</v>
      </c>
      <c r="AP197" s="3" t="str">
        <f>IFERROR(MID(VLOOKUP($B197,Seqs!$A:$B,2,0),AQ197,1),"")</f>
        <v>G</v>
      </c>
      <c r="AQ197" s="3">
        <v>807</v>
      </c>
      <c r="AR197" s="3" t="str">
        <f>IFERROR(MID(VLOOKUP($B197,Seqs!$A:$B,2,0),AS197,1),"")</f>
        <v>K</v>
      </c>
      <c r="AS197" s="3">
        <v>811</v>
      </c>
      <c r="AT197" s="3" t="str">
        <f>IFERROR(MID(VLOOKUP($B197,Seqs!$A:$B,2,0),AU197,1),"")</f>
        <v>A</v>
      </c>
      <c r="AU197" s="3">
        <v>840</v>
      </c>
      <c r="AV197" s="3" t="str">
        <f>IFERROR(MID(VLOOKUP($B197,Seqs!$A:$B,2,0),AW197,1),"")</f>
        <v>K</v>
      </c>
      <c r="AW197" s="3">
        <v>841</v>
      </c>
      <c r="AX197" s="3" t="str">
        <f>IFERROR(MID(VLOOKUP($B197,Seqs!$A:$B,2,0),AY197,1),"")</f>
        <v>S</v>
      </c>
      <c r="AY197" s="3">
        <v>853</v>
      </c>
      <c r="AZ197" s="79" t="str">
        <f>VLOOKUP(B197,Classification!A:D,2,0)</f>
        <v>C</v>
      </c>
      <c r="BA197" s="97" t="str">
        <f>VLOOKUP(B197,Classification!A:D,4,0)</f>
        <v>Metabotropicglutamate</v>
      </c>
      <c r="BB197" s="27" t="b">
        <f t="shared" si="863"/>
        <v>1</v>
      </c>
      <c r="BC197" s="23">
        <f t="shared" si="836"/>
        <v>215</v>
      </c>
      <c r="BD197" s="57" t="s">
        <v>1379</v>
      </c>
      <c r="BE197" s="3" t="s">
        <v>1381</v>
      </c>
      <c r="BF197" s="50" t="s">
        <v>1379</v>
      </c>
      <c r="BG197" s="50" t="s">
        <v>1384</v>
      </c>
      <c r="BH197" s="3" t="s">
        <v>1164</v>
      </c>
      <c r="BI197" s="72" t="s">
        <v>1293</v>
      </c>
      <c r="BJ197" s="58" t="s">
        <v>1293</v>
      </c>
      <c r="BK197" s="58" t="s">
        <v>1293</v>
      </c>
      <c r="BL197" s="58" t="s">
        <v>1293</v>
      </c>
      <c r="BM197" s="58" t="s">
        <v>1293</v>
      </c>
      <c r="BN197" s="58" t="s">
        <v>1293</v>
      </c>
      <c r="BO197" s="58" t="s">
        <v>1293</v>
      </c>
      <c r="BP197" s="58" t="s">
        <v>1293</v>
      </c>
      <c r="BQ197" s="58" t="s">
        <v>1293</v>
      </c>
      <c r="BR197" s="58" t="s">
        <v>1293</v>
      </c>
      <c r="BS197" s="58" t="s">
        <v>1293</v>
      </c>
      <c r="BT197" s="58" t="s">
        <v>1293</v>
      </c>
      <c r="BU197" s="72">
        <f t="shared" si="837"/>
        <v>591</v>
      </c>
      <c r="BV197" s="73">
        <f t="shared" si="838"/>
        <v>620</v>
      </c>
      <c r="BW197" s="74">
        <f t="shared" si="839"/>
        <v>627</v>
      </c>
      <c r="BX197" s="73" t="str">
        <f t="shared" si="840"/>
        <v>-</v>
      </c>
      <c r="BY197" s="74">
        <f t="shared" si="841"/>
        <v>654</v>
      </c>
      <c r="BZ197" s="73" t="str">
        <f t="shared" si="842"/>
        <v>-</v>
      </c>
      <c r="CA197" s="74">
        <f t="shared" si="843"/>
        <v>702</v>
      </c>
      <c r="CB197" s="73">
        <f t="shared" si="844"/>
        <v>746</v>
      </c>
      <c r="CC197" s="74">
        <f t="shared" si="845"/>
        <v>750</v>
      </c>
      <c r="CD197" s="73">
        <f t="shared" si="846"/>
        <v>783</v>
      </c>
      <c r="CE197" s="74">
        <f t="shared" si="847"/>
        <v>811</v>
      </c>
      <c r="CF197" s="73">
        <f t="shared" si="848"/>
        <v>841</v>
      </c>
      <c r="CG197" s="72">
        <f t="shared" si="849"/>
        <v>617</v>
      </c>
      <c r="CH197" s="73">
        <f t="shared" si="850"/>
        <v>626</v>
      </c>
      <c r="CI197" s="74">
        <f t="shared" si="851"/>
        <v>649</v>
      </c>
      <c r="CJ197" s="74" t="str">
        <f t="shared" si="852"/>
        <v>-</v>
      </c>
      <c r="CK197" s="74">
        <f t="shared" si="853"/>
        <v>686</v>
      </c>
      <c r="CL197" s="74" t="str">
        <f t="shared" si="854"/>
        <v>-</v>
      </c>
      <c r="CM197" s="74">
        <f t="shared" si="855"/>
        <v>728</v>
      </c>
      <c r="CN197" s="74">
        <f t="shared" si="856"/>
        <v>748</v>
      </c>
      <c r="CO197" s="74">
        <f t="shared" si="857"/>
        <v>774</v>
      </c>
      <c r="CP197" s="74">
        <f t="shared" si="858"/>
        <v>807</v>
      </c>
      <c r="CQ197" s="74">
        <f t="shared" si="859"/>
        <v>840</v>
      </c>
      <c r="CR197" s="74">
        <f t="shared" si="860"/>
        <v>853</v>
      </c>
      <c r="CS197" s="23">
        <f t="shared" si="861"/>
        <v>1</v>
      </c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</row>
    <row r="198" spans="1:1029" x14ac:dyDescent="0.2">
      <c r="A198" s="3" t="str">
        <f t="shared" si="862"/>
        <v>grm1_human_4OR2</v>
      </c>
      <c r="B198" s="3" t="s">
        <v>40</v>
      </c>
      <c r="C198" s="3" t="s">
        <v>96</v>
      </c>
      <c r="D198" s="3" t="str">
        <f>IFERROR(MID(VLOOKUP($B198,Seqs!$A:$B,2,0),E198,1),"")</f>
        <v>I</v>
      </c>
      <c r="E198" s="3">
        <v>591</v>
      </c>
      <c r="F198" s="3" t="str">
        <f>IFERROR(MID(VLOOKUP($B198,Seqs!$A:$B,2,0),G198,1),"")</f>
        <v>Y</v>
      </c>
      <c r="G198" s="3">
        <v>617</v>
      </c>
      <c r="H198" s="3" t="str">
        <f>IFERROR(MID(VLOOKUP($B198,Seqs!$A:$B,2,0),I198,1),"")</f>
        <v>T</v>
      </c>
      <c r="I198" s="23">
        <v>620</v>
      </c>
      <c r="J198" s="3" t="str">
        <f>IFERROR(MID(VLOOKUP($B198,Seqs!$A:$B,2,0),K198,1),"")</f>
        <v>S</v>
      </c>
      <c r="K198" s="23">
        <v>626</v>
      </c>
      <c r="L198" s="3" t="str">
        <f>IFERROR(MID(VLOOKUP($B198,Seqs!$A:$B,2,0),M198,1),"")</f>
        <v>S</v>
      </c>
      <c r="M198" s="3">
        <v>627</v>
      </c>
      <c r="N198" s="3" t="str">
        <f>IFERROR(MID(VLOOKUP($B198,Seqs!$A:$B,2,0),O198,1),"")</f>
        <v>I</v>
      </c>
      <c r="O198" s="3">
        <v>649</v>
      </c>
      <c r="P198" s="3" t="str">
        <f>IFERROR(MID(VLOOKUP($B198,Seqs!$A:$B,2,0),Q198,1),"")</f>
        <v/>
      </c>
      <c r="Q198" s="3" t="s">
        <v>23</v>
      </c>
      <c r="R198" s="3" t="str">
        <f>IFERROR(MID(VLOOKUP($B198,Seqs!$A:$B,2,0),S198,1),"")</f>
        <v/>
      </c>
      <c r="S198" s="3" t="s">
        <v>23</v>
      </c>
      <c r="T198" s="3" t="str">
        <f>IFERROR(MID(VLOOKUP($B198,Seqs!$A:$B,2,0),U198,1),"")</f>
        <v>T</v>
      </c>
      <c r="U198" s="3">
        <v>654</v>
      </c>
      <c r="V198" s="3" t="str">
        <f>IFERROR(MID(VLOOKUP($B198,Seqs!$A:$B,2,0),W198,1),"")</f>
        <v>L</v>
      </c>
      <c r="W198" s="3">
        <v>686</v>
      </c>
      <c r="X198" s="3" t="str">
        <f>IFERROR(MID(VLOOKUP($B198,Seqs!$A:$B,2,0),Y198,1),"")</f>
        <v/>
      </c>
      <c r="Y198" s="3" t="s">
        <v>23</v>
      </c>
      <c r="Z198" s="3" t="str">
        <f>IFERROR(MID(VLOOKUP($B198,Seqs!$A:$B,2,0),AA198,1),"")</f>
        <v/>
      </c>
      <c r="AA198" s="3" t="s">
        <v>23</v>
      </c>
      <c r="AB198" s="3" t="str">
        <f>IFERROR(MID(VLOOKUP($B198,Seqs!$A:$B,2,0),AC198,1),"")</f>
        <v>S</v>
      </c>
      <c r="AC198" s="9">
        <v>702</v>
      </c>
      <c r="AD198" s="3" t="str">
        <f>IFERROR(MID(VLOOKUP($B198,Seqs!$A:$B,2,0),AE198,1),"")</f>
        <v>E</v>
      </c>
      <c r="AE198" s="3">
        <v>728</v>
      </c>
      <c r="AF198" s="3" t="str">
        <f>IFERROR(MID(VLOOKUP($B198,Seqs!$A:$B,2,0),AG198,1),"")</f>
        <v>C</v>
      </c>
      <c r="AG198" s="3">
        <v>746</v>
      </c>
      <c r="AH198" s="3" t="str">
        <f>IFERROR(MID(VLOOKUP($B198,Seqs!$A:$B,2,0),AI198,1),"")</f>
        <v>T</v>
      </c>
      <c r="AI198" s="3">
        <v>748</v>
      </c>
      <c r="AJ198" s="3" t="str">
        <f>IFERROR(MID(VLOOKUP($B198,Seqs!$A:$B,2,0),AK198,1),"")</f>
        <v>N</v>
      </c>
      <c r="AK198" s="3">
        <v>750</v>
      </c>
      <c r="AL198" s="3" t="str">
        <f>IFERROR(MID(VLOOKUP($B198,Seqs!$A:$B,2,0),AM198,1),"")</f>
        <v>T</v>
      </c>
      <c r="AM198" s="3">
        <v>774</v>
      </c>
      <c r="AN198" s="3" t="str">
        <f>IFERROR(MID(VLOOKUP($B198,Seqs!$A:$B,2,0),AO198,1),"")</f>
        <v>E</v>
      </c>
      <c r="AO198" s="3">
        <v>783</v>
      </c>
      <c r="AP198" s="3" t="str">
        <f>IFERROR(MID(VLOOKUP($B198,Seqs!$A:$B,2,0),AQ198,1),"")</f>
        <v>G</v>
      </c>
      <c r="AQ198" s="3">
        <v>807</v>
      </c>
      <c r="AR198" s="3" t="str">
        <f>IFERROR(MID(VLOOKUP($B198,Seqs!$A:$B,2,0),AS198,1),"")</f>
        <v>K</v>
      </c>
      <c r="AS198" s="3">
        <v>811</v>
      </c>
      <c r="AT198" s="3" t="str">
        <f>IFERROR(MID(VLOOKUP($B198,Seqs!$A:$B,2,0),AU198,1),"")</f>
        <v>A</v>
      </c>
      <c r="AU198" s="3">
        <v>840</v>
      </c>
      <c r="AV198" s="3" t="str">
        <f>IFERROR(MID(VLOOKUP($B198,Seqs!$A:$B,2,0),AW198,1),"")</f>
        <v>K</v>
      </c>
      <c r="AW198" s="3">
        <v>841</v>
      </c>
      <c r="AX198" s="3" t="str">
        <f>IFERROR(MID(VLOOKUP($B198,Seqs!$A:$B,2,0),AY198,1),"")</f>
        <v>P</v>
      </c>
      <c r="AY198" s="3">
        <v>842</v>
      </c>
      <c r="AZ198" s="79" t="str">
        <f>VLOOKUP(B198,Classification!A:D,2,0)</f>
        <v>C</v>
      </c>
      <c r="BA198" s="97" t="str">
        <f>VLOOKUP(B198,Classification!A:D,4,0)</f>
        <v>Metabotropicglutamate</v>
      </c>
      <c r="BB198" s="27" t="b">
        <f t="shared" si="863"/>
        <v>1</v>
      </c>
      <c r="BC198" s="23">
        <f t="shared" si="836"/>
        <v>204</v>
      </c>
      <c r="BD198" s="2" t="s">
        <v>1383</v>
      </c>
      <c r="BE198" s="3" t="s">
        <v>1381</v>
      </c>
      <c r="BF198" s="50" t="s">
        <v>1384</v>
      </c>
      <c r="BG198" s="50" t="s">
        <v>1384</v>
      </c>
      <c r="BI198" s="72" t="s">
        <v>1293</v>
      </c>
      <c r="BJ198" s="58" t="s">
        <v>1293</v>
      </c>
      <c r="BK198" s="58" t="s">
        <v>1293</v>
      </c>
      <c r="BL198" s="58" t="s">
        <v>1293</v>
      </c>
      <c r="BM198" s="58" t="s">
        <v>1293</v>
      </c>
      <c r="BN198" s="58" t="s">
        <v>1293</v>
      </c>
      <c r="BO198" s="58" t="s">
        <v>1293</v>
      </c>
      <c r="BP198" s="58" t="s">
        <v>1293</v>
      </c>
      <c r="BQ198" s="58" t="s">
        <v>1293</v>
      </c>
      <c r="BR198" s="58" t="s">
        <v>1293</v>
      </c>
      <c r="BS198" s="58" t="s">
        <v>1293</v>
      </c>
      <c r="BT198" s="58" t="s">
        <v>1293</v>
      </c>
      <c r="BU198" s="72">
        <f t="shared" si="837"/>
        <v>591</v>
      </c>
      <c r="BV198" s="73">
        <f t="shared" si="838"/>
        <v>620</v>
      </c>
      <c r="BW198" s="74">
        <f t="shared" si="839"/>
        <v>627</v>
      </c>
      <c r="BX198" s="73" t="str">
        <f t="shared" si="840"/>
        <v>-</v>
      </c>
      <c r="BY198" s="74">
        <f t="shared" si="841"/>
        <v>654</v>
      </c>
      <c r="BZ198" s="73" t="str">
        <f t="shared" si="842"/>
        <v>-</v>
      </c>
      <c r="CA198" s="74">
        <f t="shared" si="843"/>
        <v>702</v>
      </c>
      <c r="CB198" s="73">
        <f t="shared" si="844"/>
        <v>746</v>
      </c>
      <c r="CC198" s="74">
        <f t="shared" si="845"/>
        <v>750</v>
      </c>
      <c r="CD198" s="73">
        <f t="shared" si="846"/>
        <v>783</v>
      </c>
      <c r="CE198" s="74">
        <f t="shared" si="847"/>
        <v>811</v>
      </c>
      <c r="CF198" s="73">
        <f t="shared" si="848"/>
        <v>841</v>
      </c>
      <c r="CG198" s="72">
        <f t="shared" si="849"/>
        <v>617</v>
      </c>
      <c r="CH198" s="73">
        <f t="shared" si="850"/>
        <v>626</v>
      </c>
      <c r="CI198" s="74">
        <f t="shared" si="851"/>
        <v>649</v>
      </c>
      <c r="CJ198" s="74" t="str">
        <f t="shared" si="852"/>
        <v>-</v>
      </c>
      <c r="CK198" s="74">
        <f t="shared" si="853"/>
        <v>686</v>
      </c>
      <c r="CL198" s="74" t="str">
        <f t="shared" si="854"/>
        <v>-</v>
      </c>
      <c r="CM198" s="74">
        <f t="shared" si="855"/>
        <v>728</v>
      </c>
      <c r="CN198" s="74">
        <f t="shared" si="856"/>
        <v>748</v>
      </c>
      <c r="CO198" s="74">
        <f t="shared" si="857"/>
        <v>774</v>
      </c>
      <c r="CP198" s="74">
        <f t="shared" si="858"/>
        <v>807</v>
      </c>
      <c r="CQ198" s="74">
        <f t="shared" si="859"/>
        <v>840</v>
      </c>
      <c r="CR198" s="74">
        <f t="shared" si="860"/>
        <v>842</v>
      </c>
      <c r="CS198" s="23">
        <f t="shared" si="861"/>
        <v>1</v>
      </c>
    </row>
    <row r="199" spans="1:1029" x14ac:dyDescent="0.2">
      <c r="A199" s="3" t="str">
        <f t="shared" si="862"/>
        <v>grm5_human__wt</v>
      </c>
      <c r="B199" s="3" t="s">
        <v>41</v>
      </c>
      <c r="C199" s="3" t="s">
        <v>100</v>
      </c>
      <c r="D199" s="3" t="str">
        <f>IFERROR(MID(VLOOKUP($B199,Seqs!$A:$B,2,0),E199,1),"")</f>
        <v>P</v>
      </c>
      <c r="E199" s="3">
        <v>578</v>
      </c>
      <c r="F199" s="3" t="str">
        <f>IFERROR(MID(VLOOKUP($B199,Seqs!$A:$B,2,0),G199,1),"")</f>
        <v>Y</v>
      </c>
      <c r="G199" s="3">
        <v>604</v>
      </c>
      <c r="H199" s="3" t="str">
        <f>IFERROR(MID(VLOOKUP($B199,Seqs!$A:$B,2,0),I199,1),"")</f>
        <v>T</v>
      </c>
      <c r="I199" s="23">
        <v>607</v>
      </c>
      <c r="J199" s="3" t="str">
        <f>IFERROR(MID(VLOOKUP($B199,Seqs!$A:$B,2,0),K199,1),"")</f>
        <v>S</v>
      </c>
      <c r="K199" s="23">
        <v>613</v>
      </c>
      <c r="L199" s="3" t="str">
        <f>IFERROR(MID(VLOOKUP($B199,Seqs!$A:$B,2,0),M199,1),"")</f>
        <v>S</v>
      </c>
      <c r="M199" s="3">
        <v>614</v>
      </c>
      <c r="N199" s="3" t="str">
        <f>IFERROR(MID(VLOOKUP($B199,Seqs!$A:$B,2,0),O199,1),"")</f>
        <v>I</v>
      </c>
      <c r="O199" s="3">
        <v>636</v>
      </c>
      <c r="P199" s="3" t="str">
        <f>IFERROR(MID(VLOOKUP($B199,Seqs!$A:$B,2,0),Q199,1),"")</f>
        <v/>
      </c>
      <c r="Q199" s="3" t="s">
        <v>23</v>
      </c>
      <c r="R199" s="3" t="str">
        <f>IFERROR(MID(VLOOKUP($B199,Seqs!$A:$B,2,0),S199,1),"")</f>
        <v/>
      </c>
      <c r="S199" s="3" t="s">
        <v>23</v>
      </c>
      <c r="T199" s="3" t="str">
        <f>IFERROR(MID(VLOOKUP($B199,Seqs!$A:$B,2,0),U199,1),"")</f>
        <v>Q</v>
      </c>
      <c r="U199" s="3">
        <v>641</v>
      </c>
      <c r="V199" s="3" t="str">
        <f>IFERROR(MID(VLOOKUP($B199,Seqs!$A:$B,2,0),W199,1),"")</f>
        <v>L</v>
      </c>
      <c r="W199" s="3">
        <v>673</v>
      </c>
      <c r="X199" s="3" t="str">
        <f>IFERROR(MID(VLOOKUP($B199,Seqs!$A:$B,2,0),Y199,1),"")</f>
        <v/>
      </c>
      <c r="Y199" s="3" t="s">
        <v>23</v>
      </c>
      <c r="Z199" s="3" t="str">
        <f>IFERROR(MID(VLOOKUP($B199,Seqs!$A:$B,2,0),AA199,1),"")</f>
        <v/>
      </c>
      <c r="AA199" s="3" t="s">
        <v>23</v>
      </c>
      <c r="AB199" s="3" t="str">
        <f>IFERROR(MID(VLOOKUP($B199,Seqs!$A:$B,2,0),AC199,1),"")</f>
        <v>S</v>
      </c>
      <c r="AC199" s="9">
        <v>689</v>
      </c>
      <c r="AD199" s="3" t="str">
        <f>IFERROR(MID(VLOOKUP($B199,Seqs!$A:$B,2,0),AE199,1),"")</f>
        <v>E</v>
      </c>
      <c r="AE199" s="3">
        <v>715</v>
      </c>
      <c r="AF199" s="3" t="str">
        <f>IFERROR(MID(VLOOKUP($B199,Seqs!$A:$B,2,0),AG199,1),"")</f>
        <v>C</v>
      </c>
      <c r="AG199" s="3">
        <v>733</v>
      </c>
      <c r="AH199" s="3" t="str">
        <f>IFERROR(MID(VLOOKUP($B199,Seqs!$A:$B,2,0),AI199,1),"")</f>
        <v>T</v>
      </c>
      <c r="AI199" s="3">
        <v>735</v>
      </c>
      <c r="AJ199" s="3" t="str">
        <f>IFERROR(MID(VLOOKUP($B199,Seqs!$A:$B,2,0),AK199,1),"")</f>
        <v>N</v>
      </c>
      <c r="AK199" s="3">
        <v>737</v>
      </c>
      <c r="AL199" s="3" t="str">
        <f>IFERROR(MID(VLOOKUP($B199,Seqs!$A:$B,2,0),AM199,1),"")</f>
        <v>T</v>
      </c>
      <c r="AM199" s="3">
        <v>761</v>
      </c>
      <c r="AN199" s="3" t="str">
        <f>IFERROR(MID(VLOOKUP($B199,Seqs!$A:$B,2,0),AO199,1),"")</f>
        <v>E</v>
      </c>
      <c r="AO199" s="3">
        <v>770</v>
      </c>
      <c r="AP199" s="3" t="str">
        <f>IFERROR(MID(VLOOKUP($B199,Seqs!$A:$B,2,0),AQ199,1),"")</f>
        <v>G</v>
      </c>
      <c r="AQ199" s="3">
        <v>794</v>
      </c>
      <c r="AR199" s="3" t="str">
        <f>IFERROR(MID(VLOOKUP($B199,Seqs!$A:$B,2,0),AS199,1),"")</f>
        <v>K</v>
      </c>
      <c r="AS199" s="3">
        <v>798</v>
      </c>
      <c r="AT199" s="3" t="str">
        <f>IFERROR(MID(VLOOKUP($B199,Seqs!$A:$B,2,0),AU199,1),"")</f>
        <v>A</v>
      </c>
      <c r="AU199" s="3">
        <v>827</v>
      </c>
      <c r="AV199" s="3" t="str">
        <f>IFERROR(MID(VLOOKUP($B199,Seqs!$A:$B,2,0),AW199,1),"")</f>
        <v>K</v>
      </c>
      <c r="AW199" s="3">
        <v>828</v>
      </c>
      <c r="AX199" s="3" t="str">
        <f>IFERROR(MID(VLOOKUP($B199,Seqs!$A:$B,2,0),AY199,1),"")</f>
        <v>S</v>
      </c>
      <c r="AY199" s="3">
        <v>840</v>
      </c>
      <c r="AZ199" s="79" t="str">
        <f>VLOOKUP(B199,Classification!A:D,2,0)</f>
        <v>C</v>
      </c>
      <c r="BA199" s="97" t="str">
        <f>VLOOKUP(B199,Classification!A:D,4,0)</f>
        <v>Metabotropicglutamate</v>
      </c>
      <c r="BB199" s="27" t="b">
        <f t="shared" si="863"/>
        <v>1</v>
      </c>
      <c r="BC199" s="23">
        <f t="shared" si="836"/>
        <v>215</v>
      </c>
      <c r="BD199" s="57" t="s">
        <v>1379</v>
      </c>
      <c r="BE199" s="3" t="s">
        <v>1381</v>
      </c>
      <c r="BF199" s="50" t="s">
        <v>1379</v>
      </c>
      <c r="BG199" s="50" t="s">
        <v>1384</v>
      </c>
      <c r="BI199" s="72" t="s">
        <v>1293</v>
      </c>
      <c r="BJ199" s="58" t="s">
        <v>1293</v>
      </c>
      <c r="BK199" s="58" t="s">
        <v>1293</v>
      </c>
      <c r="BL199" s="58" t="s">
        <v>1293</v>
      </c>
      <c r="BM199" s="58" t="s">
        <v>1293</v>
      </c>
      <c r="BN199" s="58" t="s">
        <v>1293</v>
      </c>
      <c r="BO199" s="58" t="s">
        <v>1293</v>
      </c>
      <c r="BP199" s="58" t="s">
        <v>1293</v>
      </c>
      <c r="BQ199" s="58" t="s">
        <v>1293</v>
      </c>
      <c r="BR199" s="58" t="s">
        <v>1293</v>
      </c>
      <c r="BS199" s="58" t="s">
        <v>1293</v>
      </c>
      <c r="BT199" s="58" t="s">
        <v>1293</v>
      </c>
      <c r="BU199" s="72">
        <f t="shared" si="837"/>
        <v>578</v>
      </c>
      <c r="BV199" s="73">
        <f t="shared" si="838"/>
        <v>607</v>
      </c>
      <c r="BW199" s="74">
        <f t="shared" si="839"/>
        <v>614</v>
      </c>
      <c r="BX199" s="73" t="str">
        <f t="shared" si="840"/>
        <v>-</v>
      </c>
      <c r="BY199" s="74">
        <f t="shared" si="841"/>
        <v>641</v>
      </c>
      <c r="BZ199" s="73" t="str">
        <f t="shared" si="842"/>
        <v>-</v>
      </c>
      <c r="CA199" s="74">
        <f t="shared" si="843"/>
        <v>689</v>
      </c>
      <c r="CB199" s="73">
        <f t="shared" si="844"/>
        <v>733</v>
      </c>
      <c r="CC199" s="74">
        <f t="shared" si="845"/>
        <v>737</v>
      </c>
      <c r="CD199" s="73">
        <f t="shared" si="846"/>
        <v>770</v>
      </c>
      <c r="CE199" s="74">
        <f t="shared" si="847"/>
        <v>798</v>
      </c>
      <c r="CF199" s="73">
        <f t="shared" si="848"/>
        <v>828</v>
      </c>
      <c r="CG199" s="72">
        <f t="shared" si="849"/>
        <v>604</v>
      </c>
      <c r="CH199" s="73">
        <f t="shared" si="850"/>
        <v>613</v>
      </c>
      <c r="CI199" s="74">
        <f t="shared" si="851"/>
        <v>636</v>
      </c>
      <c r="CJ199" s="74" t="str">
        <f t="shared" si="852"/>
        <v>-</v>
      </c>
      <c r="CK199" s="74">
        <f t="shared" si="853"/>
        <v>673</v>
      </c>
      <c r="CL199" s="74" t="str">
        <f t="shared" si="854"/>
        <v>-</v>
      </c>
      <c r="CM199" s="74">
        <f t="shared" si="855"/>
        <v>715</v>
      </c>
      <c r="CN199" s="74">
        <f t="shared" si="856"/>
        <v>735</v>
      </c>
      <c r="CO199" s="74">
        <f t="shared" si="857"/>
        <v>761</v>
      </c>
      <c r="CP199" s="74">
        <f t="shared" si="858"/>
        <v>794</v>
      </c>
      <c r="CQ199" s="74">
        <f t="shared" si="859"/>
        <v>827</v>
      </c>
      <c r="CR199" s="74">
        <f t="shared" si="860"/>
        <v>840</v>
      </c>
      <c r="CS199" s="23">
        <f t="shared" si="861"/>
        <v>1</v>
      </c>
    </row>
    <row r="200" spans="1:1029" x14ac:dyDescent="0.2">
      <c r="A200" s="3" t="str">
        <f t="shared" si="862"/>
        <v>grm5_human_4OO9</v>
      </c>
      <c r="B200" s="3" t="s">
        <v>41</v>
      </c>
      <c r="C200" s="3" t="s">
        <v>57</v>
      </c>
      <c r="D200" s="3" t="str">
        <f>IFERROR(MID(VLOOKUP($B200,Seqs!$A:$B,2,0),E200,1),"")</f>
        <v>P</v>
      </c>
      <c r="E200" s="3">
        <v>578</v>
      </c>
      <c r="F200" s="3" t="str">
        <f>IFERROR(MID(VLOOKUP($B200,Seqs!$A:$B,2,0),G200,1),"")</f>
        <v>Y</v>
      </c>
      <c r="G200" s="3">
        <v>604</v>
      </c>
      <c r="H200" s="3" t="str">
        <f>IFERROR(MID(VLOOKUP($B200,Seqs!$A:$B,2,0),I200,1),"")</f>
        <v>T</v>
      </c>
      <c r="I200" s="23">
        <v>607</v>
      </c>
      <c r="J200" s="3" t="str">
        <f>IFERROR(MID(VLOOKUP($B200,Seqs!$A:$B,2,0),K200,1),"")</f>
        <v>S</v>
      </c>
      <c r="K200" s="23">
        <v>613</v>
      </c>
      <c r="L200" s="3" t="str">
        <f>IFERROR(MID(VLOOKUP($B200,Seqs!$A:$B,2,0),M200,1),"")</f>
        <v>S</v>
      </c>
      <c r="M200" s="3">
        <v>614</v>
      </c>
      <c r="N200" s="3" t="str">
        <f>IFERROR(MID(VLOOKUP($B200,Seqs!$A:$B,2,0),O200,1),"")</f>
        <v>I</v>
      </c>
      <c r="O200" s="3">
        <v>636</v>
      </c>
      <c r="P200" s="3" t="str">
        <f>IFERROR(MID(VLOOKUP($B200,Seqs!$A:$B,2,0),Q200,1),"")</f>
        <v/>
      </c>
      <c r="Q200" s="3" t="s">
        <v>23</v>
      </c>
      <c r="R200" s="3" t="str">
        <f>IFERROR(MID(VLOOKUP($B200,Seqs!$A:$B,2,0),S200,1),"")</f>
        <v/>
      </c>
      <c r="S200" s="3" t="s">
        <v>23</v>
      </c>
      <c r="T200" s="3" t="str">
        <f>IFERROR(MID(VLOOKUP($B200,Seqs!$A:$B,2,0),U200,1),"")</f>
        <v>Q</v>
      </c>
      <c r="U200" s="3">
        <v>641</v>
      </c>
      <c r="V200" s="3" t="str">
        <f>IFERROR(MID(VLOOKUP($B200,Seqs!$A:$B,2,0),W200,1),"")</f>
        <v>K</v>
      </c>
      <c r="W200" s="3">
        <v>678</v>
      </c>
      <c r="X200" s="3" t="str">
        <f>IFERROR(MID(VLOOKUP($B200,Seqs!$A:$B,2,0),Y200,1),"")</f>
        <v/>
      </c>
      <c r="Y200" s="3" t="s">
        <v>23</v>
      </c>
      <c r="Z200" s="3" t="str">
        <f>IFERROR(MID(VLOOKUP($B200,Seqs!$A:$B,2,0),AA200,1),"")</f>
        <v/>
      </c>
      <c r="AA200" s="3" t="s">
        <v>23</v>
      </c>
      <c r="AB200" s="3" t="str">
        <f>IFERROR(MID(VLOOKUP($B200,Seqs!$A:$B,2,0),AC200,1),"")</f>
        <v>S</v>
      </c>
      <c r="AC200" s="9">
        <v>689</v>
      </c>
      <c r="AD200" s="3" t="str">
        <f>IFERROR(MID(VLOOKUP($B200,Seqs!$A:$B,2,0),AE200,1),"")</f>
        <v>E</v>
      </c>
      <c r="AE200" s="3">
        <v>715</v>
      </c>
      <c r="AF200" s="3" t="str">
        <f>IFERROR(MID(VLOOKUP($B200,Seqs!$A:$B,2,0),AG200,1),"")</f>
        <v>C</v>
      </c>
      <c r="AG200" s="3">
        <v>733</v>
      </c>
      <c r="AH200" s="3" t="str">
        <f>IFERROR(MID(VLOOKUP($B200,Seqs!$A:$B,2,0),AI200,1),"")</f>
        <v>T</v>
      </c>
      <c r="AI200" s="3">
        <v>735</v>
      </c>
      <c r="AJ200" s="3" t="str">
        <f>IFERROR(MID(VLOOKUP($B200,Seqs!$A:$B,2,0),AK200,1),"")</f>
        <v>N</v>
      </c>
      <c r="AK200" s="3">
        <v>737</v>
      </c>
      <c r="AL200" s="3" t="str">
        <f>IFERROR(MID(VLOOKUP($B200,Seqs!$A:$B,2,0),AM200,1),"")</f>
        <v>T</v>
      </c>
      <c r="AM200" s="3">
        <v>761</v>
      </c>
      <c r="AN200" s="3" t="str">
        <f>IFERROR(MID(VLOOKUP($B200,Seqs!$A:$B,2,0),AO200,1),"")</f>
        <v>E</v>
      </c>
      <c r="AO200" s="3">
        <v>770</v>
      </c>
      <c r="AP200" s="3" t="str">
        <f>IFERROR(MID(VLOOKUP($B200,Seqs!$A:$B,2,0),AQ200,1),"")</f>
        <v>G</v>
      </c>
      <c r="AQ200" s="3">
        <v>794</v>
      </c>
      <c r="AR200" s="3" t="str">
        <f>IFERROR(MID(VLOOKUP($B200,Seqs!$A:$B,2,0),AS200,1),"")</f>
        <v>K</v>
      </c>
      <c r="AS200" s="3">
        <v>798</v>
      </c>
      <c r="AT200" s="3" t="str">
        <f>IFERROR(MID(VLOOKUP($B200,Seqs!$A:$B,2,0),AU200,1),"")</f>
        <v>A</v>
      </c>
      <c r="AU200" s="3">
        <v>827</v>
      </c>
      <c r="AV200" s="3" t="str">
        <f>IFERROR(MID(VLOOKUP($B200,Seqs!$A:$B,2,0),AW200,1),"")</f>
        <v>K</v>
      </c>
      <c r="AW200" s="3">
        <v>828</v>
      </c>
      <c r="AX200" s="3" t="str">
        <f>IFERROR(MID(VLOOKUP($B200,Seqs!$A:$B,2,0),AY200,1),"")</f>
        <v>N</v>
      </c>
      <c r="AY200" s="3">
        <v>832</v>
      </c>
      <c r="AZ200" s="79" t="str">
        <f>VLOOKUP(B200,Classification!A:D,2,0)</f>
        <v>C</v>
      </c>
      <c r="BA200" s="97" t="str">
        <f>VLOOKUP(B200,Classification!A:D,4,0)</f>
        <v>Metabotropicglutamate</v>
      </c>
      <c r="BB200" s="27" t="b">
        <f t="shared" si="863"/>
        <v>1</v>
      </c>
      <c r="BC200" s="23">
        <f t="shared" si="836"/>
        <v>212</v>
      </c>
      <c r="BD200" s="2" t="s">
        <v>1383</v>
      </c>
      <c r="BE200" s="3" t="s">
        <v>1381</v>
      </c>
      <c r="BF200" s="50" t="s">
        <v>1384</v>
      </c>
      <c r="BG200" s="50" t="s">
        <v>1384</v>
      </c>
      <c r="BI200" s="72" t="s">
        <v>1293</v>
      </c>
      <c r="BJ200" s="58" t="s">
        <v>1293</v>
      </c>
      <c r="BK200" s="58" t="s">
        <v>1293</v>
      </c>
      <c r="BL200" s="58" t="s">
        <v>1293</v>
      </c>
      <c r="BM200" s="58" t="s">
        <v>1293</v>
      </c>
      <c r="BN200" s="58" t="s">
        <v>1293</v>
      </c>
      <c r="BO200" s="58" t="s">
        <v>1293</v>
      </c>
      <c r="BP200" s="58" t="s">
        <v>1293</v>
      </c>
      <c r="BQ200" s="58" t="s">
        <v>1293</v>
      </c>
      <c r="BR200" s="58" t="s">
        <v>1293</v>
      </c>
      <c r="BS200" s="58" t="s">
        <v>1293</v>
      </c>
      <c r="BT200" s="58" t="s">
        <v>1293</v>
      </c>
      <c r="BU200" s="72">
        <f t="shared" si="837"/>
        <v>578</v>
      </c>
      <c r="BV200" s="73">
        <f t="shared" si="838"/>
        <v>607</v>
      </c>
      <c r="BW200" s="74">
        <f t="shared" si="839"/>
        <v>614</v>
      </c>
      <c r="BX200" s="73" t="str">
        <f t="shared" si="840"/>
        <v>-</v>
      </c>
      <c r="BY200" s="74">
        <f t="shared" si="841"/>
        <v>641</v>
      </c>
      <c r="BZ200" s="73" t="str">
        <f t="shared" si="842"/>
        <v>-</v>
      </c>
      <c r="CA200" s="74">
        <f t="shared" si="843"/>
        <v>689</v>
      </c>
      <c r="CB200" s="73">
        <f t="shared" si="844"/>
        <v>733</v>
      </c>
      <c r="CC200" s="74">
        <f t="shared" si="845"/>
        <v>737</v>
      </c>
      <c r="CD200" s="73">
        <f t="shared" si="846"/>
        <v>770</v>
      </c>
      <c r="CE200" s="74">
        <f t="shared" si="847"/>
        <v>798</v>
      </c>
      <c r="CF200" s="73">
        <f t="shared" si="848"/>
        <v>828</v>
      </c>
      <c r="CG200" s="72">
        <f t="shared" si="849"/>
        <v>604</v>
      </c>
      <c r="CH200" s="73">
        <f t="shared" si="850"/>
        <v>613</v>
      </c>
      <c r="CI200" s="74">
        <f t="shared" si="851"/>
        <v>636</v>
      </c>
      <c r="CJ200" s="74" t="str">
        <f t="shared" si="852"/>
        <v>-</v>
      </c>
      <c r="CK200" s="74">
        <f t="shared" si="853"/>
        <v>678</v>
      </c>
      <c r="CL200" s="74" t="str">
        <f t="shared" si="854"/>
        <v>-</v>
      </c>
      <c r="CM200" s="74">
        <f t="shared" si="855"/>
        <v>715</v>
      </c>
      <c r="CN200" s="74">
        <f t="shared" si="856"/>
        <v>735</v>
      </c>
      <c r="CO200" s="74">
        <f t="shared" si="857"/>
        <v>761</v>
      </c>
      <c r="CP200" s="74">
        <f t="shared" si="858"/>
        <v>794</v>
      </c>
      <c r="CQ200" s="74">
        <f t="shared" si="859"/>
        <v>827</v>
      </c>
      <c r="CR200" s="74">
        <f t="shared" si="860"/>
        <v>832</v>
      </c>
      <c r="CS200" s="23">
        <f t="shared" si="861"/>
        <v>1</v>
      </c>
    </row>
    <row r="201" spans="1:1029" x14ac:dyDescent="0.2">
      <c r="A201" s="3" t="str">
        <f t="shared" si="862"/>
        <v>grm5_human_5CGC</v>
      </c>
      <c r="B201" s="3" t="s">
        <v>41</v>
      </c>
      <c r="C201" s="3" t="s">
        <v>58</v>
      </c>
      <c r="D201" s="3" t="str">
        <f>IFERROR(MID(VLOOKUP($B201,Seqs!$A:$B,2,0),E201,1),"")</f>
        <v>P</v>
      </c>
      <c r="E201" s="3">
        <v>578</v>
      </c>
      <c r="F201" s="3" t="str">
        <f>IFERROR(MID(VLOOKUP($B201,Seqs!$A:$B,2,0),G201,1),"")</f>
        <v>Y</v>
      </c>
      <c r="G201" s="3">
        <v>604</v>
      </c>
      <c r="H201" s="3" t="str">
        <f>IFERROR(MID(VLOOKUP($B201,Seqs!$A:$B,2,0),I201,1),"")</f>
        <v>T</v>
      </c>
      <c r="I201" s="23">
        <v>607</v>
      </c>
      <c r="J201" s="3" t="str">
        <f>IFERROR(MID(VLOOKUP($B201,Seqs!$A:$B,2,0),K201,1),"")</f>
        <v>S</v>
      </c>
      <c r="K201" s="23">
        <v>613</v>
      </c>
      <c r="L201" s="3" t="str">
        <f>IFERROR(MID(VLOOKUP($B201,Seqs!$A:$B,2,0),M201,1),"")</f>
        <v>S</v>
      </c>
      <c r="M201" s="3">
        <v>614</v>
      </c>
      <c r="N201" s="3" t="str">
        <f>IFERROR(MID(VLOOKUP($B201,Seqs!$A:$B,2,0),O201,1),"")</f>
        <v>I</v>
      </c>
      <c r="O201" s="3">
        <v>636</v>
      </c>
      <c r="P201" s="3" t="str">
        <f>IFERROR(MID(VLOOKUP($B201,Seqs!$A:$B,2,0),Q201,1),"")</f>
        <v/>
      </c>
      <c r="Q201" s="3" t="s">
        <v>23</v>
      </c>
      <c r="R201" s="3" t="str">
        <f>IFERROR(MID(VLOOKUP($B201,Seqs!$A:$B,2,0),S201,1),"")</f>
        <v/>
      </c>
      <c r="S201" s="3" t="s">
        <v>23</v>
      </c>
      <c r="T201" s="3" t="str">
        <f>IFERROR(MID(VLOOKUP($B201,Seqs!$A:$B,2,0),U201,1),"")</f>
        <v>Q</v>
      </c>
      <c r="U201" s="3">
        <v>641</v>
      </c>
      <c r="V201" s="3" t="str">
        <f>IFERROR(MID(VLOOKUP($B201,Seqs!$A:$B,2,0),W201,1),"")</f>
        <v>K</v>
      </c>
      <c r="W201" s="3">
        <v>678</v>
      </c>
      <c r="X201" s="3" t="str">
        <f>IFERROR(MID(VLOOKUP($B201,Seqs!$A:$B,2,0),Y201,1),"")</f>
        <v/>
      </c>
      <c r="Y201" s="3" t="s">
        <v>23</v>
      </c>
      <c r="Z201" s="3" t="str">
        <f>IFERROR(MID(VLOOKUP($B201,Seqs!$A:$B,2,0),AA201,1),"")</f>
        <v/>
      </c>
      <c r="AA201" s="3" t="s">
        <v>23</v>
      </c>
      <c r="AB201" s="3" t="str">
        <f>IFERROR(MID(VLOOKUP($B201,Seqs!$A:$B,2,0),AC201,1),"")</f>
        <v>S</v>
      </c>
      <c r="AC201" s="9">
        <v>689</v>
      </c>
      <c r="AD201" s="3" t="str">
        <f>IFERROR(MID(VLOOKUP($B201,Seqs!$A:$B,2,0),AE201,1),"")</f>
        <v>E</v>
      </c>
      <c r="AE201" s="3">
        <v>715</v>
      </c>
      <c r="AF201" s="3" t="str">
        <f>IFERROR(MID(VLOOKUP($B201,Seqs!$A:$B,2,0),AG201,1),"")</f>
        <v>C</v>
      </c>
      <c r="AG201" s="3">
        <v>733</v>
      </c>
      <c r="AH201" s="3" t="str">
        <f>IFERROR(MID(VLOOKUP($B201,Seqs!$A:$B,2,0),AI201,1),"")</f>
        <v>T</v>
      </c>
      <c r="AI201" s="3">
        <v>735</v>
      </c>
      <c r="AJ201" s="3" t="str">
        <f>IFERROR(MID(VLOOKUP($B201,Seqs!$A:$B,2,0),AK201,1),"")</f>
        <v>N</v>
      </c>
      <c r="AK201" s="3">
        <v>737</v>
      </c>
      <c r="AL201" s="3" t="str">
        <f>IFERROR(MID(VLOOKUP($B201,Seqs!$A:$B,2,0),AM201,1),"")</f>
        <v>T</v>
      </c>
      <c r="AM201" s="3">
        <v>761</v>
      </c>
      <c r="AN201" s="3" t="str">
        <f>IFERROR(MID(VLOOKUP($B201,Seqs!$A:$B,2,0),AO201,1),"")</f>
        <v>E</v>
      </c>
      <c r="AO201" s="3">
        <v>770</v>
      </c>
      <c r="AP201" s="3" t="str">
        <f>IFERROR(MID(VLOOKUP($B201,Seqs!$A:$B,2,0),AQ201,1),"")</f>
        <v>G</v>
      </c>
      <c r="AQ201" s="3">
        <v>794</v>
      </c>
      <c r="AR201" s="3" t="str">
        <f>IFERROR(MID(VLOOKUP($B201,Seqs!$A:$B,2,0),AS201,1),"")</f>
        <v>K</v>
      </c>
      <c r="AS201" s="3">
        <v>798</v>
      </c>
      <c r="AT201" s="3" t="str">
        <f>IFERROR(MID(VLOOKUP($B201,Seqs!$A:$B,2,0),AU201,1),"")</f>
        <v>A</v>
      </c>
      <c r="AU201" s="3">
        <v>827</v>
      </c>
      <c r="AV201" s="3" t="str">
        <f>IFERROR(MID(VLOOKUP($B201,Seqs!$A:$B,2,0),AW201,1),"")</f>
        <v>K</v>
      </c>
      <c r="AW201" s="3">
        <v>828</v>
      </c>
      <c r="AX201" s="3" t="str">
        <f>IFERROR(MID(VLOOKUP($B201,Seqs!$A:$B,2,0),AY201,1),"")</f>
        <v>N</v>
      </c>
      <c r="AY201" s="3">
        <v>832</v>
      </c>
      <c r="AZ201" s="79" t="str">
        <f>VLOOKUP(B201,Classification!A:D,2,0)</f>
        <v>C</v>
      </c>
      <c r="BA201" s="97" t="str">
        <f>VLOOKUP(B201,Classification!A:D,4,0)</f>
        <v>Metabotropicglutamate</v>
      </c>
      <c r="BB201" s="27" t="b">
        <f t="shared" si="863"/>
        <v>1</v>
      </c>
      <c r="BC201" s="23">
        <f t="shared" si="836"/>
        <v>212</v>
      </c>
      <c r="BD201" s="4" t="s">
        <v>23</v>
      </c>
      <c r="BE201" s="3" t="s">
        <v>1381</v>
      </c>
      <c r="BF201" s="50" t="s">
        <v>1384</v>
      </c>
      <c r="BG201" s="50" t="s">
        <v>1384</v>
      </c>
      <c r="BI201" s="72" t="s">
        <v>1293</v>
      </c>
      <c r="BJ201" s="58" t="s">
        <v>1293</v>
      </c>
      <c r="BK201" s="58" t="s">
        <v>1293</v>
      </c>
      <c r="BL201" s="58" t="s">
        <v>1293</v>
      </c>
      <c r="BM201" s="58" t="s">
        <v>1293</v>
      </c>
      <c r="BN201" s="58" t="s">
        <v>1293</v>
      </c>
      <c r="BO201" s="58" t="s">
        <v>1293</v>
      </c>
      <c r="BP201" s="58" t="s">
        <v>1293</v>
      </c>
      <c r="BQ201" s="58" t="s">
        <v>1293</v>
      </c>
      <c r="BR201" s="58" t="s">
        <v>1293</v>
      </c>
      <c r="BS201" s="58" t="s">
        <v>1293</v>
      </c>
      <c r="BT201" s="58" t="s">
        <v>1293</v>
      </c>
      <c r="BU201" s="72">
        <f t="shared" si="837"/>
        <v>578</v>
      </c>
      <c r="BV201" s="73">
        <f t="shared" si="838"/>
        <v>607</v>
      </c>
      <c r="BW201" s="74">
        <f t="shared" si="839"/>
        <v>614</v>
      </c>
      <c r="BX201" s="73" t="str">
        <f t="shared" si="840"/>
        <v>-</v>
      </c>
      <c r="BY201" s="74">
        <f t="shared" si="841"/>
        <v>641</v>
      </c>
      <c r="BZ201" s="73" t="str">
        <f t="shared" si="842"/>
        <v>-</v>
      </c>
      <c r="CA201" s="74">
        <f t="shared" si="843"/>
        <v>689</v>
      </c>
      <c r="CB201" s="73">
        <f t="shared" si="844"/>
        <v>733</v>
      </c>
      <c r="CC201" s="74">
        <f t="shared" si="845"/>
        <v>737</v>
      </c>
      <c r="CD201" s="73">
        <f t="shared" si="846"/>
        <v>770</v>
      </c>
      <c r="CE201" s="74">
        <f t="shared" si="847"/>
        <v>798</v>
      </c>
      <c r="CF201" s="73">
        <f t="shared" si="848"/>
        <v>828</v>
      </c>
      <c r="CG201" s="72">
        <f t="shared" si="849"/>
        <v>604</v>
      </c>
      <c r="CH201" s="73">
        <f t="shared" si="850"/>
        <v>613</v>
      </c>
      <c r="CI201" s="74">
        <f t="shared" si="851"/>
        <v>636</v>
      </c>
      <c r="CJ201" s="74" t="str">
        <f t="shared" si="852"/>
        <v>-</v>
      </c>
      <c r="CK201" s="74">
        <f t="shared" si="853"/>
        <v>678</v>
      </c>
      <c r="CL201" s="74" t="str">
        <f t="shared" si="854"/>
        <v>-</v>
      </c>
      <c r="CM201" s="74">
        <f t="shared" si="855"/>
        <v>715</v>
      </c>
      <c r="CN201" s="74">
        <f t="shared" si="856"/>
        <v>735</v>
      </c>
      <c r="CO201" s="74">
        <f t="shared" si="857"/>
        <v>761</v>
      </c>
      <c r="CP201" s="74">
        <f t="shared" si="858"/>
        <v>794</v>
      </c>
      <c r="CQ201" s="74">
        <f t="shared" si="859"/>
        <v>827</v>
      </c>
      <c r="CR201" s="74">
        <f t="shared" si="860"/>
        <v>832</v>
      </c>
      <c r="CS201" s="23">
        <f t="shared" si="861"/>
        <v>1</v>
      </c>
    </row>
    <row r="202" spans="1:1029" x14ac:dyDescent="0.2">
      <c r="A202" s="3" t="str">
        <f t="shared" si="862"/>
        <v>grm5_human_5CGD</v>
      </c>
      <c r="B202" s="3" t="s">
        <v>41</v>
      </c>
      <c r="C202" s="3" t="s">
        <v>59</v>
      </c>
      <c r="D202" s="3" t="str">
        <f>IFERROR(MID(VLOOKUP($B202,Seqs!$A:$B,2,0),E202,1),"")</f>
        <v>P</v>
      </c>
      <c r="E202" s="3">
        <v>578</v>
      </c>
      <c r="F202" s="3" t="str">
        <f>IFERROR(MID(VLOOKUP($B202,Seqs!$A:$B,2,0),G202,1),"")</f>
        <v>Y</v>
      </c>
      <c r="G202" s="3">
        <v>604</v>
      </c>
      <c r="H202" s="3" t="str">
        <f>IFERROR(MID(VLOOKUP($B202,Seqs!$A:$B,2,0),I202,1),"")</f>
        <v>T</v>
      </c>
      <c r="I202" s="23">
        <v>607</v>
      </c>
      <c r="J202" s="3" t="str">
        <f>IFERROR(MID(VLOOKUP($B202,Seqs!$A:$B,2,0),K202,1),"")</f>
        <v>S</v>
      </c>
      <c r="K202" s="23">
        <v>613</v>
      </c>
      <c r="L202" s="3" t="str">
        <f>IFERROR(MID(VLOOKUP($B202,Seqs!$A:$B,2,0),M202,1),"")</f>
        <v>S</v>
      </c>
      <c r="M202" s="3">
        <v>614</v>
      </c>
      <c r="N202" s="3" t="str">
        <f>IFERROR(MID(VLOOKUP($B202,Seqs!$A:$B,2,0),O202,1),"")</f>
        <v>I</v>
      </c>
      <c r="O202" s="3">
        <v>636</v>
      </c>
      <c r="P202" s="3" t="str">
        <f>IFERROR(MID(VLOOKUP($B202,Seqs!$A:$B,2,0),Q202,1),"")</f>
        <v/>
      </c>
      <c r="Q202" s="3" t="s">
        <v>23</v>
      </c>
      <c r="R202" s="3" t="str">
        <f>IFERROR(MID(VLOOKUP($B202,Seqs!$A:$B,2,0),S202,1),"")</f>
        <v/>
      </c>
      <c r="S202" s="3" t="s">
        <v>23</v>
      </c>
      <c r="T202" s="3" t="str">
        <f>IFERROR(MID(VLOOKUP($B202,Seqs!$A:$B,2,0),U202,1),"")</f>
        <v>Q</v>
      </c>
      <c r="U202" s="3">
        <v>641</v>
      </c>
      <c r="V202" s="3" t="str">
        <f>IFERROR(MID(VLOOKUP($B202,Seqs!$A:$B,2,0),W202,1),"")</f>
        <v>K</v>
      </c>
      <c r="W202" s="3">
        <v>678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689</v>
      </c>
      <c r="AD202" s="3" t="str">
        <f>IFERROR(MID(VLOOKUP($B202,Seqs!$A:$B,2,0),AE202,1),"")</f>
        <v>E</v>
      </c>
      <c r="AE202" s="3">
        <v>715</v>
      </c>
      <c r="AF202" s="3" t="str">
        <f>IFERROR(MID(VLOOKUP($B202,Seqs!$A:$B,2,0),AG202,1),"")</f>
        <v>C</v>
      </c>
      <c r="AG202" s="3">
        <v>733</v>
      </c>
      <c r="AH202" s="3" t="str">
        <f>IFERROR(MID(VLOOKUP($B202,Seqs!$A:$B,2,0),AI202,1),"")</f>
        <v>T</v>
      </c>
      <c r="AI202" s="3">
        <v>735</v>
      </c>
      <c r="AJ202" s="3" t="str">
        <f>IFERROR(MID(VLOOKUP($B202,Seqs!$A:$B,2,0),AK202,1),"")</f>
        <v>N</v>
      </c>
      <c r="AK202" s="3">
        <v>737</v>
      </c>
      <c r="AL202" s="3" t="str">
        <f>IFERROR(MID(VLOOKUP($B202,Seqs!$A:$B,2,0),AM202,1),"")</f>
        <v>T</v>
      </c>
      <c r="AM202" s="3">
        <v>761</v>
      </c>
      <c r="AN202" s="3" t="str">
        <f>IFERROR(MID(VLOOKUP($B202,Seqs!$A:$B,2,0),AO202,1),"")</f>
        <v>E</v>
      </c>
      <c r="AO202" s="3">
        <v>770</v>
      </c>
      <c r="AP202" s="3" t="str">
        <f>IFERROR(MID(VLOOKUP($B202,Seqs!$A:$B,2,0),AQ202,1),"")</f>
        <v>G</v>
      </c>
      <c r="AQ202" s="3">
        <v>794</v>
      </c>
      <c r="AR202" s="3" t="str">
        <f>IFERROR(MID(VLOOKUP($B202,Seqs!$A:$B,2,0),AS202,1),"")</f>
        <v>K</v>
      </c>
      <c r="AS202" s="3">
        <v>798</v>
      </c>
      <c r="AT202" s="3" t="str">
        <f>IFERROR(MID(VLOOKUP($B202,Seqs!$A:$B,2,0),AU202,1),"")</f>
        <v>A</v>
      </c>
      <c r="AU202" s="3">
        <v>827</v>
      </c>
      <c r="AV202" s="3" t="str">
        <f>IFERROR(MID(VLOOKUP($B202,Seqs!$A:$B,2,0),AW202,1),"")</f>
        <v>K</v>
      </c>
      <c r="AW202" s="3">
        <v>828</v>
      </c>
      <c r="AX202" s="3" t="str">
        <f>IFERROR(MID(VLOOKUP($B202,Seqs!$A:$B,2,0),AY202,1),"")</f>
        <v>R</v>
      </c>
      <c r="AY202" s="3">
        <v>831</v>
      </c>
      <c r="AZ202" s="79" t="str">
        <f>VLOOKUP(B202,Classification!A:D,2,0)</f>
        <v>C</v>
      </c>
      <c r="BA202" s="97" t="str">
        <f>VLOOKUP(B202,Classification!A:D,4,0)</f>
        <v>Metabotropicglutamate</v>
      </c>
      <c r="BB202" s="27" t="b">
        <f t="shared" si="863"/>
        <v>1</v>
      </c>
      <c r="BC202" s="23">
        <f t="shared" si="836"/>
        <v>211</v>
      </c>
      <c r="BD202" s="4" t="s">
        <v>23</v>
      </c>
      <c r="BE202" s="3" t="s">
        <v>1381</v>
      </c>
      <c r="BF202" s="50" t="s">
        <v>1384</v>
      </c>
      <c r="BG202" s="50" t="s">
        <v>1384</v>
      </c>
      <c r="BI202" s="72" t="s">
        <v>1293</v>
      </c>
      <c r="BJ202" s="58" t="s">
        <v>1293</v>
      </c>
      <c r="BK202" s="58" t="s">
        <v>1293</v>
      </c>
      <c r="BL202" s="58" t="s">
        <v>1293</v>
      </c>
      <c r="BM202" s="58" t="s">
        <v>1293</v>
      </c>
      <c r="BN202" s="58" t="s">
        <v>1293</v>
      </c>
      <c r="BO202" s="58" t="s">
        <v>1293</v>
      </c>
      <c r="BP202" s="58" t="s">
        <v>1293</v>
      </c>
      <c r="BQ202" s="58" t="s">
        <v>1293</v>
      </c>
      <c r="BR202" s="58" t="s">
        <v>1293</v>
      </c>
      <c r="BS202" s="58" t="s">
        <v>1293</v>
      </c>
      <c r="BT202" s="58" t="s">
        <v>1293</v>
      </c>
      <c r="BU202" s="72">
        <f t="shared" si="837"/>
        <v>578</v>
      </c>
      <c r="BV202" s="73">
        <f t="shared" si="838"/>
        <v>607</v>
      </c>
      <c r="BW202" s="74">
        <f t="shared" si="839"/>
        <v>614</v>
      </c>
      <c r="BX202" s="73" t="str">
        <f t="shared" si="840"/>
        <v>-</v>
      </c>
      <c r="BY202" s="74">
        <f t="shared" si="841"/>
        <v>641</v>
      </c>
      <c r="BZ202" s="73" t="str">
        <f t="shared" si="842"/>
        <v>-</v>
      </c>
      <c r="CA202" s="74">
        <f t="shared" si="843"/>
        <v>689</v>
      </c>
      <c r="CB202" s="73">
        <f t="shared" si="844"/>
        <v>733</v>
      </c>
      <c r="CC202" s="74">
        <f t="shared" si="845"/>
        <v>737</v>
      </c>
      <c r="CD202" s="73">
        <f t="shared" si="846"/>
        <v>770</v>
      </c>
      <c r="CE202" s="74">
        <f t="shared" si="847"/>
        <v>798</v>
      </c>
      <c r="CF202" s="73">
        <f t="shared" si="848"/>
        <v>828</v>
      </c>
      <c r="CG202" s="72">
        <f t="shared" si="849"/>
        <v>604</v>
      </c>
      <c r="CH202" s="73">
        <f t="shared" si="850"/>
        <v>613</v>
      </c>
      <c r="CI202" s="74">
        <f t="shared" si="851"/>
        <v>636</v>
      </c>
      <c r="CJ202" s="74" t="str">
        <f t="shared" si="852"/>
        <v>-</v>
      </c>
      <c r="CK202" s="74">
        <f t="shared" si="853"/>
        <v>678</v>
      </c>
      <c r="CL202" s="74" t="str">
        <f t="shared" si="854"/>
        <v>-</v>
      </c>
      <c r="CM202" s="74">
        <f t="shared" si="855"/>
        <v>715</v>
      </c>
      <c r="CN202" s="74">
        <f t="shared" si="856"/>
        <v>735</v>
      </c>
      <c r="CO202" s="74">
        <f t="shared" si="857"/>
        <v>761</v>
      </c>
      <c r="CP202" s="74">
        <f t="shared" si="858"/>
        <v>794</v>
      </c>
      <c r="CQ202" s="74">
        <f t="shared" si="859"/>
        <v>827</v>
      </c>
      <c r="CR202" s="74">
        <f t="shared" si="860"/>
        <v>831</v>
      </c>
      <c r="CS202" s="23">
        <f t="shared" si="861"/>
        <v>1</v>
      </c>
      <c r="AMO202" s="3"/>
    </row>
    <row r="203" spans="1:1029" x14ac:dyDescent="0.2">
      <c r="A203" s="3" t="str">
        <f t="shared" si="862"/>
        <v>smo_human__wt</v>
      </c>
      <c r="B203" s="3" t="s">
        <v>33</v>
      </c>
      <c r="C203" s="3" t="s">
        <v>100</v>
      </c>
      <c r="D203" s="3" t="str">
        <f>IFERROR(MID(VLOOKUP($B203,Seqs!$A:$B,2,0),E203,1),"")</f>
        <v>E</v>
      </c>
      <c r="E203" s="3">
        <v>224</v>
      </c>
      <c r="F203" s="3" t="str">
        <f>IFERROR(MID(VLOOKUP($B203,Seqs!$A:$B,2,0),G203,1),"")</f>
        <v>D</v>
      </c>
      <c r="G203" s="3">
        <v>255</v>
      </c>
      <c r="H203" s="3" t="str">
        <f>IFERROR(MID(VLOOKUP($B203,Seqs!$A:$B,2,0),I203,1),"")</f>
        <v>W</v>
      </c>
      <c r="I203" s="23">
        <v>256</v>
      </c>
      <c r="J203" s="3" t="str">
        <f>IFERROR(MID(VLOOKUP($B203,Seqs!$A:$B,2,0),K203,1),"")</f>
        <v>N</v>
      </c>
      <c r="K203" s="23">
        <v>260</v>
      </c>
      <c r="L203" s="3" t="str">
        <f>IFERROR(MID(VLOOKUP($B203,Seqs!$A:$B,2,0),M203,1),"")</f>
        <v>R</v>
      </c>
      <c r="M203" s="3">
        <v>261</v>
      </c>
      <c r="N203" s="3" t="str">
        <f>IFERROR(MID(VLOOKUP($B203,Seqs!$A:$B,2,0),O203,1),"")</f>
        <v>F</v>
      </c>
      <c r="O203" s="3">
        <v>285</v>
      </c>
      <c r="P203" s="3" t="str">
        <f>IFERROR(MID(VLOOKUP($B203,Seqs!$A:$B,2,0),Q203,1),"")</f>
        <v/>
      </c>
      <c r="Q203" s="3" t="s">
        <v>23</v>
      </c>
      <c r="R203" s="3" t="str">
        <f>IFERROR(MID(VLOOKUP($B203,Seqs!$A:$B,2,0),S203,1),"")</f>
        <v/>
      </c>
      <c r="S203" s="3" t="s">
        <v>23</v>
      </c>
      <c r="T203" s="3" t="str">
        <f>IFERROR(MID(VLOOKUP($B203,Seqs!$A:$B,2,0),U203,1),"")</f>
        <v>L</v>
      </c>
      <c r="U203" s="3">
        <v>312</v>
      </c>
      <c r="V203" s="3" t="str">
        <f>IFERROR(MID(VLOOKUP($B203,Seqs!$A:$B,2,0),W203,1),"")</f>
        <v>T</v>
      </c>
      <c r="W203" s="3">
        <v>348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L</v>
      </c>
      <c r="AC203" s="9">
        <v>353</v>
      </c>
      <c r="AD203" s="3" t="str">
        <f>IFERROR(MID(VLOOKUP($B203,Seqs!$A:$B,2,0),AE203,1),"")</f>
        <v>V</v>
      </c>
      <c r="AE203" s="3">
        <v>378</v>
      </c>
      <c r="AF203" s="3" t="str">
        <f>IFERROR(MID(VLOOKUP($B203,Seqs!$A:$B,2,0),AG203,1),"")</f>
        <v>C</v>
      </c>
      <c r="AG203" s="3">
        <v>390</v>
      </c>
      <c r="AH203" s="3" t="str">
        <f>IFERROR(MID(VLOOKUP($B203,Seqs!$A:$B,2,0),AI203,1),"")</f>
        <v>V</v>
      </c>
      <c r="AI203" s="3">
        <v>392</v>
      </c>
      <c r="AJ203" s="3" t="str">
        <f>IFERROR(MID(VLOOKUP($B203,Seqs!$A:$B,2,0),AK203,1),"")</f>
        <v>Y</v>
      </c>
      <c r="AK203" s="3">
        <v>397</v>
      </c>
      <c r="AL203" s="3" t="str">
        <f>IFERROR(MID(VLOOKUP($B203,Seqs!$A:$B,2,0),AM203,1),"")</f>
        <v>H</v>
      </c>
      <c r="AM203" s="3">
        <v>433</v>
      </c>
      <c r="AN203" s="3" t="str">
        <f>IFERROR(MID(VLOOKUP($B203,Seqs!$A:$B,2,0),AO203,1),"")</f>
        <v>A</v>
      </c>
      <c r="AO203" s="3">
        <v>442</v>
      </c>
      <c r="AP203" s="3" t="str">
        <f>IFERROR(MID(VLOOKUP($B203,Seqs!$A:$B,2,0),AQ203,1),"")</f>
        <v>I</v>
      </c>
      <c r="AQ203" s="3">
        <v>496</v>
      </c>
      <c r="AR203" s="3" t="str">
        <f>IFERROR(MID(VLOOKUP($B203,Seqs!$A:$B,2,0),AS203,1),"")</f>
        <v>L</v>
      </c>
      <c r="AS203" s="3">
        <v>515</v>
      </c>
      <c r="AT203" s="3" t="str">
        <f>IFERROR(MID(VLOOKUP($B203,Seqs!$A:$B,2,0),AU203,1),"")</f>
        <v>W</v>
      </c>
      <c r="AU203" s="3">
        <v>537</v>
      </c>
      <c r="AV203" s="3" t="str">
        <f>IFERROR(MID(VLOOKUP($B203,Seqs!$A:$B,2,0),AW203,1),"")</f>
        <v>T</v>
      </c>
      <c r="AW203" s="3">
        <v>538</v>
      </c>
      <c r="AX203" s="3" t="str">
        <f>IFERROR(MID(VLOOKUP($B203,Seqs!$A:$B,2,0),AY203,1),"")</f>
        <v>T</v>
      </c>
      <c r="AY203" s="3">
        <v>553</v>
      </c>
      <c r="AZ203" s="79" t="str">
        <f>VLOOKUP(B203,Classification!A:D,2,0)</f>
        <v>F</v>
      </c>
      <c r="BA203" s="97" t="str">
        <f>VLOOKUP(B203,Classification!A:D,4,0)</f>
        <v>Frizzled</v>
      </c>
      <c r="BB203" s="27" t="b">
        <f t="shared" si="863"/>
        <v>1</v>
      </c>
      <c r="BC203" s="23">
        <f t="shared" si="836"/>
        <v>261</v>
      </c>
      <c r="BD203" s="57" t="s">
        <v>1379</v>
      </c>
      <c r="BE203" s="3" t="s">
        <v>1381</v>
      </c>
      <c r="BF203" s="50" t="s">
        <v>1379</v>
      </c>
      <c r="BG203" s="50" t="s">
        <v>1384</v>
      </c>
      <c r="BI203" s="72" t="s">
        <v>1293</v>
      </c>
      <c r="BJ203" s="58" t="s">
        <v>1293</v>
      </c>
      <c r="BK203" s="58" t="s">
        <v>1293</v>
      </c>
      <c r="BL203" s="58" t="s">
        <v>1293</v>
      </c>
      <c r="BM203" s="58" t="s">
        <v>1293</v>
      </c>
      <c r="BN203" s="58" t="s">
        <v>1293</v>
      </c>
      <c r="BO203" s="58" t="s">
        <v>1293</v>
      </c>
      <c r="BP203" s="58" t="s">
        <v>1293</v>
      </c>
      <c r="BQ203" s="58" t="s">
        <v>1293</v>
      </c>
      <c r="BR203" s="58" t="s">
        <v>1293</v>
      </c>
      <c r="BS203" s="58" t="s">
        <v>1293</v>
      </c>
      <c r="BT203" s="58" t="s">
        <v>1293</v>
      </c>
      <c r="BU203" s="72">
        <f t="shared" si="837"/>
        <v>224</v>
      </c>
      <c r="BV203" s="73">
        <f t="shared" si="838"/>
        <v>256</v>
      </c>
      <c r="BW203" s="74">
        <f t="shared" si="839"/>
        <v>261</v>
      </c>
      <c r="BX203" s="73" t="str">
        <f t="shared" si="840"/>
        <v>-</v>
      </c>
      <c r="BY203" s="74">
        <f t="shared" si="841"/>
        <v>312</v>
      </c>
      <c r="BZ203" s="73" t="str">
        <f t="shared" si="842"/>
        <v>-</v>
      </c>
      <c r="CA203" s="74">
        <f t="shared" si="843"/>
        <v>353</v>
      </c>
      <c r="CB203" s="73">
        <f t="shared" si="844"/>
        <v>390</v>
      </c>
      <c r="CC203" s="74">
        <f t="shared" si="845"/>
        <v>397</v>
      </c>
      <c r="CD203" s="73">
        <f t="shared" si="846"/>
        <v>442</v>
      </c>
      <c r="CE203" s="74">
        <f t="shared" si="847"/>
        <v>515</v>
      </c>
      <c r="CF203" s="73">
        <f t="shared" si="848"/>
        <v>538</v>
      </c>
      <c r="CG203" s="72">
        <f t="shared" si="849"/>
        <v>255</v>
      </c>
      <c r="CH203" s="73">
        <f t="shared" si="850"/>
        <v>260</v>
      </c>
      <c r="CI203" s="74">
        <f t="shared" si="851"/>
        <v>285</v>
      </c>
      <c r="CJ203" s="74" t="str">
        <f t="shared" si="852"/>
        <v>-</v>
      </c>
      <c r="CK203" s="74">
        <f t="shared" si="853"/>
        <v>348</v>
      </c>
      <c r="CL203" s="74" t="str">
        <f t="shared" si="854"/>
        <v>-</v>
      </c>
      <c r="CM203" s="74">
        <f t="shared" si="855"/>
        <v>378</v>
      </c>
      <c r="CN203" s="74">
        <f t="shared" si="856"/>
        <v>392</v>
      </c>
      <c r="CO203" s="74">
        <f t="shared" si="857"/>
        <v>433</v>
      </c>
      <c r="CP203" s="74">
        <f t="shared" si="858"/>
        <v>496</v>
      </c>
      <c r="CQ203" s="74">
        <f t="shared" si="859"/>
        <v>537</v>
      </c>
      <c r="CR203" s="74">
        <f t="shared" si="860"/>
        <v>553</v>
      </c>
      <c r="CS203" s="23">
        <f t="shared" si="861"/>
        <v>1</v>
      </c>
    </row>
    <row r="204" spans="1:1029" x14ac:dyDescent="0.2">
      <c r="A204" s="3" t="str">
        <f t="shared" si="862"/>
        <v>smo_human_4JKV</v>
      </c>
      <c r="B204" s="3" t="s">
        <v>33</v>
      </c>
      <c r="C204" s="3" t="s">
        <v>86</v>
      </c>
      <c r="D204" s="3" t="str">
        <f>IFERROR(MID(VLOOKUP($B204,Seqs!$A:$B,2,0),E204,1),"")</f>
        <v>E</v>
      </c>
      <c r="E204" s="3">
        <v>224</v>
      </c>
      <c r="F204" s="3" t="str">
        <f>IFERROR(MID(VLOOKUP($B204,Seqs!$A:$B,2,0),G204,1),"")</f>
        <v>D</v>
      </c>
      <c r="G204" s="3">
        <v>255</v>
      </c>
      <c r="H204" s="3" t="str">
        <f>IFERROR(MID(VLOOKUP($B204,Seqs!$A:$B,2,0),I204,1),"")</f>
        <v>W</v>
      </c>
      <c r="I204" s="23">
        <v>256</v>
      </c>
      <c r="J204" s="3" t="str">
        <f>IFERROR(MID(VLOOKUP($B204,Seqs!$A:$B,2,0),K204,1),"")</f>
        <v>N</v>
      </c>
      <c r="K204" s="23">
        <v>260</v>
      </c>
      <c r="L204" s="3" t="str">
        <f>IFERROR(MID(VLOOKUP($B204,Seqs!$A:$B,2,0),M204,1),"")</f>
        <v>R</v>
      </c>
      <c r="M204" s="3">
        <v>261</v>
      </c>
      <c r="N204" s="3" t="str">
        <f>IFERROR(MID(VLOOKUP($B204,Seqs!$A:$B,2,0),O204,1),"")</f>
        <v>F</v>
      </c>
      <c r="O204" s="3">
        <v>285</v>
      </c>
      <c r="P204" s="3" t="str">
        <f>IFERROR(MID(VLOOKUP($B204,Seqs!$A:$B,2,0),Q204,1),"")</f>
        <v/>
      </c>
      <c r="Q204" s="3" t="s">
        <v>23</v>
      </c>
      <c r="R204" s="3" t="str">
        <f>IFERROR(MID(VLOOKUP($B204,Seqs!$A:$B,2,0),S204,1),"")</f>
        <v/>
      </c>
      <c r="S204" s="3" t="s">
        <v>23</v>
      </c>
      <c r="T204" s="3" t="str">
        <f>IFERROR(MID(VLOOKUP($B204,Seqs!$A:$B,2,0),U204,1),"")</f>
        <v>L</v>
      </c>
      <c r="U204" s="3">
        <v>312</v>
      </c>
      <c r="V204" s="3" t="str">
        <f>IFERROR(MID(VLOOKUP($B204,Seqs!$A:$B,2,0),W204,1),"")</f>
        <v>T</v>
      </c>
      <c r="W204" s="3">
        <v>348</v>
      </c>
      <c r="X204" s="3" t="str">
        <f>IFERROR(MID(VLOOKUP($B204,Seqs!$A:$B,2,0),Y204,1),"")</f>
        <v/>
      </c>
      <c r="Y204" s="3" t="s">
        <v>23</v>
      </c>
      <c r="Z204" s="3" t="str">
        <f>IFERROR(MID(VLOOKUP($B204,Seqs!$A:$B,2,0),AA204,1),"")</f>
        <v/>
      </c>
      <c r="AA204" s="3" t="s">
        <v>23</v>
      </c>
      <c r="AB204" s="3" t="str">
        <f>IFERROR(MID(VLOOKUP($B204,Seqs!$A:$B,2,0),AC204,1),"")</f>
        <v>F</v>
      </c>
      <c r="AC204" s="9">
        <v>360</v>
      </c>
      <c r="AD204" s="3" t="str">
        <f>IFERROR(MID(VLOOKUP($B204,Seqs!$A:$B,2,0),AE204,1),"")</f>
        <v>V</v>
      </c>
      <c r="AE204" s="3">
        <v>378</v>
      </c>
      <c r="AF204" s="3" t="str">
        <f>IFERROR(MID(VLOOKUP($B204,Seqs!$A:$B,2,0),AG204,1),"")</f>
        <v>C</v>
      </c>
      <c r="AG204" s="3">
        <v>390</v>
      </c>
      <c r="AH204" s="3" t="str">
        <f>IFERROR(MID(VLOOKUP($B204,Seqs!$A:$B,2,0),AI204,1),"")</f>
        <v>V</v>
      </c>
      <c r="AI204" s="3">
        <v>392</v>
      </c>
      <c r="AJ204" s="3" t="str">
        <f>IFERROR(MID(VLOOKUP($B204,Seqs!$A:$B,2,0),AK204,1),"")</f>
        <v>Y</v>
      </c>
      <c r="AK204" s="3">
        <v>397</v>
      </c>
      <c r="AL204" s="3" t="str">
        <f>IFERROR(MID(VLOOKUP($B204,Seqs!$A:$B,2,0),AM204,1),"")</f>
        <v>H</v>
      </c>
      <c r="AM204" s="3">
        <v>433</v>
      </c>
      <c r="AN204" s="3" t="str">
        <f>IFERROR(MID(VLOOKUP($B204,Seqs!$A:$B,2,0),AO204,1),"")</f>
        <v>A</v>
      </c>
      <c r="AO204" s="3">
        <v>442</v>
      </c>
      <c r="AP204" s="3" t="str">
        <f>IFERROR(MID(VLOOKUP($B204,Seqs!$A:$B,2,0),AQ204,1),"")</f>
        <v>N</v>
      </c>
      <c r="AQ204" s="3">
        <v>493</v>
      </c>
      <c r="AR204" s="3" t="str">
        <f>IFERROR(MID(VLOOKUP($B204,Seqs!$A:$B,2,0),AS204,1),"")</f>
        <v>L</v>
      </c>
      <c r="AS204" s="3">
        <v>515</v>
      </c>
      <c r="AT204" s="3" t="str">
        <f>IFERROR(MID(VLOOKUP($B204,Seqs!$A:$B,2,0),AU204,1),"")</f>
        <v>W</v>
      </c>
      <c r="AU204" s="3">
        <v>537</v>
      </c>
      <c r="AV204" s="3" t="str">
        <f>IFERROR(MID(VLOOKUP($B204,Seqs!$A:$B,2,0),AW204,1),"")</f>
        <v>T</v>
      </c>
      <c r="AW204" s="3">
        <v>538</v>
      </c>
      <c r="AX204" s="3" t="str">
        <f>IFERROR(MID(VLOOKUP($B204,Seqs!$A:$B,2,0),AY204,1),"")</f>
        <v>C</v>
      </c>
      <c r="AY204" s="3">
        <v>550</v>
      </c>
      <c r="AZ204" s="79" t="str">
        <f>VLOOKUP(B204,Classification!A:D,2,0)</f>
        <v>F</v>
      </c>
      <c r="BA204" s="97" t="str">
        <f>VLOOKUP(B204,Classification!A:D,4,0)</f>
        <v>Frizzled</v>
      </c>
      <c r="BB204" s="27" t="b">
        <f t="shared" si="863"/>
        <v>1</v>
      </c>
      <c r="BC204" s="23">
        <f t="shared" si="836"/>
        <v>248</v>
      </c>
      <c r="BD204" s="4" t="s">
        <v>23</v>
      </c>
      <c r="BE204" s="3" t="s">
        <v>1381</v>
      </c>
      <c r="BF204" s="50" t="s">
        <v>1384</v>
      </c>
      <c r="BG204" s="50" t="s">
        <v>1384</v>
      </c>
      <c r="BI204" s="72" t="s">
        <v>1293</v>
      </c>
      <c r="BJ204" s="58" t="s">
        <v>1293</v>
      </c>
      <c r="BK204" s="58" t="s">
        <v>1293</v>
      </c>
      <c r="BL204" s="58" t="s">
        <v>1293</v>
      </c>
      <c r="BM204" s="58" t="s">
        <v>1293</v>
      </c>
      <c r="BN204" s="58" t="s">
        <v>1293</v>
      </c>
      <c r="BO204" s="58" t="s">
        <v>1293</v>
      </c>
      <c r="BP204" s="58" t="s">
        <v>1293</v>
      </c>
      <c r="BQ204" s="58" t="s">
        <v>1293</v>
      </c>
      <c r="BR204" s="58" t="s">
        <v>1293</v>
      </c>
      <c r="BS204" s="58" t="s">
        <v>1293</v>
      </c>
      <c r="BT204" s="58" t="s">
        <v>1293</v>
      </c>
      <c r="BU204" s="72">
        <f t="shared" si="837"/>
        <v>224</v>
      </c>
      <c r="BV204" s="73">
        <f t="shared" si="838"/>
        <v>256</v>
      </c>
      <c r="BW204" s="74">
        <f t="shared" si="839"/>
        <v>261</v>
      </c>
      <c r="BX204" s="73" t="str">
        <f t="shared" si="840"/>
        <v>-</v>
      </c>
      <c r="BY204" s="74">
        <f t="shared" si="841"/>
        <v>312</v>
      </c>
      <c r="BZ204" s="73" t="str">
        <f t="shared" si="842"/>
        <v>-</v>
      </c>
      <c r="CA204" s="74">
        <f t="shared" si="843"/>
        <v>360</v>
      </c>
      <c r="CB204" s="73">
        <f t="shared" si="844"/>
        <v>390</v>
      </c>
      <c r="CC204" s="74">
        <f t="shared" si="845"/>
        <v>397</v>
      </c>
      <c r="CD204" s="73">
        <f t="shared" si="846"/>
        <v>442</v>
      </c>
      <c r="CE204" s="74">
        <f t="shared" si="847"/>
        <v>515</v>
      </c>
      <c r="CF204" s="73">
        <f t="shared" si="848"/>
        <v>538</v>
      </c>
      <c r="CG204" s="72">
        <f t="shared" si="849"/>
        <v>255</v>
      </c>
      <c r="CH204" s="73">
        <f t="shared" si="850"/>
        <v>260</v>
      </c>
      <c r="CI204" s="74">
        <f t="shared" si="851"/>
        <v>285</v>
      </c>
      <c r="CJ204" s="74" t="str">
        <f t="shared" si="852"/>
        <v>-</v>
      </c>
      <c r="CK204" s="74">
        <f t="shared" si="853"/>
        <v>348</v>
      </c>
      <c r="CL204" s="74" t="str">
        <f t="shared" si="854"/>
        <v>-</v>
      </c>
      <c r="CM204" s="74">
        <f t="shared" si="855"/>
        <v>378</v>
      </c>
      <c r="CN204" s="74">
        <f t="shared" si="856"/>
        <v>392</v>
      </c>
      <c r="CO204" s="74">
        <f t="shared" si="857"/>
        <v>433</v>
      </c>
      <c r="CP204" s="74">
        <f t="shared" si="858"/>
        <v>493</v>
      </c>
      <c r="CQ204" s="74">
        <f t="shared" si="859"/>
        <v>537</v>
      </c>
      <c r="CR204" s="74">
        <f t="shared" si="860"/>
        <v>550</v>
      </c>
      <c r="CS204" s="23">
        <f t="shared" si="861"/>
        <v>1</v>
      </c>
    </row>
    <row r="205" spans="1:1029" x14ac:dyDescent="0.2">
      <c r="A205" s="3" t="str">
        <f t="shared" si="862"/>
        <v>smo_human_4N4W</v>
      </c>
      <c r="B205" s="3" t="s">
        <v>33</v>
      </c>
      <c r="C205" s="3" t="s">
        <v>1048</v>
      </c>
      <c r="D205" s="3" t="str">
        <f>IFERROR(MID(VLOOKUP($B205,Seqs!$A:$B,2,0),E205,1),"")</f>
        <v>E</v>
      </c>
      <c r="E205" s="3">
        <v>224</v>
      </c>
      <c r="F205" s="3" t="str">
        <f>IFERROR(MID(VLOOKUP($B205,Seqs!$A:$B,2,0),G205,1),"")</f>
        <v>D</v>
      </c>
      <c r="G205" s="3">
        <v>255</v>
      </c>
      <c r="H205" s="3" t="str">
        <f>IFERROR(MID(VLOOKUP($B205,Seqs!$A:$B,2,0),I205,1),"")</f>
        <v>W</v>
      </c>
      <c r="I205" s="23">
        <v>256</v>
      </c>
      <c r="J205" s="3" t="str">
        <f>IFERROR(MID(VLOOKUP($B205,Seqs!$A:$B,2,0),K205,1),"")</f>
        <v>N</v>
      </c>
      <c r="K205" s="23">
        <v>260</v>
      </c>
      <c r="L205" s="3" t="str">
        <f>IFERROR(MID(VLOOKUP($B205,Seqs!$A:$B,2,0),M205,1),"")</f>
        <v>R</v>
      </c>
      <c r="M205" s="3">
        <v>261</v>
      </c>
      <c r="N205" s="3" t="str">
        <f>IFERROR(MID(VLOOKUP($B205,Seqs!$A:$B,2,0),O205,1),"")</f>
        <v>F</v>
      </c>
      <c r="O205" s="3">
        <v>285</v>
      </c>
      <c r="P205" s="3" t="str">
        <f>IFERROR(MID(VLOOKUP($B205,Seqs!$A:$B,2,0),Q205,1),"")</f>
        <v/>
      </c>
      <c r="Q205" s="3" t="s">
        <v>23</v>
      </c>
      <c r="R205" s="3" t="str">
        <f>IFERROR(MID(VLOOKUP($B205,Seqs!$A:$B,2,0),S205,1),"")</f>
        <v/>
      </c>
      <c r="S205" s="3" t="s">
        <v>23</v>
      </c>
      <c r="T205" s="3" t="str">
        <f>IFERROR(MID(VLOOKUP($B205,Seqs!$A:$B,2,0),U205,1),"")</f>
        <v>L</v>
      </c>
      <c r="U205" s="3">
        <v>312</v>
      </c>
      <c r="V205" s="3" t="str">
        <f>IFERROR(MID(VLOOKUP($B205,Seqs!$A:$B,2,0),W205,1),"")</f>
        <v>A</v>
      </c>
      <c r="W205" s="3">
        <v>345</v>
      </c>
      <c r="X205" s="3" t="str">
        <f>IFERROR(MID(VLOOKUP($B205,Seqs!$A:$B,2,0),Y205,1),"")</f>
        <v/>
      </c>
      <c r="Y205" s="3" t="s">
        <v>23</v>
      </c>
      <c r="Z205" s="3" t="str">
        <f>IFERROR(MID(VLOOKUP($B205,Seqs!$A:$B,2,0),AA205,1),"")</f>
        <v/>
      </c>
      <c r="AA205" s="3" t="s">
        <v>23</v>
      </c>
      <c r="AB205" s="3" t="str">
        <f>IFERROR(MID(VLOOKUP($B205,Seqs!$A:$B,2,0),AC205,1),"")</f>
        <v>K</v>
      </c>
      <c r="AC205" s="9">
        <v>356</v>
      </c>
      <c r="AD205" s="3" t="str">
        <f>IFERROR(MID(VLOOKUP($B205,Seqs!$A:$B,2,0),AE205,1),"")</f>
        <v>V</v>
      </c>
      <c r="AE205" s="3">
        <v>378</v>
      </c>
      <c r="AF205" s="3" t="str">
        <f>IFERROR(MID(VLOOKUP($B205,Seqs!$A:$B,2,0),AG205,1),"")</f>
        <v>C</v>
      </c>
      <c r="AG205" s="3">
        <v>390</v>
      </c>
      <c r="AH205" s="3" t="str">
        <f>IFERROR(MID(VLOOKUP($B205,Seqs!$A:$B,2,0),AI205,1),"")</f>
        <v>V</v>
      </c>
      <c r="AI205" s="3">
        <v>392</v>
      </c>
      <c r="AJ205" s="3" t="str">
        <f>IFERROR(MID(VLOOKUP($B205,Seqs!$A:$B,2,0),AK205,1),"")</f>
        <v>Y</v>
      </c>
      <c r="AK205" s="3">
        <v>397</v>
      </c>
      <c r="AL205" s="3" t="str">
        <f>IFERROR(MID(VLOOKUP($B205,Seqs!$A:$B,2,0),AM205,1),"")</f>
        <v>H</v>
      </c>
      <c r="AM205" s="3">
        <v>433</v>
      </c>
      <c r="AN205" s="3" t="str">
        <f>IFERROR(MID(VLOOKUP($B205,Seqs!$A:$B,2,0),AO205,1),"")</f>
        <v>S</v>
      </c>
      <c r="AO205" s="3">
        <v>443</v>
      </c>
      <c r="AP205" s="3" t="str">
        <f>IFERROR(MID(VLOOKUP($B205,Seqs!$A:$B,2,0),AQ205,1),"")</f>
        <v>Q</v>
      </c>
      <c r="AQ205" s="3">
        <v>491</v>
      </c>
      <c r="AR205" s="3" t="str">
        <f>IFERROR(MID(VLOOKUP($B205,Seqs!$A:$B,2,0),AS205,1),"")</f>
        <v>L</v>
      </c>
      <c r="AS205" s="3">
        <v>515</v>
      </c>
      <c r="AT205" s="3" t="str">
        <f>IFERROR(MID(VLOOKUP($B205,Seqs!$A:$B,2,0),AU205,1),"")</f>
        <v>W</v>
      </c>
      <c r="AU205" s="3">
        <v>537</v>
      </c>
      <c r="AV205" s="3" t="str">
        <f>IFERROR(MID(VLOOKUP($B205,Seqs!$A:$B,2,0),AW205,1),"")</f>
        <v>T</v>
      </c>
      <c r="AW205" s="3">
        <v>538</v>
      </c>
      <c r="AX205" s="3" t="str">
        <f>IFERROR(MID(VLOOKUP($B205,Seqs!$A:$B,2,0),AY205,1),"")</f>
        <v>L</v>
      </c>
      <c r="AY205" s="3">
        <v>552</v>
      </c>
      <c r="AZ205" s="79" t="str">
        <f>VLOOKUP(B205,Classification!A:D,2,0)</f>
        <v>F</v>
      </c>
      <c r="BA205" s="97" t="str">
        <f>VLOOKUP(B205,Classification!A:D,4,0)</f>
        <v>Frizzled</v>
      </c>
      <c r="BB205" s="27" t="b">
        <f t="shared" si="863"/>
        <v>1</v>
      </c>
      <c r="BC205" s="23">
        <f t="shared" si="836"/>
        <v>248</v>
      </c>
      <c r="BD205" s="2" t="s">
        <v>1383</v>
      </c>
      <c r="BE205" s="3" t="s">
        <v>1381</v>
      </c>
      <c r="BF205" s="50" t="s">
        <v>1384</v>
      </c>
      <c r="BG205" s="50" t="s">
        <v>1384</v>
      </c>
      <c r="BI205" s="72" t="s">
        <v>1293</v>
      </c>
      <c r="BJ205" s="58" t="s">
        <v>1293</v>
      </c>
      <c r="BK205" s="58" t="s">
        <v>1293</v>
      </c>
      <c r="BL205" s="58" t="s">
        <v>1293</v>
      </c>
      <c r="BM205" s="58" t="s">
        <v>1293</v>
      </c>
      <c r="BN205" s="58" t="s">
        <v>1293</v>
      </c>
      <c r="BO205" s="58" t="s">
        <v>1293</v>
      </c>
      <c r="BP205" s="58" t="s">
        <v>1293</v>
      </c>
      <c r="BQ205" s="58" t="s">
        <v>1293</v>
      </c>
      <c r="BR205" s="58" t="s">
        <v>1293</v>
      </c>
      <c r="BS205" s="58" t="s">
        <v>1293</v>
      </c>
      <c r="BT205" s="58" t="s">
        <v>1293</v>
      </c>
      <c r="BU205" s="72">
        <f t="shared" si="837"/>
        <v>224</v>
      </c>
      <c r="BV205" s="73">
        <f t="shared" si="838"/>
        <v>256</v>
      </c>
      <c r="BW205" s="74">
        <f t="shared" si="839"/>
        <v>261</v>
      </c>
      <c r="BX205" s="73" t="str">
        <f t="shared" si="840"/>
        <v>-</v>
      </c>
      <c r="BY205" s="74">
        <f t="shared" si="841"/>
        <v>312</v>
      </c>
      <c r="BZ205" s="73" t="str">
        <f t="shared" si="842"/>
        <v>-</v>
      </c>
      <c r="CA205" s="74">
        <f t="shared" si="843"/>
        <v>356</v>
      </c>
      <c r="CB205" s="73">
        <f t="shared" si="844"/>
        <v>390</v>
      </c>
      <c r="CC205" s="74">
        <f t="shared" si="845"/>
        <v>397</v>
      </c>
      <c r="CD205" s="73">
        <f t="shared" si="846"/>
        <v>443</v>
      </c>
      <c r="CE205" s="74">
        <f t="shared" si="847"/>
        <v>515</v>
      </c>
      <c r="CF205" s="73">
        <f t="shared" si="848"/>
        <v>538</v>
      </c>
      <c r="CG205" s="72">
        <f t="shared" si="849"/>
        <v>255</v>
      </c>
      <c r="CH205" s="73">
        <f t="shared" si="850"/>
        <v>260</v>
      </c>
      <c r="CI205" s="74">
        <f t="shared" si="851"/>
        <v>285</v>
      </c>
      <c r="CJ205" s="74" t="str">
        <f t="shared" si="852"/>
        <v>-</v>
      </c>
      <c r="CK205" s="74">
        <f t="shared" si="853"/>
        <v>345</v>
      </c>
      <c r="CL205" s="74" t="str">
        <f t="shared" si="854"/>
        <v>-</v>
      </c>
      <c r="CM205" s="74">
        <f t="shared" si="855"/>
        <v>378</v>
      </c>
      <c r="CN205" s="74">
        <f t="shared" si="856"/>
        <v>392</v>
      </c>
      <c r="CO205" s="74">
        <f t="shared" si="857"/>
        <v>433</v>
      </c>
      <c r="CP205" s="74">
        <f t="shared" si="858"/>
        <v>491</v>
      </c>
      <c r="CQ205" s="74">
        <f t="shared" si="859"/>
        <v>537</v>
      </c>
      <c r="CR205" s="74">
        <f t="shared" si="860"/>
        <v>552</v>
      </c>
      <c r="CS205" s="23">
        <f t="shared" si="861"/>
        <v>1</v>
      </c>
    </row>
    <row r="206" spans="1:1029" x14ac:dyDescent="0.2">
      <c r="A206" s="3" t="str">
        <f t="shared" si="862"/>
        <v>smo_human_4O9R</v>
      </c>
      <c r="B206" s="3" t="s">
        <v>33</v>
      </c>
      <c r="C206" s="3" t="s">
        <v>1050</v>
      </c>
      <c r="D206" s="3" t="str">
        <f>IFERROR(MID(VLOOKUP($B206,Seqs!$A:$B,2,0),E206,1),"")</f>
        <v>E</v>
      </c>
      <c r="E206" s="3">
        <v>224</v>
      </c>
      <c r="F206" s="3" t="str">
        <f>IFERROR(MID(VLOOKUP($B206,Seqs!$A:$B,2,0),G206,1),"")</f>
        <v>D</v>
      </c>
      <c r="G206" s="3">
        <v>255</v>
      </c>
      <c r="H206" s="3" t="str">
        <f>IFERROR(MID(VLOOKUP($B206,Seqs!$A:$B,2,0),I206,1),"")</f>
        <v>W</v>
      </c>
      <c r="I206" s="23">
        <v>256</v>
      </c>
      <c r="J206" s="3" t="str">
        <f>IFERROR(MID(VLOOKUP($B206,Seqs!$A:$B,2,0),K206,1),"")</f>
        <v>N</v>
      </c>
      <c r="K206" s="23">
        <v>260</v>
      </c>
      <c r="L206" s="3" t="str">
        <f>IFERROR(MID(VLOOKUP($B206,Seqs!$A:$B,2,0),M206,1),"")</f>
        <v>R</v>
      </c>
      <c r="M206" s="3">
        <v>261</v>
      </c>
      <c r="N206" s="3" t="str">
        <f>IFERROR(MID(VLOOKUP($B206,Seqs!$A:$B,2,0),O206,1),"")</f>
        <v>F</v>
      </c>
      <c r="O206" s="3">
        <v>285</v>
      </c>
      <c r="P206" s="3" t="str">
        <f>IFERROR(MID(VLOOKUP($B206,Seqs!$A:$B,2,0),Q206,1),"")</f>
        <v/>
      </c>
      <c r="Q206" s="3" t="s">
        <v>23</v>
      </c>
      <c r="R206" s="3" t="str">
        <f>IFERROR(MID(VLOOKUP($B206,Seqs!$A:$B,2,0),S206,1),"")</f>
        <v/>
      </c>
      <c r="S206" s="3" t="s">
        <v>23</v>
      </c>
      <c r="T206" s="3" t="str">
        <f>IFERROR(MID(VLOOKUP($B206,Seqs!$A:$B,2,0),U206,1),"")</f>
        <v>L</v>
      </c>
      <c r="U206" s="3">
        <v>312</v>
      </c>
      <c r="V206" s="3" t="str">
        <f>IFERROR(MID(VLOOKUP($B206,Seqs!$A:$B,2,0),W206,1),"")</f>
        <v>F</v>
      </c>
      <c r="W206" s="3">
        <v>343</v>
      </c>
      <c r="X206" s="3" t="str">
        <f>IFERROR(MID(VLOOKUP($B206,Seqs!$A:$B,2,0),Y206,1),"")</f>
        <v/>
      </c>
      <c r="Y206" s="3" t="s">
        <v>23</v>
      </c>
      <c r="Z206" s="3" t="str">
        <f>IFERROR(MID(VLOOKUP($B206,Seqs!$A:$B,2,0),AA206,1),"")</f>
        <v/>
      </c>
      <c r="AA206" s="3" t="s">
        <v>23</v>
      </c>
      <c r="AB206" s="3" t="str">
        <f>IFERROR(MID(VLOOKUP($B206,Seqs!$A:$B,2,0),AC206,1),"")</f>
        <v>F</v>
      </c>
      <c r="AC206" s="9">
        <v>360</v>
      </c>
      <c r="AD206" s="3" t="str">
        <f>IFERROR(MID(VLOOKUP($B206,Seqs!$A:$B,2,0),AE206,1),"")</f>
        <v>V</v>
      </c>
      <c r="AE206" s="3">
        <v>378</v>
      </c>
      <c r="AF206" s="3" t="str">
        <f>IFERROR(MID(VLOOKUP($B206,Seqs!$A:$B,2,0),AG206,1),"")</f>
        <v>C</v>
      </c>
      <c r="AG206" s="3">
        <v>390</v>
      </c>
      <c r="AH206" s="3" t="str">
        <f>IFERROR(MID(VLOOKUP($B206,Seqs!$A:$B,2,0),AI206,1),"")</f>
        <v>V</v>
      </c>
      <c r="AI206" s="3">
        <v>392</v>
      </c>
      <c r="AJ206" s="3" t="str">
        <f>IFERROR(MID(VLOOKUP($B206,Seqs!$A:$B,2,0),AK206,1),"")</f>
        <v>Y</v>
      </c>
      <c r="AK206" s="3">
        <v>397</v>
      </c>
      <c r="AL206" s="3" t="str">
        <f>IFERROR(MID(VLOOKUP($B206,Seqs!$A:$B,2,0),AM206,1),"")</f>
        <v>H</v>
      </c>
      <c r="AM206" s="3">
        <v>433</v>
      </c>
      <c r="AN206" s="3" t="str">
        <f>IFERROR(MID(VLOOKUP($B206,Seqs!$A:$B,2,0),AO206,1),"")</f>
        <v>E</v>
      </c>
      <c r="AO206" s="3">
        <v>447</v>
      </c>
      <c r="AP206" s="3" t="str">
        <f>IFERROR(MID(VLOOKUP($B206,Seqs!$A:$B,2,0),AQ206,1),"")</f>
        <v>N</v>
      </c>
      <c r="AQ206" s="3">
        <v>493</v>
      </c>
      <c r="AR206" s="3" t="str">
        <f>IFERROR(MID(VLOOKUP($B206,Seqs!$A:$B,2,0),AS206,1),"")</f>
        <v>L</v>
      </c>
      <c r="AS206" s="3">
        <v>515</v>
      </c>
      <c r="AT206" s="3" t="str">
        <f>IFERROR(MID(VLOOKUP($B206,Seqs!$A:$B,2,0),AU206,1),"")</f>
        <v>W</v>
      </c>
      <c r="AU206" s="3">
        <v>537</v>
      </c>
      <c r="AV206" s="3" t="str">
        <f>IFERROR(MID(VLOOKUP($B206,Seqs!$A:$B,2,0),AW206,1),"")</f>
        <v>T</v>
      </c>
      <c r="AW206" s="3">
        <v>538</v>
      </c>
      <c r="AX206" s="3" t="str">
        <f>IFERROR(MID(VLOOKUP($B206,Seqs!$A:$B,2,0),AY206,1),"")</f>
        <v>W</v>
      </c>
      <c r="AY206" s="3">
        <v>549</v>
      </c>
      <c r="AZ206" s="80" t="str">
        <f>VLOOKUP(B206,Classification!A:D,2,0)</f>
        <v>F</v>
      </c>
      <c r="BA206" s="97" t="str">
        <f>VLOOKUP(B206,Classification!A:D,4,0)</f>
        <v>Frizzled</v>
      </c>
      <c r="BB206" s="94" t="b">
        <f t="shared" si="863"/>
        <v>1</v>
      </c>
      <c r="BC206" s="23">
        <f t="shared" si="836"/>
        <v>237</v>
      </c>
      <c r="BD206" s="76" t="s">
        <v>23</v>
      </c>
      <c r="BE206" s="3" t="s">
        <v>1381</v>
      </c>
      <c r="BF206" s="50" t="s">
        <v>1384</v>
      </c>
      <c r="BG206" s="50" t="s">
        <v>1384</v>
      </c>
      <c r="BI206" s="77" t="s">
        <v>1293</v>
      </c>
      <c r="BJ206" s="58" t="s">
        <v>1293</v>
      </c>
      <c r="BK206" s="58" t="s">
        <v>1293</v>
      </c>
      <c r="BL206" s="58" t="s">
        <v>1293</v>
      </c>
      <c r="BM206" s="58" t="s">
        <v>1293</v>
      </c>
      <c r="BN206" s="58" t="s">
        <v>1293</v>
      </c>
      <c r="BO206" s="58" t="s">
        <v>1293</v>
      </c>
      <c r="BP206" s="58" t="s">
        <v>1293</v>
      </c>
      <c r="BQ206" s="58" t="s">
        <v>1293</v>
      </c>
      <c r="BR206" s="58" t="s">
        <v>1293</v>
      </c>
      <c r="BS206" s="58" t="s">
        <v>1293</v>
      </c>
      <c r="BT206" s="58" t="s">
        <v>1293</v>
      </c>
      <c r="BU206" s="77">
        <f t="shared" si="837"/>
        <v>224</v>
      </c>
      <c r="BV206" s="73">
        <f t="shared" si="838"/>
        <v>256</v>
      </c>
      <c r="BW206" s="74">
        <f t="shared" si="839"/>
        <v>261</v>
      </c>
      <c r="BX206" s="73" t="str">
        <f t="shared" si="840"/>
        <v>-</v>
      </c>
      <c r="BY206" s="74">
        <f t="shared" si="841"/>
        <v>312</v>
      </c>
      <c r="BZ206" s="73" t="str">
        <f t="shared" si="842"/>
        <v>-</v>
      </c>
      <c r="CA206" s="74">
        <f t="shared" si="843"/>
        <v>360</v>
      </c>
      <c r="CB206" s="73">
        <f t="shared" si="844"/>
        <v>390</v>
      </c>
      <c r="CC206" s="74">
        <f t="shared" si="845"/>
        <v>397</v>
      </c>
      <c r="CD206" s="73">
        <f t="shared" si="846"/>
        <v>447</v>
      </c>
      <c r="CE206" s="74">
        <f t="shared" si="847"/>
        <v>515</v>
      </c>
      <c r="CF206" s="73">
        <f t="shared" si="848"/>
        <v>538</v>
      </c>
      <c r="CG206" s="77">
        <f t="shared" si="849"/>
        <v>255</v>
      </c>
      <c r="CH206" s="73">
        <f t="shared" si="850"/>
        <v>260</v>
      </c>
      <c r="CI206" s="74">
        <f t="shared" si="851"/>
        <v>285</v>
      </c>
      <c r="CJ206" s="74" t="str">
        <f t="shared" si="852"/>
        <v>-</v>
      </c>
      <c r="CK206" s="74">
        <f t="shared" si="853"/>
        <v>343</v>
      </c>
      <c r="CL206" s="74" t="str">
        <f t="shared" si="854"/>
        <v>-</v>
      </c>
      <c r="CM206" s="74">
        <f t="shared" si="855"/>
        <v>378</v>
      </c>
      <c r="CN206" s="74">
        <f t="shared" si="856"/>
        <v>392</v>
      </c>
      <c r="CO206" s="74">
        <f t="shared" si="857"/>
        <v>433</v>
      </c>
      <c r="CP206" s="74">
        <f t="shared" si="858"/>
        <v>493</v>
      </c>
      <c r="CQ206" s="74">
        <f t="shared" si="859"/>
        <v>537</v>
      </c>
      <c r="CR206" s="74">
        <f t="shared" si="860"/>
        <v>549</v>
      </c>
      <c r="CS206" s="23">
        <f t="shared" si="861"/>
        <v>1</v>
      </c>
    </row>
    <row r="207" spans="1:1029" s="6" customFormat="1" x14ac:dyDescent="0.2">
      <c r="A207" s="3" t="str">
        <f t="shared" si="862"/>
        <v>smo_human_4QIM</v>
      </c>
      <c r="B207" s="3" t="s">
        <v>33</v>
      </c>
      <c r="C207" s="3" t="s">
        <v>1052</v>
      </c>
      <c r="D207" s="3" t="str">
        <f>IFERROR(MID(VLOOKUP($B207,Seqs!$A:$B,2,0),E207,1),"")</f>
        <v>E</v>
      </c>
      <c r="E207" s="3">
        <v>224</v>
      </c>
      <c r="F207" s="3" t="str">
        <f>IFERROR(MID(VLOOKUP($B207,Seqs!$A:$B,2,0),G207,1),"")</f>
        <v>D</v>
      </c>
      <c r="G207" s="3">
        <v>255</v>
      </c>
      <c r="H207" s="3" t="str">
        <f>IFERROR(MID(VLOOKUP($B207,Seqs!$A:$B,2,0),I207,1),"")</f>
        <v>W</v>
      </c>
      <c r="I207" s="23">
        <v>256</v>
      </c>
      <c r="J207" s="3" t="str">
        <f>IFERROR(MID(VLOOKUP($B207,Seqs!$A:$B,2,0),K207,1),"")</f>
        <v>N</v>
      </c>
      <c r="K207" s="23">
        <v>260</v>
      </c>
      <c r="L207" s="3" t="str">
        <f>IFERROR(MID(VLOOKUP($B207,Seqs!$A:$B,2,0),M207,1),"")</f>
        <v>R</v>
      </c>
      <c r="M207" s="3">
        <v>261</v>
      </c>
      <c r="N207" s="3" t="str">
        <f>IFERROR(MID(VLOOKUP($B207,Seqs!$A:$B,2,0),O207,1),"")</f>
        <v>F</v>
      </c>
      <c r="O207" s="3">
        <v>285</v>
      </c>
      <c r="P207" s="3" t="str">
        <f>IFERROR(MID(VLOOKUP($B207,Seqs!$A:$B,2,0),Q207,1),"")</f>
        <v/>
      </c>
      <c r="Q207" s="3" t="s">
        <v>23</v>
      </c>
      <c r="R207" s="3" t="str">
        <f>IFERROR(MID(VLOOKUP($B207,Seqs!$A:$B,2,0),S207,1),"")</f>
        <v/>
      </c>
      <c r="S207" s="3" t="s">
        <v>23</v>
      </c>
      <c r="T207" s="3" t="str">
        <f>IFERROR(MID(VLOOKUP($B207,Seqs!$A:$B,2,0),U207,1),"")</f>
        <v>L</v>
      </c>
      <c r="U207" s="3">
        <v>312</v>
      </c>
      <c r="V207" s="3" t="str">
        <f>IFERROR(MID(VLOOKUP($B207,Seqs!$A:$B,2,0),W207,1),"")</f>
        <v>A</v>
      </c>
      <c r="W207" s="3">
        <v>345</v>
      </c>
      <c r="X207" s="3" t="str">
        <f>IFERROR(MID(VLOOKUP($B207,Seqs!$A:$B,2,0),Y207,1),"")</f>
        <v/>
      </c>
      <c r="Y207" s="3" t="s">
        <v>23</v>
      </c>
      <c r="Z207" s="3" t="str">
        <f>IFERROR(MID(VLOOKUP($B207,Seqs!$A:$B,2,0),AA207,1),"")</f>
        <v/>
      </c>
      <c r="AA207" s="3" t="s">
        <v>23</v>
      </c>
      <c r="AB207" s="3" t="str">
        <f>IFERROR(MID(VLOOKUP($B207,Seqs!$A:$B,2,0),AC207,1),"")</f>
        <v>K</v>
      </c>
      <c r="AC207" s="9">
        <v>356</v>
      </c>
      <c r="AD207" s="3" t="str">
        <f>IFERROR(MID(VLOOKUP($B207,Seqs!$A:$B,2,0),AE207,1),"")</f>
        <v>V</v>
      </c>
      <c r="AE207" s="3">
        <v>378</v>
      </c>
      <c r="AF207" s="3" t="str">
        <f>IFERROR(MID(VLOOKUP($B207,Seqs!$A:$B,2,0),AG207,1),"")</f>
        <v>C</v>
      </c>
      <c r="AG207" s="3">
        <v>390</v>
      </c>
      <c r="AH207" s="3" t="str">
        <f>IFERROR(MID(VLOOKUP($B207,Seqs!$A:$B,2,0),AI207,1),"")</f>
        <v>V</v>
      </c>
      <c r="AI207" s="3">
        <v>392</v>
      </c>
      <c r="AJ207" s="3" t="str">
        <f>IFERROR(MID(VLOOKUP($B207,Seqs!$A:$B,2,0),AK207,1),"")</f>
        <v>Y</v>
      </c>
      <c r="AK207" s="3">
        <v>397</v>
      </c>
      <c r="AL207" s="3" t="str">
        <f>IFERROR(MID(VLOOKUP($B207,Seqs!$A:$B,2,0),AM207,1),"")</f>
        <v>H</v>
      </c>
      <c r="AM207" s="3">
        <v>433</v>
      </c>
      <c r="AN207" s="3" t="str">
        <f>IFERROR(MID(VLOOKUP($B207,Seqs!$A:$B,2,0),AO207,1),"")</f>
        <v>E</v>
      </c>
      <c r="AO207" s="3">
        <v>447</v>
      </c>
      <c r="AP207" s="3" t="str">
        <f>IFERROR(MID(VLOOKUP($B207,Seqs!$A:$B,2,0),AQ207,1),"")</f>
        <v>N</v>
      </c>
      <c r="AQ207" s="3">
        <v>493</v>
      </c>
      <c r="AR207" s="3" t="str">
        <f>IFERROR(MID(VLOOKUP($B207,Seqs!$A:$B,2,0),AS207,1),"")</f>
        <v>L</v>
      </c>
      <c r="AS207" s="3">
        <v>515</v>
      </c>
      <c r="AT207" s="3" t="str">
        <f>IFERROR(MID(VLOOKUP($B207,Seqs!$A:$B,2,0),AU207,1),"")</f>
        <v>W</v>
      </c>
      <c r="AU207" s="3">
        <v>537</v>
      </c>
      <c r="AV207" s="3" t="str">
        <f>IFERROR(MID(VLOOKUP($B207,Seqs!$A:$B,2,0),AW207,1),"")</f>
        <v>T</v>
      </c>
      <c r="AW207" s="3">
        <v>538</v>
      </c>
      <c r="AX207" s="3" t="str">
        <f>IFERROR(MID(VLOOKUP($B207,Seqs!$A:$B,2,0),AY207,1),"")</f>
        <v>T</v>
      </c>
      <c r="AY207" s="3">
        <v>553</v>
      </c>
      <c r="AZ207" s="80" t="str">
        <f>VLOOKUP(B207,Classification!A:D,2,0)</f>
        <v>F</v>
      </c>
      <c r="BA207" s="97" t="str">
        <f>VLOOKUP(B207,Classification!A:D,4,0)</f>
        <v>Frizzled</v>
      </c>
      <c r="BB207" s="94" t="b">
        <f t="shared" si="863"/>
        <v>1</v>
      </c>
      <c r="BC207" s="23">
        <f t="shared" si="836"/>
        <v>247</v>
      </c>
      <c r="BD207" s="76" t="s">
        <v>23</v>
      </c>
      <c r="BE207" s="3" t="s">
        <v>1381</v>
      </c>
      <c r="BF207" s="50" t="s">
        <v>1384</v>
      </c>
      <c r="BG207" s="50" t="s">
        <v>1384</v>
      </c>
      <c r="BH207" s="3"/>
      <c r="BI207" s="77" t="s">
        <v>1293</v>
      </c>
      <c r="BJ207" s="58" t="s">
        <v>1293</v>
      </c>
      <c r="BK207" s="58" t="s">
        <v>1293</v>
      </c>
      <c r="BL207" s="58" t="s">
        <v>1293</v>
      </c>
      <c r="BM207" s="58" t="s">
        <v>1293</v>
      </c>
      <c r="BN207" s="58" t="s">
        <v>1293</v>
      </c>
      <c r="BO207" s="58" t="s">
        <v>1293</v>
      </c>
      <c r="BP207" s="58" t="s">
        <v>1293</v>
      </c>
      <c r="BQ207" s="58" t="s">
        <v>1293</v>
      </c>
      <c r="BR207" s="58" t="s">
        <v>1293</v>
      </c>
      <c r="BS207" s="58" t="s">
        <v>1293</v>
      </c>
      <c r="BT207" s="58" t="s">
        <v>1293</v>
      </c>
      <c r="BU207" s="77">
        <f t="shared" si="837"/>
        <v>224</v>
      </c>
      <c r="BV207" s="73">
        <f t="shared" si="838"/>
        <v>256</v>
      </c>
      <c r="BW207" s="74">
        <f t="shared" si="839"/>
        <v>261</v>
      </c>
      <c r="BX207" s="73" t="str">
        <f t="shared" si="840"/>
        <v>-</v>
      </c>
      <c r="BY207" s="74">
        <f t="shared" si="841"/>
        <v>312</v>
      </c>
      <c r="BZ207" s="73" t="str">
        <f t="shared" si="842"/>
        <v>-</v>
      </c>
      <c r="CA207" s="74">
        <f t="shared" si="843"/>
        <v>356</v>
      </c>
      <c r="CB207" s="73">
        <f t="shared" si="844"/>
        <v>390</v>
      </c>
      <c r="CC207" s="74">
        <f t="shared" si="845"/>
        <v>397</v>
      </c>
      <c r="CD207" s="73">
        <f t="shared" si="846"/>
        <v>447</v>
      </c>
      <c r="CE207" s="74">
        <f t="shared" si="847"/>
        <v>515</v>
      </c>
      <c r="CF207" s="73">
        <f t="shared" si="848"/>
        <v>538</v>
      </c>
      <c r="CG207" s="77">
        <f t="shared" si="849"/>
        <v>255</v>
      </c>
      <c r="CH207" s="73">
        <f t="shared" si="850"/>
        <v>260</v>
      </c>
      <c r="CI207" s="74">
        <f t="shared" si="851"/>
        <v>285</v>
      </c>
      <c r="CJ207" s="74" t="str">
        <f t="shared" si="852"/>
        <v>-</v>
      </c>
      <c r="CK207" s="74">
        <f t="shared" si="853"/>
        <v>345</v>
      </c>
      <c r="CL207" s="74" t="str">
        <f t="shared" si="854"/>
        <v>-</v>
      </c>
      <c r="CM207" s="74">
        <f t="shared" si="855"/>
        <v>378</v>
      </c>
      <c r="CN207" s="74">
        <f t="shared" si="856"/>
        <v>392</v>
      </c>
      <c r="CO207" s="74">
        <f t="shared" si="857"/>
        <v>433</v>
      </c>
      <c r="CP207" s="74">
        <f t="shared" si="858"/>
        <v>493</v>
      </c>
      <c r="CQ207" s="74">
        <f t="shared" si="859"/>
        <v>537</v>
      </c>
      <c r="CR207" s="74">
        <f t="shared" si="860"/>
        <v>553</v>
      </c>
      <c r="CS207" s="23">
        <f t="shared" si="861"/>
        <v>1</v>
      </c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  <c r="ALL207" s="3"/>
      <c r="ALM207" s="3"/>
      <c r="ALN207" s="3"/>
      <c r="ALO207" s="3"/>
      <c r="ALP207" s="3"/>
      <c r="ALQ207" s="3"/>
      <c r="ALR207" s="3"/>
      <c r="ALS207" s="3"/>
      <c r="ALT207" s="3"/>
      <c r="ALU207" s="3"/>
      <c r="ALV207" s="3"/>
      <c r="ALW207" s="3"/>
      <c r="ALX207" s="3"/>
      <c r="ALY207" s="3"/>
      <c r="ALZ207" s="3"/>
      <c r="AMA207" s="3"/>
      <c r="AMB207" s="3"/>
      <c r="AMC207" s="3"/>
      <c r="AMD207" s="3"/>
      <c r="AME207" s="3"/>
      <c r="AMF207" s="3"/>
      <c r="AMG207" s="3"/>
      <c r="AMH207" s="3"/>
      <c r="AMI207" s="3"/>
      <c r="AMJ207" s="3"/>
      <c r="AMK207" s="3"/>
      <c r="AML207" s="3"/>
      <c r="AMM207" s="3"/>
      <c r="AMN207" s="3"/>
      <c r="AMO207" s="1"/>
    </row>
    <row r="208" spans="1:1029" s="6" customFormat="1" x14ac:dyDescent="0.2">
      <c r="A208" s="3" t="str">
        <f t="shared" si="862"/>
        <v>smo_human_4QIN</v>
      </c>
      <c r="B208" s="3" t="s">
        <v>33</v>
      </c>
      <c r="C208" s="3" t="s">
        <v>56</v>
      </c>
      <c r="D208" s="3" t="str">
        <f>IFERROR(MID(VLOOKUP($B208,Seqs!$A:$B,2,0),E208,1),"")</f>
        <v>E</v>
      </c>
      <c r="E208" s="3">
        <v>224</v>
      </c>
      <c r="F208" s="3" t="str">
        <f>IFERROR(MID(VLOOKUP($B208,Seqs!$A:$B,2,0),G208,1),"")</f>
        <v>D</v>
      </c>
      <c r="G208" s="3">
        <v>255</v>
      </c>
      <c r="H208" s="3" t="str">
        <f>IFERROR(MID(VLOOKUP($B208,Seqs!$A:$B,2,0),I208,1),"")</f>
        <v>W</v>
      </c>
      <c r="I208" s="23">
        <v>256</v>
      </c>
      <c r="J208" s="3" t="str">
        <f>IFERROR(MID(VLOOKUP($B208,Seqs!$A:$B,2,0),K208,1),"")</f>
        <v>N</v>
      </c>
      <c r="K208" s="23">
        <v>260</v>
      </c>
      <c r="L208" s="3" t="str">
        <f>IFERROR(MID(VLOOKUP($B208,Seqs!$A:$B,2,0),M208,1),"")</f>
        <v>R</v>
      </c>
      <c r="M208" s="3">
        <v>261</v>
      </c>
      <c r="N208" s="3" t="str">
        <f>IFERROR(MID(VLOOKUP($B208,Seqs!$A:$B,2,0),O208,1),"")</f>
        <v>F</v>
      </c>
      <c r="O208" s="3">
        <v>285</v>
      </c>
      <c r="P208" s="3" t="str">
        <f>IFERROR(MID(VLOOKUP($B208,Seqs!$A:$B,2,0),Q208,1),"")</f>
        <v/>
      </c>
      <c r="Q208" s="3" t="s">
        <v>23</v>
      </c>
      <c r="R208" s="3" t="str">
        <f>IFERROR(MID(VLOOKUP($B208,Seqs!$A:$B,2,0),S208,1),"")</f>
        <v/>
      </c>
      <c r="S208" s="3" t="s">
        <v>23</v>
      </c>
      <c r="T208" s="3" t="str">
        <f>IFERROR(MID(VLOOKUP($B208,Seqs!$A:$B,2,0),U208,1),"")</f>
        <v>L</v>
      </c>
      <c r="U208" s="3">
        <v>312</v>
      </c>
      <c r="V208" s="3" t="str">
        <f>IFERROR(MID(VLOOKUP($B208,Seqs!$A:$B,2,0),W208,1),"")</f>
        <v>A</v>
      </c>
      <c r="W208" s="3">
        <v>345</v>
      </c>
      <c r="X208" s="3" t="str">
        <f>IFERROR(MID(VLOOKUP($B208,Seqs!$A:$B,2,0),Y208,1),"")</f>
        <v/>
      </c>
      <c r="Y208" s="3" t="s">
        <v>23</v>
      </c>
      <c r="Z208" s="3" t="str">
        <f>IFERROR(MID(VLOOKUP($B208,Seqs!$A:$B,2,0),AA208,1),"")</f>
        <v/>
      </c>
      <c r="AA208" s="3" t="s">
        <v>23</v>
      </c>
      <c r="AB208" s="3" t="str">
        <f>IFERROR(MID(VLOOKUP($B208,Seqs!$A:$B,2,0),AC208,1),"")</f>
        <v>L</v>
      </c>
      <c r="AC208" s="9">
        <v>353</v>
      </c>
      <c r="AD208" s="3" t="str">
        <f>IFERROR(MID(VLOOKUP($B208,Seqs!$A:$B,2,0),AE208,1),"")</f>
        <v>V</v>
      </c>
      <c r="AE208" s="3">
        <v>378</v>
      </c>
      <c r="AF208" s="3" t="str">
        <f>IFERROR(MID(VLOOKUP($B208,Seqs!$A:$B,2,0),AG208,1),"")</f>
        <v>C</v>
      </c>
      <c r="AG208" s="3">
        <v>390</v>
      </c>
      <c r="AH208" s="3" t="str">
        <f>IFERROR(MID(VLOOKUP($B208,Seqs!$A:$B,2,0),AI208,1),"")</f>
        <v>V</v>
      </c>
      <c r="AI208" s="3">
        <v>392</v>
      </c>
      <c r="AJ208" s="3" t="str">
        <f>IFERROR(MID(VLOOKUP($B208,Seqs!$A:$B,2,0),AK208,1),"")</f>
        <v>Y</v>
      </c>
      <c r="AK208" s="3">
        <v>397</v>
      </c>
      <c r="AL208" s="3" t="str">
        <f>IFERROR(MID(VLOOKUP($B208,Seqs!$A:$B,2,0),AM208,1),"")</f>
        <v>H</v>
      </c>
      <c r="AM208" s="3">
        <v>433</v>
      </c>
      <c r="AN208" s="3" t="str">
        <f>IFERROR(MID(VLOOKUP($B208,Seqs!$A:$B,2,0),AO208,1),"")</f>
        <v>E</v>
      </c>
      <c r="AO208" s="3">
        <v>447</v>
      </c>
      <c r="AP208" s="3" t="str">
        <f>IFERROR(MID(VLOOKUP($B208,Seqs!$A:$B,2,0),AQ208,1),"")</f>
        <v>A</v>
      </c>
      <c r="AQ208" s="3">
        <v>492</v>
      </c>
      <c r="AR208" s="3" t="str">
        <f>IFERROR(MID(VLOOKUP($B208,Seqs!$A:$B,2,0),AS208,1),"")</f>
        <v>L</v>
      </c>
      <c r="AS208" s="3">
        <v>515</v>
      </c>
      <c r="AT208" s="3" t="str">
        <f>IFERROR(MID(VLOOKUP($B208,Seqs!$A:$B,2,0),AU208,1),"")</f>
        <v>W</v>
      </c>
      <c r="AU208" s="3">
        <v>537</v>
      </c>
      <c r="AV208" s="3" t="str">
        <f>IFERROR(MID(VLOOKUP($B208,Seqs!$A:$B,2,0),AW208,1),"")</f>
        <v>T</v>
      </c>
      <c r="AW208" s="3">
        <v>538</v>
      </c>
      <c r="AX208" s="3" t="str">
        <f>IFERROR(MID(VLOOKUP($B208,Seqs!$A:$B,2,0),AY208,1),"")</f>
        <v>R</v>
      </c>
      <c r="AY208" s="3">
        <v>551</v>
      </c>
      <c r="AZ208" s="80" t="str">
        <f>VLOOKUP(B208,Classification!A:D,2,0)</f>
        <v>F</v>
      </c>
      <c r="BA208" s="97" t="str">
        <f>VLOOKUP(B208,Classification!A:D,4,0)</f>
        <v>Frizzled</v>
      </c>
      <c r="BB208" s="94" t="b">
        <f t="shared" si="863"/>
        <v>1</v>
      </c>
      <c r="BC208" s="23">
        <f t="shared" si="836"/>
        <v>247</v>
      </c>
      <c r="BD208" s="76" t="s">
        <v>23</v>
      </c>
      <c r="BE208" s="3" t="s">
        <v>1381</v>
      </c>
      <c r="BF208" s="50" t="s">
        <v>1384</v>
      </c>
      <c r="BG208" s="50" t="s">
        <v>1384</v>
      </c>
      <c r="BH208" s="3"/>
      <c r="BI208" s="77" t="s">
        <v>1293</v>
      </c>
      <c r="BJ208" s="58" t="s">
        <v>1293</v>
      </c>
      <c r="BK208" s="58" t="s">
        <v>1293</v>
      </c>
      <c r="BL208" s="58" t="s">
        <v>1293</v>
      </c>
      <c r="BM208" s="58" t="s">
        <v>1293</v>
      </c>
      <c r="BN208" s="58" t="s">
        <v>1293</v>
      </c>
      <c r="BO208" s="58" t="s">
        <v>1293</v>
      </c>
      <c r="BP208" s="58" t="s">
        <v>1293</v>
      </c>
      <c r="BQ208" s="58" t="s">
        <v>1293</v>
      </c>
      <c r="BR208" s="58" t="s">
        <v>1293</v>
      </c>
      <c r="BS208" s="58" t="s">
        <v>1293</v>
      </c>
      <c r="BT208" s="58" t="s">
        <v>1293</v>
      </c>
      <c r="BU208" s="77">
        <f t="shared" si="837"/>
        <v>224</v>
      </c>
      <c r="BV208" s="73">
        <f t="shared" si="838"/>
        <v>256</v>
      </c>
      <c r="BW208" s="74">
        <f t="shared" si="839"/>
        <v>261</v>
      </c>
      <c r="BX208" s="73" t="str">
        <f t="shared" si="840"/>
        <v>-</v>
      </c>
      <c r="BY208" s="74">
        <f t="shared" si="841"/>
        <v>312</v>
      </c>
      <c r="BZ208" s="73" t="str">
        <f t="shared" si="842"/>
        <v>-</v>
      </c>
      <c r="CA208" s="74">
        <f t="shared" si="843"/>
        <v>353</v>
      </c>
      <c r="CB208" s="73">
        <f t="shared" si="844"/>
        <v>390</v>
      </c>
      <c r="CC208" s="74">
        <f t="shared" si="845"/>
        <v>397</v>
      </c>
      <c r="CD208" s="73">
        <f t="shared" si="846"/>
        <v>447</v>
      </c>
      <c r="CE208" s="74">
        <f t="shared" si="847"/>
        <v>515</v>
      </c>
      <c r="CF208" s="73">
        <f t="shared" si="848"/>
        <v>538</v>
      </c>
      <c r="CG208" s="77">
        <f t="shared" si="849"/>
        <v>255</v>
      </c>
      <c r="CH208" s="73">
        <f t="shared" si="850"/>
        <v>260</v>
      </c>
      <c r="CI208" s="74">
        <f t="shared" si="851"/>
        <v>285</v>
      </c>
      <c r="CJ208" s="74" t="str">
        <f t="shared" si="852"/>
        <v>-</v>
      </c>
      <c r="CK208" s="74">
        <f t="shared" si="853"/>
        <v>345</v>
      </c>
      <c r="CL208" s="74" t="str">
        <f t="shared" si="854"/>
        <v>-</v>
      </c>
      <c r="CM208" s="74">
        <f t="shared" si="855"/>
        <v>378</v>
      </c>
      <c r="CN208" s="74">
        <f t="shared" si="856"/>
        <v>392</v>
      </c>
      <c r="CO208" s="74">
        <f t="shared" si="857"/>
        <v>433</v>
      </c>
      <c r="CP208" s="74">
        <f t="shared" si="858"/>
        <v>492</v>
      </c>
      <c r="CQ208" s="74">
        <f t="shared" si="859"/>
        <v>537</v>
      </c>
      <c r="CR208" s="74">
        <f t="shared" si="860"/>
        <v>551</v>
      </c>
      <c r="CS208" s="23">
        <f t="shared" si="861"/>
        <v>1</v>
      </c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1"/>
    </row>
    <row r="209" spans="1:1029" s="6" customFormat="1" x14ac:dyDescent="0.2">
      <c r="A209" s="3" t="str">
        <f t="shared" si="862"/>
        <v>smo_human_5L7D</v>
      </c>
      <c r="B209" s="3" t="s">
        <v>33</v>
      </c>
      <c r="C209" s="3" t="s">
        <v>1358</v>
      </c>
      <c r="D209" s="3" t="str">
        <f>IFERROR(MID(VLOOKUP($B209,Seqs!$A:$B,2,0),E209,1),"")</f>
        <v>E</v>
      </c>
      <c r="E209" s="3">
        <v>224</v>
      </c>
      <c r="F209" s="3" t="str">
        <f>IFERROR(MID(VLOOKUP($B209,Seqs!$A:$B,2,0),G209,1),"")</f>
        <v>D</v>
      </c>
      <c r="G209" s="3">
        <v>255</v>
      </c>
      <c r="H209" s="3" t="str">
        <f>IFERROR(MID(VLOOKUP($B209,Seqs!$A:$B,2,0),I209,1),"")</f>
        <v>W</v>
      </c>
      <c r="I209" s="23">
        <v>256</v>
      </c>
      <c r="J209" s="3" t="str">
        <f>IFERROR(MID(VLOOKUP($B209,Seqs!$A:$B,2,0),K209,1),"")</f>
        <v>N</v>
      </c>
      <c r="K209" s="23">
        <v>260</v>
      </c>
      <c r="L209" s="3" t="str">
        <f>IFERROR(MID(VLOOKUP($B209,Seqs!$A:$B,2,0),M209,1),"")</f>
        <v>R</v>
      </c>
      <c r="M209" s="3">
        <v>261</v>
      </c>
      <c r="N209" s="3" t="str">
        <f>IFERROR(MID(VLOOKUP($B209,Seqs!$A:$B,2,0),O209,1),"")</f>
        <v>F</v>
      </c>
      <c r="O209" s="3">
        <v>285</v>
      </c>
      <c r="P209" s="3" t="str">
        <f>IFERROR(MID(VLOOKUP($B209,Seqs!$A:$B,2,0),Q209,1),"")</f>
        <v/>
      </c>
      <c r="Q209" s="3" t="s">
        <v>23</v>
      </c>
      <c r="R209" s="3" t="str">
        <f>IFERROR(MID(VLOOKUP($B209,Seqs!$A:$B,2,0),S209,1),"")</f>
        <v/>
      </c>
      <c r="S209" s="3" t="s">
        <v>23</v>
      </c>
      <c r="T209" s="3" t="str">
        <f>IFERROR(MID(VLOOKUP($B209,Seqs!$A:$B,2,0),U209,1),"")</f>
        <v>L</v>
      </c>
      <c r="U209" s="3">
        <v>312</v>
      </c>
      <c r="V209" s="3" t="str">
        <f>IFERROR(MID(VLOOKUP($B209,Seqs!$A:$B,2,0),W209,1),"")</f>
        <v>L</v>
      </c>
      <c r="W209" s="3">
        <v>346</v>
      </c>
      <c r="X209" s="3" t="str">
        <f>IFERROR(MID(VLOOKUP($B209,Seqs!$A:$B,2,0),Y209,1),"")</f>
        <v/>
      </c>
      <c r="Y209" s="3" t="s">
        <v>23</v>
      </c>
      <c r="Z209" s="3" t="str">
        <f>IFERROR(MID(VLOOKUP($B209,Seqs!$A:$B,2,0),AA209,1),"")</f>
        <v/>
      </c>
      <c r="AA209" s="3" t="s">
        <v>23</v>
      </c>
      <c r="AB209" s="3" t="str">
        <f>IFERROR(MID(VLOOKUP($B209,Seqs!$A:$B,2,0),AC209,1),"")</f>
        <v>L</v>
      </c>
      <c r="AC209" s="9">
        <v>353</v>
      </c>
      <c r="AD209" s="3" t="str">
        <f>IFERROR(MID(VLOOKUP($B209,Seqs!$A:$B,2,0),AE209,1),"")</f>
        <v>V</v>
      </c>
      <c r="AE209" s="3">
        <v>378</v>
      </c>
      <c r="AF209" s="3" t="str">
        <f>IFERROR(MID(VLOOKUP($B209,Seqs!$A:$B,2,0),AG209,1),"")</f>
        <v>C</v>
      </c>
      <c r="AG209" s="3">
        <v>390</v>
      </c>
      <c r="AH209" s="3" t="str">
        <f>IFERROR(MID(VLOOKUP($B209,Seqs!$A:$B,2,0),AI209,1),"")</f>
        <v>V</v>
      </c>
      <c r="AI209" s="3">
        <v>392</v>
      </c>
      <c r="AJ209" s="3" t="str">
        <f>IFERROR(MID(VLOOKUP($B209,Seqs!$A:$B,2,0),AK209,1),"")</f>
        <v>Y</v>
      </c>
      <c r="AK209" s="3">
        <v>397</v>
      </c>
      <c r="AL209" s="3" t="str">
        <f>IFERROR(MID(VLOOKUP($B209,Seqs!$A:$B,2,0),AM209,1),"")</f>
        <v>S</v>
      </c>
      <c r="AM209" s="3">
        <v>428</v>
      </c>
      <c r="AN209" s="3" t="str">
        <f>IFERROR(MID(VLOOKUP($B209,Seqs!$A:$B,2,0),AO209,1),"")</f>
        <v>E</v>
      </c>
      <c r="AO209" s="3">
        <v>447</v>
      </c>
      <c r="AP209" s="3" t="str">
        <f>IFERROR(MID(VLOOKUP($B209,Seqs!$A:$B,2,0),AQ209,1),"")</f>
        <v>I</v>
      </c>
      <c r="AQ209" s="3">
        <v>496</v>
      </c>
      <c r="AR209" s="3" t="str">
        <f>IFERROR(MID(VLOOKUP($B209,Seqs!$A:$B,2,0),AS209,1),"")</f>
        <v>L</v>
      </c>
      <c r="AS209" s="3">
        <v>515</v>
      </c>
      <c r="AT209" s="3" t="str">
        <f>IFERROR(MID(VLOOKUP($B209,Seqs!$A:$B,2,0),AU209,1),"")</f>
        <v>W</v>
      </c>
      <c r="AU209" s="3">
        <v>537</v>
      </c>
      <c r="AV209" s="3" t="str">
        <f>IFERROR(MID(VLOOKUP($B209,Seqs!$A:$B,2,0),AW209,1),"")</f>
        <v>T</v>
      </c>
      <c r="AW209" s="3">
        <v>538</v>
      </c>
      <c r="AX209" s="3" t="str">
        <f>IFERROR(MID(VLOOKUP($B209,Seqs!$A:$B,2,0),AY209,1),"")</f>
        <v>T</v>
      </c>
      <c r="AY209" s="3">
        <v>553</v>
      </c>
      <c r="AZ209" s="80" t="str">
        <f>VLOOKUP(B209,Classification!A:D,2,0)</f>
        <v>F</v>
      </c>
      <c r="BA209" s="97" t="str">
        <f>VLOOKUP(B209,Classification!A:D,4,0)</f>
        <v>Frizzled</v>
      </c>
      <c r="BB209" s="94" t="b">
        <f t="shared" si="863"/>
        <v>1</v>
      </c>
      <c r="BC209" s="23">
        <f t="shared" si="836"/>
        <v>249</v>
      </c>
      <c r="BD209" s="76" t="s">
        <v>23</v>
      </c>
      <c r="BE209" s="3" t="s">
        <v>1381</v>
      </c>
      <c r="BF209" s="50" t="s">
        <v>1</v>
      </c>
      <c r="BG209" s="50" t="s">
        <v>1384</v>
      </c>
      <c r="BH209" s="3" t="s">
        <v>1367</v>
      </c>
      <c r="BI209" s="77" t="s">
        <v>1293</v>
      </c>
      <c r="BJ209" s="58" t="s">
        <v>1293</v>
      </c>
      <c r="BK209" s="58" t="s">
        <v>1293</v>
      </c>
      <c r="BL209" s="58" t="s">
        <v>1293</v>
      </c>
      <c r="BM209" s="58" t="s">
        <v>1293</v>
      </c>
      <c r="BN209" s="58" t="s">
        <v>1293</v>
      </c>
      <c r="BO209" s="58" t="s">
        <v>1293</v>
      </c>
      <c r="BP209" s="58" t="s">
        <v>1293</v>
      </c>
      <c r="BQ209" s="58" t="s">
        <v>1293</v>
      </c>
      <c r="BR209" s="58" t="s">
        <v>1293</v>
      </c>
      <c r="BS209" s="58" t="s">
        <v>1293</v>
      </c>
      <c r="BT209" s="58" t="s">
        <v>1293</v>
      </c>
      <c r="BU209" s="77">
        <f t="shared" si="837"/>
        <v>224</v>
      </c>
      <c r="BV209" s="73">
        <f t="shared" si="838"/>
        <v>256</v>
      </c>
      <c r="BW209" s="74">
        <f t="shared" si="839"/>
        <v>261</v>
      </c>
      <c r="BX209" s="73" t="str">
        <f t="shared" si="840"/>
        <v>-</v>
      </c>
      <c r="BY209" s="74">
        <f t="shared" si="841"/>
        <v>312</v>
      </c>
      <c r="BZ209" s="73" t="str">
        <f t="shared" si="842"/>
        <v>-</v>
      </c>
      <c r="CA209" s="74">
        <f t="shared" si="843"/>
        <v>353</v>
      </c>
      <c r="CB209" s="73">
        <f t="shared" si="844"/>
        <v>390</v>
      </c>
      <c r="CC209" s="74">
        <f t="shared" si="845"/>
        <v>397</v>
      </c>
      <c r="CD209" s="73">
        <f t="shared" si="846"/>
        <v>447</v>
      </c>
      <c r="CE209" s="74">
        <f t="shared" si="847"/>
        <v>515</v>
      </c>
      <c r="CF209" s="73">
        <f t="shared" si="848"/>
        <v>538</v>
      </c>
      <c r="CG209" s="77">
        <f t="shared" si="849"/>
        <v>255</v>
      </c>
      <c r="CH209" s="73">
        <f t="shared" si="850"/>
        <v>260</v>
      </c>
      <c r="CI209" s="74">
        <f t="shared" si="851"/>
        <v>285</v>
      </c>
      <c r="CJ209" s="74" t="str">
        <f t="shared" si="852"/>
        <v>-</v>
      </c>
      <c r="CK209" s="74">
        <f t="shared" si="853"/>
        <v>346</v>
      </c>
      <c r="CL209" s="74" t="str">
        <f t="shared" si="854"/>
        <v>-</v>
      </c>
      <c r="CM209" s="74">
        <f t="shared" si="855"/>
        <v>378</v>
      </c>
      <c r="CN209" s="74">
        <f t="shared" si="856"/>
        <v>392</v>
      </c>
      <c r="CO209" s="74">
        <f t="shared" si="857"/>
        <v>428</v>
      </c>
      <c r="CP209" s="74">
        <f t="shared" si="858"/>
        <v>496</v>
      </c>
      <c r="CQ209" s="74">
        <f t="shared" si="859"/>
        <v>537</v>
      </c>
      <c r="CR209" s="74">
        <f t="shared" si="860"/>
        <v>553</v>
      </c>
      <c r="CS209" s="23">
        <f t="shared" si="861"/>
        <v>1</v>
      </c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  <c r="ALL209" s="3"/>
      <c r="ALM209" s="3"/>
      <c r="ALN209" s="3"/>
      <c r="ALO209" s="3"/>
      <c r="ALP209" s="3"/>
      <c r="ALQ209" s="3"/>
      <c r="ALR209" s="3"/>
      <c r="ALS209" s="3"/>
      <c r="ALT209" s="3"/>
      <c r="ALU209" s="3"/>
      <c r="ALV209" s="3"/>
      <c r="ALW209" s="3"/>
      <c r="ALX209" s="3"/>
      <c r="ALY209" s="3"/>
      <c r="ALZ209" s="3"/>
      <c r="AMA209" s="3"/>
      <c r="AMB209" s="3"/>
      <c r="AMC209" s="3"/>
      <c r="AMD209" s="3"/>
      <c r="AME209" s="3"/>
      <c r="AMF209" s="3"/>
      <c r="AMG209" s="3"/>
      <c r="AMH209" s="3"/>
      <c r="AMI209" s="3"/>
      <c r="AMJ209" s="3"/>
      <c r="AMK209" s="3"/>
      <c r="AML209" s="3"/>
      <c r="AMM209" s="3"/>
      <c r="AMN209" s="3"/>
      <c r="AMO209" s="1"/>
    </row>
    <row r="210" spans="1:1029" s="6" customFormat="1" x14ac:dyDescent="0.2">
      <c r="A210" s="3" t="str">
        <f t="shared" si="862"/>
        <v>smo_human_5L7I</v>
      </c>
      <c r="B210" s="3" t="s">
        <v>33</v>
      </c>
      <c r="C210" s="3" t="s">
        <v>1359</v>
      </c>
      <c r="D210" s="3" t="str">
        <f>IFERROR(MID(VLOOKUP($B210,Seqs!$A:$B,2,0),E210,1),"")</f>
        <v>E</v>
      </c>
      <c r="E210" s="3">
        <v>224</v>
      </c>
      <c r="F210" s="3" t="str">
        <f>IFERROR(MID(VLOOKUP($B210,Seqs!$A:$B,2,0),G210,1),"")</f>
        <v>D</v>
      </c>
      <c r="G210" s="3">
        <v>255</v>
      </c>
      <c r="H210" s="3" t="str">
        <f>IFERROR(MID(VLOOKUP($B210,Seqs!$A:$B,2,0),I210,1),"")</f>
        <v>W</v>
      </c>
      <c r="I210" s="23">
        <v>256</v>
      </c>
      <c r="J210" s="3" t="str">
        <f>IFERROR(MID(VLOOKUP($B210,Seqs!$A:$B,2,0),K210,1),"")</f>
        <v>N</v>
      </c>
      <c r="K210" s="23">
        <v>260</v>
      </c>
      <c r="L210" s="3" t="str">
        <f>IFERROR(MID(VLOOKUP($B210,Seqs!$A:$B,2,0),M210,1),"")</f>
        <v>R</v>
      </c>
      <c r="M210" s="3">
        <v>261</v>
      </c>
      <c r="N210" s="3" t="str">
        <f>IFERROR(MID(VLOOKUP($B210,Seqs!$A:$B,2,0),O210,1),"")</f>
        <v>F</v>
      </c>
      <c r="O210" s="3">
        <v>285</v>
      </c>
      <c r="P210" s="3" t="str">
        <f>IFERROR(MID(VLOOKUP($B210,Seqs!$A:$B,2,0),Q210,1),"")</f>
        <v/>
      </c>
      <c r="Q210" s="3" t="s">
        <v>23</v>
      </c>
      <c r="R210" s="3" t="str">
        <f>IFERROR(MID(VLOOKUP($B210,Seqs!$A:$B,2,0),S210,1),"")</f>
        <v/>
      </c>
      <c r="S210" s="3" t="s">
        <v>23</v>
      </c>
      <c r="T210" s="3" t="str">
        <f>IFERROR(MID(VLOOKUP($B210,Seqs!$A:$B,2,0),U210,1),"")</f>
        <v>L</v>
      </c>
      <c r="U210" s="3">
        <v>312</v>
      </c>
      <c r="V210" s="3" t="str">
        <f>IFERROR(MID(VLOOKUP($B210,Seqs!$A:$B,2,0),W210,1),"")</f>
        <v>L</v>
      </c>
      <c r="W210" s="3">
        <v>346</v>
      </c>
      <c r="X210" s="3" t="str">
        <f>IFERROR(MID(VLOOKUP($B210,Seqs!$A:$B,2,0),Y210,1),"")</f>
        <v/>
      </c>
      <c r="Y210" s="3" t="s">
        <v>23</v>
      </c>
      <c r="Z210" s="3" t="str">
        <f>IFERROR(MID(VLOOKUP($B210,Seqs!$A:$B,2,0),AA210,1),"")</f>
        <v/>
      </c>
      <c r="AA210" s="3" t="s">
        <v>23</v>
      </c>
      <c r="AB210" s="3" t="str">
        <f>IFERROR(MID(VLOOKUP($B210,Seqs!$A:$B,2,0),AC210,1),"")</f>
        <v>S</v>
      </c>
      <c r="AC210" s="9">
        <v>354</v>
      </c>
      <c r="AD210" s="3" t="str">
        <f>IFERROR(MID(VLOOKUP($B210,Seqs!$A:$B,2,0),AE210,1),"")</f>
        <v>V</v>
      </c>
      <c r="AE210" s="3">
        <v>378</v>
      </c>
      <c r="AF210" s="3" t="str">
        <f>IFERROR(MID(VLOOKUP($B210,Seqs!$A:$B,2,0),AG210,1),"")</f>
        <v>C</v>
      </c>
      <c r="AG210" s="3">
        <v>390</v>
      </c>
      <c r="AH210" s="3" t="str">
        <f>IFERROR(MID(VLOOKUP($B210,Seqs!$A:$B,2,0),AI210,1),"")</f>
        <v>V</v>
      </c>
      <c r="AI210" s="3">
        <v>392</v>
      </c>
      <c r="AJ210" s="3" t="str">
        <f>IFERROR(MID(VLOOKUP($B210,Seqs!$A:$B,2,0),AK210,1),"")</f>
        <v>Y</v>
      </c>
      <c r="AK210" s="3">
        <v>397</v>
      </c>
      <c r="AL210" s="3" t="str">
        <f>IFERROR(MID(VLOOKUP($B210,Seqs!$A:$B,2,0),AM210,1),"")</f>
        <v>S</v>
      </c>
      <c r="AM210" s="3">
        <v>428</v>
      </c>
      <c r="AN210" s="3" t="str">
        <f>IFERROR(MID(VLOOKUP($B210,Seqs!$A:$B,2,0),AO210,1),"")</f>
        <v>E</v>
      </c>
      <c r="AO210" s="3">
        <v>447</v>
      </c>
      <c r="AP210" s="3" t="str">
        <f>IFERROR(MID(VLOOKUP($B210,Seqs!$A:$B,2,0),AQ210,1),"")</f>
        <v>N</v>
      </c>
      <c r="AQ210" s="3">
        <v>493</v>
      </c>
      <c r="AR210" s="3" t="str">
        <f>IFERROR(MID(VLOOKUP($B210,Seqs!$A:$B,2,0),AS210,1),"")</f>
        <v>L</v>
      </c>
      <c r="AS210" s="3">
        <v>515</v>
      </c>
      <c r="AT210" s="3" t="str">
        <f>IFERROR(MID(VLOOKUP($B210,Seqs!$A:$B,2,0),AU210,1),"")</f>
        <v>W</v>
      </c>
      <c r="AU210" s="3">
        <v>537</v>
      </c>
      <c r="AV210" s="3" t="str">
        <f>IFERROR(MID(VLOOKUP($B210,Seqs!$A:$B,2,0),AW210,1),"")</f>
        <v>T</v>
      </c>
      <c r="AW210" s="3">
        <v>538</v>
      </c>
      <c r="AX210" s="3" t="str">
        <f>IFERROR(MID(VLOOKUP($B210,Seqs!$A:$B,2,0),AY210,1),"")</f>
        <v>R</v>
      </c>
      <c r="AY210" s="3">
        <v>551</v>
      </c>
      <c r="AZ210" s="80" t="str">
        <f>VLOOKUP(B210,Classification!A:D,2,0)</f>
        <v>F</v>
      </c>
      <c r="BA210" s="97" t="str">
        <f>VLOOKUP(B210,Classification!A:D,4,0)</f>
        <v>Frizzled</v>
      </c>
      <c r="BB210" s="94" t="b">
        <f t="shared" si="863"/>
        <v>1</v>
      </c>
      <c r="BC210" s="23">
        <f t="shared" si="836"/>
        <v>243</v>
      </c>
      <c r="BD210" s="76" t="s">
        <v>23</v>
      </c>
      <c r="BE210" s="3" t="s">
        <v>1381</v>
      </c>
      <c r="BF210" s="50" t="s">
        <v>1287</v>
      </c>
      <c r="BG210" s="50" t="s">
        <v>1384</v>
      </c>
      <c r="BH210" s="3" t="s">
        <v>1368</v>
      </c>
      <c r="BI210" s="77" t="s">
        <v>1293</v>
      </c>
      <c r="BJ210" s="58" t="s">
        <v>1293</v>
      </c>
      <c r="BK210" s="58" t="s">
        <v>1293</v>
      </c>
      <c r="BL210" s="58" t="s">
        <v>1293</v>
      </c>
      <c r="BM210" s="58" t="s">
        <v>1293</v>
      </c>
      <c r="BN210" s="58" t="s">
        <v>1293</v>
      </c>
      <c r="BO210" s="58" t="s">
        <v>1293</v>
      </c>
      <c r="BP210" s="58" t="s">
        <v>1293</v>
      </c>
      <c r="BQ210" s="58" t="s">
        <v>1293</v>
      </c>
      <c r="BR210" s="58" t="s">
        <v>1293</v>
      </c>
      <c r="BS210" s="58" t="s">
        <v>1293</v>
      </c>
      <c r="BT210" s="58" t="s">
        <v>1293</v>
      </c>
      <c r="BU210" s="77">
        <f t="shared" si="837"/>
        <v>224</v>
      </c>
      <c r="BV210" s="73">
        <f t="shared" si="838"/>
        <v>256</v>
      </c>
      <c r="BW210" s="74">
        <f t="shared" si="839"/>
        <v>261</v>
      </c>
      <c r="BX210" s="73" t="str">
        <f t="shared" si="840"/>
        <v>-</v>
      </c>
      <c r="BY210" s="74">
        <f t="shared" si="841"/>
        <v>312</v>
      </c>
      <c r="BZ210" s="73" t="str">
        <f t="shared" si="842"/>
        <v>-</v>
      </c>
      <c r="CA210" s="74">
        <f t="shared" si="843"/>
        <v>354</v>
      </c>
      <c r="CB210" s="73">
        <f t="shared" si="844"/>
        <v>390</v>
      </c>
      <c r="CC210" s="74">
        <f t="shared" si="845"/>
        <v>397</v>
      </c>
      <c r="CD210" s="73">
        <f t="shared" si="846"/>
        <v>447</v>
      </c>
      <c r="CE210" s="74">
        <f t="shared" si="847"/>
        <v>515</v>
      </c>
      <c r="CF210" s="73">
        <f t="shared" si="848"/>
        <v>538</v>
      </c>
      <c r="CG210" s="77">
        <f t="shared" si="849"/>
        <v>255</v>
      </c>
      <c r="CH210" s="73">
        <f t="shared" si="850"/>
        <v>260</v>
      </c>
      <c r="CI210" s="74">
        <f t="shared" si="851"/>
        <v>285</v>
      </c>
      <c r="CJ210" s="74" t="str">
        <f t="shared" si="852"/>
        <v>-</v>
      </c>
      <c r="CK210" s="74">
        <f t="shared" si="853"/>
        <v>346</v>
      </c>
      <c r="CL210" s="74" t="str">
        <f t="shared" si="854"/>
        <v>-</v>
      </c>
      <c r="CM210" s="74">
        <f t="shared" si="855"/>
        <v>378</v>
      </c>
      <c r="CN210" s="74">
        <f t="shared" si="856"/>
        <v>392</v>
      </c>
      <c r="CO210" s="74">
        <f t="shared" si="857"/>
        <v>428</v>
      </c>
      <c r="CP210" s="74">
        <f t="shared" si="858"/>
        <v>493</v>
      </c>
      <c r="CQ210" s="74">
        <f t="shared" si="859"/>
        <v>537</v>
      </c>
      <c r="CR210" s="74">
        <f t="shared" si="860"/>
        <v>551</v>
      </c>
      <c r="CS210" s="23">
        <f t="shared" si="861"/>
        <v>1</v>
      </c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1"/>
    </row>
    <row r="211" spans="1:1029" x14ac:dyDescent="0.2">
      <c r="C211" s="2"/>
    </row>
    <row r="212" spans="1:1029" x14ac:dyDescent="0.2">
      <c r="C212" s="2"/>
    </row>
    <row r="213" spans="1:1029" x14ac:dyDescent="0.2">
      <c r="C213" s="2"/>
      <c r="E213" s="3">
        <f>COUNTIF(C2:C210,"&lt;&gt;_wt")</f>
        <v>161</v>
      </c>
    </row>
    <row r="214" spans="1:1029" x14ac:dyDescent="0.2">
      <c r="C214" s="2"/>
    </row>
    <row r="289" spans="52:85" x14ac:dyDescent="0.2">
      <c r="AZ289" s="79"/>
      <c r="BA289" s="28"/>
      <c r="BB289" s="16"/>
      <c r="BD289" s="2"/>
      <c r="BI289" s="72"/>
      <c r="BU289" s="72"/>
      <c r="CG289" s="72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77 BB36 BB14:BB18 BB21:BB25">
    <cfRule type="cellIs" dxfId="47" priority="6" operator="equal">
      <formula>0</formula>
    </cfRule>
  </conditionalFormatting>
  <conditionalFormatting sqref="BB164:BB165">
    <cfRule type="cellIs" dxfId="46" priority="7" operator="equal">
      <formula>0</formula>
    </cfRule>
  </conditionalFormatting>
  <conditionalFormatting sqref="BB7">
    <cfRule type="cellIs" dxfId="45" priority="8" operator="equal">
      <formula>0</formula>
    </cfRule>
  </conditionalFormatting>
  <conditionalFormatting sqref="BB173">
    <cfRule type="cellIs" dxfId="44" priority="9" operator="equal">
      <formula>0</formula>
    </cfRule>
  </conditionalFormatting>
  <conditionalFormatting sqref="E173 AW173 AU173 AS173 AQ173 AO173 AM173 AK173 AI173 AG173 AE173 AC173 AA173 Y173 W173 U173 S173 Q173 O173 M173 K173 I173 G173">
    <cfRule type="cellIs" dxfId="43" priority="10" operator="equal">
      <formula>"G"</formula>
    </cfRule>
    <cfRule type="cellIs" dxfId="42" priority="11" operator="equal">
      <formula>"P"</formula>
    </cfRule>
  </conditionalFormatting>
  <conditionalFormatting sqref="BB13">
    <cfRule type="cellIs" dxfId="41" priority="12" operator="equal">
      <formula>0</formula>
    </cfRule>
  </conditionalFormatting>
  <conditionalFormatting sqref="BB6">
    <cfRule type="cellIs" dxfId="40" priority="16" operator="equal">
      <formula>0</formula>
    </cfRule>
  </conditionalFormatting>
  <conditionalFormatting sqref="E6 AW6 AU6 AS6 AQ6 AO6 AM6 AK6 AI6 AG6 AE6 AC6 AA6 Y6 W6 U6 S6 Q6 O6 M6 K6 I6 G6">
    <cfRule type="cellIs" dxfId="39" priority="18" operator="equal">
      <formula>"G"</formula>
    </cfRule>
    <cfRule type="cellIs" dxfId="38" priority="19" operator="equal">
      <formula>"P"</formula>
    </cfRule>
  </conditionalFormatting>
  <conditionalFormatting sqref="BB1:BB18 BB21:BB1048576">
    <cfRule type="cellIs" dxfId="37" priority="4" operator="equal">
      <formula>FALSE</formula>
    </cfRule>
  </conditionalFormatting>
  <conditionalFormatting sqref="BF1:BG2 BF3:BF18 BF21:BF33 BG3:BG33 BF34:BG1048576">
    <cfRule type="cellIs" dxfId="36" priority="3" operator="equal">
      <formula>"?"</formula>
    </cfRule>
  </conditionalFormatting>
  <conditionalFormatting sqref="BB19:BB20">
    <cfRule type="cellIs" dxfId="35" priority="2" operator="equal">
      <formula>FALSE</formula>
    </cfRule>
  </conditionalFormatting>
  <conditionalFormatting sqref="BF19:BF20">
    <cfRule type="cellIs" dxfId="34" priority="1" operator="equal">
      <formula>"?"</formula>
    </cfRule>
  </conditionalFormatting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43"/>
  <sheetViews>
    <sheetView workbookViewId="0">
      <pane ySplit="1" topLeftCell="A5" activePane="bottomLeft" state="frozenSplit"/>
      <selection pane="bottomLeft" activeCell="AC46" sqref="AC46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1" bestFit="1" customWidth="1"/>
    <col min="28" max="28" width="5" style="100" customWidth="1"/>
    <col min="29" max="30" width="5.6640625" style="51" bestFit="1" customWidth="1"/>
    <col min="31" max="33" width="6" style="51" customWidth="1"/>
    <col min="34" max="35" width="4.6640625" style="51" customWidth="1"/>
    <col min="36" max="36" width="9.83203125" style="51" customWidth="1"/>
    <col min="37" max="38" width="5.5" style="51" customWidth="1"/>
    <col min="39" max="39" width="5.33203125" style="4" customWidth="1"/>
    <col min="40" max="40" width="6" style="40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8" t="s">
        <v>1387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9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50" customFormat="1" x14ac:dyDescent="0.2">
      <c r="A2" s="2" t="s">
        <v>1374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50" t="str">
        <f>VLOOKUP(B2,Classification!A:D,2,FALSE)</f>
        <v>A</v>
      </c>
      <c r="AB2" s="97" t="str">
        <f>VLOOKUP(B2,Classification!A:D,4,0)</f>
        <v>Chemokine</v>
      </c>
      <c r="AC2" s="50">
        <f>VLOOKUP(B2,'SegEnds_NonXtal_Prot#'!A:AL,6,FALSE)-VLOOKUP(B2,'SegEnds_NonXtal_Prot#'!A:AL,5,FALSE)</f>
        <v>1</v>
      </c>
      <c r="AD2" s="50">
        <f>VLOOKUP(B2,'SegEnds_NonXtal_Prot#'!A:AL,9,FALSE)-VLOOKUP(B2,'SegEnds_NonXtal_Prot#'!A:AL,8,FALSE)</f>
        <v>1</v>
      </c>
      <c r="AE2" s="50">
        <f>VLOOKUP(B2,'SegEnds_NonXtal_Prot#'!A:AL,13,FALSE)-VLOOKUP(B2,'SegEnds_NonXtal_Prot#'!A:AL,10,FALSE)</f>
        <v>18</v>
      </c>
      <c r="AF2" s="50">
        <f>VLOOKUP(B2,'SegEnds_NonXtal_Prot#'!A:AL,12,FALSE)-VLOOKUP(B2,'SegEnds_NonXtal_Prot#'!A:AL,11,FALSE)</f>
        <v>1</v>
      </c>
      <c r="AG2" s="50">
        <f>VLOOKUP(B2,'SegEnds_NonXtal_Prot#'!A:AL,13,FALSE)-VLOOKUP(B2,'SegEnds_NonXtal_Prot#'!A:AL,11,FALSE)</f>
        <v>2</v>
      </c>
      <c r="AH2" s="50">
        <f>VLOOKUP(B2,'SegEnds_NonXtal_Prot#'!A:AL,16,FALSE)-VLOOKUP(B2,'SegEnds_NonXtal_Prot#'!A:AL,10,FALSE)</f>
        <v>50</v>
      </c>
      <c r="AI2" s="50">
        <f>VLOOKUP(B2,'SegEnds_NonXtal_Prot#'!A:AL,16,FALSE)-VLOOKUP(B2,'SegEnds_NonXtal_Prot#'!A:AL,11,FALSE)</f>
        <v>34</v>
      </c>
      <c r="AJ2" s="50">
        <f>VLOOKUP(B2,'SegEnds_NonXtal_Prot#'!A:AL,22,FALSE)-VLOOKUP(B2,'SegEnds_NonXtal_Prot#'!A:AL,19,FALSE)</f>
        <v>22</v>
      </c>
      <c r="AK2" s="50">
        <f>VLOOKUP(B2,'SegEnds_NonXtal_Prot#'!A:AL,15,FALSE)-VLOOKUP(B2,'SegEnds_NonXtal_Prot#'!A:AL,14,FALSE)</f>
        <v>1</v>
      </c>
      <c r="AL2" s="50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8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1386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50" t="str">
        <f>VLOOKUP(B3,Classification!A:D,2,FALSE)</f>
        <v>A</v>
      </c>
      <c r="AB3" s="97" t="str">
        <f>VLOOKUP(B3,Classification!A:D,4,0)</f>
        <v>Chemokine</v>
      </c>
      <c r="AC3" s="50">
        <f>VLOOKUP(B3,'SegEnds_NonXtal_Prot#'!A:AL,6,FALSE)-VLOOKUP(B3,'SegEnds_NonXtal_Prot#'!A:AL,5,FALSE)</f>
        <v>1</v>
      </c>
      <c r="AD3" s="50">
        <f>VLOOKUP(B3,'SegEnds_NonXtal_Prot#'!A:AL,9,FALSE)-VLOOKUP(B3,'SegEnds_NonXtal_Prot#'!A:AL,8,FALSE)</f>
        <v>1</v>
      </c>
      <c r="AE3" s="50">
        <f>VLOOKUP(B3,'SegEnds_NonXtal_Prot#'!A:AL,13,FALSE)-VLOOKUP(B3,'SegEnds_NonXtal_Prot#'!A:AL,10,FALSE)</f>
        <v>18</v>
      </c>
      <c r="AF3" s="50">
        <f>VLOOKUP(B3,'SegEnds_NonXtal_Prot#'!A:AL,12,FALSE)-VLOOKUP(B3,'SegEnds_NonXtal_Prot#'!A:AL,11,FALSE)</f>
        <v>1</v>
      </c>
      <c r="AG3" s="50">
        <f>VLOOKUP(B3,'SegEnds_NonXtal_Prot#'!A:AL,13,FALSE)-VLOOKUP(B3,'SegEnds_NonXtal_Prot#'!A:AL,11,FALSE)</f>
        <v>2</v>
      </c>
      <c r="AH3" s="50">
        <f>VLOOKUP(B3,'SegEnds_NonXtal_Prot#'!A:AL,16,FALSE)-VLOOKUP(B3,'SegEnds_NonXtal_Prot#'!A:AL,10,FALSE)</f>
        <v>50</v>
      </c>
      <c r="AI3" s="50">
        <f>VLOOKUP(B3,'SegEnds_NonXtal_Prot#'!A:AL,16,FALSE)-VLOOKUP(B3,'SegEnds_NonXtal_Prot#'!A:AL,11,FALSE)</f>
        <v>34</v>
      </c>
      <c r="AJ3" s="50">
        <f>VLOOKUP(B3,'SegEnds_NonXtal_Prot#'!A:AL,22,FALSE)-VLOOKUP(B3,'SegEnds_NonXtal_Prot#'!A:AL,19,FALSE)</f>
        <v>20</v>
      </c>
      <c r="AK3" s="50">
        <f>VLOOKUP(B3,'SegEnds_NonXtal_Prot#'!A:AL,15,FALSE)-VLOOKUP(B3,'SegEnds_NonXtal_Prot#'!A:AL,14,FALSE)</f>
        <v>1</v>
      </c>
      <c r="AL3" s="50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8"/>
    </row>
    <row r="4" spans="1:64" s="2" customFormat="1" x14ac:dyDescent="0.2">
      <c r="A4" s="2" t="s">
        <v>1257</v>
      </c>
      <c r="B4" s="2" t="s">
        <v>192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67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63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76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60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50" t="str">
        <f>VLOOKUP(B4,Classification!A:D,2,FALSE)</f>
        <v>A</v>
      </c>
      <c r="AB4" s="97" t="str">
        <f>VLOOKUP(B4,Classification!A:D,4,0)</f>
        <v>Dopamine</v>
      </c>
      <c r="AC4" s="50">
        <f>VLOOKUP(B4,'SegEnds_NonXtal_Prot#'!A:AL,6,FALSE)-VLOOKUP(B4,'SegEnds_NonXtal_Prot#'!A:AL,5,FALSE)</f>
        <v>1</v>
      </c>
      <c r="AD4" s="50">
        <f>VLOOKUP(B4,'SegEnds_NonXtal_Prot#'!A:AL,9,FALSE)-VLOOKUP(B4,'SegEnds_NonXtal_Prot#'!A:AL,8,FALSE)</f>
        <v>1</v>
      </c>
      <c r="AE4" s="50">
        <f>VLOOKUP(B4,'SegEnds_NonXtal_Prot#'!A:AL,13,FALSE)-VLOOKUP(B4,'SegEnds_NonXtal_Prot#'!A:AL,10,FALSE)</f>
        <v>21</v>
      </c>
      <c r="AF4" s="50">
        <f>VLOOKUP(B4,'SegEnds_NonXtal_Prot#'!A:AL,12,FALSE)-VLOOKUP(B4,'SegEnds_NonXtal_Prot#'!A:AL,11,FALSE)</f>
        <v>3</v>
      </c>
      <c r="AG4" s="50">
        <f>VLOOKUP(B4,'SegEnds_NonXtal_Prot#'!A:AL,13,FALSE)-VLOOKUP(B4,'SegEnds_NonXtal_Prot#'!A:AL,11,FALSE)</f>
        <v>4</v>
      </c>
      <c r="AH4" s="50">
        <f>VLOOKUP(B4,'SegEnds_NonXtal_Prot#'!A:AL,16,FALSE)-VLOOKUP(B4,'SegEnds_NonXtal_Prot#'!A:AL,10,FALSE)</f>
        <v>53</v>
      </c>
      <c r="AI4" s="50">
        <f>VLOOKUP(B4,'SegEnds_NonXtal_Prot#'!A:AL,16,FALSE)-VLOOKUP(B4,'SegEnds_NonXtal_Prot#'!A:AL,11,FALSE)</f>
        <v>36</v>
      </c>
      <c r="AJ4" s="50">
        <f>VLOOKUP(B4,'SegEnds_NonXtal_Prot#'!A:AL,22,FALSE)-VLOOKUP(B4,'SegEnds_NonXtal_Prot#'!A:AL,19,FALSE)</f>
        <v>23</v>
      </c>
      <c r="AK4" s="50">
        <f>VLOOKUP(B4,'SegEnds_NonXtal_Prot#'!A:AL,15,FALSE)-VLOOKUP(B4,'SegEnds_NonXtal_Prot#'!A:AL,14,FALSE)</f>
        <v>1</v>
      </c>
      <c r="AL4" s="50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36</v>
      </c>
      <c r="AN4" s="38"/>
    </row>
    <row r="5" spans="1:64" s="2" customFormat="1" x14ac:dyDescent="0.2">
      <c r="A5" s="2" t="s">
        <v>1244</v>
      </c>
      <c r="B5" s="2" t="s">
        <v>34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57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74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58</v>
      </c>
      <c r="AA5" s="50" t="str">
        <f>VLOOKUP(B5,Classification!A:D,2,FALSE)</f>
        <v>A</v>
      </c>
      <c r="AB5" s="97" t="str">
        <f>VLOOKUP(B5,Classification!A:D,4,0)</f>
        <v>5-Hydroxytryptamine</v>
      </c>
      <c r="AC5" s="50">
        <f>VLOOKUP(B5,'SegEnds_NonXtal_Prot#'!A:AL,6,FALSE)-VLOOKUP(B5,'SegEnds_NonXtal_Prot#'!A:AL,5,FALSE)</f>
        <v>1</v>
      </c>
      <c r="AD5" s="50">
        <f>VLOOKUP(B5,'SegEnds_NonXtal_Prot#'!A:AL,9,FALSE)-VLOOKUP(B5,'SegEnds_NonXtal_Prot#'!A:AL,8,FALSE)</f>
        <v>1</v>
      </c>
      <c r="AE5" s="50">
        <f>VLOOKUP(B5,'SegEnds_NonXtal_Prot#'!A:AL,13,FALSE)-VLOOKUP(B5,'SegEnds_NonXtal_Prot#'!A:AL,10,FALSE)</f>
        <v>20</v>
      </c>
      <c r="AF5" s="50">
        <f>VLOOKUP(B5,'SegEnds_NonXtal_Prot#'!A:AL,12,FALSE)-VLOOKUP(B5,'SegEnds_NonXtal_Prot#'!A:AL,11,FALSE)</f>
        <v>2</v>
      </c>
      <c r="AG5" s="50">
        <f>VLOOKUP(B5,'SegEnds_NonXtal_Prot#'!A:AL,13,FALSE)-VLOOKUP(B5,'SegEnds_NonXtal_Prot#'!A:AL,11,FALSE)</f>
        <v>3</v>
      </c>
      <c r="AH5" s="50">
        <f>VLOOKUP(B5,'SegEnds_NonXtal_Prot#'!A:AL,16,FALSE)-VLOOKUP(B5,'SegEnds_NonXtal_Prot#'!A:AL,10,FALSE)</f>
        <v>52</v>
      </c>
      <c r="AI5" s="50">
        <f>VLOOKUP(B5,'SegEnds_NonXtal_Prot#'!A:AL,16,FALSE)-VLOOKUP(B5,'SegEnds_NonXtal_Prot#'!A:AL,11,FALSE)</f>
        <v>35</v>
      </c>
      <c r="AJ5" s="50">
        <f>VLOOKUP(B5,'SegEnds_NonXtal_Prot#'!A:AL,22,FALSE)-VLOOKUP(B5,'SegEnds_NonXtal_Prot#'!A:AL,19,FALSE)</f>
        <v>20</v>
      </c>
      <c r="AK5" s="50">
        <f>VLOOKUP(B5,'SegEnds_NonXtal_Prot#'!A:AL,15,FALSE)-VLOOKUP(B5,'SegEnds_NonXtal_Prot#'!A:AL,14,FALSE)</f>
        <v>1</v>
      </c>
      <c r="AL5" s="50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37</v>
      </c>
      <c r="AN5" s="38"/>
    </row>
    <row r="6" spans="1:64" s="2" customFormat="1" x14ac:dyDescent="0.2">
      <c r="A6" s="2" t="s">
        <v>1245</v>
      </c>
      <c r="B6" s="2" t="s">
        <v>35</v>
      </c>
      <c r="C6" s="2">
        <f>IFERROR(50+VLOOKUP($A6,'SegEnds_Xtal_Prot#'!$A:$AY,5,FALSE)-VLOOKUP($B6,'SegEnds_NonXtal_Prot#'!$A:$AL,4,FALSE),"-")</f>
        <v>32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64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76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28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58</v>
      </c>
      <c r="AA6" s="50" t="str">
        <f>VLOOKUP(B6,Classification!A:D,2,FALSE)</f>
        <v>A</v>
      </c>
      <c r="AB6" s="97" t="str">
        <f>VLOOKUP(B6,Classification!A:D,4,0)</f>
        <v>5-Hydroxytryptamine</v>
      </c>
      <c r="AC6" s="50">
        <f>VLOOKUP(B6,'SegEnds_NonXtal_Prot#'!A:AL,6,FALSE)-VLOOKUP(B6,'SegEnds_NonXtal_Prot#'!A:AL,5,FALSE)</f>
        <v>1</v>
      </c>
      <c r="AD6" s="50">
        <f>VLOOKUP(B6,'SegEnds_NonXtal_Prot#'!A:AL,9,FALSE)-VLOOKUP(B6,'SegEnds_NonXtal_Prot#'!A:AL,8,FALSE)</f>
        <v>1</v>
      </c>
      <c r="AE6" s="50">
        <f>VLOOKUP(B6,'SegEnds_NonXtal_Prot#'!A:AL,13,FALSE)-VLOOKUP(B6,'SegEnds_NonXtal_Prot#'!A:AL,10,FALSE)</f>
        <v>21</v>
      </c>
      <c r="AF6" s="50">
        <f>VLOOKUP(B6,'SegEnds_NonXtal_Prot#'!A:AL,12,FALSE)-VLOOKUP(B6,'SegEnds_NonXtal_Prot#'!A:AL,11,FALSE)</f>
        <v>3</v>
      </c>
      <c r="AG6" s="50">
        <f>VLOOKUP(B6,'SegEnds_NonXtal_Prot#'!A:AL,13,FALSE)-VLOOKUP(B6,'SegEnds_NonXtal_Prot#'!A:AL,11,FALSE)</f>
        <v>4</v>
      </c>
      <c r="AH6" s="50">
        <f>VLOOKUP(B6,'SegEnds_NonXtal_Prot#'!A:AL,16,FALSE)-VLOOKUP(B6,'SegEnds_NonXtal_Prot#'!A:AL,10,FALSE)</f>
        <v>53</v>
      </c>
      <c r="AI6" s="50">
        <f>VLOOKUP(B6,'SegEnds_NonXtal_Prot#'!A:AL,16,FALSE)-VLOOKUP(B6,'SegEnds_NonXtal_Prot#'!A:AL,11,FALSE)</f>
        <v>36</v>
      </c>
      <c r="AJ6" s="50">
        <f>VLOOKUP(B6,'SegEnds_NonXtal_Prot#'!A:AL,22,FALSE)-VLOOKUP(B6,'SegEnds_NonXtal_Prot#'!A:AL,19,FALSE)</f>
        <v>20</v>
      </c>
      <c r="AK6" s="50">
        <f>VLOOKUP(B6,'SegEnds_NonXtal_Prot#'!A:AL,15,FALSE)-VLOOKUP(B6,'SegEnds_NonXtal_Prot#'!A:AL,14,FALSE)</f>
        <v>1</v>
      </c>
      <c r="AL6" s="50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38</v>
      </c>
      <c r="AN6" s="38"/>
    </row>
    <row r="7" spans="1:64" x14ac:dyDescent="0.2">
      <c r="A7" s="2" t="s">
        <v>1250</v>
      </c>
      <c r="B7" s="2" t="s">
        <v>149</v>
      </c>
      <c r="C7" s="2">
        <f>IFERROR(50+VLOOKUP($A7,'SegEnds_Xtal_Prot#'!$A:$AY,5,FALSE)-VLOOKUP($B7,'SegEnds_NonXtal_Prot#'!$A:$AL,4,FALSE),"-")</f>
        <v>26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67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69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75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61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59</v>
      </c>
      <c r="AA7" s="50" t="str">
        <f>VLOOKUP(B7,Classification!A:D,2,FALSE)</f>
        <v>A</v>
      </c>
      <c r="AB7" s="97" t="str">
        <f>VLOOKUP(B7,Classification!A:D,4,0)</f>
        <v>Acetylcholine(muscarinic)</v>
      </c>
      <c r="AC7" s="50">
        <f>VLOOKUP(B7,'SegEnds_NonXtal_Prot#'!A:AL,6,FALSE)-VLOOKUP(B7,'SegEnds_NonXtal_Prot#'!A:AL,5,FALSE)</f>
        <v>1</v>
      </c>
      <c r="AD7" s="50">
        <f>VLOOKUP(B7,'SegEnds_NonXtal_Prot#'!A:AL,9,FALSE)-VLOOKUP(B7,'SegEnds_NonXtal_Prot#'!A:AL,8,FALSE)</f>
        <v>1</v>
      </c>
      <c r="AE7" s="50">
        <f>VLOOKUP(B7,'SegEnds_NonXtal_Prot#'!A:AL,13,FALSE)-VLOOKUP(B7,'SegEnds_NonXtal_Prot#'!A:AL,10,FALSE)</f>
        <v>20</v>
      </c>
      <c r="AF7" s="50">
        <f>VLOOKUP(B7,'SegEnds_NonXtal_Prot#'!A:AL,12,FALSE)-VLOOKUP(B7,'SegEnds_NonXtal_Prot#'!A:AL,11,FALSE)</f>
        <v>2</v>
      </c>
      <c r="AG7" s="50">
        <f>VLOOKUP(B7,'SegEnds_NonXtal_Prot#'!A:AL,13,FALSE)-VLOOKUP(B7,'SegEnds_NonXtal_Prot#'!A:AL,11,FALSE)</f>
        <v>3</v>
      </c>
      <c r="AH7" s="50">
        <f>VLOOKUP(B7,'SegEnds_NonXtal_Prot#'!A:AL,16,FALSE)-VLOOKUP(B7,'SegEnds_NonXtal_Prot#'!A:AL,10,FALSE)</f>
        <v>52</v>
      </c>
      <c r="AI7" s="50">
        <f>VLOOKUP(B7,'SegEnds_NonXtal_Prot#'!A:AL,16,FALSE)-VLOOKUP(B7,'SegEnds_NonXtal_Prot#'!A:AL,11,FALSE)</f>
        <v>35</v>
      </c>
      <c r="AJ7" s="50">
        <f>VLOOKUP(B7,'SegEnds_NonXtal_Prot#'!A:AL,22,FALSE)-VLOOKUP(B7,'SegEnds_NonXtal_Prot#'!A:AL,19,FALSE)</f>
        <v>20</v>
      </c>
      <c r="AK7" s="50">
        <f>VLOOKUP(B7,'SegEnds_NonXtal_Prot#'!A:AL,15,FALSE)-VLOOKUP(B7,'SegEnds_NonXtal_Prot#'!A:AL,14,FALSE)</f>
        <v>1</v>
      </c>
      <c r="AL7" s="50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35</v>
      </c>
      <c r="AN7" s="38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</row>
    <row r="8" spans="1:64" s="2" customFormat="1" x14ac:dyDescent="0.2">
      <c r="A8" s="2" t="s">
        <v>1247</v>
      </c>
      <c r="B8" s="2" t="s">
        <v>146</v>
      </c>
      <c r="C8" s="2">
        <f>IFERROR(50+VLOOKUP($A8,'SegEnds_Xtal_Prot#'!$A:$AY,5,FALSE)-VLOOKUP($B8,'SegEnds_NonXtal_Prot#'!$A:$AL,4,FALSE),"-")</f>
        <v>29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69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75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31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59</v>
      </c>
      <c r="AA8" s="50" t="str">
        <f>VLOOKUP(B8,Classification!A:D,2,FALSE)</f>
        <v>A</v>
      </c>
      <c r="AB8" s="97" t="str">
        <f>VLOOKUP(B8,Classification!A:D,4,0)</f>
        <v>Acetylcholine(muscarinic)</v>
      </c>
      <c r="AC8" s="50">
        <f>VLOOKUP(B8,'SegEnds_NonXtal_Prot#'!A:AL,6,FALSE)-VLOOKUP(B8,'SegEnds_NonXtal_Prot#'!A:AL,5,FALSE)</f>
        <v>1</v>
      </c>
      <c r="AD8" s="50">
        <f>VLOOKUP(B8,'SegEnds_NonXtal_Prot#'!A:AL,9,FALSE)-VLOOKUP(B8,'SegEnds_NonXtal_Prot#'!A:AL,8,FALSE)</f>
        <v>1</v>
      </c>
      <c r="AE8" s="50">
        <f>VLOOKUP(B8,'SegEnds_NonXtal_Prot#'!A:AL,13,FALSE)-VLOOKUP(B8,'SegEnds_NonXtal_Prot#'!A:AL,10,FALSE)</f>
        <v>20</v>
      </c>
      <c r="AF8" s="50">
        <f>VLOOKUP(B8,'SegEnds_NonXtal_Prot#'!A:AL,12,FALSE)-VLOOKUP(B8,'SegEnds_NonXtal_Prot#'!A:AL,11,FALSE)</f>
        <v>2</v>
      </c>
      <c r="AG8" s="50">
        <f>VLOOKUP(B8,'SegEnds_NonXtal_Prot#'!A:AL,13,FALSE)-VLOOKUP(B8,'SegEnds_NonXtal_Prot#'!A:AL,11,FALSE)</f>
        <v>3</v>
      </c>
      <c r="AH8" s="50">
        <f>VLOOKUP(B8,'SegEnds_NonXtal_Prot#'!A:AL,16,FALSE)-VLOOKUP(B8,'SegEnds_NonXtal_Prot#'!A:AL,10,FALSE)</f>
        <v>52</v>
      </c>
      <c r="AI8" s="50">
        <f>VLOOKUP(B8,'SegEnds_NonXtal_Prot#'!A:AL,16,FALSE)-VLOOKUP(B8,'SegEnds_NonXtal_Prot#'!A:AL,11,FALSE)</f>
        <v>35</v>
      </c>
      <c r="AJ8" s="50">
        <f>VLOOKUP(B8,'SegEnds_NonXtal_Prot#'!A:AL,22,FALSE)-VLOOKUP(B8,'SegEnds_NonXtal_Prot#'!A:AL,19,FALSE)</f>
        <v>20</v>
      </c>
      <c r="AK8" s="50">
        <f>VLOOKUP(B8,'SegEnds_NonXtal_Prot#'!A:AL,15,FALSE)-VLOOKUP(B8,'SegEnds_NonXtal_Prot#'!A:AL,14,FALSE)</f>
        <v>1</v>
      </c>
      <c r="AL8" s="50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35</v>
      </c>
      <c r="AN8" s="38"/>
    </row>
    <row r="9" spans="1:64" s="2" customFormat="1" x14ac:dyDescent="0.2">
      <c r="A9" s="2" t="s">
        <v>1249</v>
      </c>
      <c r="B9" s="2" t="s">
        <v>910</v>
      </c>
      <c r="C9" s="2">
        <f>IFERROR(50+VLOOKUP($A9,'SegEnds_Xtal_Prot#'!$A:$AY,5,FALSE)-VLOOKUP($B9,'SegEnds_NonXtal_Prot#'!$A:$AL,4,FALSE),"-")</f>
        <v>29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67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69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75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31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58</v>
      </c>
      <c r="AA9" s="50" t="str">
        <f>VLOOKUP(B9,Classification!A:D,2,FALSE)</f>
        <v>A</v>
      </c>
      <c r="AB9" s="97" t="str">
        <f>VLOOKUP(B9,Classification!A:D,4,0)</f>
        <v>Acetylcholine(muscarinic)</v>
      </c>
      <c r="AC9" s="50">
        <f>VLOOKUP(B9,'SegEnds_NonXtal_Prot#'!A:AL,6,FALSE)-VLOOKUP(B9,'SegEnds_NonXtal_Prot#'!A:AL,5,FALSE)</f>
        <v>1</v>
      </c>
      <c r="AD9" s="50">
        <f>VLOOKUP(B9,'SegEnds_NonXtal_Prot#'!A:AL,9,FALSE)-VLOOKUP(B9,'SegEnds_NonXtal_Prot#'!A:AL,8,FALSE)</f>
        <v>1</v>
      </c>
      <c r="AE9" s="50">
        <f>VLOOKUP(B9,'SegEnds_NonXtal_Prot#'!A:AL,13,FALSE)-VLOOKUP(B9,'SegEnds_NonXtal_Prot#'!A:AL,10,FALSE)</f>
        <v>20</v>
      </c>
      <c r="AF9" s="50">
        <f>VLOOKUP(B9,'SegEnds_NonXtal_Prot#'!A:AL,12,FALSE)-VLOOKUP(B9,'SegEnds_NonXtal_Prot#'!A:AL,11,FALSE)</f>
        <v>2</v>
      </c>
      <c r="AG9" s="50">
        <f>VLOOKUP(B9,'SegEnds_NonXtal_Prot#'!A:AL,13,FALSE)-VLOOKUP(B9,'SegEnds_NonXtal_Prot#'!A:AL,11,FALSE)</f>
        <v>3</v>
      </c>
      <c r="AH9" s="50">
        <f>VLOOKUP(B9,'SegEnds_NonXtal_Prot#'!A:AL,16,FALSE)-VLOOKUP(B9,'SegEnds_NonXtal_Prot#'!A:AL,10,FALSE)</f>
        <v>52</v>
      </c>
      <c r="AI9" s="50">
        <f>VLOOKUP(B9,'SegEnds_NonXtal_Prot#'!A:AL,16,FALSE)-VLOOKUP(B9,'SegEnds_NonXtal_Prot#'!A:AL,11,FALSE)</f>
        <v>35</v>
      </c>
      <c r="AJ9" s="50">
        <f>VLOOKUP(B9,'SegEnds_NonXtal_Prot#'!A:AL,22,FALSE)-VLOOKUP(B9,'SegEnds_NonXtal_Prot#'!A:AL,19,FALSE)</f>
        <v>20</v>
      </c>
      <c r="AK9" s="50">
        <f>VLOOKUP(B9,'SegEnds_NonXtal_Prot#'!A:AL,15,FALSE)-VLOOKUP(B9,'SegEnds_NonXtal_Prot#'!A:AL,14,FALSE)</f>
        <v>1</v>
      </c>
      <c r="AL9" s="50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35</v>
      </c>
      <c r="AN9" s="38"/>
    </row>
    <row r="10" spans="1:64" s="2" customFormat="1" x14ac:dyDescent="0.2">
      <c r="A10" s="2" t="s">
        <v>1248</v>
      </c>
      <c r="B10" s="2" t="s">
        <v>147</v>
      </c>
      <c r="C10" s="2">
        <f>IFERROR(50+VLOOKUP($A10,'SegEnds_Xtal_Prot#'!$A:$AY,5,FALSE)-VLOOKUP($B10,'SegEnds_NonXtal_Prot#'!$A:$AL,4,FALSE),"-")</f>
        <v>28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50" t="str">
        <f>VLOOKUP(B10,Classification!A:D,2,FALSE)</f>
        <v>A</v>
      </c>
      <c r="AB10" s="97" t="str">
        <f>VLOOKUP(B10,Classification!A:D,4,0)</f>
        <v>Acetylcholine(muscarinic)</v>
      </c>
      <c r="AC10" s="50">
        <f>VLOOKUP(B10,'SegEnds_NonXtal_Prot#'!A:AL,6,FALSE)-VLOOKUP(B10,'SegEnds_NonXtal_Prot#'!A:AL,5,FALSE)</f>
        <v>1</v>
      </c>
      <c r="AD10" s="50">
        <f>VLOOKUP(B10,'SegEnds_NonXtal_Prot#'!A:AL,9,FALSE)-VLOOKUP(B10,'SegEnds_NonXtal_Prot#'!A:AL,8,FALSE)</f>
        <v>1</v>
      </c>
      <c r="AE10" s="50">
        <f>VLOOKUP(B10,'SegEnds_NonXtal_Prot#'!A:AL,13,FALSE)-VLOOKUP(B10,'SegEnds_NonXtal_Prot#'!A:AL,10,FALSE)</f>
        <v>20</v>
      </c>
      <c r="AF10" s="50">
        <f>VLOOKUP(B10,'SegEnds_NonXtal_Prot#'!A:AL,12,FALSE)-VLOOKUP(B10,'SegEnds_NonXtal_Prot#'!A:AL,11,FALSE)</f>
        <v>2</v>
      </c>
      <c r="AG10" s="50">
        <f>VLOOKUP(B10,'SegEnds_NonXtal_Prot#'!A:AL,13,FALSE)-VLOOKUP(B10,'SegEnds_NonXtal_Prot#'!A:AL,11,FALSE)</f>
        <v>3</v>
      </c>
      <c r="AH10" s="50">
        <f>VLOOKUP(B10,'SegEnds_NonXtal_Prot#'!A:AL,16,FALSE)-VLOOKUP(B10,'SegEnds_NonXtal_Prot#'!A:AL,10,FALSE)</f>
        <v>52</v>
      </c>
      <c r="AI10" s="50">
        <f>VLOOKUP(B10,'SegEnds_NonXtal_Prot#'!A:AL,16,FALSE)-VLOOKUP(B10,'SegEnds_NonXtal_Prot#'!A:AL,11,FALSE)</f>
        <v>35</v>
      </c>
      <c r="AJ10" s="50">
        <f>VLOOKUP(B10,'SegEnds_NonXtal_Prot#'!A:AL,22,FALSE)-VLOOKUP(B10,'SegEnds_NonXtal_Prot#'!A:AL,19,FALSE)</f>
        <v>20</v>
      </c>
      <c r="AK10" s="50">
        <f>VLOOKUP(B10,'SegEnds_NonXtal_Prot#'!A:AL,15,FALSE)-VLOOKUP(B10,'SegEnds_NonXtal_Prot#'!A:AL,14,FALSE)</f>
        <v>1</v>
      </c>
      <c r="AL10" s="50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8"/>
    </row>
    <row r="11" spans="1:64" s="2" customFormat="1" x14ac:dyDescent="0.2">
      <c r="A11" s="2" t="s">
        <v>1397</v>
      </c>
      <c r="B11" s="2" t="s">
        <v>138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67</v>
      </c>
      <c r="I11" s="2">
        <f>IFERROR(50+VLOOKUP($A11,'SegEnds_Xtal_Prot#'!$A:$AY,17,FALSE)-VLOOKUP($B11,'SegEnds_NonXtal_Prot#'!$A:$AL,13,FALSE),"-")</f>
        <v>50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63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34</v>
      </c>
      <c r="T11" s="2">
        <f>IFERROR(50+VLOOKUP($A11,'SegEnds_Xtal_Prot#'!$A:$AY,39,FALSE)-VLOOKUP($B11,'SegEnds_NonXtal_Prot#'!$A:$AL,28,FALSE),"-")</f>
        <v>73</v>
      </c>
      <c r="U11" s="2">
        <f>IFERROR(50+VLOOKUP($A11,'SegEnds_Xtal_Prot#'!$A:$AY,41,FALSE)-VLOOKUP($B11,'SegEnds_NonXtal_Prot#'!$A:$AL,31,FALSE),"-")</f>
        <v>22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69</v>
      </c>
      <c r="AA11" s="50" t="str">
        <f>VLOOKUP(B11,Classification!A:D,2,FALSE)</f>
        <v>A</v>
      </c>
      <c r="AB11" s="97" t="str">
        <f>VLOOKUP(B11,Classification!A:D,4,0)</f>
        <v>Adenosine</v>
      </c>
      <c r="AC11" s="50">
        <f>VLOOKUP(B11,'SegEnds_NonXtal_Prot#'!A:AL,6,FALSE)-VLOOKUP(B11,'SegEnds_NonXtal_Prot#'!A:AL,5,FALSE)</f>
        <v>1</v>
      </c>
      <c r="AD11" s="50">
        <f>VLOOKUP(B11,'SegEnds_NonXtal_Prot#'!A:AL,9,FALSE)-VLOOKUP(B11,'SegEnds_NonXtal_Prot#'!A:AL,8,FALSE)</f>
        <v>1</v>
      </c>
      <c r="AE11" s="50">
        <f>VLOOKUP(B11,'SegEnds_NonXtal_Prot#'!A:AL,13,FALSE)-VLOOKUP(B11,'SegEnds_NonXtal_Prot#'!A:AL,10,FALSE)</f>
        <v>18</v>
      </c>
      <c r="AF11" s="50">
        <f>VLOOKUP(B11,'SegEnds_NonXtal_Prot#'!A:AL,12,FALSE)-VLOOKUP(B11,'SegEnds_NonXtal_Prot#'!A:AL,11,FALSE)</f>
        <v>1</v>
      </c>
      <c r="AG11" s="50">
        <f>VLOOKUP(B11,'SegEnds_NonXtal_Prot#'!A:AL,13,FALSE)-VLOOKUP(B11,'SegEnds_NonXtal_Prot#'!A:AL,11,FALSE)</f>
        <v>1</v>
      </c>
      <c r="AH11" s="50">
        <f>VLOOKUP(B11,'SegEnds_NonXtal_Prot#'!A:AL,16,FALSE)-VLOOKUP(B11,'SegEnds_NonXtal_Prot#'!A:AL,10,FALSE)</f>
        <v>50</v>
      </c>
      <c r="AI11" s="50">
        <f>VLOOKUP(B11,'SegEnds_NonXtal_Prot#'!A:AL,16,FALSE)-VLOOKUP(B11,'SegEnds_NonXtal_Prot#'!A:AL,11,FALSE)</f>
        <v>33</v>
      </c>
      <c r="AJ11" s="50">
        <f>VLOOKUP(B11,'SegEnds_NonXtal_Prot#'!A:AL,22,FALSE)-VLOOKUP(B11,'SegEnds_NonXtal_Prot#'!A:AL,19,FALSE)</f>
        <v>20</v>
      </c>
      <c r="AK11" s="50">
        <f>VLOOKUP(B11,'SegEnds_NonXtal_Prot#'!A:AL,15,FALSE)-VLOOKUP(B11,'SegEnds_NonXtal_Prot#'!A:AL,14,FALSE)</f>
        <v>1</v>
      </c>
      <c r="AL11" s="50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36</v>
      </c>
      <c r="AN11" s="38"/>
    </row>
    <row r="12" spans="1:64" s="2" customFormat="1" x14ac:dyDescent="0.2">
      <c r="A12" s="2" t="s">
        <v>1246</v>
      </c>
      <c r="B12" s="2" t="s">
        <v>139</v>
      </c>
      <c r="C12" s="2">
        <f>IFERROR(50+VLOOKUP($A12,'SegEnds_Xtal_Prot#'!$A:$AY,5,FALSE)-VLOOKUP($B12,'SegEnds_NonXtal_Prot#'!$A:$AL,4,FALSE),"-")</f>
        <v>27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50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63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34</v>
      </c>
      <c r="T12" s="2">
        <f>IFERROR(50+VLOOKUP($A12,'SegEnds_Xtal_Prot#'!$A:$AY,39,FALSE)-VLOOKUP($B12,'SegEnds_NonXtal_Prot#'!$A:$AL,28,FALSE),"-")</f>
        <v>74</v>
      </c>
      <c r="U12" s="2">
        <f>IFERROR(50+VLOOKUP($A12,'SegEnds_Xtal_Prot#'!$A:$AY,41,FALSE)-VLOOKUP($B12,'SegEnds_NonXtal_Prot#'!$A:$AL,31,FALSE),"-")</f>
        <v>21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69</v>
      </c>
      <c r="AA12" s="50" t="str">
        <f>VLOOKUP(B12,Classification!A:D,2,FALSE)</f>
        <v>A</v>
      </c>
      <c r="AB12" s="97" t="str">
        <f>VLOOKUP(B12,Classification!A:D,4,0)</f>
        <v>Adenosine</v>
      </c>
      <c r="AC12" s="50">
        <f>VLOOKUP(B12,'SegEnds_NonXtal_Prot#'!A:AL,6,FALSE)-VLOOKUP(B12,'SegEnds_NonXtal_Prot#'!A:AL,5,FALSE)</f>
        <v>1</v>
      </c>
      <c r="AD12" s="50">
        <f>VLOOKUP(B12,'SegEnds_NonXtal_Prot#'!A:AL,9,FALSE)-VLOOKUP(B12,'SegEnds_NonXtal_Prot#'!A:AL,8,FALSE)</f>
        <v>1</v>
      </c>
      <c r="AE12" s="50">
        <f>VLOOKUP(B12,'SegEnds_NonXtal_Prot#'!A:AL,13,FALSE)-VLOOKUP(B12,'SegEnds_NonXtal_Prot#'!A:AL,10,FALSE)</f>
        <v>18</v>
      </c>
      <c r="AF12" s="50">
        <f>VLOOKUP(B12,'SegEnds_NonXtal_Prot#'!A:AL,12,FALSE)-VLOOKUP(B12,'SegEnds_NonXtal_Prot#'!A:AL,11,FALSE)</f>
        <v>1</v>
      </c>
      <c r="AG12" s="50">
        <f>VLOOKUP(B12,'SegEnds_NonXtal_Prot#'!A:AL,13,FALSE)-VLOOKUP(B12,'SegEnds_NonXtal_Prot#'!A:AL,11,FALSE)</f>
        <v>1</v>
      </c>
      <c r="AH12" s="50">
        <f>VLOOKUP(B12,'SegEnds_NonXtal_Prot#'!A:AL,16,FALSE)-VLOOKUP(B12,'SegEnds_NonXtal_Prot#'!A:AL,10,FALSE)</f>
        <v>50</v>
      </c>
      <c r="AI12" s="50">
        <f>VLOOKUP(B12,'SegEnds_NonXtal_Prot#'!A:AL,16,FALSE)-VLOOKUP(B12,'SegEnds_NonXtal_Prot#'!A:AL,11,FALSE)</f>
        <v>33</v>
      </c>
      <c r="AJ12" s="50">
        <f>VLOOKUP(B12,'SegEnds_NonXtal_Prot#'!A:AL,22,FALSE)-VLOOKUP(B12,'SegEnds_NonXtal_Prot#'!A:AL,19,FALSE)</f>
        <v>20</v>
      </c>
      <c r="AK12" s="50">
        <f>VLOOKUP(B12,'SegEnds_NonXtal_Prot#'!A:AL,15,FALSE)-VLOOKUP(B12,'SegEnds_NonXtal_Prot#'!A:AL,14,FALSE)</f>
        <v>1</v>
      </c>
      <c r="AL12" s="50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37</v>
      </c>
      <c r="AN12" s="38"/>
      <c r="AO12" s="2" t="s">
        <v>1283</v>
      </c>
    </row>
    <row r="13" spans="1:64" s="2" customFormat="1" x14ac:dyDescent="0.2">
      <c r="A13" s="2" t="s">
        <v>1252</v>
      </c>
      <c r="B13" s="2" t="s">
        <v>126</v>
      </c>
      <c r="C13" s="2">
        <f>IFERROR(50+VLOOKUP($A13,'SegEnds_Xtal_Prot#'!$A:$AY,5,FALSE)-VLOOKUP($B13,'SegEnds_NonXtal_Prot#'!$A:$AL,4,FALSE),"-")</f>
        <v>25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67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64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76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55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50" t="str">
        <f>VLOOKUP(B13,Classification!A:D,2,FALSE)</f>
        <v>A</v>
      </c>
      <c r="AB13" s="97" t="str">
        <f>VLOOKUP(B13,Classification!A:D,4,0)</f>
        <v>Adrenoceptors</v>
      </c>
      <c r="AC13" s="50">
        <f>VLOOKUP(B13,'SegEnds_NonXtal_Prot#'!A:AL,6,FALSE)-VLOOKUP(B13,'SegEnds_NonXtal_Prot#'!A:AL,5,FALSE)</f>
        <v>1</v>
      </c>
      <c r="AD13" s="50">
        <f>VLOOKUP(B13,'SegEnds_NonXtal_Prot#'!A:AL,9,FALSE)-VLOOKUP(B13,'SegEnds_NonXtal_Prot#'!A:AL,8,FALSE)</f>
        <v>1</v>
      </c>
      <c r="AE13" s="50">
        <f>VLOOKUP(B13,'SegEnds_NonXtal_Prot#'!A:AL,13,FALSE)-VLOOKUP(B13,'SegEnds_NonXtal_Prot#'!A:AL,10,FALSE)</f>
        <v>20</v>
      </c>
      <c r="AF13" s="50">
        <f>VLOOKUP(B13,'SegEnds_NonXtal_Prot#'!A:AL,12,FALSE)-VLOOKUP(B13,'SegEnds_NonXtal_Prot#'!A:AL,11,FALSE)</f>
        <v>2</v>
      </c>
      <c r="AG13" s="50">
        <f>VLOOKUP(B13,'SegEnds_NonXtal_Prot#'!A:AL,13,FALSE)-VLOOKUP(B13,'SegEnds_NonXtal_Prot#'!A:AL,11,FALSE)</f>
        <v>3</v>
      </c>
      <c r="AH13" s="50">
        <f>VLOOKUP(B13,'SegEnds_NonXtal_Prot#'!A:AL,16,FALSE)-VLOOKUP(B13,'SegEnds_NonXtal_Prot#'!A:AL,10,FALSE)</f>
        <v>52</v>
      </c>
      <c r="AI13" s="50">
        <f>VLOOKUP(B13,'SegEnds_NonXtal_Prot#'!A:AL,16,FALSE)-VLOOKUP(B13,'SegEnds_NonXtal_Prot#'!A:AL,11,FALSE)</f>
        <v>35</v>
      </c>
      <c r="AJ13" s="50">
        <f>VLOOKUP(B13,'SegEnds_NonXtal_Prot#'!A:AL,22,FALSE)-VLOOKUP(B13,'SegEnds_NonXtal_Prot#'!A:AL,19,FALSE)</f>
        <v>20</v>
      </c>
      <c r="AK13" s="50">
        <f>VLOOKUP(B13,'SegEnds_NonXtal_Prot#'!A:AL,15,FALSE)-VLOOKUP(B13,'SegEnds_NonXtal_Prot#'!A:AL,14,FALSE)</f>
        <v>1</v>
      </c>
      <c r="AL13" s="50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8"/>
    </row>
    <row r="14" spans="1:64" s="2" customFormat="1" x14ac:dyDescent="0.2">
      <c r="A14" s="2" t="s">
        <v>1251</v>
      </c>
      <c r="B14" s="2" t="s">
        <v>912</v>
      </c>
      <c r="C14" s="2">
        <f>IFERROR(50+VLOOKUP($A14,'SegEnds_Xtal_Prot#'!$A:$AY,5,FALSE)-VLOOKUP($B14,'SegEnds_NonXtal_Prot#'!$A:$AL,4,FALSE),"-")</f>
        <v>24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49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64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35</v>
      </c>
      <c r="T14" s="2">
        <f>IFERROR(50+VLOOKUP($A14,'SegEnds_Xtal_Prot#'!$A:$AY,39,FALSE)-VLOOKUP($B14,'SegEnds_NonXtal_Prot#'!$A:$AL,28,FALSE),"-")</f>
        <v>76</v>
      </c>
      <c r="U14" s="2">
        <f>IFERROR(50+VLOOKUP($A14,'SegEnds_Xtal_Prot#'!$A:$AY,41,FALSE)-VLOOKUP($B14,'SegEnds_NonXtal_Prot#'!$A:$AL,31,FALSE),"-")</f>
        <v>20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55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59</v>
      </c>
      <c r="AA14" s="50" t="str">
        <f>VLOOKUP(B14,Classification!A:D,2,FALSE)</f>
        <v>A</v>
      </c>
      <c r="AB14" s="97" t="str">
        <f>VLOOKUP(B14,Classification!A:D,4,0)</f>
        <v>Adrenoceptors</v>
      </c>
      <c r="AC14" s="50">
        <f>VLOOKUP(B14,'SegEnds_NonXtal_Prot#'!A:AL,6,FALSE)-VLOOKUP(B14,'SegEnds_NonXtal_Prot#'!A:AL,5,FALSE)</f>
        <v>1</v>
      </c>
      <c r="AD14" s="50">
        <f>VLOOKUP(B14,'SegEnds_NonXtal_Prot#'!A:AL,9,FALSE)-VLOOKUP(B14,'SegEnds_NonXtal_Prot#'!A:AL,8,FALSE)</f>
        <v>1</v>
      </c>
      <c r="AE14" s="50">
        <f>VLOOKUP(B14,'SegEnds_NonXtal_Prot#'!A:AL,13,FALSE)-VLOOKUP(B14,'SegEnds_NonXtal_Prot#'!A:AL,10,FALSE)</f>
        <v>20</v>
      </c>
      <c r="AF14" s="50">
        <f>VLOOKUP(B14,'SegEnds_NonXtal_Prot#'!A:AL,12,FALSE)-VLOOKUP(B14,'SegEnds_NonXtal_Prot#'!A:AL,11,FALSE)</f>
        <v>2</v>
      </c>
      <c r="AG14" s="50">
        <f>VLOOKUP(B14,'SegEnds_NonXtal_Prot#'!A:AL,13,FALSE)-VLOOKUP(B14,'SegEnds_NonXtal_Prot#'!A:AL,11,FALSE)</f>
        <v>3</v>
      </c>
      <c r="AH14" s="50">
        <f>VLOOKUP(B14,'SegEnds_NonXtal_Prot#'!A:AL,16,FALSE)-VLOOKUP(B14,'SegEnds_NonXtal_Prot#'!A:AL,10,FALSE)</f>
        <v>52</v>
      </c>
      <c r="AI14" s="50">
        <f>VLOOKUP(B14,'SegEnds_NonXtal_Prot#'!A:AL,16,FALSE)-VLOOKUP(B14,'SegEnds_NonXtal_Prot#'!A:AL,11,FALSE)</f>
        <v>35</v>
      </c>
      <c r="AJ14" s="50">
        <f>VLOOKUP(B14,'SegEnds_NonXtal_Prot#'!A:AL,22,FALSE)-VLOOKUP(B14,'SegEnds_NonXtal_Prot#'!A:AL,19,FALSE)</f>
        <v>20</v>
      </c>
      <c r="AK14" s="50">
        <f>VLOOKUP(B14,'SegEnds_NonXtal_Prot#'!A:AL,15,FALSE)-VLOOKUP(B14,'SegEnds_NonXtal_Prot#'!A:AL,14,FALSE)</f>
        <v>1</v>
      </c>
      <c r="AL14" s="50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35</v>
      </c>
      <c r="AN14" s="38"/>
    </row>
    <row r="15" spans="1:64" s="2" customFormat="1" x14ac:dyDescent="0.2">
      <c r="A15" s="2" t="s">
        <v>1253</v>
      </c>
      <c r="B15" s="2" t="s">
        <v>158</v>
      </c>
      <c r="C15" s="2">
        <f>IFERROR(50+VLOOKUP($A15,'SegEnds_Xtal_Prot#'!$A:$AY,5,FALSE)-VLOOKUP($B15,'SegEnds_NonXtal_Prot#'!$A:$AL,4,FALSE),"-")</f>
        <v>30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66</v>
      </c>
      <c r="I15" s="2">
        <f>IFERROR(50+VLOOKUP($A15,'SegEnds_Xtal_Prot#'!$A:$AY,17,FALSE)-VLOOKUP($B15,'SegEnds_NonXtal_Prot#'!$A:$AL,13,FALSE),"-")</f>
        <v>49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64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68</v>
      </c>
      <c r="U15" s="2">
        <f>IFERROR(50+VLOOKUP($A15,'SegEnds_Xtal_Prot#'!$A:$AY,41,FALSE)-VLOOKUP($B15,'SegEnds_NonXtal_Prot#'!$A:$AL,31,FALSE),"-")</f>
        <v>28</v>
      </c>
      <c r="V15" s="2">
        <f>IFERROR(50+VLOOKUP($A15,'SegEnds_Xtal_Prot#'!$A:$AY,43,FALSE)-VLOOKUP($B15,'SegEnds_NonXtal_Prot#'!$A:$AL,31,FALSE),"-")</f>
        <v>64</v>
      </c>
      <c r="W15" s="2">
        <f>IFERROR(50+VLOOKUP($A15,'SegEnds_Xtal_Prot#'!$A:$AY,45,FALSE)-VLOOKUP($B15,'SegEnds_NonXtal_Prot#'!$A:$AL,34,FALSE),"-")</f>
        <v>24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61</v>
      </c>
      <c r="AA15" s="50" t="str">
        <f>VLOOKUP(B15,Classification!A:D,2,FALSE)</f>
        <v>A</v>
      </c>
      <c r="AB15" s="97" t="str">
        <f>VLOOKUP(B15,Classification!A:D,4,0)</f>
        <v>Angiotensin</v>
      </c>
      <c r="AC15" s="50">
        <f>VLOOKUP(B15,'SegEnds_NonXtal_Prot#'!A:AL,6,FALSE)-VLOOKUP(B15,'SegEnds_NonXtal_Prot#'!A:AL,5,FALSE)</f>
        <v>1</v>
      </c>
      <c r="AD15" s="50">
        <f>VLOOKUP(B15,'SegEnds_NonXtal_Prot#'!A:AL,9,FALSE)-VLOOKUP(B15,'SegEnds_NonXtal_Prot#'!A:AL,8,FALSE)</f>
        <v>1</v>
      </c>
      <c r="AE15" s="50">
        <f>VLOOKUP(B15,'SegEnds_NonXtal_Prot#'!A:AL,13,FALSE)-VLOOKUP(B15,'SegEnds_NonXtal_Prot#'!A:AL,10,FALSE)</f>
        <v>20</v>
      </c>
      <c r="AF15" s="50">
        <f>VLOOKUP(B15,'SegEnds_NonXtal_Prot#'!A:AL,12,FALSE)-VLOOKUP(B15,'SegEnds_NonXtal_Prot#'!A:AL,11,FALSE)</f>
        <v>3</v>
      </c>
      <c r="AG15" s="50">
        <f>VLOOKUP(B15,'SegEnds_NonXtal_Prot#'!A:AL,13,FALSE)-VLOOKUP(B15,'SegEnds_NonXtal_Prot#'!A:AL,11,FALSE)</f>
        <v>4</v>
      </c>
      <c r="AH15" s="50">
        <f>VLOOKUP(B15,'SegEnds_NonXtal_Prot#'!A:AL,16,FALSE)-VLOOKUP(B15,'SegEnds_NonXtal_Prot#'!A:AL,10,FALSE)</f>
        <v>52</v>
      </c>
      <c r="AI15" s="50">
        <f>VLOOKUP(B15,'SegEnds_NonXtal_Prot#'!A:AL,16,FALSE)-VLOOKUP(B15,'SegEnds_NonXtal_Prot#'!A:AL,11,FALSE)</f>
        <v>36</v>
      </c>
      <c r="AJ15" s="50">
        <f>VLOOKUP(B15,'SegEnds_NonXtal_Prot#'!A:AL,22,FALSE)-VLOOKUP(B15,'SegEnds_NonXtal_Prot#'!A:AL,19,FALSE)</f>
        <v>20</v>
      </c>
      <c r="AK15" s="50">
        <f>VLOOKUP(B15,'SegEnds_NonXtal_Prot#'!A:AL,15,FALSE)-VLOOKUP(B15,'SegEnds_NonXtal_Prot#'!A:AL,14,FALSE)</f>
        <v>1</v>
      </c>
      <c r="AL15" s="50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44</v>
      </c>
      <c r="AN15" s="38"/>
    </row>
    <row r="16" spans="1:64" s="2" customFormat="1" x14ac:dyDescent="0.2">
      <c r="A16" s="2" t="s">
        <v>1400</v>
      </c>
      <c r="B16" s="2" t="s">
        <v>159</v>
      </c>
      <c r="C16" s="2">
        <f>IFERROR(50+VLOOKUP($A16,'SegEnds_Xtal_Prot#'!$A:$AY,5,FALSE)-VLOOKUP($B16,'SegEnds_NonXtal_Prot#'!$A:$AL,4,FALSE),"-")</f>
        <v>33</v>
      </c>
      <c r="D16" s="2">
        <f>IFERROR(50+VLOOKUP($A16,'SegEnds_Xtal_Prot#'!$A:$AY,7,FALSE)-VLOOKUP($B16,'SegEnds_NonXtal_Prot#'!$A:$AL,4,FALSE),"-")</f>
        <v>60</v>
      </c>
      <c r="E16" s="2" t="str">
        <f>IFERROR(50+VLOOKUP($A16,'SegEnds_Xtal_Prot#'!$A:$AY,9,FALSE)-VLOOKUP($B16,'SegEnds_NonXtal_Prot#'!$A:$AL,7,FALSE),"-")</f>
        <v>-</v>
      </c>
      <c r="F16" s="2" t="str">
        <f>IFERROR(50+VLOOKUP($A16,'SegEnds_Xtal_Prot#'!$A:$AY,11,FALSE)-VLOOKUP($B16,'SegEnds_NonXtal_Prot#'!$A:$AL,7,FALSE),"-")</f>
        <v>-</v>
      </c>
      <c r="G16" s="2">
        <f>IFERROR(50+VLOOKUP($A16,'SegEnds_Xtal_Prot#'!$A:$AY,13,FALSE)-VLOOKUP($B16,'SegEnds_NonXtal_Prot#'!$A:$AL,10,FALSE),"-")</f>
        <v>38</v>
      </c>
      <c r="H16" s="2">
        <f>IFERROR(50+VLOOKUP($A16,'SegEnds_Xtal_Prot#'!$A:$AY,15,FALSE)-VLOOKUP($B16,'SegEnds_NonXtal_Prot#'!$A:$AL,10,FALSE),"-")</f>
        <v>66</v>
      </c>
      <c r="I16" s="2">
        <f>IFERROR(50+VLOOKUP($A16,'SegEnds_Xtal_Prot#'!$A:$AY,17,FALSE)-VLOOKUP($B16,'SegEnds_NonXtal_Prot#'!$A:$AL,13,FALSE),"-")</f>
        <v>47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56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30</v>
      </c>
      <c r="T16" s="2">
        <f>IFERROR(50+VLOOKUP($A16,'SegEnds_Xtal_Prot#'!$A:$AY,39,FALSE)-VLOOKUP($B16,'SegEnds_NonXtal_Prot#'!$A:$AL,28,FALSE),"-")</f>
        <v>68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64</v>
      </c>
      <c r="W16" s="2">
        <f>IFERROR(50+VLOOKUP($A16,'SegEnds_Xtal_Prot#'!$A:$AY,45,FALSE)-VLOOKUP($B16,'SegEnds_NonXtal_Prot#'!$A:$AL,34,FALSE),"-")</f>
        <v>24</v>
      </c>
      <c r="X16" s="2">
        <f>IFERROR(50+VLOOKUP($A16,'SegEnds_Xtal_Prot#'!$A:$AY,47,FALSE)-VLOOKUP($B16,'SegEnds_NonXtal_Prot#'!$A:$AL,34,FALSE),"-")</f>
        <v>56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61</v>
      </c>
      <c r="AA16" s="50" t="str">
        <f>VLOOKUP(B16,Classification!A:D,2,FALSE)</f>
        <v>A</v>
      </c>
      <c r="AB16" s="97" t="str">
        <f>VLOOKUP(B16,Classification!A:D,4,0)</f>
        <v>Angiotensin</v>
      </c>
      <c r="AC16" s="50" t="e">
        <f>VLOOKUP(B16,'SegEnds_NonXtal_Prot#'!A:AL,6,FALSE)-VLOOKUP(B16,'SegEnds_NonXtal_Prot#'!A:AL,5,FALSE)</f>
        <v>#VALUE!</v>
      </c>
      <c r="AD16" s="50" t="e">
        <f>VLOOKUP(B16,'SegEnds_NonXtal_Prot#'!A:AL,9,FALSE)-VLOOKUP(B16,'SegEnds_NonXtal_Prot#'!A:AL,8,FALSE)</f>
        <v>#VALUE!</v>
      </c>
      <c r="AE16" s="50">
        <f>VLOOKUP(B16,'SegEnds_NonXtal_Prot#'!A:AL,13,FALSE)-VLOOKUP(B16,'SegEnds_NonXtal_Prot#'!A:AL,10,FALSE)</f>
        <v>20</v>
      </c>
      <c r="AF16" s="50">
        <f>VLOOKUP(B16,'SegEnds_NonXtal_Prot#'!A:AL,12,FALSE)-VLOOKUP(B16,'SegEnds_NonXtal_Prot#'!A:AL,11,FALSE)</f>
        <v>3</v>
      </c>
      <c r="AG16" s="50">
        <f>VLOOKUP(B16,'SegEnds_NonXtal_Prot#'!A:AL,13,FALSE)-VLOOKUP(B16,'SegEnds_NonXtal_Prot#'!A:AL,11,FALSE)</f>
        <v>4</v>
      </c>
      <c r="AH16" s="50">
        <f>VLOOKUP(B16,'SegEnds_NonXtal_Prot#'!A:AL,16,FALSE)-VLOOKUP(B16,'SegEnds_NonXtal_Prot#'!A:AL,10,FALSE)</f>
        <v>52</v>
      </c>
      <c r="AI16" s="50">
        <f>VLOOKUP(B16,'SegEnds_NonXtal_Prot#'!A:AL,16,FALSE)-VLOOKUP(B16,'SegEnds_NonXtal_Prot#'!A:AL,11,FALSE)</f>
        <v>36</v>
      </c>
      <c r="AJ16" s="50">
        <f>VLOOKUP(B16,'SegEnds_NonXtal_Prot#'!A:AL,22,FALSE)-VLOOKUP(B16,'SegEnds_NonXtal_Prot#'!A:AL,19,FALSE)</f>
        <v>19</v>
      </c>
      <c r="AK16" s="50">
        <f>VLOOKUP(B16,'SegEnds_NonXtal_Prot#'!A:AL,15,FALSE)-VLOOKUP(B16,'SegEnds_NonXtal_Prot#'!A:AL,14,FALSE)</f>
        <v>1</v>
      </c>
      <c r="AL16" s="50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44</v>
      </c>
      <c r="AN16" s="38"/>
    </row>
    <row r="17" spans="1:64" s="2" customFormat="1" x14ac:dyDescent="0.2">
      <c r="A17" s="2" t="s">
        <v>1425</v>
      </c>
      <c r="B17" s="2" t="s">
        <v>160</v>
      </c>
      <c r="C17" s="2">
        <f>IFERROR(50+VLOOKUP($A17,'SegEnds_Xtal_Prot#'!$A:$AY,5,FALSE)-VLOOKUP($B17,'SegEnds_NonXtal_Prot#'!$A:$AL,4,FALSE),"-")</f>
        <v>33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52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30</v>
      </c>
      <c r="T17" s="2">
        <f>IFERROR(50+VLOOKUP($A17,'SegEnds_Xtal_Prot#'!$A:$AY,39,FALSE)-VLOOKUP($B17,'SegEnds_NonXtal_Prot#'!$A:$AL,28,FALSE),"-")</f>
        <v>72</v>
      </c>
      <c r="U17" s="2">
        <f>IFERROR(50+VLOOKUP($A17,'SegEnds_Xtal_Prot#'!$A:$AY,41,FALSE)-VLOOKUP($B17,'SegEnds_NonXtal_Prot#'!$A:$AL,31,FALSE),"-")</f>
        <v>29</v>
      </c>
      <c r="V17" s="2">
        <f>IFERROR(50+VLOOKUP($A17,'SegEnds_Xtal_Prot#'!$A:$AY,43,FALSE)-VLOOKUP($B17,'SegEnds_NonXtal_Prot#'!$A:$AL,31,FALSE),"-")</f>
        <v>63</v>
      </c>
      <c r="W17" s="2">
        <f>IFERROR(50+VLOOKUP($A17,'SegEnds_Xtal_Prot#'!$A:$AY,45,FALSE)-VLOOKUP($B17,'SegEnds_NonXtal_Prot#'!$A:$AL,34,FALSE),"-")</f>
        <v>24</v>
      </c>
      <c r="X17" s="2">
        <f>IFERROR(50+VLOOKUP($A17,'SegEnds_Xtal_Prot#'!$A:$AY,47,FALSE)-VLOOKUP($B17,'SegEnds_NonXtal_Prot#'!$A:$AL,34,FALSE),"-")</f>
        <v>56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61</v>
      </c>
      <c r="AA17" s="50" t="str">
        <f>VLOOKUP(B17,Classification!A:D,2,FALSE)</f>
        <v>A</v>
      </c>
      <c r="AB17" s="97" t="str">
        <f>VLOOKUP(B17,Classification!A:D,4,0)</f>
        <v>Apelin</v>
      </c>
      <c r="AC17" s="50">
        <f>VLOOKUP(B17,'SegEnds_NonXtal_Prot#'!A:AL,6,FALSE)-VLOOKUP(B17,'SegEnds_NonXtal_Prot#'!A:AL,5,FALSE)</f>
        <v>1</v>
      </c>
      <c r="AD17" s="50">
        <f>VLOOKUP(B17,'SegEnds_NonXtal_Prot#'!A:AL,9,FALSE)-VLOOKUP(B17,'SegEnds_NonXtal_Prot#'!A:AL,8,FALSE)</f>
        <v>1</v>
      </c>
      <c r="AE17" s="50">
        <f>VLOOKUP(B17,'SegEnds_NonXtal_Prot#'!A:AL,13,FALSE)-VLOOKUP(B17,'SegEnds_NonXtal_Prot#'!A:AL,10,FALSE)</f>
        <v>20</v>
      </c>
      <c r="AF17" s="50">
        <f>VLOOKUP(B17,'SegEnds_NonXtal_Prot#'!A:AL,12,FALSE)-VLOOKUP(B17,'SegEnds_NonXtal_Prot#'!A:AL,11,FALSE)</f>
        <v>2</v>
      </c>
      <c r="AG17" s="50">
        <f>VLOOKUP(B17,'SegEnds_NonXtal_Prot#'!A:AL,13,FALSE)-VLOOKUP(B17,'SegEnds_NonXtal_Prot#'!A:AL,11,FALSE)</f>
        <v>3</v>
      </c>
      <c r="AH17" s="50">
        <f>VLOOKUP(B17,'SegEnds_NonXtal_Prot#'!A:AL,16,FALSE)-VLOOKUP(B17,'SegEnds_NonXtal_Prot#'!A:AL,10,FALSE)</f>
        <v>52</v>
      </c>
      <c r="AI17" s="50">
        <f>VLOOKUP(B17,'SegEnds_NonXtal_Prot#'!A:AL,16,FALSE)-VLOOKUP(B17,'SegEnds_NonXtal_Prot#'!A:AL,11,FALSE)</f>
        <v>35</v>
      </c>
      <c r="AJ17" s="50">
        <f>VLOOKUP(B17,'SegEnds_NonXtal_Prot#'!A:AL,22,FALSE)-VLOOKUP(B17,'SegEnds_NonXtal_Prot#'!A:AL,19,FALSE)</f>
        <v>20</v>
      </c>
      <c r="AK17" s="50">
        <f>VLOOKUP(B17,'SegEnds_NonXtal_Prot#'!A:AL,15,FALSE)-VLOOKUP(B17,'SegEnds_NonXtal_Prot#'!A:AL,14,FALSE)</f>
        <v>1</v>
      </c>
      <c r="AL17" s="50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43</v>
      </c>
      <c r="AN17" s="38"/>
    </row>
    <row r="18" spans="1:64" s="2" customFormat="1" x14ac:dyDescent="0.2">
      <c r="A18" s="2" t="s">
        <v>1369</v>
      </c>
      <c r="B18" s="2" t="s">
        <v>182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 t="str">
        <f>IFERROR(50+VLOOKUP($A18,'SegEnds_Xtal_Prot#'!$A:$AY,17,FALSE)-VLOOKUP($B18,'SegEnds_NonXtal_Prot#'!$A:$AL,13,FALSE),"-")</f>
        <v>-</v>
      </c>
      <c r="J18" s="2" t="str">
        <f>IFERROR(50+VLOOKUP($A18,'SegEnds_Xtal_Prot#'!$A:$AY,19,FALSE)-VLOOKUP($B18,'SegEnds_NonXtal_Prot#'!$A:$AL,13,FALSE),"-")</f>
        <v>-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63</v>
      </c>
      <c r="Q18" s="2" t="str">
        <f>IFERROR(50+VLOOKUP($A18,'SegEnds_Xtal_Prot#'!$A:$AY,33,FALSE)-VLOOKUP($B18,'SegEnds_NonXtal_Prot#'!$A:$AL,25,FALSE),"-")</f>
        <v>-</v>
      </c>
      <c r="R18" s="2" t="str">
        <f>IFERROR(50+VLOOKUP($A18,'SegEnds_Xtal_Prot#'!$A:$AY,35,FALSE)-VLOOKUP($B18,'SegEnds_NonXtal_Prot#'!$A:$AL,25,FALSE),"-")</f>
        <v>-</v>
      </c>
      <c r="S18" s="2">
        <f>IFERROR(50+VLOOKUP($A18,'SegEnds_Xtal_Prot#'!$A:$AY,37,FALSE)-VLOOKUP($B18,'SegEnds_NonXtal_Prot#'!$A:$AL,28,FALSE),"-")</f>
        <v>36</v>
      </c>
      <c r="T18" s="2">
        <f>IFERROR(50+VLOOKUP($A18,'SegEnds_Xtal_Prot#'!$A:$AY,39,FALSE)-VLOOKUP($B18,'SegEnds_NonXtal_Prot#'!$A:$AL,28,FALSE),"-")</f>
        <v>76</v>
      </c>
      <c r="U18" s="2">
        <f>IFERROR(50+VLOOKUP($A18,'SegEnds_Xtal_Prot#'!$A:$AY,41,FALSE)-VLOOKUP($B18,'SegEnds_NonXtal_Prot#'!$A:$AL,31,FALSE),"-")</f>
        <v>24</v>
      </c>
      <c r="V18" s="2">
        <f>IFERROR(50+VLOOKUP($A18,'SegEnds_Xtal_Prot#'!$A:$AY,43,FALSE)-VLOOKUP($B18,'SegEnds_NonXtal_Prot#'!$A:$AL,31,FALSE),"-")</f>
        <v>61</v>
      </c>
      <c r="W18" s="2">
        <f>IFERROR(50+VLOOKUP($A18,'SegEnds_Xtal_Prot#'!$A:$AY,45,FALSE)-VLOOKUP($B18,'SegEnds_NonXtal_Prot#'!$A:$AL,34,FALSE),"-")</f>
        <v>28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59</v>
      </c>
      <c r="AA18" s="50" t="str">
        <f>VLOOKUP(B18,Classification!A:D,2,FALSE)</f>
        <v>A</v>
      </c>
      <c r="AB18" s="97" t="str">
        <f>VLOOKUP(B18,Classification!A:D,4,0)</f>
        <v>Cannabinoid</v>
      </c>
      <c r="AC18" s="50">
        <f>VLOOKUP(B18,'SegEnds_NonXtal_Prot#'!A:AL,6,FALSE)-VLOOKUP(B18,'SegEnds_NonXtal_Prot#'!A:AL,5,FALSE)</f>
        <v>1</v>
      </c>
      <c r="AD18" s="50">
        <f>VLOOKUP(B18,'SegEnds_NonXtal_Prot#'!A:AL,9,FALSE)-VLOOKUP(B18,'SegEnds_NonXtal_Prot#'!A:AL,8,FALSE)</f>
        <v>2</v>
      </c>
      <c r="AE18" s="50" t="e">
        <f>VLOOKUP(B18,'SegEnds_NonXtal_Prot#'!A:AL,13,FALSE)-VLOOKUP(B18,'SegEnds_NonXtal_Prot#'!A:AL,10,FALSE)</f>
        <v>#VALUE!</v>
      </c>
      <c r="AF18" s="50" t="e">
        <f>VLOOKUP(B18,'SegEnds_NonXtal_Prot#'!A:AL,12,FALSE)-VLOOKUP(B18,'SegEnds_NonXtal_Prot#'!A:AL,11,FALSE)</f>
        <v>#VALUE!</v>
      </c>
      <c r="AG18" s="50" t="e">
        <f>VLOOKUP(B18,'SegEnds_NonXtal_Prot#'!A:AL,13,FALSE)-VLOOKUP(B18,'SegEnds_NonXtal_Prot#'!A:AL,11,FALSE)</f>
        <v>#VALUE!</v>
      </c>
      <c r="AH18" s="50">
        <f>VLOOKUP(B18,'SegEnds_NonXtal_Prot#'!A:AL,16,FALSE)-VLOOKUP(B18,'SegEnds_NonXtal_Prot#'!A:AL,10,FALSE)</f>
        <v>51</v>
      </c>
      <c r="AI18" s="50">
        <f>VLOOKUP(B18,'SegEnds_NonXtal_Prot#'!A:AL,16,FALSE)-VLOOKUP(B18,'SegEnds_NonXtal_Prot#'!A:AL,11,FALSE)</f>
        <v>35</v>
      </c>
      <c r="AJ18" s="50">
        <f>VLOOKUP(B18,'SegEnds_NonXtal_Prot#'!A:AL,22,FALSE)-VLOOKUP(B18,'SegEnds_NonXtal_Prot#'!A:AL,19,FALSE)</f>
        <v>20</v>
      </c>
      <c r="AK18" s="50" t="e">
        <f>VLOOKUP(B18,'SegEnds_NonXtal_Prot#'!A:AL,15,FALSE)-VLOOKUP(B18,'SegEnds_NonXtal_Prot#'!A:AL,14,FALSE)</f>
        <v>#VALUE!</v>
      </c>
      <c r="AL18" s="50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36</v>
      </c>
      <c r="AN18" s="38"/>
      <c r="BL18" s="50"/>
    </row>
    <row r="19" spans="1:64" s="2" customFormat="1" x14ac:dyDescent="0.2">
      <c r="A19" s="2" t="s">
        <v>1256</v>
      </c>
      <c r="B19" s="2" t="s">
        <v>1172</v>
      </c>
      <c r="C19" s="2">
        <f>IFERROR(50+VLOOKUP($A19,'SegEnds_Xtal_Prot#'!$A:$AY,5,FALSE)-VLOOKUP($B19,'SegEnds_NonXtal_Prot#'!$A:$AL,4,FALSE),"-")</f>
        <v>24</v>
      </c>
      <c r="D19" s="2">
        <f>IFERROR(50+VLOOKUP($A19,'SegEnds_Xtal_Prot#'!$A:$AY,7,FALSE)-VLOOKUP($B19,'SegEnds_NonXtal_Prot#'!$A:$AL,4,FALSE),"-")</f>
        <v>60</v>
      </c>
      <c r="E19" s="2">
        <f>IFERROR(50+VLOOKUP($A19,'SegEnds_Xtal_Prot#'!$A:$AY,9,FALSE)-VLOOKUP($B19,'SegEnds_NonXtal_Prot#'!$A:$AL,7,FALSE),"-")</f>
        <v>48</v>
      </c>
      <c r="F19" s="2">
        <f>IFERROR(50+VLOOKUP($A19,'SegEnds_Xtal_Prot#'!$A:$AY,11,FALSE)-VLOOKUP($B19,'SegEnds_NonXtal_Prot#'!$A:$AL,7,FALSE),"-")</f>
        <v>51</v>
      </c>
      <c r="G19" s="2">
        <f>IFERROR(50+VLOOKUP($A19,'SegEnds_Xtal_Prot#'!$A:$AY,13,FALSE)-VLOOKUP($B19,'SegEnds_NonXtal_Prot#'!$A:$AL,10,FALSE),"-")</f>
        <v>37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49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57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32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30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59</v>
      </c>
      <c r="AA19" s="50" t="str">
        <f>VLOOKUP(B19,Classification!A:D,2,FALSE)</f>
        <v>A</v>
      </c>
      <c r="AB19" s="97" t="str">
        <f>VLOOKUP(B19,Classification!A:D,4,0)</f>
        <v>Chemokine</v>
      </c>
      <c r="AC19" s="50">
        <f>VLOOKUP(B19,'SegEnds_NonXtal_Prot#'!A:AL,6,FALSE)-VLOOKUP(B19,'SegEnds_NonXtal_Prot#'!A:AL,5,FALSE)</f>
        <v>1</v>
      </c>
      <c r="AD19" s="50">
        <f>VLOOKUP(B19,'SegEnds_NonXtal_Prot#'!A:AL,9,FALSE)-VLOOKUP(B19,'SegEnds_NonXtal_Prot#'!A:AL,8,FALSE)</f>
        <v>1</v>
      </c>
      <c r="AE19" s="50">
        <f>VLOOKUP(B19,'SegEnds_NonXtal_Prot#'!A:AL,13,FALSE)-VLOOKUP(B19,'SegEnds_NonXtal_Prot#'!A:AL,10,FALSE)</f>
        <v>18</v>
      </c>
      <c r="AF19" s="50">
        <f>VLOOKUP(B19,'SegEnds_NonXtal_Prot#'!A:AL,12,FALSE)-VLOOKUP(B19,'SegEnds_NonXtal_Prot#'!A:AL,11,FALSE)</f>
        <v>1</v>
      </c>
      <c r="AG19" s="50">
        <f>VLOOKUP(B19,'SegEnds_NonXtal_Prot#'!A:AL,13,FALSE)-VLOOKUP(B19,'SegEnds_NonXtal_Prot#'!A:AL,11,FALSE)</f>
        <v>2</v>
      </c>
      <c r="AH19" s="50">
        <f>VLOOKUP(B19,'SegEnds_NonXtal_Prot#'!A:AL,16,FALSE)-VLOOKUP(B19,'SegEnds_NonXtal_Prot#'!A:AL,10,FALSE)</f>
        <v>50</v>
      </c>
      <c r="AI19" s="50">
        <f>VLOOKUP(B19,'SegEnds_NonXtal_Prot#'!A:AL,16,FALSE)-VLOOKUP(B19,'SegEnds_NonXtal_Prot#'!A:AL,11,FALSE)</f>
        <v>34</v>
      </c>
      <c r="AJ19" s="50">
        <f>VLOOKUP(B19,'SegEnds_NonXtal_Prot#'!A:AL,22,FALSE)-VLOOKUP(B19,'SegEnds_NonXtal_Prot#'!A:AL,19,FALSE)</f>
        <v>20</v>
      </c>
      <c r="AK19" s="50">
        <f>VLOOKUP(B19,'SegEnds_NonXtal_Prot#'!A:AL,15,FALSE)-VLOOKUP(B19,'SegEnds_NonXtal_Prot#'!A:AL,14,FALSE)</f>
        <v>1</v>
      </c>
      <c r="AL19" s="50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45</v>
      </c>
      <c r="AN19" s="38"/>
    </row>
    <row r="20" spans="1:64" s="2" customFormat="1" x14ac:dyDescent="0.2">
      <c r="A20" s="2" t="s">
        <v>1280</v>
      </c>
      <c r="B20" s="2" t="s">
        <v>924</v>
      </c>
      <c r="C20" s="2">
        <f>IFERROR(50+VLOOKUP($A20,'SegEnds_Xtal_Prot#'!$A:$AY,5,FALSE)-VLOOKUP($B20,'SegEnds_NonXtal_Prot#'!$A:$AL,4,FALSE),"-")</f>
        <v>25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51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66</v>
      </c>
      <c r="I20" s="2" t="str">
        <f>IFERROR(50+VLOOKUP($A20,'SegEnds_Xtal_Prot#'!$A:$AY,17,FALSE)-VLOOKUP($B20,'SegEnds_NonXtal_Prot#'!$A:$AL,13,FALSE),"-")</f>
        <v>-</v>
      </c>
      <c r="J20" s="2" t="str">
        <f>IFERROR(50+VLOOKUP($A20,'SegEnds_Xtal_Prot#'!$A:$AY,19,FALSE)-VLOOKUP($B20,'SegEnds_NonXtal_Prot#'!$A:$AL,13,FALSE),"-")</f>
        <v>-</v>
      </c>
      <c r="K20" s="2">
        <f>IFERROR(50+VLOOKUP($A20,'SegEnds_Xtal_Prot#'!$A:$AY,21,FALSE)-VLOOKUP($B20,'SegEnds_NonXtal_Prot#'!$A:$AL,16,FALSE),"-")</f>
        <v>24</v>
      </c>
      <c r="L20" s="2">
        <f>IFERROR(50+VLOOKUP($A20,'SegEnds_Xtal_Prot#'!$A:$AY,23,FALSE)-VLOOKUP($B20,'SegEnds_NonXtal_Prot#'!$A:$AL,16,FALSE),"-")</f>
        <v>56</v>
      </c>
      <c r="M20" s="2" t="str">
        <f>IFERROR(50+VLOOKUP($A20,'SegEnds_Xtal_Prot#'!$A:$AY,25,FALSE)-VLOOKUP($B20,'SegEnds_NonXtal_Prot#'!$A:$AL,19,FALSE),"-")</f>
        <v>-</v>
      </c>
      <c r="N20" s="2" t="str">
        <f>IFERROR(50+VLOOKUP($A20,'SegEnds_Xtal_Prot#'!$A:$AY,27,FALSE)-VLOOKUP($B20,'SegEnds_NonXtal_Prot#'!$A:$AL,19,FALSE),"-")</f>
        <v>-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63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32</v>
      </c>
      <c r="T20" s="2">
        <f>IFERROR(50+VLOOKUP($A20,'SegEnds_Xtal_Prot#'!$A:$AY,39,FALSE)-VLOOKUP($B20,'SegEnds_NonXtal_Prot#'!$A:$AL,28,FALSE),"-")</f>
        <v>68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64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62</v>
      </c>
      <c r="AA20" s="50" t="str">
        <f>VLOOKUP(B20,Classification!A:D,2,FALSE)</f>
        <v>A</v>
      </c>
      <c r="AB20" s="97" t="str">
        <f>VLOOKUP(B20,Classification!A:D,4,0)</f>
        <v>Chemokine</v>
      </c>
      <c r="AC20" s="50">
        <f>VLOOKUP(B20,'SegEnds_NonXtal_Prot#'!A:AL,6,FALSE)-VLOOKUP(B20,'SegEnds_NonXtal_Prot#'!A:AL,5,FALSE)</f>
        <v>1</v>
      </c>
      <c r="AD20" s="50">
        <f>VLOOKUP(B20,'SegEnds_NonXtal_Prot#'!A:AL,9,FALSE)-VLOOKUP(B20,'SegEnds_NonXtal_Prot#'!A:AL,8,FALSE)</f>
        <v>1</v>
      </c>
      <c r="AE20" s="50" t="e">
        <f>VLOOKUP(B20,'SegEnds_NonXtal_Prot#'!A:AL,13,FALSE)-VLOOKUP(B20,'SegEnds_NonXtal_Prot#'!A:AL,10,FALSE)</f>
        <v>#VALUE!</v>
      </c>
      <c r="AF20" s="50" t="e">
        <f>VLOOKUP(B20,'SegEnds_NonXtal_Prot#'!A:AL,12,FALSE)-VLOOKUP(B20,'SegEnds_NonXtal_Prot#'!A:AL,11,FALSE)</f>
        <v>#VALUE!</v>
      </c>
      <c r="AG20" s="50" t="e">
        <f>VLOOKUP(B20,'SegEnds_NonXtal_Prot#'!A:AL,13,FALSE)-VLOOKUP(B20,'SegEnds_NonXtal_Prot#'!A:AL,11,FALSE)</f>
        <v>#VALUE!</v>
      </c>
      <c r="AH20" s="50">
        <f>VLOOKUP(B20,'SegEnds_NonXtal_Prot#'!A:AL,16,FALSE)-VLOOKUP(B20,'SegEnds_NonXtal_Prot#'!A:AL,10,FALSE)</f>
        <v>50</v>
      </c>
      <c r="AI20" s="50">
        <f>VLOOKUP(B20,'SegEnds_NonXtal_Prot#'!A:AL,16,FALSE)-VLOOKUP(B20,'SegEnds_NonXtal_Prot#'!A:AL,11,FALSE)</f>
        <v>34</v>
      </c>
      <c r="AJ20" s="50" t="e">
        <f>VLOOKUP(B20,'SegEnds_NonXtal_Prot#'!A:AL,22,FALSE)-VLOOKUP(B20,'SegEnds_NonXtal_Prot#'!A:AL,19,FALSE)</f>
        <v>#VALUE!</v>
      </c>
      <c r="AK20" s="50" t="e">
        <f>VLOOKUP(B20,'SegEnds_NonXtal_Prot#'!A:AL,15,FALSE)-VLOOKUP(B20,'SegEnds_NonXtal_Prot#'!A:AL,14,FALSE)</f>
        <v>#VALUE!</v>
      </c>
      <c r="AL20" s="50" t="e">
        <f>VLOOKUP(B20,'SegEnds_NonXtal_Prot#'!A:AL,18,FALSE)-VLOOKUP(B20,'SegEnds_NonXtal_Prot#'!A:AL,17,FALSE)</f>
        <v>#VALUE!</v>
      </c>
      <c r="AM20" s="2">
        <f>VLOOKUP(B20,'SegEnds_NonXtal_Prot#'!A:AL,34,FALSE)-VLOOKUP(B20,'SegEnds_NonXtal_Prot#'!A:AL,31,FALSE)</f>
        <v>45</v>
      </c>
      <c r="AN20" s="38"/>
    </row>
    <row r="21" spans="1:64" s="2" customFormat="1" x14ac:dyDescent="0.2">
      <c r="A21" s="2" t="s">
        <v>1254</v>
      </c>
      <c r="B21" s="2" t="s">
        <v>173</v>
      </c>
      <c r="C21" s="2">
        <f>IFERROR(50+VLOOKUP($A21,'SegEnds_Xtal_Prot#'!$A:$AY,5,FALSE)-VLOOKUP($B21,'SegEnds_NonXtal_Prot#'!$A:$AL,4,FALSE),"-")</f>
        <v>24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>
        <f>IFERROR(50+VLOOKUP($A21,'SegEnds_Xtal_Prot#'!$A:$AY,17,FALSE)-VLOOKUP($B21,'SegEnds_NonXtal_Prot#'!$A:$AL,13,FALSE),"-")</f>
        <v>49</v>
      </c>
      <c r="J21" s="2">
        <f>IFERROR(50+VLOOKUP($A21,'SegEnds_Xtal_Prot#'!$A:$AY,19,FALSE)-VLOOKUP($B21,'SegEnds_NonXtal_Prot#'!$A:$AL,13,FALSE),"-")</f>
        <v>52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64</v>
      </c>
      <c r="Q21" s="2">
        <f>IFERROR(50+VLOOKUP($A21,'SegEnds_Xtal_Prot#'!$A:$AY,33,FALSE)-VLOOKUP($B21,'SegEnds_NonXtal_Prot#'!$A:$AL,25,FALSE),"-")</f>
        <v>50</v>
      </c>
      <c r="R21" s="2">
        <f>IFERROR(50+VLOOKUP($A21,'SegEnds_Xtal_Prot#'!$A:$AY,35,FALSE)-VLOOKUP($B21,'SegEnds_NonXtal_Prot#'!$A:$AL,25,FALSE),"-")</f>
        <v>52</v>
      </c>
      <c r="S21" s="2">
        <f>IFERROR(50+VLOOKUP($A21,'SegEnds_Xtal_Prot#'!$A:$AY,37,FALSE)-VLOOKUP($B21,'SegEnds_NonXtal_Prot#'!$A:$AL,28,FALSE),"-")</f>
        <v>30</v>
      </c>
      <c r="T21" s="2">
        <f>IFERROR(50+VLOOKUP($A21,'SegEnds_Xtal_Prot#'!$A:$AY,39,FALSE)-VLOOKUP($B21,'SegEnds_NonXtal_Prot#'!$A:$AL,28,FALSE),"-")</f>
        <v>68</v>
      </c>
      <c r="U21" s="2">
        <f>IFERROR(50+VLOOKUP($A21,'SegEnds_Xtal_Prot#'!$A:$AY,41,FALSE)-VLOOKUP($B21,'SegEnds_NonXtal_Prot#'!$A:$AL,31,FALSE),"-")</f>
        <v>28</v>
      </c>
      <c r="V21" s="2">
        <f>IFERROR(50+VLOOKUP($A21,'SegEnds_Xtal_Prot#'!$A:$AY,43,FALSE)-VLOOKUP($B21,'SegEnds_NonXtal_Prot#'!$A:$AL,31,FALSE),"-")</f>
        <v>65</v>
      </c>
      <c r="W21" s="2">
        <f>IFERROR(50+VLOOKUP($A21,'SegEnds_Xtal_Prot#'!$A:$AY,45,FALSE)-VLOOKUP($B21,'SegEnds_NonXtal_Prot#'!$A:$AL,34,FALSE),"-")</f>
        <v>24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50" t="str">
        <f>VLOOKUP(B21,Classification!A:D,2,FALSE)</f>
        <v>A</v>
      </c>
      <c r="AB21" s="97" t="str">
        <f>VLOOKUP(B21,Classification!A:D,4,0)</f>
        <v>Chemokine</v>
      </c>
      <c r="AC21" s="50">
        <f>VLOOKUP(B21,'SegEnds_NonXtal_Prot#'!A:AL,6,FALSE)-VLOOKUP(B21,'SegEnds_NonXtal_Prot#'!A:AL,5,FALSE)</f>
        <v>1</v>
      </c>
      <c r="AD21" s="50">
        <f>VLOOKUP(B21,'SegEnds_NonXtal_Prot#'!A:AL,9,FALSE)-VLOOKUP(B21,'SegEnds_NonXtal_Prot#'!A:AL,8,FALSE)</f>
        <v>1</v>
      </c>
      <c r="AE21" s="50">
        <f>VLOOKUP(B21,'SegEnds_NonXtal_Prot#'!A:AL,13,FALSE)-VLOOKUP(B21,'SegEnds_NonXtal_Prot#'!A:AL,10,FALSE)</f>
        <v>18</v>
      </c>
      <c r="AF21" s="50">
        <f>VLOOKUP(B21,'SegEnds_NonXtal_Prot#'!A:AL,12,FALSE)-VLOOKUP(B21,'SegEnds_NonXtal_Prot#'!A:AL,11,FALSE)</f>
        <v>1</v>
      </c>
      <c r="AG21" s="50">
        <f>VLOOKUP(B21,'SegEnds_NonXtal_Prot#'!A:AL,13,FALSE)-VLOOKUP(B21,'SegEnds_NonXtal_Prot#'!A:AL,11,FALSE)</f>
        <v>2</v>
      </c>
      <c r="AH21" s="50">
        <f>VLOOKUP(B21,'SegEnds_NonXtal_Prot#'!A:AL,16,FALSE)-VLOOKUP(B21,'SegEnds_NonXtal_Prot#'!A:AL,10,FALSE)</f>
        <v>50</v>
      </c>
      <c r="AI21" s="50">
        <f>VLOOKUP(B21,'SegEnds_NonXtal_Prot#'!A:AL,15,FALSE)-VLOOKUP(B21,'SegEnds_NonXtal_Prot#'!A:AL,11,FALSE)</f>
        <v>5</v>
      </c>
      <c r="AJ21" s="50">
        <f>VLOOKUP(B21,'SegEnds_NonXtal_Prot#'!A:AL,22,FALSE)-VLOOKUP(B21,'SegEnds_NonXtal_Prot#'!A:AL,19,FALSE)</f>
        <v>20</v>
      </c>
      <c r="AK21" s="50">
        <f>VLOOKUP(B21,'SegEnds_NonXtal_Prot#'!A:AL,15,FALSE)-VLOOKUP(B21,'SegEnds_NonXtal_Prot#'!A:AL,14,FALSE)</f>
        <v>1</v>
      </c>
      <c r="AL21" s="50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44</v>
      </c>
      <c r="AN21" s="38"/>
    </row>
    <row r="22" spans="1:64" s="2" customFormat="1" x14ac:dyDescent="0.2">
      <c r="A22" s="2" t="s">
        <v>1335</v>
      </c>
      <c r="B22" s="2" t="s">
        <v>196</v>
      </c>
      <c r="C22" s="2">
        <f>IFERROR(50+VLOOKUP($A22,'SegEnds_Xtal_Prot#'!$A:$AY,5,FALSE)-VLOOKUP($B22,'SegEnds_NonXtal_Prot#'!$A:$AL,4,FALSE),"-")</f>
        <v>22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52</v>
      </c>
      <c r="G22" s="2">
        <f>IFERROR(50+VLOOKUP($A22,'SegEnds_Xtal_Prot#'!$A:$AY,13,FALSE)-VLOOKUP($B22,'SegEnds_NonXtal_Prot#'!$A:$AL,10,FALSE),"-")</f>
        <v>38</v>
      </c>
      <c r="H22" s="2">
        <f>IFERROR(50+VLOOKUP($A22,'SegEnds_Xtal_Prot#'!$A:$AY,15,FALSE)-VLOOKUP($B22,'SegEnds_NonXtal_Prot#'!$A:$AL,10,FALSE),"-")</f>
        <v>67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29</v>
      </c>
      <c r="T22" s="2">
        <f>IFERROR(50+VLOOKUP($A22,'SegEnds_Xtal_Prot#'!$A:$AY,39,FALSE)-VLOOKUP($B22,'SegEnds_NonXtal_Prot#'!$A:$AL,28,FALSE),"-")</f>
        <v>72</v>
      </c>
      <c r="U22" s="2">
        <f>IFERROR(50+VLOOKUP($A22,'SegEnds_Xtal_Prot#'!$A:$AY,41,FALSE)-VLOOKUP($B22,'SegEnds_NonXtal_Prot#'!$A:$AL,31,FALSE),"-")</f>
        <v>24</v>
      </c>
      <c r="V22" s="2">
        <f>IFERROR(50+VLOOKUP($A22,'SegEnds_Xtal_Prot#'!$A:$AY,43,FALSE)-VLOOKUP($B22,'SegEnds_NonXtal_Prot#'!$A:$AL,31,FALSE),"-")</f>
        <v>62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60</v>
      </c>
      <c r="AA22" s="50" t="str">
        <f>VLOOKUP(B22,Classification!A:D,2,FALSE)</f>
        <v>A</v>
      </c>
      <c r="AB22" s="97" t="str">
        <f>VLOOKUP(B22,Classification!A:D,4,0)</f>
        <v>Endothelin</v>
      </c>
      <c r="AC22" s="50">
        <f>VLOOKUP(B22,'SegEnds_NonXtal_Prot#'!A:AL,6,FALSE)-VLOOKUP(B22,'SegEnds_NonXtal_Prot#'!A:AL,5,FALSE)</f>
        <v>1</v>
      </c>
      <c r="AD22" s="50">
        <f>VLOOKUP(B22,'SegEnds_NonXtal_Prot#'!A:AL,9,FALSE)-VLOOKUP(B22,'SegEnds_NonXtal_Prot#'!A:AL,8,FALSE)</f>
        <v>1</v>
      </c>
      <c r="AE22" s="50">
        <f>VLOOKUP(B22,'SegEnds_NonXtal_Prot#'!A:AL,13,FALSE)-VLOOKUP(B22,'SegEnds_NonXtal_Prot#'!A:AL,10,FALSE)</f>
        <v>20</v>
      </c>
      <c r="AF22" s="50">
        <f>VLOOKUP(B22,'SegEnds_NonXtal_Prot#'!A:AL,12,FALSE)-VLOOKUP(B22,'SegEnds_NonXtal_Prot#'!A:AL,11,FALSE)</f>
        <v>2</v>
      </c>
      <c r="AG22" s="50">
        <f>VLOOKUP(B22,'SegEnds_NonXtal_Prot#'!A:AL,13,FALSE)-VLOOKUP(B22,'SegEnds_NonXtal_Prot#'!A:AL,11,FALSE)</f>
        <v>3</v>
      </c>
      <c r="AH22" s="50">
        <f>VLOOKUP(B22,'SegEnds_NonXtal_Prot#'!A:AL,16,FALSE)-VLOOKUP(B22,'SegEnds_NonXtal_Prot#'!A:AL,10,FALSE)</f>
        <v>52</v>
      </c>
      <c r="AI22" s="50">
        <f>VLOOKUP(B22,'SegEnds_NonXtal_Prot#'!A:AL,16,FALSE)-VLOOKUP(B22,'SegEnds_NonXtal_Prot#'!A:AL,11,FALSE)</f>
        <v>35</v>
      </c>
      <c r="AJ22" s="50">
        <f>VLOOKUP(B22,'SegEnds_NonXtal_Prot#'!A:AL,22,FALSE)-VLOOKUP(B22,'SegEnds_NonXtal_Prot#'!A:AL,19,FALSE)</f>
        <v>20</v>
      </c>
      <c r="AK22" s="50">
        <f>VLOOKUP(B22,'SegEnds_NonXtal_Prot#'!A:AL,15,FALSE)-VLOOKUP(B22,'SegEnds_NonXtal_Prot#'!A:AL,14,FALSE)</f>
        <v>1</v>
      </c>
      <c r="AL22" s="50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8"/>
    </row>
    <row r="23" spans="1:64" s="2" customFormat="1" x14ac:dyDescent="0.2">
      <c r="A23" s="2" t="s">
        <v>1258</v>
      </c>
      <c r="B23" s="2" t="s">
        <v>1173</v>
      </c>
      <c r="C23" s="2">
        <f>IFERROR(50+VLOOKUP($A23,'SegEnds_Xtal_Prot#'!$A:$AY,5,FALSE)-VLOOKUP($B23,'SegEnds_NonXtal_Prot#'!$A:$AL,4,FALSE),"-")</f>
        <v>31</v>
      </c>
      <c r="D23" s="2">
        <f>IFERROR(50+VLOOKUP($A23,'SegEnds_Xtal_Prot#'!$A:$AY,7,FALSE)-VLOOKUP($B23,'SegEnds_NonXtal_Prot#'!$A:$AL,4,FALSE),"-")</f>
        <v>64</v>
      </c>
      <c r="E23" s="2" t="str">
        <f>IFERROR(50+VLOOKUP($A23,'SegEnds_Xtal_Prot#'!$A:$AY,9,FALSE)-VLOOKUP($B23,'SegEnds_NonXtal_Prot#'!$A:$AL,7,FALSE),"-")</f>
        <v>-</v>
      </c>
      <c r="F23" s="2" t="str">
        <f>IFERROR(50+VLOOKUP($A23,'SegEnds_Xtal_Prot#'!$A:$AY,11,FALSE)-VLOOKUP($B23,'SegEnds_NonXtal_Prot#'!$A:$AL,7,FALSE),"-")</f>
        <v>-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67</v>
      </c>
      <c r="I23" s="2">
        <f>IFERROR(50+VLOOKUP($A23,'SegEnds_Xtal_Prot#'!$A:$AY,17,FALSE)-VLOOKUP($B23,'SegEnds_NonXtal_Prot#'!$A:$AL,13,FALSE),"-")</f>
        <v>49</v>
      </c>
      <c r="J23" s="2">
        <f>IFERROR(50+VLOOKUP($A23,'SegEnds_Xtal_Prot#'!$A:$AY,19,FALSE)-VLOOKUP($B23,'SegEnds_NonXtal_Prot#'!$A:$AL,13,FALSE),"-")</f>
        <v>52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56</v>
      </c>
      <c r="M23" s="2">
        <f>IFERROR(50+VLOOKUP($A23,'SegEnds_Xtal_Prot#'!$A:$AY,25,FALSE)-VLOOKUP($B23,'SegEnds_NonXtal_Prot#'!$A:$AL,19,FALSE),"-")</f>
        <v>50</v>
      </c>
      <c r="N23" s="2">
        <f>IFERROR(50+VLOOKUP($A23,'SegEnds_Xtal_Prot#'!$A:$AY,27,FALSE)-VLOOKUP($B23,'SegEnds_NonXtal_Prot#'!$A:$AL,19,FALSE),"-")</f>
        <v>57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65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31</v>
      </c>
      <c r="T23" s="2">
        <f>IFERROR(50+VLOOKUP($A23,'SegEnds_Xtal_Prot#'!$A:$AY,39,FALSE)-VLOOKUP($B23,'SegEnds_NonXtal_Prot#'!$A:$AL,28,FALSE),"-")</f>
        <v>67</v>
      </c>
      <c r="U23" s="2">
        <f>IFERROR(50+VLOOKUP($A23,'SegEnds_Xtal_Prot#'!$A:$AY,41,FALSE)-VLOOKUP($B23,'SegEnds_NonXtal_Prot#'!$A:$AL,31,FALSE),"-")</f>
        <v>28</v>
      </c>
      <c r="V23" s="2">
        <f>IFERROR(50+VLOOKUP($A23,'SegEnds_Xtal_Prot#'!$A:$AY,43,FALSE)-VLOOKUP($B23,'SegEnds_NonXtal_Prot#'!$A:$AL,31,FALSE),"-")</f>
        <v>61</v>
      </c>
      <c r="W23" s="2">
        <f>IFERROR(50+VLOOKUP($A23,'SegEnds_Xtal_Prot#'!$A:$AY,45,FALSE)-VLOOKUP($B23,'SegEnds_NonXtal_Prot#'!$A:$AL,34,FALSE),"-")</f>
        <v>32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61</v>
      </c>
      <c r="AA23" s="50" t="str">
        <f>VLOOKUP(B23,Classification!A:D,2,FALSE)</f>
        <v>A</v>
      </c>
      <c r="AB23" s="97" t="str">
        <f>VLOOKUP(B23,Classification!A:D,4,0)</f>
        <v>Freefattyacid</v>
      </c>
      <c r="AC23" s="50" t="e">
        <f>VLOOKUP(B23,'SegEnds_NonXtal_Prot#'!A:AL,6,FALSE)-VLOOKUP(B23,'SegEnds_NonXtal_Prot#'!A:AL,5,FALSE)</f>
        <v>#VALUE!</v>
      </c>
      <c r="AD23" s="50" t="e">
        <f>VLOOKUP(B23,'SegEnds_NonXtal_Prot#'!A:AL,9,FALSE)-VLOOKUP(B23,'SegEnds_NonXtal_Prot#'!A:AL,8,FALSE)</f>
        <v>#VALUE!</v>
      </c>
      <c r="AE23" s="50">
        <f>VLOOKUP(B23,'SegEnds_NonXtal_Prot#'!A:AL,13,FALSE)-VLOOKUP(B23,'SegEnds_NonXtal_Prot#'!A:AL,10,FALSE)</f>
        <v>20</v>
      </c>
      <c r="AF23" s="50">
        <f>VLOOKUP(B23,'SegEnds_NonXtal_Prot#'!A:AL,12,FALSE)-VLOOKUP(B23,'SegEnds_NonXtal_Prot#'!A:AL,11,FALSE)</f>
        <v>2</v>
      </c>
      <c r="AG23" s="50">
        <f>VLOOKUP(B23,'SegEnds_NonXtal_Prot#'!A:AL,13,FALSE)-VLOOKUP(B23,'SegEnds_NonXtal_Prot#'!A:AL,11,FALSE)</f>
        <v>3</v>
      </c>
      <c r="AH23" s="50">
        <f>VLOOKUP(B23,'SegEnds_NonXtal_Prot#'!A:AL,16,FALSE)-VLOOKUP(B23,'SegEnds_NonXtal_Prot#'!A:AL,10,FALSE)</f>
        <v>52</v>
      </c>
      <c r="AI23" s="50">
        <f>VLOOKUP(B23,'SegEnds_NonXtal_Prot#'!A:AL,16,FALSE)-VLOOKUP(B23,'SegEnds_NonXtal_Prot#'!A:AL,11,FALSE)</f>
        <v>35</v>
      </c>
      <c r="AJ23" s="50">
        <f>VLOOKUP(B23,'SegEnds_NonXtal_Prot#'!A:AL,22,FALSE)-VLOOKUP(B23,'SegEnds_NonXtal_Prot#'!A:AL,19,FALSE)</f>
        <v>20</v>
      </c>
      <c r="AK23" s="50">
        <f>VLOOKUP(B23,'SegEnds_NonXtal_Prot#'!A:AL,15,FALSE)-VLOOKUP(B23,'SegEnds_NonXtal_Prot#'!A:AL,14,FALSE)</f>
        <v>1</v>
      </c>
      <c r="AL23" s="50">
        <f>VLOOKUP(B23,'SegEnds_NonXtal_Prot#'!A:AL,18,FALSE)-VLOOKUP(B23,'SegEnds_NonXtal_Prot#'!A:AL,17,FALSE)</f>
        <v>1</v>
      </c>
      <c r="AM23" s="2">
        <f>VLOOKUP(B23,'SegEnds_NonXtal_Prot#'!A:AL,34,FALSE)-VLOOKUP(B23,'SegEnds_NonXtal_Prot#'!A:AL,31,FALSE)</f>
        <v>34</v>
      </c>
      <c r="AN23" s="38"/>
    </row>
    <row r="24" spans="1:64" s="2" customFormat="1" x14ac:dyDescent="0.2">
      <c r="A24" s="2" t="s">
        <v>1262</v>
      </c>
      <c r="B24" s="2" t="s">
        <v>278</v>
      </c>
      <c r="C24" s="2">
        <f>IFERROR(50+VLOOKUP($A24,'SegEnds_Xtal_Prot#'!$A:$AY,5,FALSE)-VLOOKUP($B24,'SegEnds_NonXtal_Prot#'!$A:$AL,4,FALSE),"-")</f>
        <v>34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67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62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35</v>
      </c>
      <c r="T24" s="2">
        <f>IFERROR(50+VLOOKUP($A24,'SegEnds_Xtal_Prot#'!$A:$AY,39,FALSE)-VLOOKUP($B24,'SegEnds_NonXtal_Prot#'!$A:$AL,28,FALSE),"-")</f>
        <v>76</v>
      </c>
      <c r="U24" s="2">
        <f>IFERROR(50+VLOOKUP($A24,'SegEnds_Xtal_Prot#'!$A:$AY,41,FALSE)-VLOOKUP($B24,'SegEnds_NonXtal_Prot#'!$A:$AL,31,FALSE),"-")</f>
        <v>24</v>
      </c>
      <c r="V24" s="2">
        <f>IFERROR(50+VLOOKUP($A24,'SegEnds_Xtal_Prot#'!$A:$AY,43,FALSE)-VLOOKUP($B24,'SegEnds_NonXtal_Prot#'!$A:$AL,31,FALSE),"-")</f>
        <v>61</v>
      </c>
      <c r="W24" s="2">
        <f>IFERROR(50+VLOOKUP($A24,'SegEnds_Xtal_Prot#'!$A:$AY,45,FALSE)-VLOOKUP($B24,'SegEnds_NonXtal_Prot#'!$A:$AL,34,FALSE),"-")</f>
        <v>31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50" t="str">
        <f>VLOOKUP(B24,Classification!A:D,2,FALSE)</f>
        <v>A</v>
      </c>
      <c r="AB24" s="97" t="str">
        <f>VLOOKUP(B24,Classification!A:D,4,0)</f>
        <v>Histamine</v>
      </c>
      <c r="AC24" s="50">
        <f>VLOOKUP(B24,'SegEnds_NonXtal_Prot#'!A:AL,6,FALSE)-VLOOKUP(B24,'SegEnds_NonXtal_Prot#'!A:AL,5,FALSE)</f>
        <v>1</v>
      </c>
      <c r="AD24" s="50">
        <f>VLOOKUP(B24,'SegEnds_NonXtal_Prot#'!A:AL,9,FALSE)-VLOOKUP(B24,'SegEnds_NonXtal_Prot#'!A:AL,8,FALSE)</f>
        <v>1</v>
      </c>
      <c r="AE24" s="50">
        <f>VLOOKUP(B24,'SegEnds_NonXtal_Prot#'!A:AL,13,FALSE)-VLOOKUP(B24,'SegEnds_NonXtal_Prot#'!A:AL,10,FALSE)</f>
        <v>20</v>
      </c>
      <c r="AF24" s="50">
        <f>VLOOKUP(B24,'SegEnds_NonXtal_Prot#'!A:AL,12,FALSE)-VLOOKUP(B24,'SegEnds_NonXtal_Prot#'!A:AL,11,FALSE)</f>
        <v>2</v>
      </c>
      <c r="AG24" s="50">
        <f>VLOOKUP(B24,'SegEnds_NonXtal_Prot#'!A:AL,13,FALSE)-VLOOKUP(B24,'SegEnds_NonXtal_Prot#'!A:AL,11,FALSE)</f>
        <v>3</v>
      </c>
      <c r="AH24" s="50">
        <f>VLOOKUP(B24,'SegEnds_NonXtal_Prot#'!A:AL,16,FALSE)-VLOOKUP(B24,'SegEnds_NonXtal_Prot#'!A:AL,10,FALSE)</f>
        <v>52</v>
      </c>
      <c r="AI24" s="50">
        <f>VLOOKUP(B24,'SegEnds_NonXtal_Prot#'!A:AL,16,FALSE)-VLOOKUP(B24,'SegEnds_NonXtal_Prot#'!A:AL,11,FALSE)</f>
        <v>35</v>
      </c>
      <c r="AJ24" s="50">
        <f>VLOOKUP(B24,'SegEnds_NonXtal_Prot#'!A:AL,22,FALSE)-VLOOKUP(B24,'SegEnds_NonXtal_Prot#'!A:AL,19,FALSE)</f>
        <v>20</v>
      </c>
      <c r="AK24" s="50">
        <f>VLOOKUP(B24,'SegEnds_NonXtal_Prot#'!A:AL,15,FALSE)-VLOOKUP(B24,'SegEnds_NonXtal_Prot#'!A:AL,14,FALSE)</f>
        <v>1</v>
      </c>
      <c r="AL24" s="50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35</v>
      </c>
      <c r="AN24" s="38"/>
    </row>
    <row r="25" spans="1:64" s="2" customFormat="1" x14ac:dyDescent="0.2">
      <c r="A25" s="2" t="s">
        <v>1263</v>
      </c>
      <c r="B25" s="2" t="s">
        <v>103</v>
      </c>
      <c r="C25" s="2">
        <f>IFERROR(50+VLOOKUP($A25,'SegEnds_Xtal_Prot#'!$A:$AY,5,FALSE)-VLOOKUP($B25,'SegEnds_NonXtal_Prot#'!$A:$AL,4,FALSE),"-")</f>
        <v>30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51</v>
      </c>
      <c r="G25" s="2">
        <f>IFERROR(50+VLOOKUP($A25,'SegEnds_Xtal_Prot#'!$A:$AY,13,FALSE)-VLOOKUP($B25,'SegEnds_NonXtal_Prot#'!$A:$AL,10,FALSE),"-")</f>
        <v>37</v>
      </c>
      <c r="H25" s="2">
        <f>IFERROR(50+VLOOKUP($A25,'SegEnds_Xtal_Prot#'!$A:$AY,15,FALSE)-VLOOKUP($B25,'SegEnds_NonXtal_Prot#'!$A:$AL,10,FALSE),"-")</f>
        <v>63</v>
      </c>
      <c r="I25" s="2">
        <f>IFERROR(50+VLOOKUP($A25,'SegEnds_Xtal_Prot#'!$A:$AY,17,FALSE)-VLOOKUP($B25,'SegEnds_NonXtal_Prot#'!$A:$AL,13,FALSE),"-")</f>
        <v>47</v>
      </c>
      <c r="J25" s="2">
        <f>IFERROR(50+VLOOKUP($A25,'SegEnds_Xtal_Prot#'!$A:$AY,19,FALSE)-VLOOKUP($B25,'SegEnds_NonXtal_Prot#'!$A:$AL,13,FALSE),"-")</f>
        <v>53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56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63</v>
      </c>
      <c r="Q25" s="2" t="str">
        <f>IFERROR(50+VLOOKUP($A25,'SegEnds_Xtal_Prot#'!$A:$AY,33,FALSE)-VLOOKUP($B25,'SegEnds_NonXtal_Prot#'!$A:$AL,25,FALSE),"-")</f>
        <v>-</v>
      </c>
      <c r="R25" s="2" t="str">
        <f>IFERROR(50+VLOOKUP($A25,'SegEnds_Xtal_Prot#'!$A:$AY,35,FALSE)-VLOOKUP($B25,'SegEnds_NonXtal_Prot#'!$A:$AL,25,FALSE),"-")</f>
        <v>-</v>
      </c>
      <c r="S25" s="2">
        <f>IFERROR(50+VLOOKUP($A25,'SegEnds_Xtal_Prot#'!$A:$AY,37,FALSE)-VLOOKUP($B25,'SegEnds_NonXtal_Prot#'!$A:$AL,28,FALSE),"-")</f>
        <v>36</v>
      </c>
      <c r="T25" s="2">
        <f>IFERROR(50+VLOOKUP($A25,'SegEnds_Xtal_Prot#'!$A:$AY,39,FALSE)-VLOOKUP($B25,'SegEnds_NonXtal_Prot#'!$A:$AL,28,FALSE),"-")</f>
        <v>73</v>
      </c>
      <c r="U25" s="2">
        <f>IFERROR(50+VLOOKUP($A25,'SegEnds_Xtal_Prot#'!$A:$AY,41,FALSE)-VLOOKUP($B25,'SegEnds_NonXtal_Prot#'!$A:$AL,31,FALSE),"-")</f>
        <v>22</v>
      </c>
      <c r="V25" s="2">
        <f>IFERROR(50+VLOOKUP($A25,'SegEnds_Xtal_Prot#'!$A:$AY,43,FALSE)-VLOOKUP($B25,'SegEnds_NonXtal_Prot#'!$A:$AL,31,FALSE),"-")</f>
        <v>61</v>
      </c>
      <c r="W25" s="2">
        <f>IFERROR(50+VLOOKUP($A25,'SegEnds_Xtal_Prot#'!$A:$AY,45,FALSE)-VLOOKUP($B25,'SegEnds_NonXtal_Prot#'!$A:$AL,34,FALSE),"-")</f>
        <v>30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59</v>
      </c>
      <c r="AA25" s="50" t="str">
        <f>VLOOKUP(B25,Classification!A:D,2,FALSE)</f>
        <v>A</v>
      </c>
      <c r="AB25" s="97" t="str">
        <f>VLOOKUP(B25,Classification!A:D,4,0)</f>
        <v>Lysophospholipid(LPA)</v>
      </c>
      <c r="AC25" s="50">
        <f>VLOOKUP(B25,'SegEnds_NonXtal_Prot#'!A:AL,6,FALSE)-VLOOKUP(B25,'SegEnds_NonXtal_Prot#'!A:AL,5,FALSE)</f>
        <v>1</v>
      </c>
      <c r="AD25" s="50">
        <f>VLOOKUP(B25,'SegEnds_NonXtal_Prot#'!A:AL,9,FALSE)-VLOOKUP(B25,'SegEnds_NonXtal_Prot#'!A:AL,8,FALSE)</f>
        <v>1</v>
      </c>
      <c r="AE25" s="50">
        <f>VLOOKUP(B25,'SegEnds_NonXtal_Prot#'!A:AL,13,FALSE)-VLOOKUP(B25,'SegEnds_NonXtal_Prot#'!A:AL,10,FALSE)</f>
        <v>18</v>
      </c>
      <c r="AF25" s="50">
        <f>VLOOKUP(B25,'SegEnds_NonXtal_Prot#'!A:AL,12,FALSE)-VLOOKUP(B25,'SegEnds_NonXtal_Prot#'!A:AL,11,FALSE)</f>
        <v>2</v>
      </c>
      <c r="AG25" s="50">
        <f>VLOOKUP(B25,'SegEnds_NonXtal_Prot#'!A:AL,13,FALSE)-VLOOKUP(B25,'SegEnds_NonXtal_Prot#'!A:AL,11,FALSE)</f>
        <v>5</v>
      </c>
      <c r="AH25" s="50">
        <f>VLOOKUP(B25,'SegEnds_NonXtal_Prot#'!A:AL,16,FALSE)-VLOOKUP(B25,'SegEnds_NonXtal_Prot#'!A:AL,10,FALSE)</f>
        <v>51</v>
      </c>
      <c r="AI25" s="50">
        <f>VLOOKUP(B25,'SegEnds_NonXtal_Prot#'!A:AL,16,FALSE)-VLOOKUP(B25,'SegEnds_NonXtal_Prot#'!A:AL,11,FALSE)</f>
        <v>38</v>
      </c>
      <c r="AJ25" s="50">
        <f>VLOOKUP(B25,'SegEnds_NonXtal_Prot#'!A:AL,22,FALSE)-VLOOKUP(B25,'SegEnds_NonXtal_Prot#'!A:AL,19,FALSE)</f>
        <v>19</v>
      </c>
      <c r="AK25" s="50">
        <f>VLOOKUP(B25,'SegEnds_NonXtal_Prot#'!A:AL,15,FALSE)-VLOOKUP(B25,'SegEnds_NonXtal_Prot#'!A:AL,14,FALSE)</f>
        <v>1</v>
      </c>
      <c r="AL25" s="50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35</v>
      </c>
      <c r="AN25" s="38"/>
    </row>
    <row r="26" spans="1:64" s="2" customFormat="1" x14ac:dyDescent="0.2">
      <c r="A26" s="2" t="s">
        <v>1278</v>
      </c>
      <c r="B26" s="2" t="s">
        <v>104</v>
      </c>
      <c r="C26" s="2">
        <f>IFERROR(50+VLOOKUP($A26,'SegEnds_Xtal_Prot#'!$A:$AY,5,FALSE)-VLOOKUP($B26,'SegEnds_NonXtal_Prot#'!$A:$AL,4,FALSE),"-")</f>
        <v>29</v>
      </c>
      <c r="D26" s="2">
        <f>IFERROR(50+VLOOKUP($A26,'SegEnds_Xtal_Prot#'!$A:$AY,7,FALSE)-VLOOKUP($B26,'SegEnds_NonXtal_Prot#'!$A:$AL,4,FALSE),"-")</f>
        <v>60</v>
      </c>
      <c r="E26" s="2">
        <f>IFERROR(50+VLOOKUP($A26,'SegEnds_Xtal_Prot#'!$A:$AY,9,FALSE)-VLOOKUP($B26,'SegEnds_NonXtal_Prot#'!$A:$AL,7,FALSE),"-")</f>
        <v>48</v>
      </c>
      <c r="F26" s="2">
        <f>IFERROR(50+VLOOKUP($A26,'SegEnds_Xtal_Prot#'!$A:$AY,11,FALSE)-VLOOKUP($B26,'SegEnds_NonXtal_Prot#'!$A:$AL,7,FALSE),"-")</f>
        <v>51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63</v>
      </c>
      <c r="I26" s="2">
        <f>IFERROR(50+VLOOKUP($A26,'SegEnds_Xtal_Prot#'!$A:$AY,17,FALSE)-VLOOKUP($B26,'SegEnds_NonXtal_Prot#'!$A:$AL,13,FALSE),"-")</f>
        <v>47</v>
      </c>
      <c r="J26" s="2">
        <f>IFERROR(50+VLOOKUP($A26,'SegEnds_Xtal_Prot#'!$A:$AY,19,FALSE)-VLOOKUP($B26,'SegEnds_NonXtal_Prot#'!$A:$AL,13,FALSE),"-")</f>
        <v>53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56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63</v>
      </c>
      <c r="Q26" s="2" t="str">
        <f>IFERROR(50+VLOOKUP($A26,'SegEnds_Xtal_Prot#'!$A:$AY,33,FALSE)-VLOOKUP($B26,'SegEnds_NonXtal_Prot#'!$A:$AL,25,FALSE),"-")</f>
        <v>-</v>
      </c>
      <c r="R26" s="2" t="str">
        <f>IFERROR(50+VLOOKUP($A26,'SegEnds_Xtal_Prot#'!$A:$AY,35,FALSE)-VLOOKUP($B26,'SegEnds_NonXtal_Prot#'!$A:$AL,25,FALSE),"-")</f>
        <v>-</v>
      </c>
      <c r="S26" s="2">
        <f>IFERROR(50+VLOOKUP($A26,'SegEnds_Xtal_Prot#'!$A:$AY,37,FALSE)-VLOOKUP($B26,'SegEnds_NonXtal_Prot#'!$A:$AL,28,FALSE),"-")</f>
        <v>36</v>
      </c>
      <c r="T26" s="2">
        <f>IFERROR(50+VLOOKUP($A26,'SegEnds_Xtal_Prot#'!$A:$AY,39,FALSE)-VLOOKUP($B26,'SegEnds_NonXtal_Prot#'!$A:$AL,28,FALSE),"-")</f>
        <v>73</v>
      </c>
      <c r="U26" s="2">
        <f>IFERROR(50+VLOOKUP($A26,'SegEnds_Xtal_Prot#'!$A:$AY,41,FALSE)-VLOOKUP($B26,'SegEnds_NonXtal_Prot#'!$A:$AL,31,FALSE),"-")</f>
        <v>24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30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59</v>
      </c>
      <c r="AA26" s="50" t="str">
        <f>VLOOKUP(B26,Classification!A:D,2,FALSE)</f>
        <v>A</v>
      </c>
      <c r="AB26" s="97" t="str">
        <f>VLOOKUP(B26,Classification!A:D,4,0)</f>
        <v>Lysophospholipid(S1P)</v>
      </c>
      <c r="AC26" s="50">
        <f>VLOOKUP(B26,'SegEnds_NonXtal_Prot#'!A:AL,6,FALSE)-VLOOKUP(B26,'SegEnds_NonXtal_Prot#'!A:AL,5,FALSE)</f>
        <v>1</v>
      </c>
      <c r="AD26" s="50">
        <f>VLOOKUP(B26,'SegEnds_NonXtal_Prot#'!A:AL,9,FALSE)-VLOOKUP(B26,'SegEnds_NonXtal_Prot#'!A:AL,8,FALSE)</f>
        <v>1</v>
      </c>
      <c r="AE26" s="50">
        <f>VLOOKUP(B26,'SegEnds_NonXtal_Prot#'!A:AL,13,FALSE)-VLOOKUP(B26,'SegEnds_NonXtal_Prot#'!A:AL,10,FALSE)</f>
        <v>18</v>
      </c>
      <c r="AF26" s="50">
        <f>VLOOKUP(B26,'SegEnds_NonXtal_Prot#'!A:AL,12,FALSE)-VLOOKUP(B26,'SegEnds_NonXtal_Prot#'!A:AL,11,FALSE)</f>
        <v>2</v>
      </c>
      <c r="AG26" s="50">
        <f>VLOOKUP(B26,'SegEnds_NonXtal_Prot#'!A:AL,13,FALSE)-VLOOKUP(B26,'SegEnds_NonXtal_Prot#'!A:AL,11,FALSE)</f>
        <v>5</v>
      </c>
      <c r="AH26" s="50">
        <f>VLOOKUP(B26,'SegEnds_NonXtal_Prot#'!A:AL,16,FALSE)-VLOOKUP(B26,'SegEnds_NonXtal_Prot#'!A:AL,10,FALSE)</f>
        <v>51</v>
      </c>
      <c r="AI26" s="50">
        <f>VLOOKUP(B26,'SegEnds_NonXtal_Prot#'!A:AL,16,FALSE)-VLOOKUP(B26,'SegEnds_NonXtal_Prot#'!A:AL,11,FALSE)</f>
        <v>38</v>
      </c>
      <c r="AJ26" s="50">
        <f>VLOOKUP(B26,'SegEnds_NonXtal_Prot#'!A:AL,22,FALSE)-VLOOKUP(B26,'SegEnds_NonXtal_Prot#'!A:AL,19,FALSE)</f>
        <v>19</v>
      </c>
      <c r="AK26" s="50">
        <f>VLOOKUP(B26,'SegEnds_NonXtal_Prot#'!A:AL,15,FALSE)-VLOOKUP(B26,'SegEnds_NonXtal_Prot#'!A:AL,14,FALSE)</f>
        <v>1</v>
      </c>
      <c r="AL26" s="50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37</v>
      </c>
      <c r="AN26" s="38"/>
    </row>
    <row r="27" spans="1:64" s="2" customFormat="1" x14ac:dyDescent="0.2">
      <c r="A27" s="2" t="s">
        <v>1264</v>
      </c>
      <c r="B27" s="2" t="s">
        <v>914</v>
      </c>
      <c r="C27" s="2">
        <f>IFERROR(50+VLOOKUP($A27,'SegEnds_Xtal_Prot#'!$A:$AY,5,FALSE)-VLOOKUP($B27,'SegEnds_NonXtal_Prot#'!$A:$AL,4,FALSE),"-")</f>
        <v>29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34</v>
      </c>
      <c r="H27" s="2">
        <f>IFERROR(50+VLOOKUP($A27,'SegEnds_Xtal_Prot#'!$A:$AY,15,FALSE)-VLOOKUP($B27,'SegEnds_NonXtal_Prot#'!$A:$AL,10,FALSE),"-")</f>
        <v>68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64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32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24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58</v>
      </c>
      <c r="AA27" s="50" t="str">
        <f>VLOOKUP(B27,Classification!A:D,2,FALSE)</f>
        <v>A</v>
      </c>
      <c r="AB27" s="97" t="str">
        <f>VLOOKUP(B27,Classification!A:D,4,0)</f>
        <v>Neurotensin</v>
      </c>
      <c r="AC27" s="50">
        <f>VLOOKUP(B27,'SegEnds_NonXtal_Prot#'!A:AL,6,FALSE)-VLOOKUP(B27,'SegEnds_NonXtal_Prot#'!A:AL,5,FALSE)</f>
        <v>1</v>
      </c>
      <c r="AD27" s="50">
        <f>VLOOKUP(B27,'SegEnds_NonXtal_Prot#'!A:AL,9,FALSE)-VLOOKUP(B27,'SegEnds_NonXtal_Prot#'!A:AL,8,FALSE)</f>
        <v>1</v>
      </c>
      <c r="AE27" s="50">
        <f>VLOOKUP(B27,'SegEnds_NonXtal_Prot#'!A:AL,13,FALSE)-VLOOKUP(B27,'SegEnds_NonXtal_Prot#'!A:AL,10,FALSE)</f>
        <v>22</v>
      </c>
      <c r="AF27" s="50">
        <f>VLOOKUP(B27,'SegEnds_NonXtal_Prot#'!A:AL,12,FALSE)-VLOOKUP(B27,'SegEnds_NonXtal_Prot#'!A:AL,11,FALSE)</f>
        <v>3</v>
      </c>
      <c r="AG27" s="50">
        <f>VLOOKUP(B27,'SegEnds_NonXtal_Prot#'!A:AL,13,FALSE)-VLOOKUP(B27,'SegEnds_NonXtal_Prot#'!A:AL,11,FALSE)</f>
        <v>4</v>
      </c>
      <c r="AH27" s="50">
        <f>VLOOKUP(B27,'SegEnds_NonXtal_Prot#'!A:AL,16,FALSE)-VLOOKUP(B27,'SegEnds_NonXtal_Prot#'!A:AL,10,FALSE)</f>
        <v>54</v>
      </c>
      <c r="AI27" s="50">
        <f>VLOOKUP(B27,'SegEnds_NonXtal_Prot#'!A:AL,16,FALSE)-VLOOKUP(B27,'SegEnds_NonXtal_Prot#'!A:AL,11,FALSE)</f>
        <v>36</v>
      </c>
      <c r="AJ27" s="50">
        <f>VLOOKUP(B27,'SegEnds_NonXtal_Prot#'!A:AL,22,FALSE)-VLOOKUP(B27,'SegEnds_NonXtal_Prot#'!A:AL,19,FALSE)</f>
        <v>20</v>
      </c>
      <c r="AK27" s="50">
        <f>VLOOKUP(B27,'SegEnds_NonXtal_Prot#'!A:AL,15,FALSE)-VLOOKUP(B27,'SegEnds_NonXtal_Prot#'!A:AL,14,FALSE)</f>
        <v>1</v>
      </c>
      <c r="AL27" s="50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43</v>
      </c>
      <c r="AN27" s="38"/>
    </row>
    <row r="28" spans="1:64" s="2" customFormat="1" x14ac:dyDescent="0.2">
      <c r="A28" s="2" t="s">
        <v>1266</v>
      </c>
      <c r="B28" s="2" t="s">
        <v>916</v>
      </c>
      <c r="C28" s="2">
        <f>IFERROR(50+VLOOKUP($A28,'SegEnds_Xtal_Prot#'!$A:$AY,5,FALSE)-VLOOKUP($B28,'SegEnds_NonXtal_Prot#'!$A:$AL,4,FALSE),"-")</f>
        <v>24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66</v>
      </c>
      <c r="I28" s="2">
        <f>IFERROR(50+VLOOKUP($A28,'SegEnds_Xtal_Prot#'!$A:$AY,17,FALSE)-VLOOKUP($B28,'SegEnds_NonXtal_Prot#'!$A:$AL,13,FALSE),"-")</f>
        <v>49</v>
      </c>
      <c r="J28" s="2">
        <f>IFERROR(50+VLOOKUP($A28,'SegEnds_Xtal_Prot#'!$A:$AY,19,FALSE)-VLOOKUP($B28,'SegEnds_NonXtal_Prot#'!$A:$AL,13,FALSE),"-")</f>
        <v>52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57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64</v>
      </c>
      <c r="Q28" s="2">
        <f>IFERROR(50+VLOOKUP($A28,'SegEnds_Xtal_Prot#'!$A:$AY,33,FALSE)-VLOOKUP($B28,'SegEnds_NonXtal_Prot#'!$A:$AL,25,FALSE),"-")</f>
        <v>50</v>
      </c>
      <c r="R28" s="2">
        <f>IFERROR(50+VLOOKUP($A28,'SegEnds_Xtal_Prot#'!$A:$AY,35,FALSE)-VLOOKUP($B28,'SegEnds_NonXtal_Prot#'!$A:$AL,25,FALSE),"-")</f>
        <v>52</v>
      </c>
      <c r="S28" s="2">
        <f>IFERROR(50+VLOOKUP($A28,'SegEnds_Xtal_Prot#'!$A:$AY,37,FALSE)-VLOOKUP($B28,'SegEnds_NonXtal_Prot#'!$A:$AL,28,FALSE),"-")</f>
        <v>31</v>
      </c>
      <c r="T28" s="2">
        <f>IFERROR(50+VLOOKUP($A28,'SegEnds_Xtal_Prot#'!$A:$AY,39,FALSE)-VLOOKUP($B28,'SegEnds_NonXtal_Prot#'!$A:$AL,28,FALSE),"-")</f>
        <v>68</v>
      </c>
      <c r="U28" s="2">
        <f>IFERROR(50+VLOOKUP($A28,'SegEnds_Xtal_Prot#'!$A:$AY,41,FALSE)-VLOOKUP($B28,'SegEnds_NonXtal_Prot#'!$A:$AL,31,FALSE),"-")</f>
        <v>23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28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60</v>
      </c>
      <c r="AA28" s="50" t="str">
        <f>VLOOKUP(B28,Classification!A:D,2,FALSE)</f>
        <v>A</v>
      </c>
      <c r="AB28" s="97" t="str">
        <f>VLOOKUP(B28,Classification!A:D,4,0)</f>
        <v>Opioid</v>
      </c>
      <c r="AC28" s="50">
        <f>VLOOKUP(B28,'SegEnds_NonXtal_Prot#'!A:AL,6,FALSE)-VLOOKUP(B28,'SegEnds_NonXtal_Prot#'!A:AL,5,FALSE)</f>
        <v>1</v>
      </c>
      <c r="AD28" s="50">
        <f>VLOOKUP(B28,'SegEnds_NonXtal_Prot#'!A:AL,9,FALSE)-VLOOKUP(B28,'SegEnds_NonXtal_Prot#'!A:AL,8,FALSE)</f>
        <v>1</v>
      </c>
      <c r="AE28" s="50">
        <f>VLOOKUP(B28,'SegEnds_NonXtal_Prot#'!A:AL,13,FALSE)-VLOOKUP(B28,'SegEnds_NonXtal_Prot#'!A:AL,10,FALSE)</f>
        <v>19</v>
      </c>
      <c r="AF28" s="50">
        <f>VLOOKUP(B28,'SegEnds_NonXtal_Prot#'!A:AL,12,FALSE)-VLOOKUP(B28,'SegEnds_NonXtal_Prot#'!A:AL,11,FALSE)</f>
        <v>2</v>
      </c>
      <c r="AG28" s="50">
        <f>VLOOKUP(B28,'SegEnds_NonXtal_Prot#'!A:AL,13,FALSE)-VLOOKUP(B28,'SegEnds_NonXtal_Prot#'!A:AL,11,FALSE)</f>
        <v>3</v>
      </c>
      <c r="AH28" s="50">
        <f>VLOOKUP(B28,'SegEnds_NonXtal_Prot#'!A:AL,16,FALSE)-VLOOKUP(B28,'SegEnds_NonXtal_Prot#'!A:AL,10,FALSE)</f>
        <v>51</v>
      </c>
      <c r="AI28" s="50">
        <f>VLOOKUP(B28,'SegEnds_NonXtal_Prot#'!A:AL,16,FALSE)-VLOOKUP(B28,'SegEnds_NonXtal_Prot#'!A:AL,11,FALSE)</f>
        <v>35</v>
      </c>
      <c r="AJ28" s="50">
        <f>VLOOKUP(B28,'SegEnds_NonXtal_Prot#'!A:AL,22,FALSE)-VLOOKUP(B28,'SegEnds_NonXtal_Prot#'!A:AL,19,FALSE)</f>
        <v>20</v>
      </c>
      <c r="AK28" s="50">
        <f>VLOOKUP(B28,'SegEnds_NonXtal_Prot#'!A:AL,15,FALSE)-VLOOKUP(B28,'SegEnds_NonXtal_Prot#'!A:AL,14,FALSE)</f>
        <v>1</v>
      </c>
      <c r="AL28" s="50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39</v>
      </c>
      <c r="AN28" s="38"/>
    </row>
    <row r="29" spans="1:64" s="2" customFormat="1" x14ac:dyDescent="0.2">
      <c r="A29" s="2" t="s">
        <v>1267</v>
      </c>
      <c r="B29" s="2" t="s">
        <v>336</v>
      </c>
      <c r="C29" s="2">
        <f>IFERROR(50+VLOOKUP($A29,'SegEnds_Xtal_Prot#'!$A:$AY,5,FALSE)-VLOOKUP($B29,'SegEnds_NonXtal_Prot#'!$A:$AL,4,FALSE),"-")</f>
        <v>30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66</v>
      </c>
      <c r="I29" s="2">
        <f>IFERROR(50+VLOOKUP($A29,'SegEnds_Xtal_Prot#'!$A:$AY,17,FALSE)-VLOOKUP($B29,'SegEnds_NonXtal_Prot#'!$A:$AL,13,FALSE),"-")</f>
        <v>49</v>
      </c>
      <c r="J29" s="2">
        <f>IFERROR(50+VLOOKUP($A29,'SegEnds_Xtal_Prot#'!$A:$AY,19,FALSE)-VLOOKUP($B29,'SegEnds_NonXtal_Prot#'!$A:$AL,13,FALSE),"-")</f>
        <v>52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57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64</v>
      </c>
      <c r="Q29" s="2">
        <f>IFERROR(50+VLOOKUP($A29,'SegEnds_Xtal_Prot#'!$A:$AY,33,FALSE)-VLOOKUP($B29,'SegEnds_NonXtal_Prot#'!$A:$AL,25,FALSE),"-")</f>
        <v>50</v>
      </c>
      <c r="R29" s="2">
        <f>IFERROR(50+VLOOKUP($A29,'SegEnds_Xtal_Prot#'!$A:$AY,35,FALSE)-VLOOKUP($B29,'SegEnds_NonXtal_Prot#'!$A:$AL,25,FALSE),"-")</f>
        <v>52</v>
      </c>
      <c r="S29" s="2">
        <f>IFERROR(50+VLOOKUP($A29,'SegEnds_Xtal_Prot#'!$A:$AY,37,FALSE)-VLOOKUP($B29,'SegEnds_NonXtal_Prot#'!$A:$AL,28,FALSE),"-")</f>
        <v>31</v>
      </c>
      <c r="T29" s="2">
        <f>IFERROR(50+VLOOKUP($A29,'SegEnds_Xtal_Prot#'!$A:$AY,39,FALSE)-VLOOKUP($B29,'SegEnds_NonXtal_Prot#'!$A:$AL,28,FALSE),"-")</f>
        <v>68</v>
      </c>
      <c r="U29" s="2">
        <f>IFERROR(50+VLOOKUP($A29,'SegEnds_Xtal_Prot#'!$A:$AY,41,FALSE)-VLOOKUP($B29,'SegEnds_NonXtal_Prot#'!$A:$AL,31,FALSE),"-")</f>
        <v>23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28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50" t="str">
        <f>VLOOKUP(B29,Classification!A:D,2,FALSE)</f>
        <v>A</v>
      </c>
      <c r="AB29" s="97" t="str">
        <f>VLOOKUP(B29,Classification!A:D,4,0)</f>
        <v>Opioid</v>
      </c>
      <c r="AC29" s="50">
        <f>VLOOKUP(B29,'SegEnds_NonXtal_Prot#'!A:AL,6,FALSE)-VLOOKUP(B29,'SegEnds_NonXtal_Prot#'!A:AL,5,FALSE)</f>
        <v>1</v>
      </c>
      <c r="AD29" s="50">
        <f>VLOOKUP(B29,'SegEnds_NonXtal_Prot#'!A:AL,9,FALSE)-VLOOKUP(B29,'SegEnds_NonXtal_Prot#'!A:AL,8,FALSE)</f>
        <v>1</v>
      </c>
      <c r="AE29" s="50">
        <f>VLOOKUP(B29,'SegEnds_NonXtal_Prot#'!A:AL,13,FALSE)-VLOOKUP(B29,'SegEnds_NonXtal_Prot#'!A:AL,10,FALSE)</f>
        <v>19</v>
      </c>
      <c r="AF29" s="50">
        <f>VLOOKUP(B29,'SegEnds_NonXtal_Prot#'!A:AL,12,FALSE)-VLOOKUP(B29,'SegEnds_NonXtal_Prot#'!A:AL,11,FALSE)</f>
        <v>2</v>
      </c>
      <c r="AG29" s="50">
        <f>VLOOKUP(B29,'SegEnds_NonXtal_Prot#'!A:AL,13,FALSE)-VLOOKUP(B29,'SegEnds_NonXtal_Prot#'!A:AL,11,FALSE)</f>
        <v>3</v>
      </c>
      <c r="AH29" s="50">
        <f>VLOOKUP(B29,'SegEnds_NonXtal_Prot#'!A:AL,16,FALSE)-VLOOKUP(B29,'SegEnds_NonXtal_Prot#'!A:AL,10,FALSE)</f>
        <v>51</v>
      </c>
      <c r="AI29" s="50">
        <f>VLOOKUP(B29,'SegEnds_NonXtal_Prot#'!A:AL,16,FALSE)-VLOOKUP(B29,'SegEnds_NonXtal_Prot#'!A:AL,11,FALSE)</f>
        <v>35</v>
      </c>
      <c r="AJ29" s="50">
        <f>VLOOKUP(B29,'SegEnds_NonXtal_Prot#'!A:AL,22,FALSE)-VLOOKUP(B29,'SegEnds_NonXtal_Prot#'!A:AL,19,FALSE)</f>
        <v>20</v>
      </c>
      <c r="AK29" s="50">
        <f>VLOOKUP(B29,'SegEnds_NonXtal_Prot#'!A:AL,15,FALSE)-VLOOKUP(B29,'SegEnds_NonXtal_Prot#'!A:AL,14,FALSE)</f>
        <v>1</v>
      </c>
      <c r="AL29" s="50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38</v>
      </c>
      <c r="AN29" s="38"/>
    </row>
    <row r="30" spans="1:64" s="2" customFormat="1" x14ac:dyDescent="0.2">
      <c r="A30" s="2" t="s">
        <v>1269</v>
      </c>
      <c r="B30" s="2" t="s">
        <v>1174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37</v>
      </c>
      <c r="H30" s="2">
        <f>IFERROR(50+VLOOKUP($A30,'SegEnds_Xtal_Prot#'!$A:$AY,15,FALSE)-VLOOKUP($B30,'SegEnds_NonXtal_Prot#'!$A:$AL,10,FALSE),"-")</f>
        <v>66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31</v>
      </c>
      <c r="T30" s="2">
        <f>IFERROR(50+VLOOKUP($A30,'SegEnds_Xtal_Prot#'!$A:$AY,39,FALSE)-VLOOKUP($B30,'SegEnds_NonXtal_Prot#'!$A:$AL,28,FALSE),"-")</f>
        <v>68</v>
      </c>
      <c r="U30" s="2">
        <f>IFERROR(50+VLOOKUP($A30,'SegEnds_Xtal_Prot#'!$A:$AY,41,FALSE)-VLOOKUP($B30,'SegEnds_NonXtal_Prot#'!$A:$AL,31,FALSE),"-")</f>
        <v>23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28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59</v>
      </c>
      <c r="AA30" s="50" t="str">
        <f>VLOOKUP(B30,Classification!A:D,2,FALSE)</f>
        <v>A</v>
      </c>
      <c r="AB30" s="97" t="str">
        <f>VLOOKUP(B30,Classification!A:D,4,0)</f>
        <v>Opioid</v>
      </c>
      <c r="AC30" s="50">
        <f>VLOOKUP(B30,'SegEnds_NonXtal_Prot#'!A:AL,6,FALSE)-VLOOKUP(B30,'SegEnds_NonXtal_Prot#'!A:AL,5,FALSE)</f>
        <v>1</v>
      </c>
      <c r="AD30" s="50">
        <f>VLOOKUP(B30,'SegEnds_NonXtal_Prot#'!A:AL,9,FALSE)-VLOOKUP(B30,'SegEnds_NonXtal_Prot#'!A:AL,8,FALSE)</f>
        <v>1</v>
      </c>
      <c r="AE30" s="50">
        <f>VLOOKUP(B30,'SegEnds_NonXtal_Prot#'!A:AL,13,FALSE)-VLOOKUP(B30,'SegEnds_NonXtal_Prot#'!A:AL,10,FALSE)</f>
        <v>19</v>
      </c>
      <c r="AF30" s="50">
        <f>VLOOKUP(B30,'SegEnds_NonXtal_Prot#'!A:AL,12,FALSE)-VLOOKUP(B30,'SegEnds_NonXtal_Prot#'!A:AL,11,FALSE)</f>
        <v>2</v>
      </c>
      <c r="AG30" s="50">
        <f>VLOOKUP(B30,'SegEnds_NonXtal_Prot#'!A:AL,13,FALSE)-VLOOKUP(B30,'SegEnds_NonXtal_Prot#'!A:AL,11,FALSE)</f>
        <v>3</v>
      </c>
      <c r="AH30" s="50">
        <f>VLOOKUP(B30,'SegEnds_NonXtal_Prot#'!A:AL,16,FALSE)-VLOOKUP(B30,'SegEnds_NonXtal_Prot#'!A:AL,10,FALSE)</f>
        <v>51</v>
      </c>
      <c r="AI30" s="50">
        <f>VLOOKUP(B30,'SegEnds_NonXtal_Prot#'!A:AL,16,FALSE)-VLOOKUP(B30,'SegEnds_NonXtal_Prot#'!A:AL,11,FALSE)</f>
        <v>35</v>
      </c>
      <c r="AJ30" s="50">
        <f>VLOOKUP(B30,'SegEnds_NonXtal_Prot#'!A:AL,22,FALSE)-VLOOKUP(B30,'SegEnds_NonXtal_Prot#'!A:AL,19,FALSE)</f>
        <v>20</v>
      </c>
      <c r="AK30" s="50">
        <f>VLOOKUP(B30,'SegEnds_NonXtal_Prot#'!A:AL,15,FALSE)-VLOOKUP(B30,'SegEnds_NonXtal_Prot#'!A:AL,14,FALSE)</f>
        <v>1</v>
      </c>
      <c r="AL30" s="50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38</v>
      </c>
      <c r="AN30" s="38"/>
    </row>
    <row r="31" spans="1:64" s="2" customFormat="1" x14ac:dyDescent="0.2">
      <c r="A31" s="2" t="s">
        <v>1268</v>
      </c>
      <c r="B31" s="2" t="s">
        <v>918</v>
      </c>
      <c r="C31" s="2">
        <f>IFERROR(50+VLOOKUP($A31,'SegEnds_Xtal_Prot#'!$A:$AY,5,FALSE)-VLOOKUP($B31,'SegEnds_NonXtal_Prot#'!$A:$AL,4,FALSE),"-")</f>
        <v>29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59</v>
      </c>
      <c r="AA31" s="50" t="str">
        <f>VLOOKUP(B31,Classification!A:D,2,FALSE)</f>
        <v>A</v>
      </c>
      <c r="AB31" s="97" t="str">
        <f>VLOOKUP(B31,Classification!A:D,4,0)</f>
        <v>Opioid</v>
      </c>
      <c r="AC31" s="50">
        <f>VLOOKUP(B31,'SegEnds_NonXtal_Prot#'!A:AL,6,FALSE)-VLOOKUP(B31,'SegEnds_NonXtal_Prot#'!A:AL,5,FALSE)</f>
        <v>1</v>
      </c>
      <c r="AD31" s="50">
        <f>VLOOKUP(B31,'SegEnds_NonXtal_Prot#'!A:AL,9,FALSE)-VLOOKUP(B31,'SegEnds_NonXtal_Prot#'!A:AL,8,FALSE)</f>
        <v>1</v>
      </c>
      <c r="AE31" s="50">
        <f>VLOOKUP(B31,'SegEnds_NonXtal_Prot#'!A:AL,13,FALSE)-VLOOKUP(B31,'SegEnds_NonXtal_Prot#'!A:AL,10,FALSE)</f>
        <v>19</v>
      </c>
      <c r="AF31" s="50">
        <f>VLOOKUP(B31,'SegEnds_NonXtal_Prot#'!A:AL,12,FALSE)-VLOOKUP(B31,'SegEnds_NonXtal_Prot#'!A:AL,11,FALSE)</f>
        <v>2</v>
      </c>
      <c r="AG31" s="50">
        <f>VLOOKUP(B31,'SegEnds_NonXtal_Prot#'!A:AL,13,FALSE)-VLOOKUP(B31,'SegEnds_NonXtal_Prot#'!A:AL,11,FALSE)</f>
        <v>3</v>
      </c>
      <c r="AH31" s="50">
        <f>VLOOKUP(B31,'SegEnds_NonXtal_Prot#'!A:AL,16,FALSE)-VLOOKUP(B31,'SegEnds_NonXtal_Prot#'!A:AL,10,FALSE)</f>
        <v>51</v>
      </c>
      <c r="AI31" s="50">
        <f>VLOOKUP(B31,'SegEnds_NonXtal_Prot#'!A:AL,16,FALSE)-VLOOKUP(B31,'SegEnds_NonXtal_Prot#'!A:AL,11,FALSE)</f>
        <v>35</v>
      </c>
      <c r="AJ31" s="50">
        <f>VLOOKUP(B31,'SegEnds_NonXtal_Prot#'!A:AL,22,FALSE)-VLOOKUP(B31,'SegEnds_NonXtal_Prot#'!A:AL,19,FALSE)</f>
        <v>20</v>
      </c>
      <c r="AK31" s="50">
        <f>VLOOKUP(B31,'SegEnds_NonXtal_Prot#'!A:AL,15,FALSE)-VLOOKUP(B31,'SegEnds_NonXtal_Prot#'!A:AL,14,FALSE)</f>
        <v>1</v>
      </c>
      <c r="AL31" s="50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38</v>
      </c>
      <c r="AN31" s="38"/>
    </row>
    <row r="32" spans="1:64" s="2" customFormat="1" x14ac:dyDescent="0.2">
      <c r="A32" s="2" t="s">
        <v>1265</v>
      </c>
      <c r="B32" s="2" t="s">
        <v>335</v>
      </c>
      <c r="C32" s="2">
        <f>IFERROR(50+VLOOKUP($A32,'SegEnds_Xtal_Prot#'!$A:$AY,5,FALSE)-VLOOKUP($B32,'SegEnds_NonXtal_Prot#'!$A:$AL,4,FALSE),"-")</f>
        <v>22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66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31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60</v>
      </c>
      <c r="AA32" s="50" t="str">
        <f>VLOOKUP(B32,Classification!A:D,2,FALSE)</f>
        <v>A</v>
      </c>
      <c r="AB32" s="97" t="str">
        <f>VLOOKUP(B32,Classification!A:D,4,0)</f>
        <v>Opioid</v>
      </c>
      <c r="AC32" s="50">
        <f>VLOOKUP(B32,'SegEnds_NonXtal_Prot#'!A:AL,6,FALSE)-VLOOKUP(B32,'SegEnds_NonXtal_Prot#'!A:AL,5,FALSE)</f>
        <v>1</v>
      </c>
      <c r="AD32" s="50">
        <f>VLOOKUP(B32,'SegEnds_NonXtal_Prot#'!A:AL,9,FALSE)-VLOOKUP(B32,'SegEnds_NonXtal_Prot#'!A:AL,8,FALSE)</f>
        <v>1</v>
      </c>
      <c r="AE32" s="50">
        <f>VLOOKUP(B32,'SegEnds_NonXtal_Prot#'!A:AL,13,FALSE)-VLOOKUP(B32,'SegEnds_NonXtal_Prot#'!A:AL,10,FALSE)</f>
        <v>19</v>
      </c>
      <c r="AF32" s="50">
        <f>VLOOKUP(B32,'SegEnds_NonXtal_Prot#'!A:AL,12,FALSE)-VLOOKUP(B32,'SegEnds_NonXtal_Prot#'!A:AL,11,FALSE)</f>
        <v>2</v>
      </c>
      <c r="AG32" s="50">
        <f>VLOOKUP(B32,'SegEnds_NonXtal_Prot#'!A:AL,13,FALSE)-VLOOKUP(B32,'SegEnds_NonXtal_Prot#'!A:AL,11,FALSE)</f>
        <v>3</v>
      </c>
      <c r="AH32" s="50">
        <f>VLOOKUP(B32,'SegEnds_NonXtal_Prot#'!A:AL,16,FALSE)-VLOOKUP(B32,'SegEnds_NonXtal_Prot#'!A:AL,10,FALSE)</f>
        <v>51</v>
      </c>
      <c r="AI32" s="50">
        <f>VLOOKUP(B32,'SegEnds_NonXtal_Prot#'!A:AL,16,FALSE)-VLOOKUP(B32,'SegEnds_NonXtal_Prot#'!A:AL,11,FALSE)</f>
        <v>35</v>
      </c>
      <c r="AJ32" s="50">
        <f>VLOOKUP(B32,'SegEnds_NonXtal_Prot#'!A:AL,22,FALSE)-VLOOKUP(B32,'SegEnds_NonXtal_Prot#'!A:AL,19,FALSE)</f>
        <v>20</v>
      </c>
      <c r="AK32" s="50">
        <f>VLOOKUP(B32,'SegEnds_NonXtal_Prot#'!A:AL,15,FALSE)-VLOOKUP(B32,'SegEnds_NonXtal_Prot#'!A:AL,14,FALSE)</f>
        <v>1</v>
      </c>
      <c r="AL32" s="50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39</v>
      </c>
      <c r="AN32" s="38"/>
    </row>
    <row r="33" spans="1:64" s="2" customFormat="1" x14ac:dyDescent="0.2">
      <c r="A33" s="2" t="s">
        <v>1270</v>
      </c>
      <c r="B33" s="2" t="s">
        <v>920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67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56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62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34</v>
      </c>
      <c r="T33" s="2">
        <f>IFERROR(50+VLOOKUP($A33,'SegEnds_Xtal_Prot#'!$A:$AY,39,FALSE)-VLOOKUP($B33,'SegEnds_NonXtal_Prot#'!$A:$AL,28,FALSE),"-")</f>
        <v>72</v>
      </c>
      <c r="U33" s="2">
        <f>IFERROR(50+VLOOKUP($A33,'SegEnds_Xtal_Prot#'!$A:$AY,41,FALSE)-VLOOKUP($B33,'SegEnds_NonXtal_Prot#'!$A:$AL,31,FALSE),"-")</f>
        <v>24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31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50" t="str">
        <f>VLOOKUP(B33,Classification!A:D,2,FALSE)</f>
        <v>A</v>
      </c>
      <c r="AB33" s="97" t="str">
        <f>VLOOKUP(B33,Classification!A:D,4,0)</f>
        <v>Opsins</v>
      </c>
      <c r="AC33" s="50">
        <f>VLOOKUP(B33,'SegEnds_NonXtal_Prot#'!A:AL,6,FALSE)-VLOOKUP(B33,'SegEnds_NonXtal_Prot#'!A:AL,5,FALSE)</f>
        <v>1</v>
      </c>
      <c r="AD33" s="50">
        <f>VLOOKUP(B33,'SegEnds_NonXtal_Prot#'!A:AL,9,FALSE)-VLOOKUP(B33,'SegEnds_NonXtal_Prot#'!A:AL,8,FALSE)</f>
        <v>1</v>
      </c>
      <c r="AE33" s="50">
        <f>VLOOKUP(B33,'SegEnds_NonXtal_Prot#'!A:AL,13,FALSE)-VLOOKUP(B33,'SegEnds_NonXtal_Prot#'!A:AL,10,FALSE)</f>
        <v>20</v>
      </c>
      <c r="AF33" s="50">
        <f>VLOOKUP(B33,'SegEnds_NonXtal_Prot#'!A:AL,12,FALSE)-VLOOKUP(B33,'SegEnds_NonXtal_Prot#'!A:AL,11,FALSE)</f>
        <v>2</v>
      </c>
      <c r="AG33" s="50">
        <f>VLOOKUP(B33,'SegEnds_NonXtal_Prot#'!A:AL,13,FALSE)-VLOOKUP(B33,'SegEnds_NonXtal_Prot#'!A:AL,11,FALSE)</f>
        <v>3</v>
      </c>
      <c r="AH33" s="50">
        <f>VLOOKUP(B33,'SegEnds_NonXtal_Prot#'!A:AL,16,FALSE)-VLOOKUP(B33,'SegEnds_NonXtal_Prot#'!A:AL,10,FALSE)</f>
        <v>52</v>
      </c>
      <c r="AI33" s="50">
        <f>VLOOKUP(B33,'SegEnds_NonXtal_Prot#'!A:AL,16,FALSE)-VLOOKUP(B33,'SegEnds_NonXtal_Prot#'!A:AL,11,FALSE)</f>
        <v>35</v>
      </c>
      <c r="AJ33" s="50">
        <f>VLOOKUP(B33,'SegEnds_NonXtal_Prot#'!A:AL,22,FALSE)-VLOOKUP(B33,'SegEnds_NonXtal_Prot#'!A:AL,19,FALSE)</f>
        <v>19</v>
      </c>
      <c r="AK33" s="50">
        <f>VLOOKUP(B33,'SegEnds_NonXtal_Prot#'!A:AL,15,FALSE)-VLOOKUP(B33,'SegEnds_NonXtal_Prot#'!A:AL,14,FALSE)</f>
        <v>1</v>
      </c>
      <c r="AL33" s="50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36</v>
      </c>
      <c r="AN33" s="38"/>
      <c r="AO33" s="2" t="s">
        <v>1284</v>
      </c>
      <c r="AP33" s="2" t="s">
        <v>1286</v>
      </c>
    </row>
    <row r="34" spans="1:64" s="2" customFormat="1" x14ac:dyDescent="0.2">
      <c r="A34" s="2" t="s">
        <v>1272</v>
      </c>
      <c r="B34" s="2" t="s">
        <v>922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69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62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32</v>
      </c>
      <c r="T34" s="2">
        <f>IFERROR(50+VLOOKUP($A34,'SegEnds_Xtal_Prot#'!$A:$AY,39,FALSE)-VLOOKUP($B34,'SegEnds_NonXtal_Prot#'!$A:$AL,28,FALSE),"-")</f>
        <v>77</v>
      </c>
      <c r="U34" s="2">
        <f>IFERROR(50+VLOOKUP($A34,'SegEnds_Xtal_Prot#'!$A:$AY,41,FALSE)-VLOOKUP($B34,'SegEnds_NonXtal_Prot#'!$A:$AL,31,FALSE),"-")</f>
        <v>18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31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58</v>
      </c>
      <c r="AA34" s="50" t="str">
        <f>VLOOKUP(B34,Classification!A:D,2,FALSE)</f>
        <v>A</v>
      </c>
      <c r="AB34" s="97" t="str">
        <f>VLOOKUP(B34,Classification!A:D,4,0)</f>
        <v>Opsins</v>
      </c>
      <c r="AC34" s="50">
        <f>VLOOKUP(B34,'SegEnds_NonXtal_Prot#'!A:AL,6,FALSE)-VLOOKUP(B34,'SegEnds_NonXtal_Prot#'!A:AL,5,FALSE)</f>
        <v>1</v>
      </c>
      <c r="AD34" s="50">
        <f>VLOOKUP(B34,'SegEnds_NonXtal_Prot#'!A:AL,9,FALSE)-VLOOKUP(B34,'SegEnds_NonXtal_Prot#'!A:AL,8,FALSE)</f>
        <v>1</v>
      </c>
      <c r="AE34" s="50">
        <f>VLOOKUP(B34,'SegEnds_NonXtal_Prot#'!A:AL,13,FALSE)-VLOOKUP(B34,'SegEnds_NonXtal_Prot#'!A:AL,10,FALSE)</f>
        <v>21</v>
      </c>
      <c r="AF34" s="50">
        <f>VLOOKUP(B34,'SegEnds_NonXtal_Prot#'!A:AL,12,FALSE)-VLOOKUP(B34,'SegEnds_NonXtal_Prot#'!A:AL,11,FALSE)</f>
        <v>1</v>
      </c>
      <c r="AG34" s="50">
        <f>VLOOKUP(B34,'SegEnds_NonXtal_Prot#'!A:AL,13,FALSE)-VLOOKUP(B34,'SegEnds_NonXtal_Prot#'!A:AL,11,FALSE)</f>
        <v>2</v>
      </c>
      <c r="AH34" s="50">
        <f>VLOOKUP(B34,'SegEnds_NonXtal_Prot#'!A:AL,16,FALSE)-VLOOKUP(B34,'SegEnds_NonXtal_Prot#'!A:AL,10,FALSE)</f>
        <v>53</v>
      </c>
      <c r="AI34" s="50">
        <f>VLOOKUP(B34,'SegEnds_NonXtal_Prot#'!A:AL,16,FALSE)-VLOOKUP(B34,'SegEnds_NonXtal_Prot#'!A:AL,11,FALSE)</f>
        <v>34</v>
      </c>
      <c r="AJ34" s="50">
        <f>VLOOKUP(B34,'SegEnds_NonXtal_Prot#'!A:AL,22,FALSE)-VLOOKUP(B34,'SegEnds_NonXtal_Prot#'!A:AL,19,FALSE)</f>
        <v>20</v>
      </c>
      <c r="AK34" s="50">
        <f>VLOOKUP(B34,'SegEnds_NonXtal_Prot#'!A:AL,15,FALSE)-VLOOKUP(B34,'SegEnds_NonXtal_Prot#'!A:AL,14,FALSE)</f>
        <v>1</v>
      </c>
      <c r="AL34" s="50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36</v>
      </c>
      <c r="AN34" s="38"/>
    </row>
    <row r="35" spans="1:64" s="2" customFormat="1" x14ac:dyDescent="0.2">
      <c r="A35" s="2" t="s">
        <v>1271</v>
      </c>
      <c r="B35" s="2" t="s">
        <v>339</v>
      </c>
      <c r="C35" s="2">
        <f>IFERROR(50+VLOOKUP($A35,'SegEnds_Xtal_Prot#'!$A:$AY,5,FALSE)-VLOOKUP($B35,'SegEnds_NonXtal_Prot#'!$A:$AL,4,FALSE),"-")</f>
        <v>29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67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56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62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34</v>
      </c>
      <c r="T35" s="2">
        <f>IFERROR(50+VLOOKUP($A35,'SegEnds_Xtal_Prot#'!$A:$AY,39,FALSE)-VLOOKUP($B35,'SegEnds_NonXtal_Prot#'!$A:$AL,28,FALSE),"-")</f>
        <v>72</v>
      </c>
      <c r="U35" s="2">
        <f>IFERROR(50+VLOOKUP($A35,'SegEnds_Xtal_Prot#'!$A:$AY,41,FALSE)-VLOOKUP($B35,'SegEnds_NonXtal_Prot#'!$A:$AL,31,FALSE),"-")</f>
        <v>24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31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59</v>
      </c>
      <c r="AA35" s="50" t="str">
        <f>VLOOKUP(B35,Classification!A:D,2,FALSE)</f>
        <v>A</v>
      </c>
      <c r="AB35" s="97" t="str">
        <f>VLOOKUP(B35,Classification!A:D,4,0)</f>
        <v>Opsins</v>
      </c>
      <c r="AC35" s="50">
        <f>VLOOKUP(B35,'SegEnds_NonXtal_Prot#'!A:AL,6,FALSE)-VLOOKUP(B35,'SegEnds_NonXtal_Prot#'!A:AL,5,FALSE)</f>
        <v>1</v>
      </c>
      <c r="AD35" s="50">
        <f>VLOOKUP(B35,'SegEnds_NonXtal_Prot#'!A:AL,9,FALSE)-VLOOKUP(B35,'SegEnds_NonXtal_Prot#'!A:AL,8,FALSE)</f>
        <v>1</v>
      </c>
      <c r="AE35" s="50">
        <f>VLOOKUP(B35,'SegEnds_NonXtal_Prot#'!A:AL,13,FALSE)-VLOOKUP(B35,'SegEnds_NonXtal_Prot#'!A:AL,10,FALSE)</f>
        <v>20</v>
      </c>
      <c r="AF35" s="50">
        <f>VLOOKUP(B35,'SegEnds_NonXtal_Prot#'!A:AL,12,FALSE)-VLOOKUP(B35,'SegEnds_NonXtal_Prot#'!A:AL,11,FALSE)</f>
        <v>2</v>
      </c>
      <c r="AG35" s="50">
        <f>VLOOKUP(B35,'SegEnds_NonXtal_Prot#'!A:AL,13,FALSE)-VLOOKUP(B35,'SegEnds_NonXtal_Prot#'!A:AL,11,FALSE)</f>
        <v>3</v>
      </c>
      <c r="AH35" s="50">
        <f>VLOOKUP(B35,'SegEnds_NonXtal_Prot#'!A:AL,16,FALSE)-VLOOKUP(B35,'SegEnds_NonXtal_Prot#'!A:AL,10,FALSE)</f>
        <v>52</v>
      </c>
      <c r="AI35" s="50">
        <f>VLOOKUP(B35,'SegEnds_NonXtal_Prot#'!A:AL,16,FALSE)-VLOOKUP(B35,'SegEnds_NonXtal_Prot#'!A:AL,11,FALSE)</f>
        <v>35</v>
      </c>
      <c r="AJ35" s="50">
        <f>VLOOKUP(B35,'SegEnds_NonXtal_Prot#'!A:AL,22,FALSE)-VLOOKUP(B35,'SegEnds_NonXtal_Prot#'!A:AL,19,FALSE)</f>
        <v>19</v>
      </c>
      <c r="AK35" s="50">
        <f>VLOOKUP(B35,'SegEnds_NonXtal_Prot#'!A:AL,15,FALSE)-VLOOKUP(B35,'SegEnds_NonXtal_Prot#'!A:AL,14,FALSE)</f>
        <v>1</v>
      </c>
      <c r="AL35" s="50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36</v>
      </c>
      <c r="AN35" s="38"/>
    </row>
    <row r="36" spans="1:64" s="2" customFormat="1" x14ac:dyDescent="0.2">
      <c r="A36" s="2" t="s">
        <v>1274</v>
      </c>
      <c r="B36" s="2" t="s">
        <v>1176</v>
      </c>
      <c r="C36" s="2">
        <f>IFERROR(50+VLOOKUP($A36,'SegEnds_Xtal_Prot#'!$A:$AY,5,FALSE)-VLOOKUP($B36,'SegEnds_NonXtal_Prot#'!$A:$AL,4,FALSE),"-")</f>
        <v>31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53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64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32</v>
      </c>
      <c r="T36" s="2">
        <f>IFERROR(50+VLOOKUP($A36,'SegEnds_Xtal_Prot#'!$A:$AY,39,FALSE)-VLOOKUP($B36,'SegEnds_NonXtal_Prot#'!$A:$AL,28,FALSE),"-")</f>
        <v>71</v>
      </c>
      <c r="U36" s="2">
        <f>IFERROR(50+VLOOKUP($A36,'SegEnds_Xtal_Prot#'!$A:$AY,41,FALSE)-VLOOKUP($B36,'SegEnds_NonXtal_Prot#'!$A:$AL,31,FALSE),"-")</f>
        <v>20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28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58</v>
      </c>
      <c r="AA36" s="50" t="str">
        <f>VLOOKUP(B36,Classification!A:D,2,FALSE)</f>
        <v>A</v>
      </c>
      <c r="AB36" s="97" t="str">
        <f>VLOOKUP(B36,Classification!A:D,4,0)</f>
        <v>Orexin</v>
      </c>
      <c r="AC36" s="50">
        <f>VLOOKUP(B36,'SegEnds_NonXtal_Prot#'!A:AL,6,FALSE)-VLOOKUP(B36,'SegEnds_NonXtal_Prot#'!A:AL,5,FALSE)</f>
        <v>1</v>
      </c>
      <c r="AD36" s="50">
        <f>VLOOKUP(B36,'SegEnds_NonXtal_Prot#'!A:AL,9,FALSE)-VLOOKUP(B36,'SegEnds_NonXtal_Prot#'!A:AL,8,FALSE)</f>
        <v>1</v>
      </c>
      <c r="AE36" s="50">
        <f>VLOOKUP(B36,'SegEnds_NonXtal_Prot#'!A:AL,13,FALSE)-VLOOKUP(B36,'SegEnds_NonXtal_Prot#'!A:AL,10,FALSE)</f>
        <v>20</v>
      </c>
      <c r="AF36" s="50">
        <f>VLOOKUP(B36,'SegEnds_NonXtal_Prot#'!A:AL,12,FALSE)-VLOOKUP(B36,'SegEnds_NonXtal_Prot#'!A:AL,11,FALSE)</f>
        <v>2</v>
      </c>
      <c r="AG36" s="50">
        <f>VLOOKUP(B36,'SegEnds_NonXtal_Prot#'!A:AL,13,FALSE)-VLOOKUP(B36,'SegEnds_NonXtal_Prot#'!A:AL,11,FALSE)</f>
        <v>3</v>
      </c>
      <c r="AH36" s="50">
        <f>VLOOKUP(B36,'SegEnds_NonXtal_Prot#'!A:AL,16,FALSE)-VLOOKUP(B36,'SegEnds_NonXtal_Prot#'!A:AL,10,FALSE)</f>
        <v>52</v>
      </c>
      <c r="AI36" s="50">
        <f>VLOOKUP(B36,'SegEnds_NonXtal_Prot#'!A:AL,16,FALSE)-VLOOKUP(B36,'SegEnds_NonXtal_Prot#'!A:AL,11,FALSE)</f>
        <v>35</v>
      </c>
      <c r="AJ36" s="50">
        <f>VLOOKUP(B36,'SegEnds_NonXtal_Prot#'!A:AL,22,FALSE)-VLOOKUP(B36,'SegEnds_NonXtal_Prot#'!A:AL,19,FALSE)</f>
        <v>18</v>
      </c>
      <c r="AK36" s="50">
        <f>VLOOKUP(B36,'SegEnds_NonXtal_Prot#'!A:AL,15,FALSE)-VLOOKUP(B36,'SegEnds_NonXtal_Prot#'!A:AL,14,FALSE)</f>
        <v>1</v>
      </c>
      <c r="AL36" s="50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42</v>
      </c>
      <c r="AN36" s="38"/>
    </row>
    <row r="37" spans="1:64" s="2" customFormat="1" x14ac:dyDescent="0.2">
      <c r="A37" s="2" t="s">
        <v>1273</v>
      </c>
      <c r="B37" s="2" t="s">
        <v>1175</v>
      </c>
      <c r="C37" s="2">
        <f>IFERROR(50+VLOOKUP($A37,'SegEnds_Xtal_Prot#'!$A:$AY,5,FALSE)-VLOOKUP($B37,'SegEnds_NonXtal_Prot#'!$A:$AL,4,FALSE),"-")</f>
        <v>32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67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53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64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71</v>
      </c>
      <c r="U37" s="2">
        <f>IFERROR(50+VLOOKUP($A37,'SegEnds_Xtal_Prot#'!$A:$AY,41,FALSE)-VLOOKUP($B37,'SegEnds_NonXtal_Prot#'!$A:$AL,31,FALSE),"-")</f>
        <v>20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28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50" t="str">
        <f>VLOOKUP(B37,Classification!A:D,2,FALSE)</f>
        <v>A</v>
      </c>
      <c r="AB37" s="97" t="str">
        <f>VLOOKUP(B37,Classification!A:D,4,0)</f>
        <v>Orexin</v>
      </c>
      <c r="AC37" s="50">
        <f>VLOOKUP(B37,'SegEnds_NonXtal_Prot#'!A:AL,6,FALSE)-VLOOKUP(B37,'SegEnds_NonXtal_Prot#'!A:AL,5,FALSE)</f>
        <v>1</v>
      </c>
      <c r="AD37" s="50">
        <f>VLOOKUP(B37,'SegEnds_NonXtal_Prot#'!A:AL,9,FALSE)-VLOOKUP(B37,'SegEnds_NonXtal_Prot#'!A:AL,8,FALSE)</f>
        <v>1</v>
      </c>
      <c r="AE37" s="50">
        <f>VLOOKUP(B37,'SegEnds_NonXtal_Prot#'!A:AL,13,FALSE)-VLOOKUP(B37,'SegEnds_NonXtal_Prot#'!A:AL,10,FALSE)</f>
        <v>20</v>
      </c>
      <c r="AF37" s="50">
        <f>VLOOKUP(B37,'SegEnds_NonXtal_Prot#'!A:AL,12,FALSE)-VLOOKUP(B37,'SegEnds_NonXtal_Prot#'!A:AL,11,FALSE)</f>
        <v>2</v>
      </c>
      <c r="AG37" s="50">
        <f>VLOOKUP(B37,'SegEnds_NonXtal_Prot#'!A:AL,13,FALSE)-VLOOKUP(B37,'SegEnds_NonXtal_Prot#'!A:AL,11,FALSE)</f>
        <v>3</v>
      </c>
      <c r="AH37" s="50">
        <f>VLOOKUP(B37,'SegEnds_NonXtal_Prot#'!A:AL,16,FALSE)-VLOOKUP(B37,'SegEnds_NonXtal_Prot#'!A:AL,10,FALSE)</f>
        <v>52</v>
      </c>
      <c r="AI37" s="50">
        <f>VLOOKUP(B37,'SegEnds_NonXtal_Prot#'!A:AL,16,FALSE)-VLOOKUP(B37,'SegEnds_NonXtal_Prot#'!A:AL,11,FALSE)</f>
        <v>35</v>
      </c>
      <c r="AJ37" s="50">
        <f>VLOOKUP(B37,'SegEnds_NonXtal_Prot#'!A:AL,22,FALSE)-VLOOKUP(B37,'SegEnds_NonXtal_Prot#'!A:AL,19,FALSE)</f>
        <v>18</v>
      </c>
      <c r="AK37" s="50">
        <f>VLOOKUP(B37,'SegEnds_NonXtal_Prot#'!A:AL,15,FALSE)-VLOOKUP(B37,'SegEnds_NonXtal_Prot#'!A:AL,14,FALSE)</f>
        <v>1</v>
      </c>
      <c r="AL37" s="50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42</v>
      </c>
      <c r="AN37" s="38"/>
    </row>
    <row r="38" spans="1:64" s="2" customFormat="1" x14ac:dyDescent="0.2">
      <c r="A38" s="2" t="s">
        <v>1275</v>
      </c>
      <c r="B38" s="2" t="s">
        <v>345</v>
      </c>
      <c r="C38" s="2">
        <f>IFERROR(50+VLOOKUP($A38,'SegEnds_Xtal_Prot#'!$A:$AY,5,FALSE)-VLOOKUP($B38,'SegEnds_NonXtal_Prot#'!$A:$AL,4,FALSE),"-")</f>
        <v>30</v>
      </c>
      <c r="D38" s="2">
        <f>IFERROR(50+VLOOKUP($A38,'SegEnds_Xtal_Prot#'!$A:$AY,7,FALSE)-VLOOKUP($B38,'SegEnds_NonXtal_Prot#'!$A:$AL,4,FALSE),"-")</f>
        <v>60</v>
      </c>
      <c r="E38" s="2" t="str">
        <f>IFERROR(50+VLOOKUP($A38,'SegEnds_Xtal_Prot#'!$A:$AY,9,FALSE)-VLOOKUP($B38,'SegEnds_NonXtal_Prot#'!$A:$AL,7,FALSE),"-")</f>
        <v>-</v>
      </c>
      <c r="F38" s="2" t="str">
        <f>IFERROR(50+VLOOKUP($A38,'SegEnds_Xtal_Prot#'!$A:$AY,11,FALSE)-VLOOKUP($B38,'SegEnds_NonXtal_Prot#'!$A:$AL,7,FALSE),"-")</f>
        <v>-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66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57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64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32</v>
      </c>
      <c r="T38" s="2">
        <f>IFERROR(50+VLOOKUP($A38,'SegEnds_Xtal_Prot#'!$A:$AY,39,FALSE)-VLOOKUP($B38,'SegEnds_NonXtal_Prot#'!$A:$AL,28,FALSE),"-")</f>
        <v>68</v>
      </c>
      <c r="U38" s="2">
        <f>IFERROR(50+VLOOKUP($A38,'SegEnds_Xtal_Prot#'!$A:$AY,41,FALSE)-VLOOKUP($B38,'SegEnds_NonXtal_Prot#'!$A:$AL,31,FALSE),"-")</f>
        <v>28</v>
      </c>
      <c r="V38" s="2">
        <f>IFERROR(50+VLOOKUP($A38,'SegEnds_Xtal_Prot#'!$A:$AY,43,FALSE)-VLOOKUP($B38,'SegEnds_NonXtal_Prot#'!$A:$AL,31,FALSE),"-")</f>
        <v>64</v>
      </c>
      <c r="W38" s="2">
        <f>IFERROR(50+VLOOKUP($A38,'SegEnds_Xtal_Prot#'!$A:$AY,45,FALSE)-VLOOKUP($B38,'SegEnds_NonXtal_Prot#'!$A:$AL,34,FALSE),"-")</f>
        <v>24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50" t="str">
        <f>VLOOKUP(B38,Classification!A:D,2,FALSE)</f>
        <v>A</v>
      </c>
      <c r="AB38" s="97" t="str">
        <f>VLOOKUP(B38,Classification!A:D,4,0)</f>
        <v>P2Y</v>
      </c>
      <c r="AC38" s="50" t="e">
        <f>VLOOKUP(B38,'SegEnds_NonXtal_Prot#'!A:AL,6,FALSE)-VLOOKUP(B38,'SegEnds_NonXtal_Prot#'!A:AL,5,FALSE)</f>
        <v>#VALUE!</v>
      </c>
      <c r="AD38" s="50" t="e">
        <f>VLOOKUP(B38,'SegEnds_NonXtal_Prot#'!A:AL,9,FALSE)-VLOOKUP(B38,'SegEnds_NonXtal_Prot#'!A:AL,8,FALSE)</f>
        <v>#VALUE!</v>
      </c>
      <c r="AE38" s="50">
        <f>VLOOKUP(B38,'SegEnds_NonXtal_Prot#'!A:AL,13,FALSE)-VLOOKUP(B38,'SegEnds_NonXtal_Prot#'!A:AL,10,FALSE)</f>
        <v>20</v>
      </c>
      <c r="AF38" s="50">
        <f>VLOOKUP(B38,'SegEnds_NonXtal_Prot#'!A:AL,12,FALSE)-VLOOKUP(B38,'SegEnds_NonXtal_Prot#'!A:AL,11,FALSE)</f>
        <v>3</v>
      </c>
      <c r="AG38" s="50">
        <f>VLOOKUP(B38,'SegEnds_NonXtal_Prot#'!A:AL,13,FALSE)-VLOOKUP(B38,'SegEnds_NonXtal_Prot#'!A:AL,11,FALSE)</f>
        <v>4</v>
      </c>
      <c r="AH38" s="50">
        <f>VLOOKUP(B38,'SegEnds_NonXtal_Prot#'!A:AL,16,FALSE)-VLOOKUP(B38,'SegEnds_NonXtal_Prot#'!A:AL,10,FALSE)</f>
        <v>52</v>
      </c>
      <c r="AI38" s="50">
        <f>VLOOKUP(B38,'SegEnds_NonXtal_Prot#'!A:AL,16,FALSE)-VLOOKUP(B38,'SegEnds_NonXtal_Prot#'!A:AL,11,FALSE)</f>
        <v>36</v>
      </c>
      <c r="AJ38" s="50">
        <f>VLOOKUP(B38,'SegEnds_NonXtal_Prot#'!A:AL,22,FALSE)-VLOOKUP(B38,'SegEnds_NonXtal_Prot#'!A:AL,19,FALSE)</f>
        <v>20</v>
      </c>
      <c r="AK38" s="50">
        <f>VLOOKUP(B38,'SegEnds_NonXtal_Prot#'!A:AL,15,FALSE)-VLOOKUP(B38,'SegEnds_NonXtal_Prot#'!A:AL,14,FALSE)</f>
        <v>1</v>
      </c>
      <c r="AL38" s="50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46</v>
      </c>
      <c r="AN38" s="38"/>
    </row>
    <row r="39" spans="1:64" s="2" customFormat="1" x14ac:dyDescent="0.2">
      <c r="A39" s="2" t="s">
        <v>1276</v>
      </c>
      <c r="B39" s="2" t="s">
        <v>352</v>
      </c>
      <c r="C39" s="2">
        <f>IFERROR(50+VLOOKUP($A39,'SegEnds_Xtal_Prot#'!$A:$AY,5,FALSE)-VLOOKUP($B39,'SegEnds_NonXtal_Prot#'!$A:$AL,4,FALSE),"-")</f>
        <v>28</v>
      </c>
      <c r="D39" s="2">
        <f>IFERROR(50+VLOOKUP($A39,'SegEnds_Xtal_Prot#'!$A:$AY,7,FALSE)-VLOOKUP($B39,'SegEnds_NonXtal_Prot#'!$A:$AL,4,FALSE),"-")</f>
        <v>60</v>
      </c>
      <c r="E39" s="2" t="str">
        <f>IFERROR(50+VLOOKUP($A39,'SegEnds_Xtal_Prot#'!$A:$AY,9,FALSE)-VLOOKUP($B39,'SegEnds_NonXtal_Prot#'!$A:$AL,7,FALSE),"-")</f>
        <v>-</v>
      </c>
      <c r="F39" s="2" t="str">
        <f>IFERROR(50+VLOOKUP($A39,'SegEnds_Xtal_Prot#'!$A:$AY,11,FALSE)-VLOOKUP($B39,'SegEnds_NonXtal_Prot#'!$A:$AL,7,FALSE),"-")</f>
        <v>-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66</v>
      </c>
      <c r="I39" s="2" t="str">
        <f>IFERROR(50+VLOOKUP($A39,'SegEnds_Xtal_Prot#'!$A:$AY,17,FALSE)-VLOOKUP($B39,'SegEnds_NonXtal_Prot#'!$A:$AL,13,FALSE),"-")</f>
        <v>-</v>
      </c>
      <c r="J39" s="2" t="str">
        <f>IFERROR(50+VLOOKUP($A39,'SegEnds_Xtal_Prot#'!$A:$AY,19,FALSE)-VLOOKUP($B39,'SegEnds_NonXtal_Prot#'!$A:$AL,13,FALSE),"-")</f>
        <v>-</v>
      </c>
      <c r="K39" s="2">
        <f>IFERROR(50+VLOOKUP($A39,'SegEnds_Xtal_Prot#'!$A:$AY,21,FALSE)-VLOOKUP($B39,'SegEnds_NonXtal_Prot#'!$A:$AL,16,FALSE),"-")</f>
        <v>18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57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30</v>
      </c>
      <c r="T39" s="2">
        <f>IFERROR(50+VLOOKUP($A39,'SegEnds_Xtal_Prot#'!$A:$AY,39,FALSE)-VLOOKUP($B39,'SegEnds_NonXtal_Prot#'!$A:$AL,28,FALSE),"-")</f>
        <v>72</v>
      </c>
      <c r="U39" s="2">
        <f>IFERROR(50+VLOOKUP($A39,'SegEnds_Xtal_Prot#'!$A:$AY,41,FALSE)-VLOOKUP($B39,'SegEnds_NonXtal_Prot#'!$A:$AL,31,FALSE),"-")</f>
        <v>29</v>
      </c>
      <c r="V39" s="2">
        <f>IFERROR(50+VLOOKUP($A39,'SegEnds_Xtal_Prot#'!$A:$AY,43,FALSE)-VLOOKUP($B39,'SegEnds_NonXtal_Prot#'!$A:$AL,31,FALSE),"-")</f>
        <v>64</v>
      </c>
      <c r="W39" s="2">
        <f>IFERROR(50+VLOOKUP($A39,'SegEnds_Xtal_Prot#'!$A:$AY,45,FALSE)-VLOOKUP($B39,'SegEnds_NonXtal_Prot#'!$A:$AL,34,FALSE),"-")</f>
        <v>24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57</v>
      </c>
      <c r="AA39" s="50" t="str">
        <f>VLOOKUP(B39,Classification!A:D,2,FALSE)</f>
        <v>A</v>
      </c>
      <c r="AB39" s="97" t="str">
        <f>VLOOKUP(B39,Classification!A:D,4,0)</f>
        <v>P2Y</v>
      </c>
      <c r="AC39" s="50" t="e">
        <f>VLOOKUP(B39,'SegEnds_NonXtal_Prot#'!A:AL,6,FALSE)-VLOOKUP(B39,'SegEnds_NonXtal_Prot#'!A:AL,5,FALSE)</f>
        <v>#VALUE!</v>
      </c>
      <c r="AD39" s="50" t="e">
        <f>VLOOKUP(B39,'SegEnds_NonXtal_Prot#'!A:AL,9,FALSE)-VLOOKUP(B39,'SegEnds_NonXtal_Prot#'!A:AL,8,FALSE)</f>
        <v>#VALUE!</v>
      </c>
      <c r="AE39" s="50" t="e">
        <f>VLOOKUP(B39,'SegEnds_NonXtal_Prot#'!A:AL,13,FALSE)-VLOOKUP(B39,'SegEnds_NonXtal_Prot#'!A:AL,10,FALSE)</f>
        <v>#VALUE!</v>
      </c>
      <c r="AF39" s="50" t="e">
        <f>VLOOKUP(B39,'SegEnds_NonXtal_Prot#'!A:AL,12,FALSE)-VLOOKUP(B39,'SegEnds_NonXtal_Prot#'!A:AL,11,FALSE)</f>
        <v>#VALUE!</v>
      </c>
      <c r="AG39" s="50" t="e">
        <f>VLOOKUP(B39,'SegEnds_NonXtal_Prot#'!A:AL,13,FALSE)-VLOOKUP(B39,'SegEnds_NonXtal_Prot#'!A:AL,11,FALSE)</f>
        <v>#VALUE!</v>
      </c>
      <c r="AH39" s="50">
        <f>VLOOKUP(B39,'SegEnds_NonXtal_Prot#'!A:AL,16,FALSE)-VLOOKUP(B39,'SegEnds_NonXtal_Prot#'!A:AL,10,FALSE)</f>
        <v>52</v>
      </c>
      <c r="AI39" s="50">
        <f>VLOOKUP(B39,'SegEnds_NonXtal_Prot#'!A:AL,16,FALSE)-VLOOKUP(B39,'SegEnds_NonXtal_Prot#'!A:AL,11,FALSE)</f>
        <v>36</v>
      </c>
      <c r="AJ39" s="50">
        <f>VLOOKUP(B39,'SegEnds_NonXtal_Prot#'!A:AL,22,FALSE)-VLOOKUP(B39,'SegEnds_NonXtal_Prot#'!A:AL,19,FALSE)</f>
        <v>20</v>
      </c>
      <c r="AK39" s="50" t="e">
        <f>VLOOKUP(B39,'SegEnds_NonXtal_Prot#'!A:AL,15,FALSE)-VLOOKUP(B39,'SegEnds_NonXtal_Prot#'!A:AL,14,FALSE)</f>
        <v>#VALUE!</v>
      </c>
      <c r="AL39" s="50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44</v>
      </c>
      <c r="AN39" s="38"/>
    </row>
    <row r="40" spans="1:64" s="2" customFormat="1" x14ac:dyDescent="0.2">
      <c r="A40" s="2" t="s">
        <v>1277</v>
      </c>
      <c r="B40" s="2" t="s">
        <v>355</v>
      </c>
      <c r="C40" s="2">
        <f>IFERROR(50+VLOOKUP($A40,'SegEnds_Xtal_Prot#'!$A:$AY,5,FALSE)-VLOOKUP($B40,'SegEnds_NonXtal_Prot#'!$A:$AL,4,FALSE),"-")</f>
        <v>29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66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57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63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67</v>
      </c>
      <c r="U40" s="2">
        <f>IFERROR(50+VLOOKUP($A40,'SegEnds_Xtal_Prot#'!$A:$AY,41,FALSE)-VLOOKUP($B40,'SegEnds_NonXtal_Prot#'!$A:$AL,31,FALSE),"-")</f>
        <v>26</v>
      </c>
      <c r="V40" s="2">
        <f>IFERROR(50+VLOOKUP($A40,'SegEnds_Xtal_Prot#'!$A:$AY,43,FALSE)-VLOOKUP($B40,'SegEnds_NonXtal_Prot#'!$A:$AL,31,FALSE),"-")</f>
        <v>62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61</v>
      </c>
      <c r="AA40" s="50" t="str">
        <f>VLOOKUP(B40,Classification!A:D,2,FALSE)</f>
        <v>A</v>
      </c>
      <c r="AB40" s="97" t="str">
        <f>VLOOKUP(B40,Classification!A:D,4,0)</f>
        <v>Proteinase-activated</v>
      </c>
      <c r="AC40" s="50">
        <f>VLOOKUP(B40,'SegEnds_NonXtal_Prot#'!A:AL,6,FALSE)-VLOOKUP(B40,'SegEnds_NonXtal_Prot#'!A:AL,5,FALSE)</f>
        <v>1</v>
      </c>
      <c r="AD40" s="50">
        <f>VLOOKUP(B40,'SegEnds_NonXtal_Prot#'!A:AL,9,FALSE)-VLOOKUP(B40,'SegEnds_NonXtal_Prot#'!A:AL,8,FALSE)</f>
        <v>1</v>
      </c>
      <c r="AE40" s="50">
        <f>VLOOKUP(B40,'SegEnds_NonXtal_Prot#'!A:AL,13,FALSE)-VLOOKUP(B40,'SegEnds_NonXtal_Prot#'!A:AL,10,FALSE)</f>
        <v>20</v>
      </c>
      <c r="AF40" s="50">
        <f>VLOOKUP(B40,'SegEnds_NonXtal_Prot#'!A:AL,12,FALSE)-VLOOKUP(B40,'SegEnds_NonXtal_Prot#'!A:AL,11,FALSE)</f>
        <v>3</v>
      </c>
      <c r="AG40" s="50">
        <f>VLOOKUP(B40,'SegEnds_NonXtal_Prot#'!A:AL,13,FALSE)-VLOOKUP(B40,'SegEnds_NonXtal_Prot#'!A:AL,11,FALSE)</f>
        <v>4</v>
      </c>
      <c r="AH40" s="50">
        <f>VLOOKUP(B40,'SegEnds_NonXtal_Prot#'!A:AL,16,FALSE)-VLOOKUP(B40,'SegEnds_NonXtal_Prot#'!A:AL,10,FALSE)</f>
        <v>52</v>
      </c>
      <c r="AI40" s="50">
        <f>VLOOKUP(B40,'SegEnds_NonXtal_Prot#'!A:AL,16,FALSE)-VLOOKUP(B40,'SegEnds_NonXtal_Prot#'!A:AL,11,FALSE)</f>
        <v>36</v>
      </c>
      <c r="AJ40" s="50">
        <f>VLOOKUP(B40,'SegEnds_NonXtal_Prot#'!A:AL,22,FALSE)-VLOOKUP(B40,'SegEnds_NonXtal_Prot#'!A:AL,19,FALSE)</f>
        <v>20</v>
      </c>
      <c r="AK40" s="50">
        <f>VLOOKUP(B40,'SegEnds_NonXtal_Prot#'!A:AL,15,FALSE)-VLOOKUP(B40,'SegEnds_NonXtal_Prot#'!A:AL,14,FALSE)</f>
        <v>1</v>
      </c>
      <c r="AL40" s="50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40</v>
      </c>
      <c r="AN40" s="38"/>
    </row>
    <row r="41" spans="1:64" s="2" customFormat="1" x14ac:dyDescent="0.2">
      <c r="A41" s="2" t="s">
        <v>1405</v>
      </c>
      <c r="B41" s="2" t="s">
        <v>356</v>
      </c>
      <c r="C41" s="2">
        <f>IFERROR(50+VLOOKUP($A41,'SegEnds_Xtal_Prot#'!$A:$AY,5,FALSE)-VLOOKUP($B41,'SegEnds_NonXtal_Prot#'!$A:$AL,4,FALSE),"-")</f>
        <v>28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47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56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62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31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26</v>
      </c>
      <c r="V41" s="2">
        <f>IFERROR(50+VLOOKUP($A41,'SegEnds_Xtal_Prot#'!$A:$AY,43,FALSE)-VLOOKUP($B41,'SegEnds_NonXtal_Prot#'!$A:$AL,31,FALSE),"-")</f>
        <v>65</v>
      </c>
      <c r="W41" s="2">
        <f>IFERROR(50+VLOOKUP($A41,'SegEnds_Xtal_Prot#'!$A:$AY,45,FALSE)-VLOOKUP($B41,'SegEnds_NonXtal_Prot#'!$A:$AL,34,FALSE),"-")</f>
        <v>31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61</v>
      </c>
      <c r="AA41" s="50" t="str">
        <f>VLOOKUP(B41,Classification!A:D,2,FALSE)</f>
        <v>A</v>
      </c>
      <c r="AB41" s="97" t="str">
        <f>VLOOKUP(B41,Classification!A:D,4,0)</f>
        <v>Proteinase-activated</v>
      </c>
      <c r="AC41" s="50" t="e">
        <f>VLOOKUP(B41,'SegEnds_NonXtal_Prot#'!A:AL,6,FALSE)-VLOOKUP(B41,'SegEnds_NonXtal_Prot#'!A:AL,5,FALSE)</f>
        <v>#VALUE!</v>
      </c>
      <c r="AD41" s="50" t="e">
        <f>VLOOKUP(B41,'SegEnds_NonXtal_Prot#'!A:AL,9,FALSE)-VLOOKUP(B41,'SegEnds_NonXtal_Prot#'!A:AL,8,FALSE)</f>
        <v>#VALUE!</v>
      </c>
      <c r="AE41" s="50">
        <f>VLOOKUP(B41,'SegEnds_NonXtal_Prot#'!A:AL,13,FALSE)-VLOOKUP(B41,'SegEnds_NonXtal_Prot#'!A:AL,10,FALSE)</f>
        <v>20</v>
      </c>
      <c r="AF41" s="50">
        <f>VLOOKUP(B41,'SegEnds_NonXtal_Prot#'!A:AL,12,FALSE)-VLOOKUP(B41,'SegEnds_NonXtal_Prot#'!A:AL,11,FALSE)</f>
        <v>3</v>
      </c>
      <c r="AG41" s="50">
        <f>VLOOKUP(B41,'SegEnds_NonXtal_Prot#'!A:AL,13,FALSE)-VLOOKUP(B41,'SegEnds_NonXtal_Prot#'!A:AL,11,FALSE)</f>
        <v>4</v>
      </c>
      <c r="AH41" s="50">
        <f>VLOOKUP(B41,'SegEnds_NonXtal_Prot#'!A:AL,16,FALSE)-VLOOKUP(B41,'SegEnds_NonXtal_Prot#'!A:AL,10,FALSE)</f>
        <v>52</v>
      </c>
      <c r="AI41" s="50">
        <f>VLOOKUP(B41,'SegEnds_NonXtal_Prot#'!A:AL,16,FALSE)-VLOOKUP(B41,'SegEnds_NonXtal_Prot#'!A:AL,11,FALSE)</f>
        <v>36</v>
      </c>
      <c r="AJ41" s="50">
        <f>VLOOKUP(B41,'SegEnds_NonXtal_Prot#'!A:AL,22,FALSE)-VLOOKUP(B41,'SegEnds_NonXtal_Prot#'!A:AL,19,FALSE)</f>
        <v>19</v>
      </c>
      <c r="AK41" s="50">
        <f>VLOOKUP(B41,'SegEnds_NonXtal_Prot#'!A:AL,15,FALSE)-VLOOKUP(B41,'SegEnds_NonXtal_Prot#'!A:AL,14,FALSE)</f>
        <v>1</v>
      </c>
      <c r="AL41" s="50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39</v>
      </c>
      <c r="AN41" s="38"/>
    </row>
    <row r="42" spans="1:64" s="2" customFormat="1" x14ac:dyDescent="0.2">
      <c r="A42" s="2" t="s">
        <v>1411</v>
      </c>
      <c r="B42" s="2" t="s">
        <v>401</v>
      </c>
      <c r="C42" s="2">
        <f>IFERROR(50+VLOOKUP($A42,'SegEnds_Xtal_Prot#'!$A:$AY,5,FALSE)-VLOOKUP($B42,'SegEnds_NonXtal_Prot#'!$A:$AL,4,FALSE),"-")</f>
        <v>19</v>
      </c>
      <c r="D42" s="2">
        <f>IFERROR(50+VLOOKUP($A42,'SegEnds_Xtal_Prot#'!$A:$AY,7,FALSE)-VLOOKUP($B42,'SegEnds_NonXtal_Prot#'!$A:$AL,4,FALSE),"-")</f>
        <v>60</v>
      </c>
      <c r="E42" s="2">
        <f>IFERROR(50+VLOOKUP($A42,'SegEnds_Xtal_Prot#'!$A:$AY,9,FALSE)-VLOOKUP($B42,'SegEnds_NonXtal_Prot#'!$A:$AL,7,FALSE),"-")</f>
        <v>48</v>
      </c>
      <c r="F42" s="2">
        <f>IFERROR(50+VLOOKUP($A42,'SegEnds_Xtal_Prot#'!$A:$AY,11,FALSE)-VLOOKUP($B42,'SegEnds_NonXtal_Prot#'!$A:$AL,7,FALSE),"-")</f>
        <v>51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64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21</v>
      </c>
      <c r="L42" s="2">
        <f>IFERROR(50+VLOOKUP($A42,'SegEnds_Xtal_Prot#'!$A:$AY,23,FALSE)-VLOOKUP($B42,'SegEnds_NonXtal_Prot#'!$A:$AL,16,FALSE),"-")</f>
        <v>56</v>
      </c>
      <c r="M42" s="2" t="str">
        <f>IFERROR(50+VLOOKUP($A42,'SegEnds_Xtal_Prot#'!$A:$AY,25,FALSE)-VLOOKUP($B42,'SegEnds_NonXtal_Prot#'!$A:$AL,19,FALSE),"-")</f>
        <v>-</v>
      </c>
      <c r="N42" s="2" t="str">
        <f>IFERROR(50+VLOOKUP($A42,'SegEnds_Xtal_Prot#'!$A:$AY,27,FALSE)-VLOOKUP($B42,'SegEnds_NonXtal_Prot#'!$A:$AL,19,FALSE),"-")</f>
        <v>-</v>
      </c>
      <c r="O42" s="2">
        <f>IFERROR(50+VLOOKUP($A42,'SegEnds_Xtal_Prot#'!$A:$AY,29,FALSE)-VLOOKUP($B42,'SegEnds_NonXtal_Prot#'!$A:$AL,22,FALSE),"-")</f>
        <v>41</v>
      </c>
      <c r="P42" s="2">
        <f>IFERROR(50+VLOOKUP($A42,'SegEnds_Xtal_Prot#'!$A:$AY,31,FALSE)-VLOOKUP($B42,'SegEnds_NonXtal_Prot#'!$A:$AL,22,FALSE),"-")</f>
        <v>68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40</v>
      </c>
      <c r="T42" s="2">
        <f>IFERROR(50+VLOOKUP($A42,'SegEnds_Xtal_Prot#'!$A:$AY,39,FALSE)-VLOOKUP($B42,'SegEnds_NonXtal_Prot#'!$A:$AL,28,FALSE),"-")</f>
        <v>70</v>
      </c>
      <c r="U42" s="2">
        <f>IFERROR(50+VLOOKUP($A42,'SegEnds_Xtal_Prot#'!$A:$AY,41,FALSE)-VLOOKUP($B42,'SegEnds_NonXtal_Prot#'!$A:$AL,31,FALSE),"-")</f>
        <v>30</v>
      </c>
      <c r="V42" s="2">
        <f>IFERROR(50+VLOOKUP($A42,'SegEnds_Xtal_Prot#'!$A:$AY,43,FALSE)-VLOOKUP($B42,'SegEnds_NonXtal_Prot#'!$A:$AL,31,FALSE),"-")</f>
        <v>53</v>
      </c>
      <c r="W42" s="2">
        <f>IFERROR(50+VLOOKUP($A42,'SegEnds_Xtal_Prot#'!$A:$AY,45,FALSE)-VLOOKUP($B42,'SegEnds_NonXtal_Prot#'!$A:$AL,34,FALSE),"-")</f>
        <v>28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72</v>
      </c>
      <c r="AA42" s="50" t="str">
        <f>VLOOKUP(B42,Classification!A:D,2,FALSE)</f>
        <v>B1</v>
      </c>
      <c r="AB42" s="97" t="str">
        <f>VLOOKUP(B42,Classification!A:D,4,0)</f>
        <v>Calcitonin</v>
      </c>
      <c r="AC42" s="50">
        <f>VLOOKUP(B42,'SegEnds_NonXtal_Prot#'!A:AL,6,FALSE)-VLOOKUP(B42,'SegEnds_NonXtal_Prot#'!A:AL,5,FALSE)</f>
        <v>1</v>
      </c>
      <c r="AD42" s="50">
        <f>VLOOKUP(B42,'SegEnds_NonXtal_Prot#'!A:AL,9,FALSE)-VLOOKUP(B42,'SegEnds_NonXtal_Prot#'!A:AL,8,FALSE)</f>
        <v>1</v>
      </c>
      <c r="AE42" s="50" t="e">
        <f>VLOOKUP(B42,'SegEnds_NonXtal_Prot#'!A:AL,13,FALSE)-VLOOKUP(B42,'SegEnds_NonXtal_Prot#'!A:AL,10,FALSE)</f>
        <v>#VALUE!</v>
      </c>
      <c r="AF42" s="50" t="e">
        <f>VLOOKUP(B42,'SegEnds_NonXtal_Prot#'!A:AL,12,FALSE)-VLOOKUP(B42,'SegEnds_NonXtal_Prot#'!A:AL,11,FALSE)</f>
        <v>#VALUE!</v>
      </c>
      <c r="AG42" s="50" t="e">
        <f>VLOOKUP(B42,'SegEnds_NonXtal_Prot#'!A:AL,13,FALSE)-VLOOKUP(B42,'SegEnds_NonXtal_Prot#'!A:AL,11,FALSE)</f>
        <v>#VALUE!</v>
      </c>
      <c r="AH42" s="50">
        <f>VLOOKUP(B42,'SegEnds_NonXtal_Prot#'!A:AL,16,FALSE)-VLOOKUP(B42,'SegEnds_NonXtal_Prot#'!A:AL,10,FALSE)</f>
        <v>53</v>
      </c>
      <c r="AI42" s="50">
        <f>VLOOKUP(B42,'SegEnds_NonXtal_Prot#'!A:AL,16,FALSE)-VLOOKUP(B42,'SegEnds_NonXtal_Prot#'!A:AL,11,FALSE)</f>
        <v>39</v>
      </c>
      <c r="AJ42" s="50" t="e">
        <f>VLOOKUP(B42,'SegEnds_NonXtal_Prot#'!A:AL,22,FALSE)-VLOOKUP(B42,'SegEnds_NonXtal_Prot#'!A:AL,19,FALSE)</f>
        <v>#VALUE!</v>
      </c>
      <c r="AK42" s="50" t="e">
        <f>VLOOKUP(B42,'SegEnds_NonXtal_Prot#'!A:AL,15,FALSE)-VLOOKUP(B42,'SegEnds_NonXtal_Prot#'!A:AL,14,FALSE)</f>
        <v>#VALUE!</v>
      </c>
      <c r="AL42" s="50" t="e">
        <f>VLOOKUP(B42,'SegEnds_NonXtal_Prot#'!A:AL,18,FALSE)-VLOOKUP(B42,'SegEnds_NonXtal_Prot#'!A:AL,17,FALSE)</f>
        <v>#VALUE!</v>
      </c>
      <c r="AM42" s="2">
        <f>VLOOKUP(B42,'SegEnds_NonXtal_Prot#'!A:AL,34,FALSE)-VLOOKUP(B42,'SegEnds_NonXtal_Prot#'!A:AL,31,FALSE)</f>
        <v>30</v>
      </c>
      <c r="AN42" s="38"/>
    </row>
    <row r="43" spans="1:64" s="2" customFormat="1" x14ac:dyDescent="0.2">
      <c r="A43" s="2" t="s">
        <v>1255</v>
      </c>
      <c r="B43" s="2" t="s">
        <v>38</v>
      </c>
      <c r="C43" s="2">
        <f>IFERROR(50+VLOOKUP($A43,'SegEnds_Xtal_Prot#'!$A:$AY,5,FALSE)-VLOOKUP($B43,'SegEnds_NonXtal_Prot#'!$A:$AL,4,FALSE),"-")</f>
        <v>19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63</v>
      </c>
      <c r="I43" s="2" t="str">
        <f>IFERROR(50+VLOOKUP($A43,'SegEnds_Xtal_Prot#'!$A:$AY,17,FALSE)-VLOOKUP($B43,'SegEnds_NonXtal_Prot#'!$A:$AL,13,FALSE),"-")</f>
        <v>-</v>
      </c>
      <c r="J43" s="2" t="str">
        <f>IFERROR(50+VLOOKUP($A43,'SegEnds_Xtal_Prot#'!$A:$AY,19,FALSE)-VLOOKUP($B43,'SegEnds_NonXtal_Prot#'!$A:$AL,13,FALSE),"-")</f>
        <v>-</v>
      </c>
      <c r="K43" s="2">
        <f>IFERROR(50+VLOOKUP($A43,'SegEnds_Xtal_Prot#'!$A:$AY,21,FALSE)-VLOOKUP($B43,'SegEnds_NonXtal_Prot#'!$A:$AL,16,FALSE),"-")</f>
        <v>22</v>
      </c>
      <c r="L43" s="2">
        <f>IFERROR(50+VLOOKUP($A43,'SegEnds_Xtal_Prot#'!$A:$AY,23,FALSE)-VLOOKUP($B43,'SegEnds_NonXtal_Prot#'!$A:$AL,16,FALSE),"-")</f>
        <v>56</v>
      </c>
      <c r="M43" s="2" t="str">
        <f>IFERROR(50+VLOOKUP($A43,'SegEnds_Xtal_Prot#'!$A:$AY,25,FALSE)-VLOOKUP($B43,'SegEnds_NonXtal_Prot#'!$A:$AL,19,FALSE),"-")</f>
        <v>-</v>
      </c>
      <c r="N43" s="2" t="str">
        <f>IFERROR(50+VLOOKUP($A43,'SegEnds_Xtal_Prot#'!$A:$AY,27,FALSE)-VLOOKUP($B43,'SegEnds_NonXtal_Prot#'!$A:$AL,19,FALSE),"-")</f>
        <v>-</v>
      </c>
      <c r="O43" s="2">
        <f>IFERROR(50+VLOOKUP($A43,'SegEnds_Xtal_Prot#'!$A:$AY,29,FALSE)-VLOOKUP($B43,'SegEnds_NonXtal_Prot#'!$A:$AL,22,FALSE),"-")</f>
        <v>40</v>
      </c>
      <c r="P43" s="2">
        <f>IFERROR(50+VLOOKUP($A43,'SegEnds_Xtal_Prot#'!$A:$AY,31,FALSE)-VLOOKUP($B43,'SegEnds_NonXtal_Prot#'!$A:$AL,22,FALSE),"-")</f>
        <v>68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39</v>
      </c>
      <c r="T43" s="2">
        <f>IFERROR(50+VLOOKUP($A43,'SegEnds_Xtal_Prot#'!$A:$AY,39,FALSE)-VLOOKUP($B43,'SegEnds_NonXtal_Prot#'!$A:$AL,28,FALSE),"-")</f>
        <v>69</v>
      </c>
      <c r="U43" s="2">
        <f>IFERROR(50+VLOOKUP($A43,'SegEnds_Xtal_Prot#'!$A:$AY,41,FALSE)-VLOOKUP($B43,'SegEnds_NonXtal_Prot#'!$A:$AL,31,FALSE),"-")</f>
        <v>25</v>
      </c>
      <c r="V43" s="2">
        <f>IFERROR(50+VLOOKUP($A43,'SegEnds_Xtal_Prot#'!$A:$AY,43,FALSE)-VLOOKUP($B43,'SegEnds_NonXtal_Prot#'!$A:$AL,31,FALSE),"-")</f>
        <v>53</v>
      </c>
      <c r="W43" s="2">
        <f>IFERROR(50+VLOOKUP($A43,'SegEnds_Xtal_Prot#'!$A:$AY,45,FALSE)-VLOOKUP($B43,'SegEnds_NonXtal_Prot#'!$A:$AL,34,FALSE),"-")</f>
        <v>29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72</v>
      </c>
      <c r="AA43" s="50" t="str">
        <f>VLOOKUP(B43,Classification!A:D,2,FALSE)</f>
        <v>B1</v>
      </c>
      <c r="AB43" s="97" t="str">
        <f>VLOOKUP(B43,Classification!A:D,4,0)</f>
        <v>Corticotropin-releasingfact</v>
      </c>
      <c r="AC43" s="50">
        <f>VLOOKUP(B43,'SegEnds_NonXtal_Prot#'!A:AL,6,FALSE)-VLOOKUP(B43,'SegEnds_NonXtal_Prot#'!A:AL,5,FALSE)</f>
        <v>1</v>
      </c>
      <c r="AD43" s="50">
        <f>VLOOKUP(B43,'SegEnds_NonXtal_Prot#'!A:AL,9,FALSE)-VLOOKUP(B43,'SegEnds_NonXtal_Prot#'!A:AL,8,FALSE)</f>
        <v>1</v>
      </c>
      <c r="AE43" s="50" t="e">
        <f>VLOOKUP(B43,'SegEnds_NonXtal_Prot#'!A:AL,13,FALSE)-VLOOKUP(B43,'SegEnds_NonXtal_Prot#'!A:AL,10,FALSE)</f>
        <v>#VALUE!</v>
      </c>
      <c r="AF43" s="50" t="e">
        <f>VLOOKUP(B43,'SegEnds_NonXtal_Prot#'!A:AL,12,FALSE)-VLOOKUP(B43,'SegEnds_NonXtal_Prot#'!A:AL,11,FALSE)</f>
        <v>#VALUE!</v>
      </c>
      <c r="AG43" s="50" t="e">
        <f>VLOOKUP(B43,'SegEnds_NonXtal_Prot#'!A:AL,13,FALSE)-VLOOKUP(B43,'SegEnds_NonXtal_Prot#'!A:AL,11,FALSE)</f>
        <v>#VALUE!</v>
      </c>
      <c r="AH43" s="50">
        <f>VLOOKUP(B43,'SegEnds_NonXtal_Prot#'!A:AL,16,FALSE)-VLOOKUP(B43,'SegEnds_NonXtal_Prot#'!A:AL,10,FALSE)</f>
        <v>51</v>
      </c>
      <c r="AI43" s="50">
        <f>VLOOKUP(B43,'SegEnds_NonXtal_Prot#'!A:AL,16,FALSE)-VLOOKUP(B43,'SegEnds_NonXtal_Prot#'!A:AL,11,FALSE)</f>
        <v>38</v>
      </c>
      <c r="AJ43" s="50" t="e">
        <f>VLOOKUP(B43,'SegEnds_NonXtal_Prot#'!A:AL,22,FALSE)-VLOOKUP(B43,'SegEnds_NonXtal_Prot#'!A:AL,19,FALSE)</f>
        <v>#VALUE!</v>
      </c>
      <c r="AK43" s="50" t="e">
        <f>VLOOKUP(B43,'SegEnds_NonXtal_Prot#'!A:AL,15,FALSE)-VLOOKUP(B43,'SegEnds_NonXtal_Prot#'!A:AL,14,FALSE)</f>
        <v>#VALUE!</v>
      </c>
      <c r="AL43" s="50" t="e">
        <f>VLOOKUP(B43,'SegEnds_NonXtal_Prot#'!A:AL,18,FALSE)-VLOOKUP(B43,'SegEnds_NonXtal_Prot#'!A:AL,17,FALSE)</f>
        <v>#VALUE!</v>
      </c>
      <c r="AM43" s="2">
        <f>VLOOKUP(B43,'SegEnds_NonXtal_Prot#'!A:AL,34,FALSE)-VLOOKUP(B43,'SegEnds_NonXtal_Prot#'!A:AL,31,FALSE)</f>
        <v>31</v>
      </c>
      <c r="AN43" s="40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</row>
    <row r="44" spans="1:64" s="2" customFormat="1" x14ac:dyDescent="0.2">
      <c r="A44" s="2" t="s">
        <v>1259</v>
      </c>
      <c r="B44" s="2" t="s">
        <v>32</v>
      </c>
      <c r="C44" s="2">
        <f>IFERROR(50+VLOOKUP($A44,'SegEnds_Xtal_Prot#'!$A:$AY,5,FALSE)-VLOOKUP($B44,'SegEnds_NonXtal_Prot#'!$A:$AL,4,FALSE),"-")</f>
        <v>25</v>
      </c>
      <c r="D44" s="2">
        <f>IFERROR(50+VLOOKUP($A44,'SegEnds_Xtal_Prot#'!$A:$AY,7,FALSE)-VLOOKUP($B44,'SegEnds_NonXtal_Prot#'!$A:$AL,4,FALSE),"-")</f>
        <v>60</v>
      </c>
      <c r="E44" s="2">
        <f>IFERROR(50+VLOOKUP($A44,'SegEnds_Xtal_Prot#'!$A:$AY,9,FALSE)-VLOOKUP($B44,'SegEnds_NonXtal_Prot#'!$A:$AL,7,FALSE),"-")</f>
        <v>48</v>
      </c>
      <c r="F44" s="2">
        <f>IFERROR(50+VLOOKUP($A44,'SegEnds_Xtal_Prot#'!$A:$AY,11,FALSE)-VLOOKUP($B44,'SegEnds_NonXtal_Prot#'!$A:$AL,7,FALSE),"-")</f>
        <v>51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67</v>
      </c>
      <c r="I44" s="2" t="str">
        <f>IFERROR(50+VLOOKUP($A44,'SegEnds_Xtal_Prot#'!$A:$AY,17,FALSE)-VLOOKUP($B44,'SegEnds_NonXtal_Prot#'!$A:$AL,13,FALSE),"-")</f>
        <v>-</v>
      </c>
      <c r="J44" s="2" t="str">
        <f>IFERROR(50+VLOOKUP($A44,'SegEnds_Xtal_Prot#'!$A:$AY,19,FALSE)-VLOOKUP($B44,'SegEnds_NonXtal_Prot#'!$A:$AL,13,FALSE),"-")</f>
        <v>-</v>
      </c>
      <c r="K44" s="2">
        <f>IFERROR(50+VLOOKUP($A44,'SegEnds_Xtal_Prot#'!$A:$AY,21,FALSE)-VLOOKUP($B44,'SegEnds_NonXtal_Prot#'!$A:$AL,16,FALSE),"-")</f>
        <v>18</v>
      </c>
      <c r="L44" s="2">
        <f>IFERROR(50+VLOOKUP($A44,'SegEnds_Xtal_Prot#'!$A:$AY,23,FALSE)-VLOOKUP($B44,'SegEnds_NonXtal_Prot#'!$A:$AL,16,FALSE),"-")</f>
        <v>56</v>
      </c>
      <c r="M44" s="2" t="str">
        <f>IFERROR(50+VLOOKUP($A44,'SegEnds_Xtal_Prot#'!$A:$AY,25,FALSE)-VLOOKUP($B44,'SegEnds_NonXtal_Prot#'!$A:$AL,19,FALSE),"-")</f>
        <v>-</v>
      </c>
      <c r="N44" s="2" t="str">
        <f>IFERROR(50+VLOOKUP($A44,'SegEnds_Xtal_Prot#'!$A:$AY,27,FALSE)-VLOOKUP($B44,'SegEnds_NonXtal_Prot#'!$A:$AL,19,FALSE),"-")</f>
        <v>-</v>
      </c>
      <c r="O44" s="2">
        <f>IFERROR(50+VLOOKUP($A44,'SegEnds_Xtal_Prot#'!$A:$AY,29,FALSE)-VLOOKUP($B44,'SegEnds_NonXtal_Prot#'!$A:$AL,22,FALSE),"-")</f>
        <v>40</v>
      </c>
      <c r="P44" s="2">
        <f>IFERROR(50+VLOOKUP($A44,'SegEnds_Xtal_Prot#'!$A:$AY,31,FALSE)-VLOOKUP($B44,'SegEnds_NonXtal_Prot#'!$A:$AL,22,FALSE),"-")</f>
        <v>68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36</v>
      </c>
      <c r="T44" s="2">
        <f>IFERROR(50+VLOOKUP($A44,'SegEnds_Xtal_Prot#'!$A:$AY,39,FALSE)-VLOOKUP($B44,'SegEnds_NonXtal_Prot#'!$A:$AL,28,FALSE),"-")</f>
        <v>71</v>
      </c>
      <c r="U44" s="2">
        <f>IFERROR(50+VLOOKUP($A44,'SegEnds_Xtal_Prot#'!$A:$AY,41,FALSE)-VLOOKUP($B44,'SegEnds_NonXtal_Prot#'!$A:$AL,31,FALSE),"-")</f>
        <v>29</v>
      </c>
      <c r="V44" s="2">
        <f>IFERROR(50+VLOOKUP($A44,'SegEnds_Xtal_Prot#'!$A:$AY,43,FALSE)-VLOOKUP($B44,'SegEnds_NonXtal_Prot#'!$A:$AL,31,FALSE),"-")</f>
        <v>53</v>
      </c>
      <c r="W44" s="2">
        <f>IFERROR(50+VLOOKUP($A44,'SegEnds_Xtal_Prot#'!$A:$AY,45,FALSE)-VLOOKUP($B44,'SegEnds_NonXtal_Prot#'!$A:$AL,34,FALSE),"-")</f>
        <v>27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72</v>
      </c>
      <c r="AA44" s="50" t="str">
        <f>VLOOKUP(B44,Classification!A:D,2,FALSE)</f>
        <v>B1</v>
      </c>
      <c r="AB44" s="97" t="str">
        <f>VLOOKUP(B44,Classification!A:D,4,0)</f>
        <v>Glucagonreceptorfamily</v>
      </c>
      <c r="AC44" s="50">
        <f>VLOOKUP(B44,'SegEnds_NonXtal_Prot#'!A:AL,6,FALSE)-VLOOKUP(B44,'SegEnds_NonXtal_Prot#'!A:AL,5,FALSE)</f>
        <v>1</v>
      </c>
      <c r="AD44" s="50">
        <f>VLOOKUP(B44,'SegEnds_NonXtal_Prot#'!A:AL,9,FALSE)-VLOOKUP(B44,'SegEnds_NonXtal_Prot#'!A:AL,8,FALSE)</f>
        <v>1</v>
      </c>
      <c r="AE44" s="50" t="e">
        <f>VLOOKUP(B44,'SegEnds_NonXtal_Prot#'!A:AL,13,FALSE)-VLOOKUP(B44,'SegEnds_NonXtal_Prot#'!A:AL,10,FALSE)</f>
        <v>#VALUE!</v>
      </c>
      <c r="AF44" s="50" t="e">
        <f>VLOOKUP(B44,'SegEnds_NonXtal_Prot#'!A:AL,12,FALSE)-VLOOKUP(B44,'SegEnds_NonXtal_Prot#'!A:AL,11,FALSE)</f>
        <v>#VALUE!</v>
      </c>
      <c r="AG44" s="50" t="e">
        <f>VLOOKUP(B44,'SegEnds_NonXtal_Prot#'!A:AL,13,FALSE)-VLOOKUP(B44,'SegEnds_NonXtal_Prot#'!A:AL,11,FALSE)</f>
        <v>#VALUE!</v>
      </c>
      <c r="AH44" s="50">
        <f>VLOOKUP(B44,'SegEnds_NonXtal_Prot#'!A:AL,16,FALSE)-VLOOKUP(B44,'SegEnds_NonXtal_Prot#'!A:AL,10,FALSE)</f>
        <v>65</v>
      </c>
      <c r="AI44" s="50">
        <f>VLOOKUP(B44,'SegEnds_NonXtal_Prot#'!A:AL,16,FALSE)-VLOOKUP(B44,'SegEnds_NonXtal_Prot#'!A:AL,11,FALSE)</f>
        <v>48</v>
      </c>
      <c r="AJ44" s="50" t="e">
        <f>VLOOKUP(B44,'SegEnds_NonXtal_Prot#'!A:AL,22,FALSE)-VLOOKUP(B44,'SegEnds_NonXtal_Prot#'!A:AL,19,FALSE)</f>
        <v>#VALUE!</v>
      </c>
      <c r="AK44" s="50" t="e">
        <f>VLOOKUP(B44,'SegEnds_NonXtal_Prot#'!A:AL,15,FALSE)-VLOOKUP(B44,'SegEnds_NonXtal_Prot#'!A:AL,14,FALSE)</f>
        <v>#VALUE!</v>
      </c>
      <c r="AL44" s="50" t="e">
        <f>VLOOKUP(B44,'SegEnds_NonXtal_Prot#'!A:AL,18,FALSE)-VLOOKUP(B44,'SegEnds_NonXtal_Prot#'!A:AL,17,FALSE)</f>
        <v>#VALUE!</v>
      </c>
      <c r="AM44" s="2">
        <f>VLOOKUP(B44,'SegEnds_NonXtal_Prot#'!A:AL,34,FALSE)-VLOOKUP(B44,'SegEnds_NonXtal_Prot#'!A:AL,31,FALSE)</f>
        <v>33</v>
      </c>
      <c r="AN44" s="38"/>
    </row>
    <row r="45" spans="1:64" s="2" customFormat="1" x14ac:dyDescent="0.2">
      <c r="A45" s="2" t="s">
        <v>1417</v>
      </c>
      <c r="B45" s="2" t="s">
        <v>406</v>
      </c>
      <c r="C45" s="2">
        <f>IFERROR(50+VLOOKUP($A45,'SegEnds_Xtal_Prot#'!$A:$AY,5,FALSE)-VLOOKUP($B45,'SegEnds_NonXtal_Prot#'!$A:$AL,4,FALSE),"-")</f>
        <v>29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69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38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36</v>
      </c>
      <c r="T45" s="2">
        <f>IFERROR(50+VLOOKUP($A45,'SegEnds_Xtal_Prot#'!$A:$AY,39,FALSE)-VLOOKUP($B45,'SegEnds_NonXtal_Prot#'!$A:$AL,28,FALSE),"-")</f>
        <v>71</v>
      </c>
      <c r="U45" s="2">
        <f>IFERROR(50+VLOOKUP($A45,'SegEnds_Xtal_Prot#'!$A:$AY,41,FALSE)-VLOOKUP($B45,'SegEnds_NonXtal_Prot#'!$A:$AL,31,FALSE),"-")</f>
        <v>28</v>
      </c>
      <c r="V45" s="2">
        <f>IFERROR(50+VLOOKUP($A45,'SegEnds_Xtal_Prot#'!$A:$AY,43,FALSE)-VLOOKUP($B45,'SegEnds_NonXtal_Prot#'!$A:$AL,31,FALSE),"-")</f>
        <v>58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50" t="str">
        <f>VLOOKUP(B45,Classification!A:D,2,FALSE)</f>
        <v>B1</v>
      </c>
      <c r="AB45" s="97" t="str">
        <f>VLOOKUP(B45,Classification!A:D,4,0)</f>
        <v>Glucagonreceptorfamily</v>
      </c>
      <c r="AC45" s="50">
        <f>VLOOKUP(B45,'SegEnds_NonXtal_Prot#'!A:AL,6,FALSE)-VLOOKUP(B45,'SegEnds_NonXtal_Prot#'!A:AL,5,FALSE)</f>
        <v>1</v>
      </c>
      <c r="AD45" s="50">
        <f>VLOOKUP(B45,'SegEnds_NonXtal_Prot#'!A:AL,9,FALSE)-VLOOKUP(B45,'SegEnds_NonXtal_Prot#'!A:AL,8,FALSE)</f>
        <v>1</v>
      </c>
      <c r="AE45" s="50" t="e">
        <f>VLOOKUP(B45,'SegEnds_NonXtal_Prot#'!A:AL,13,FALSE)-VLOOKUP(B45,'SegEnds_NonXtal_Prot#'!A:AL,10,FALSE)</f>
        <v>#VALUE!</v>
      </c>
      <c r="AF45" s="50" t="e">
        <f>VLOOKUP(B45,'SegEnds_NonXtal_Prot#'!A:AL,12,FALSE)-VLOOKUP(B45,'SegEnds_NonXtal_Prot#'!A:AL,11,FALSE)</f>
        <v>#VALUE!</v>
      </c>
      <c r="AG45" s="50" t="e">
        <f>VLOOKUP(B45,'SegEnds_NonXtal_Prot#'!A:AL,13,FALSE)-VLOOKUP(B45,'SegEnds_NonXtal_Prot#'!A:AL,11,FALSE)</f>
        <v>#VALUE!</v>
      </c>
      <c r="AH45" s="50">
        <f>VLOOKUP(B45,'SegEnds_NonXtal_Prot#'!A:AL,16,FALSE)-VLOOKUP(B45,'SegEnds_NonXtal_Prot#'!A:AL,10,FALSE)</f>
        <v>64</v>
      </c>
      <c r="AI45" s="50">
        <f>VLOOKUP(B45,'SegEnds_NonXtal_Prot#'!A:AL,16,FALSE)-VLOOKUP(B45,'SegEnds_NonXtal_Prot#'!A:AL,11,FALSE)</f>
        <v>50</v>
      </c>
      <c r="AJ45" s="50" t="e">
        <f>VLOOKUP(B45,'SegEnds_NonXtal_Prot#'!A:AL,22,FALSE)-VLOOKUP(B45,'SegEnds_NonXtal_Prot#'!A:AL,19,FALSE)</f>
        <v>#VALUE!</v>
      </c>
      <c r="AK45" s="50" t="e">
        <f>VLOOKUP(B45,'SegEnds_NonXtal_Prot#'!A:AL,15,FALSE)-VLOOKUP(B45,'SegEnds_NonXtal_Prot#'!A:AL,14,FALSE)</f>
        <v>#VALUE!</v>
      </c>
      <c r="AL45" s="50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33</v>
      </c>
      <c r="AN45" s="38"/>
    </row>
    <row r="46" spans="1:64" s="2" customFormat="1" x14ac:dyDescent="0.2">
      <c r="A46" s="2" t="s">
        <v>1431</v>
      </c>
      <c r="B46" s="2" t="s">
        <v>1430</v>
      </c>
      <c r="C46" s="2">
        <f>IFERROR(50+VLOOKUP($A46,'SegEnds_Xtal_Prot#'!$A:$AY,5,FALSE)-VLOOKUP($B46,'SegEnds_NonXtal_Prot#'!$A:$AL,4,FALSE),"-")</f>
        <v>28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74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23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37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71</v>
      </c>
      <c r="U46" s="2">
        <f>IFERROR(50+VLOOKUP($A46,'SegEnds_Xtal_Prot#'!$A:$AY,41,FALSE)-VLOOKUP($B46,'SegEnds_NonXtal_Prot#'!$A:$AL,31,FALSE),"-")</f>
        <v>30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30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50" t="str">
        <f>VLOOKUP(B46,Classification!A:D,2,FALSE)</f>
        <v>B1</v>
      </c>
      <c r="AB46" s="97" t="str">
        <f>VLOOKUP(B46,Classification!A:D,4,0)</f>
        <v>Glucagonreceptorfamily</v>
      </c>
      <c r="AC46" s="50">
        <f>VLOOKUP(B46,'SegEnds_NonXtal_Prot#'!A:AL,6,FALSE)-VLOOKUP(B46,'SegEnds_NonXtal_Prot#'!A:AL,5,FALSE)</f>
        <v>1</v>
      </c>
      <c r="AD46" s="50">
        <f>VLOOKUP(B46,'SegEnds_NonXtal_Prot#'!A:AL,9,FALSE)-VLOOKUP(B46,'SegEnds_NonXtal_Prot#'!A:AL,8,FALSE)</f>
        <v>1</v>
      </c>
      <c r="AE46" s="50" t="e">
        <f>VLOOKUP(B46,'SegEnds_NonXtal_Prot#'!A:AL,13,FALSE)-VLOOKUP(B46,'SegEnds_NonXtal_Prot#'!A:AL,10,FALSE)</f>
        <v>#VALUE!</v>
      </c>
      <c r="AF46" s="50" t="e">
        <f>VLOOKUP(B46,'SegEnds_NonXtal_Prot#'!A:AL,12,FALSE)-VLOOKUP(B46,'SegEnds_NonXtal_Prot#'!A:AL,11,FALSE)</f>
        <v>#VALUE!</v>
      </c>
      <c r="AG46" s="50" t="e">
        <f>VLOOKUP(B46,'SegEnds_NonXtal_Prot#'!A:AL,13,FALSE)-VLOOKUP(B46,'SegEnds_NonXtal_Prot#'!A:AL,11,FALSE)</f>
        <v>#VALUE!</v>
      </c>
      <c r="AH46" s="50">
        <f>VLOOKUP(B46,'SegEnds_NonXtal_Prot#'!A:AL,16,FALSE)-VLOOKUP(B46,'SegEnds_NonXtal_Prot#'!A:AL,10,FALSE)</f>
        <v>64</v>
      </c>
      <c r="AI46" s="50">
        <f>VLOOKUP(B46,'SegEnds_NonXtal_Prot#'!A:AL,16,FALSE)-VLOOKUP(B46,'SegEnds_NonXtal_Prot#'!A:AL,11,FALSE)</f>
        <v>40</v>
      </c>
      <c r="AJ46" s="50" t="e">
        <f>VLOOKUP(B46,'SegEnds_NonXtal_Prot#'!A:AL,22,FALSE)-VLOOKUP(B46,'SegEnds_NonXtal_Prot#'!A:AL,19,FALSE)</f>
        <v>#VALUE!</v>
      </c>
      <c r="AK46" s="50" t="e">
        <f>VLOOKUP(B46,'SegEnds_NonXtal_Prot#'!A:AL,15,FALSE)-VLOOKUP(B46,'SegEnds_NonXtal_Prot#'!A:AL,14,FALSE)</f>
        <v>#VALUE!</v>
      </c>
      <c r="AL46" s="50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33</v>
      </c>
      <c r="AN46" s="38"/>
    </row>
    <row r="47" spans="1:64" s="2" customFormat="1" x14ac:dyDescent="0.2">
      <c r="A47" s="2" t="s">
        <v>1261</v>
      </c>
      <c r="B47" s="2" t="s">
        <v>41</v>
      </c>
      <c r="C47" s="2">
        <f>IFERROR(50+VLOOKUP($A47,'SegEnds_Xtal_Prot#'!$A:$AY,5,FALSE)-VLOOKUP($B47,'SegEnds_NonXtal_Prot#'!$A:$AL,4,FALSE),"-")</f>
        <v>34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47</v>
      </c>
      <c r="F47" s="2">
        <f>IFERROR(50+VLOOKUP($A47,'SegEnds_Xtal_Prot#'!$A:$AY,11,FALSE)-VLOOKUP($B47,'SegEnds_NonXtal_Prot#'!$A:$AL,7,FALSE),"-")</f>
        <v>53</v>
      </c>
      <c r="G47" s="2">
        <f>IFERROR(50+VLOOKUP($A47,'SegEnds_Xtal_Prot#'!$A:$AY,13,FALSE)-VLOOKUP($B47,'SegEnds_NonXtal_Prot#'!$A:$AL,10,FALSE),"-")</f>
        <v>39</v>
      </c>
      <c r="H47" s="2">
        <f>IFERROR(50+VLOOKUP($A47,'SegEnds_Xtal_Prot#'!$A:$AY,15,FALSE)-VLOOKUP($B47,'SegEnds_NonXtal_Prot#'!$A:$AL,10,FALSE),"-")</f>
        <v>61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22</v>
      </c>
      <c r="L47" s="2">
        <f>IFERROR(50+VLOOKUP($A47,'SegEnds_Xtal_Prot#'!$A:$AY,23,FALSE)-VLOOKUP($B47,'SegEnds_NonXtal_Prot#'!$A:$AL,16,FALSE),"-")</f>
        <v>54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38</v>
      </c>
      <c r="P47" s="2">
        <f>IFERROR(50+VLOOKUP($A47,'SegEnds_Xtal_Prot#'!$A:$AY,31,FALSE)-VLOOKUP($B47,'SegEnds_NonXtal_Prot#'!$A:$AL,22,FALSE),"-")</f>
        <v>64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37</v>
      </c>
      <c r="T47" s="2">
        <f>IFERROR(50+VLOOKUP($A47,'SegEnds_Xtal_Prot#'!$A:$AY,39,FALSE)-VLOOKUP($B47,'SegEnds_NonXtal_Prot#'!$A:$AL,28,FALSE),"-")</f>
        <v>61</v>
      </c>
      <c r="U47" s="2">
        <f>IFERROR(50+VLOOKUP($A47,'SegEnds_Xtal_Prot#'!$A:$AY,41,FALSE)-VLOOKUP($B47,'SegEnds_NonXtal_Prot#'!$A:$AL,31,FALSE),"-")</f>
        <v>33</v>
      </c>
      <c r="V47" s="2">
        <f>IFERROR(50+VLOOKUP($A47,'SegEnds_Xtal_Prot#'!$A:$AY,43,FALSE)-VLOOKUP($B47,'SegEnds_NonXtal_Prot#'!$A:$AL,31,FALSE),"-")</f>
        <v>57</v>
      </c>
      <c r="W47" s="2">
        <f>IFERROR(50+VLOOKUP($A47,'SegEnds_Xtal_Prot#'!$A:$AY,45,FALSE)-VLOOKUP($B47,'SegEnds_NonXtal_Prot#'!$A:$AL,34,FALSE),"-")</f>
        <v>34</v>
      </c>
      <c r="X47" s="2">
        <f>IFERROR(50+VLOOKUP($A47,'SegEnds_Xtal_Prot#'!$A:$AY,47,FALSE)-VLOOKUP($B47,'SegEnds_NonXtal_Prot#'!$A:$AL,34,FALSE),"-")</f>
        <v>63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59</v>
      </c>
      <c r="AA47" s="50" t="str">
        <f>VLOOKUP(B47,Classification!A:D,2,FALSE)</f>
        <v>C</v>
      </c>
      <c r="AB47" s="97" t="str">
        <f>VLOOKUP(B47,Classification!A:D,4,0)</f>
        <v>Metabotropicglutamate</v>
      </c>
      <c r="AC47" s="50">
        <f>VLOOKUP(B47,'SegEnds_NonXtal_Prot#'!A:AL,6,FALSE)-VLOOKUP(B47,'SegEnds_NonXtal_Prot#'!A:AL,5,FALSE)</f>
        <v>3</v>
      </c>
      <c r="AD47" s="50">
        <f>VLOOKUP(B47,'SegEnds_NonXtal_Prot#'!A:AL,9,FALSE)-VLOOKUP(B47,'SegEnds_NonXtal_Prot#'!A:AL,8,FALSE)</f>
        <v>1</v>
      </c>
      <c r="AE47" s="50" t="e">
        <f>VLOOKUP(B47,'SegEnds_NonXtal_Prot#'!A:AL,13,FALSE)-VLOOKUP(B47,'SegEnds_NonXtal_Prot#'!A:AL,10,FALSE)</f>
        <v>#VALUE!</v>
      </c>
      <c r="AF47" s="50" t="e">
        <f>VLOOKUP(B47,'SegEnds_NonXtal_Prot#'!A:AL,12,FALSE)-VLOOKUP(B47,'SegEnds_NonXtal_Prot#'!A:AL,11,FALSE)</f>
        <v>#VALUE!</v>
      </c>
      <c r="AG47" s="50" t="e">
        <f>VLOOKUP(B47,'SegEnds_NonXtal_Prot#'!A:AL,13,FALSE)-VLOOKUP(B47,'SegEnds_NonXtal_Prot#'!A:AL,11,FALSE)</f>
        <v>#VALUE!</v>
      </c>
      <c r="AH47" s="50">
        <f>VLOOKUP(B47,'SegEnds_NonXtal_Prot#'!A:AL,16,FALSE)-VLOOKUP(B47,'SegEnds_NonXtal_Prot#'!A:AL,10,FALSE)</f>
        <v>44</v>
      </c>
      <c r="AI47" s="50">
        <f>VLOOKUP(B47,'SegEnds_NonXtal_Prot#'!A:AL,16,FALSE)-VLOOKUP(B47,'SegEnds_NonXtal_Prot#'!A:AL,11,FALSE)</f>
        <v>33</v>
      </c>
      <c r="AJ47" s="50" t="e">
        <f>VLOOKUP(B47,'SegEnds_NonXtal_Prot#'!A:AL,22,FALSE)-VLOOKUP(B47,'SegEnds_NonXtal_Prot#'!A:AL,19,FALSE)</f>
        <v>#VALUE!</v>
      </c>
      <c r="AK47" s="50" t="e">
        <f>VLOOKUP(B47,'SegEnds_NonXtal_Prot#'!A:AL,15,FALSE)-VLOOKUP(B47,'SegEnds_NonXtal_Prot#'!A:AL,14,FALSE)</f>
        <v>#VALUE!</v>
      </c>
      <c r="AL47" s="50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27</v>
      </c>
      <c r="AN47" s="38"/>
    </row>
    <row r="48" spans="1:64" s="2" customFormat="1" x14ac:dyDescent="0.2">
      <c r="A48" s="2" t="s">
        <v>1260</v>
      </c>
      <c r="B48" s="2" t="s">
        <v>40</v>
      </c>
      <c r="C48" s="2">
        <f>IFERROR(50+VLOOKUP($A48,'SegEnds_Xtal_Prot#'!$A:$AY,5,FALSE)-VLOOKUP($B48,'SegEnds_NonXtal_Prot#'!$A:$AL,4,FALSE),"-")</f>
        <v>34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47</v>
      </c>
      <c r="F48" s="2">
        <f>IFERROR(50+VLOOKUP($A48,'SegEnds_Xtal_Prot#'!$A:$AY,11,FALSE)-VLOOKUP($B48,'SegEnds_NonXtal_Prot#'!$A:$AL,7,FALSE),"-")</f>
        <v>53</v>
      </c>
      <c r="G48" s="2">
        <f>IFERROR(50+VLOOKUP($A48,'SegEnds_Xtal_Prot#'!$A:$AY,13,FALSE)-VLOOKUP($B48,'SegEnds_NonXtal_Prot#'!$A:$AL,10,FALSE),"-")</f>
        <v>39</v>
      </c>
      <c r="H48" s="2">
        <f>IFERROR(50+VLOOKUP($A48,'SegEnds_Xtal_Prot#'!$A:$AY,15,FALSE)-VLOOKUP($B48,'SegEnds_NonXtal_Prot#'!$A:$AL,10,FALSE),"-")</f>
        <v>61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22</v>
      </c>
      <c r="L48" s="2">
        <f>IFERROR(50+VLOOKUP($A48,'SegEnds_Xtal_Prot#'!$A:$AY,23,FALSE)-VLOOKUP($B48,'SegEnds_NonXtal_Prot#'!$A:$AL,16,FALSE),"-")</f>
        <v>54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64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37</v>
      </c>
      <c r="T48" s="2">
        <f>IFERROR(50+VLOOKUP($A48,'SegEnds_Xtal_Prot#'!$A:$AY,39,FALSE)-VLOOKUP($B48,'SegEnds_NonXtal_Prot#'!$A:$AL,28,FALSE),"-")</f>
        <v>61</v>
      </c>
      <c r="U48" s="2">
        <f>IFERROR(50+VLOOKUP($A48,'SegEnds_Xtal_Prot#'!$A:$AY,41,FALSE)-VLOOKUP($B48,'SegEnds_NonXtal_Prot#'!$A:$AL,31,FALSE),"-")</f>
        <v>33</v>
      </c>
      <c r="V48" s="2">
        <f>IFERROR(50+VLOOKUP($A48,'SegEnds_Xtal_Prot#'!$A:$AY,43,FALSE)-VLOOKUP($B48,'SegEnds_NonXtal_Prot#'!$A:$AL,31,FALSE),"-")</f>
        <v>57</v>
      </c>
      <c r="W48" s="2">
        <f>IFERROR(50+VLOOKUP($A48,'SegEnds_Xtal_Prot#'!$A:$AY,45,FALSE)-VLOOKUP($B48,'SegEnds_NonXtal_Prot#'!$A:$AL,34,FALSE),"-")</f>
        <v>34</v>
      </c>
      <c r="X48" s="2">
        <f>IFERROR(50+VLOOKUP($A48,'SegEnds_Xtal_Prot#'!$A:$AY,47,FALSE)-VLOOKUP($B48,'SegEnds_NonXtal_Prot#'!$A:$AL,34,FALSE),"-")</f>
        <v>63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59</v>
      </c>
      <c r="AA48" s="50" t="str">
        <f>VLOOKUP(B48,Classification!A:D,2,FALSE)</f>
        <v>C</v>
      </c>
      <c r="AB48" s="97" t="str">
        <f>VLOOKUP(B48,Classification!A:D,4,0)</f>
        <v>Metabotropicglutamate</v>
      </c>
      <c r="AC48" s="50">
        <f>VLOOKUP(B48,'SegEnds_NonXtal_Prot#'!A:AL,6,FALSE)-VLOOKUP(B48,'SegEnds_NonXtal_Prot#'!A:AL,5,FALSE)</f>
        <v>3</v>
      </c>
      <c r="AD48" s="50">
        <f>VLOOKUP(B48,'SegEnds_NonXtal_Prot#'!A:AL,9,FALSE)-VLOOKUP(B48,'SegEnds_NonXtal_Prot#'!A:AL,8,FALSE)</f>
        <v>1</v>
      </c>
      <c r="AE48" s="50" t="e">
        <f>VLOOKUP(B48,'SegEnds_NonXtal_Prot#'!A:AL,13,FALSE)-VLOOKUP(B48,'SegEnds_NonXtal_Prot#'!A:AL,10,FALSE)</f>
        <v>#VALUE!</v>
      </c>
      <c r="AF48" s="50" t="e">
        <f>VLOOKUP(B48,'SegEnds_NonXtal_Prot#'!A:AL,12,FALSE)-VLOOKUP(B48,'SegEnds_NonXtal_Prot#'!A:AL,11,FALSE)</f>
        <v>#VALUE!</v>
      </c>
      <c r="AG48" s="50" t="e">
        <f>VLOOKUP(B48,'SegEnds_NonXtal_Prot#'!A:AL,13,FALSE)-VLOOKUP(B48,'SegEnds_NonXtal_Prot#'!A:AL,11,FALSE)</f>
        <v>#VALUE!</v>
      </c>
      <c r="AH48" s="50">
        <f>VLOOKUP(B48,'SegEnds_NonXtal_Prot#'!A:AL,16,FALSE)-VLOOKUP(B48,'SegEnds_NonXtal_Prot#'!A:AL,10,FALSE)</f>
        <v>44</v>
      </c>
      <c r="AI48" s="50">
        <f>VLOOKUP(B48,'SegEnds_NonXtal_Prot#'!A:AL,16,FALSE)-VLOOKUP(B48,'SegEnds_NonXtal_Prot#'!A:AL,11,FALSE)</f>
        <v>33</v>
      </c>
      <c r="AJ48" s="50" t="e">
        <f>VLOOKUP(B48,'SegEnds_NonXtal_Prot#'!A:AL,22,FALSE)-VLOOKUP(B48,'SegEnds_NonXtal_Prot#'!A:AL,19,FALSE)</f>
        <v>#VALUE!</v>
      </c>
      <c r="AK48" s="50" t="e">
        <f>VLOOKUP(B48,'SegEnds_NonXtal_Prot#'!A:AL,15,FALSE)-VLOOKUP(B48,'SegEnds_NonXtal_Prot#'!A:AL,14,FALSE)</f>
        <v>#VALUE!</v>
      </c>
      <c r="AL48" s="50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27</v>
      </c>
      <c r="AN48" s="38"/>
    </row>
    <row r="49" spans="1:64" x14ac:dyDescent="0.2">
      <c r="A49" s="2" t="s">
        <v>1279</v>
      </c>
      <c r="B49" s="2" t="s">
        <v>33</v>
      </c>
      <c r="C49" s="2">
        <f>IFERROR(50+VLOOKUP($A49,'SegEnds_Xtal_Prot#'!$A:$AY,5,FALSE)-VLOOKUP($B49,'SegEnds_NonXtal_Prot#'!$A:$AL,4,FALSE),"-")</f>
        <v>29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47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39</v>
      </c>
      <c r="H49" s="2">
        <f>IFERROR(50+VLOOKUP($A49,'SegEnds_Xtal_Prot#'!$A:$AY,15,FALSE)-VLOOKUP($B49,'SegEnds_NonXtal_Prot#'!$A:$AL,10,FALSE),"-")</f>
        <v>63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59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38</v>
      </c>
      <c r="P49" s="2">
        <f>IFERROR(50+VLOOKUP($A49,'SegEnds_Xtal_Prot#'!$A:$AY,31,FALSE)-VLOOKUP($B49,'SegEnds_NonXtal_Prot#'!$A:$AL,22,FALSE),"-")</f>
        <v>63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36</v>
      </c>
      <c r="T49" s="2">
        <f>IFERROR(50+VLOOKUP($A49,'SegEnds_Xtal_Prot#'!$A:$AY,39,FALSE)-VLOOKUP($B49,'SegEnds_NonXtal_Prot#'!$A:$AL,28,FALSE),"-")</f>
        <v>72</v>
      </c>
      <c r="U49" s="2">
        <f>IFERROR(50+VLOOKUP($A49,'SegEnds_Xtal_Prot#'!$A:$AY,41,FALSE)-VLOOKUP($B49,'SegEnds_NonXtal_Prot#'!$A:$AL,31,FALSE),"-")</f>
        <v>24</v>
      </c>
      <c r="V49" s="2">
        <f>IFERROR(50+VLOOKUP($A49,'SegEnds_Xtal_Prot#'!$A:$AY,43,FALSE)-VLOOKUP($B49,'SegEnds_NonXtal_Prot#'!$A:$AL,31,FALSE),"-")</f>
        <v>78</v>
      </c>
      <c r="W49" s="2">
        <f>IFERROR(50+VLOOKUP($A49,'SegEnds_Xtal_Prot#'!$A:$AY,45,FALSE)-VLOOKUP($B49,'SegEnds_NonXtal_Prot#'!$A:$AL,34,FALSE),"-")</f>
        <v>35</v>
      </c>
      <c r="X49" s="2">
        <f>IFERROR(50+VLOOKUP($A49,'SegEnds_Xtal_Prot#'!$A:$AY,47,FALSE)-VLOOKUP($B49,'SegEnds_NonXtal_Prot#'!$A:$AL,34,FALSE),"-")</f>
        <v>57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62</v>
      </c>
      <c r="AA49" s="50" t="str">
        <f>VLOOKUP(B49,Classification!A:D,2,FALSE)</f>
        <v>F</v>
      </c>
      <c r="AB49" s="97" t="str">
        <f>VLOOKUP(B49,Classification!A:D,4,0)</f>
        <v>Frizzled</v>
      </c>
      <c r="AC49" s="50">
        <f>VLOOKUP(B49,'SegEnds_NonXtal_Prot#'!A:AL,6,FALSE)-VLOOKUP(B49,'SegEnds_NonXtal_Prot#'!A:AL,5,FALSE)</f>
        <v>1</v>
      </c>
      <c r="AD49" s="50">
        <f>VLOOKUP(B49,'SegEnds_NonXtal_Prot#'!A:AL,9,FALSE)-VLOOKUP(B49,'SegEnds_NonXtal_Prot#'!A:AL,8,FALSE)</f>
        <v>1</v>
      </c>
      <c r="AE49" s="50" t="e">
        <f>VLOOKUP(B49,'SegEnds_NonXtal_Prot#'!A:AL,13,FALSE)-VLOOKUP(B49,'SegEnds_NonXtal_Prot#'!A:AL,10,FALSE)</f>
        <v>#VALUE!</v>
      </c>
      <c r="AF49" s="50" t="e">
        <f>VLOOKUP(B49,'SegEnds_NonXtal_Prot#'!A:AL,12,FALSE)-VLOOKUP(B49,'SegEnds_NonXtal_Prot#'!A:AL,11,FALSE)</f>
        <v>#VALUE!</v>
      </c>
      <c r="AG49" s="50" t="e">
        <f>VLOOKUP(B49,'SegEnds_NonXtal_Prot#'!A:AL,13,FALSE)-VLOOKUP(B49,'SegEnds_NonXtal_Prot#'!A:AL,11,FALSE)</f>
        <v>#VALUE!</v>
      </c>
      <c r="AH49" s="50">
        <f>VLOOKUP(B49,'SegEnds_NonXtal_Prot#'!A:AL,16,FALSE)-VLOOKUP(B49,'SegEnds_NonXtal_Prot#'!A:AL,10,FALSE)</f>
        <v>67</v>
      </c>
      <c r="AI49" s="50">
        <f>VLOOKUP(B49,'SegEnds_NonXtal_Prot#'!A:AL,16,FALSE)-VLOOKUP(B49,'SegEnds_NonXtal_Prot#'!A:AL,11,FALSE)</f>
        <v>54</v>
      </c>
      <c r="AJ49" s="50" t="e">
        <f>VLOOKUP(B49,'SegEnds_NonXtal_Prot#'!A:AL,22,FALSE)-VLOOKUP(B49,'SegEnds_NonXtal_Prot#'!A:AL,19,FALSE)</f>
        <v>#VALUE!</v>
      </c>
      <c r="AK49" s="50" t="e">
        <f>VLOOKUP(B49,'SegEnds_NonXtal_Prot#'!A:AL,15,FALSE)-VLOOKUP(B49,'SegEnds_NonXtal_Prot#'!A:AL,14,FALSE)</f>
        <v>#VALUE!</v>
      </c>
      <c r="AL49" s="50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62</v>
      </c>
    </row>
    <row r="50" spans="1:64" x14ac:dyDescent="0.2"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50"/>
      <c r="AB50" s="99"/>
      <c r="AC50" s="50"/>
      <c r="AD50" s="50"/>
      <c r="AE50" s="50"/>
      <c r="AF50" s="50"/>
      <c r="AG50" s="50"/>
      <c r="AH50" s="50"/>
      <c r="AI50" s="50"/>
      <c r="AJ50" s="50"/>
      <c r="AK50" s="50"/>
      <c r="AL50" s="50"/>
      <c r="AM50" s="2"/>
    </row>
    <row r="51" spans="1:64" x14ac:dyDescent="0.2"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50"/>
      <c r="AB51" s="99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2"/>
    </row>
    <row r="52" spans="1:64" x14ac:dyDescent="0.2"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50"/>
      <c r="AB52" s="99"/>
      <c r="AC52" s="50"/>
      <c r="AD52" s="50"/>
      <c r="AE52" s="50"/>
      <c r="AF52" s="50"/>
      <c r="AG52" s="50"/>
      <c r="AH52" s="50"/>
      <c r="AI52" s="50"/>
      <c r="AJ52" s="50"/>
      <c r="AK52" s="50"/>
      <c r="AL52" s="50"/>
      <c r="AM52" s="2"/>
    </row>
    <row r="53" spans="1:64" x14ac:dyDescent="0.2">
      <c r="A53" s="4"/>
      <c r="B53" s="4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50"/>
      <c r="AB53" s="99"/>
      <c r="AC53" s="50"/>
      <c r="AD53" s="50"/>
      <c r="AE53" s="50"/>
      <c r="AF53" s="50"/>
      <c r="AG53" s="50"/>
      <c r="AH53" s="50"/>
      <c r="AI53" s="50"/>
      <c r="AJ53" s="50"/>
      <c r="AK53" s="50"/>
      <c r="AL53" s="50"/>
      <c r="AM53" s="2"/>
      <c r="AN53" s="39"/>
      <c r="AO53" s="30" t="s">
        <v>1061</v>
      </c>
      <c r="AP53" s="30" t="s">
        <v>1062</v>
      </c>
      <c r="AQ53" s="30" t="s">
        <v>1078</v>
      </c>
      <c r="AR53" s="30" t="s">
        <v>1079</v>
      </c>
      <c r="AS53" s="30" t="s">
        <v>1063</v>
      </c>
      <c r="AT53" s="30" t="s">
        <v>1064</v>
      </c>
      <c r="AU53" s="30" t="s">
        <v>1080</v>
      </c>
      <c r="AV53" s="30" t="s">
        <v>1081</v>
      </c>
      <c r="AW53" s="30" t="s">
        <v>1065</v>
      </c>
      <c r="AX53" s="30" t="s">
        <v>1066</v>
      </c>
      <c r="AY53" s="30" t="s">
        <v>1093</v>
      </c>
      <c r="AZ53" s="30" t="s">
        <v>1094</v>
      </c>
      <c r="BA53" s="30" t="s">
        <v>1067</v>
      </c>
      <c r="BB53" s="30" t="s">
        <v>1068</v>
      </c>
      <c r="BC53" s="30" t="s">
        <v>1096</v>
      </c>
      <c r="BD53" s="30" t="s">
        <v>1097</v>
      </c>
      <c r="BE53" s="30" t="s">
        <v>1069</v>
      </c>
      <c r="BF53" s="30" t="s">
        <v>1070</v>
      </c>
      <c r="BG53" s="30" t="s">
        <v>1071</v>
      </c>
      <c r="BH53" s="30" t="s">
        <v>1072</v>
      </c>
      <c r="BI53" s="30" t="s">
        <v>1073</v>
      </c>
      <c r="BJ53" s="30" t="s">
        <v>1074</v>
      </c>
      <c r="BK53" s="30" t="s">
        <v>1075</v>
      </c>
      <c r="BL53" s="30" t="s">
        <v>1076</v>
      </c>
    </row>
    <row r="54" spans="1:64" x14ac:dyDescent="0.2"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N54" s="39" t="s">
        <v>1</v>
      </c>
      <c r="AO54" s="4">
        <f t="shared" ref="AO54:BL54" si="0">MAX(C2:C39)</f>
        <v>34</v>
      </c>
      <c r="AP54" s="4">
        <f t="shared" si="0"/>
        <v>64</v>
      </c>
      <c r="AQ54" s="4">
        <f t="shared" si="0"/>
        <v>48</v>
      </c>
      <c r="AR54" s="4">
        <f t="shared" si="0"/>
        <v>52</v>
      </c>
      <c r="AS54" s="4">
        <f t="shared" si="0"/>
        <v>38</v>
      </c>
      <c r="AT54" s="4">
        <f t="shared" si="0"/>
        <v>69</v>
      </c>
      <c r="AU54" s="4">
        <f t="shared" si="0"/>
        <v>50</v>
      </c>
      <c r="AV54" s="4">
        <f t="shared" si="0"/>
        <v>53</v>
      </c>
      <c r="AW54" s="4">
        <f t="shared" si="0"/>
        <v>24</v>
      </c>
      <c r="AX54" s="4">
        <f t="shared" si="0"/>
        <v>56</v>
      </c>
      <c r="AY54" s="4">
        <f t="shared" si="0"/>
        <v>50</v>
      </c>
      <c r="AZ54" s="4">
        <f t="shared" si="0"/>
        <v>58</v>
      </c>
      <c r="BA54" s="4">
        <f t="shared" si="0"/>
        <v>38</v>
      </c>
      <c r="BB54" s="4">
        <f t="shared" si="0"/>
        <v>69</v>
      </c>
      <c r="BC54" s="4">
        <f t="shared" si="0"/>
        <v>50</v>
      </c>
      <c r="BD54" s="4">
        <f t="shared" si="0"/>
        <v>52</v>
      </c>
      <c r="BE54" s="4">
        <f t="shared" si="0"/>
        <v>36</v>
      </c>
      <c r="BF54" s="4">
        <f t="shared" si="0"/>
        <v>77</v>
      </c>
      <c r="BG54" s="4">
        <f t="shared" si="0"/>
        <v>30</v>
      </c>
      <c r="BH54" s="4">
        <f t="shared" si="0"/>
        <v>65</v>
      </c>
      <c r="BI54" s="4">
        <f t="shared" si="0"/>
        <v>32</v>
      </c>
      <c r="BJ54" s="4">
        <f t="shared" si="0"/>
        <v>56</v>
      </c>
      <c r="BK54" s="4">
        <f t="shared" si="0"/>
        <v>47</v>
      </c>
      <c r="BL54" s="4">
        <f t="shared" si="0"/>
        <v>69</v>
      </c>
    </row>
    <row r="55" spans="1:64" x14ac:dyDescent="0.2"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O55" s="4">
        <f t="shared" ref="AO55:BL55" si="1">MIN(C2:C39)</f>
        <v>22</v>
      </c>
      <c r="AP55" s="4">
        <f t="shared" si="1"/>
        <v>60</v>
      </c>
      <c r="AQ55" s="4">
        <f t="shared" si="1"/>
        <v>48</v>
      </c>
      <c r="AR55" s="4">
        <f t="shared" si="1"/>
        <v>51</v>
      </c>
      <c r="AS55" s="4">
        <f t="shared" si="1"/>
        <v>34</v>
      </c>
      <c r="AT55" s="4">
        <f t="shared" si="1"/>
        <v>63</v>
      </c>
      <c r="AU55" s="4">
        <f t="shared" si="1"/>
        <v>47</v>
      </c>
      <c r="AV55" s="4">
        <f t="shared" si="1"/>
        <v>52</v>
      </c>
      <c r="AW55" s="4">
        <f t="shared" si="1"/>
        <v>18</v>
      </c>
      <c r="AX55" s="4">
        <f t="shared" si="1"/>
        <v>56</v>
      </c>
      <c r="AY55" s="4">
        <f t="shared" si="1"/>
        <v>50</v>
      </c>
      <c r="AZ55" s="4">
        <f t="shared" si="1"/>
        <v>53</v>
      </c>
      <c r="BA55" s="4">
        <f t="shared" si="1"/>
        <v>35</v>
      </c>
      <c r="BB55" s="4">
        <f t="shared" si="1"/>
        <v>62</v>
      </c>
      <c r="BC55" s="4">
        <f t="shared" si="1"/>
        <v>50</v>
      </c>
      <c r="BD55" s="4">
        <f t="shared" si="1"/>
        <v>52</v>
      </c>
      <c r="BE55" s="4">
        <f t="shared" si="1"/>
        <v>29</v>
      </c>
      <c r="BF55" s="4">
        <f t="shared" si="1"/>
        <v>67</v>
      </c>
      <c r="BG55" s="4">
        <f t="shared" si="1"/>
        <v>18</v>
      </c>
      <c r="BH55" s="4">
        <f t="shared" si="1"/>
        <v>60</v>
      </c>
      <c r="BI55" s="4">
        <f t="shared" si="1"/>
        <v>24</v>
      </c>
      <c r="BJ55" s="4">
        <f t="shared" si="1"/>
        <v>55</v>
      </c>
      <c r="BK55" s="4">
        <f t="shared" si="1"/>
        <v>47</v>
      </c>
      <c r="BL55" s="4">
        <f t="shared" si="1"/>
        <v>57</v>
      </c>
    </row>
    <row r="56" spans="1:64" x14ac:dyDescent="0.2"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O56" s="4">
        <f t="shared" ref="AO56:BL56" si="2">AO54-AO55</f>
        <v>12</v>
      </c>
      <c r="AP56" s="4">
        <f t="shared" si="2"/>
        <v>4</v>
      </c>
      <c r="AQ56" s="4">
        <f t="shared" si="2"/>
        <v>0</v>
      </c>
      <c r="AR56" s="4">
        <f t="shared" si="2"/>
        <v>1</v>
      </c>
      <c r="AS56" s="4">
        <f t="shared" si="2"/>
        <v>4</v>
      </c>
      <c r="AT56" s="4">
        <f t="shared" si="2"/>
        <v>6</v>
      </c>
      <c r="AU56" s="4">
        <f t="shared" si="2"/>
        <v>3</v>
      </c>
      <c r="AV56" s="4">
        <f t="shared" si="2"/>
        <v>1</v>
      </c>
      <c r="AW56" s="4">
        <f t="shared" si="2"/>
        <v>6</v>
      </c>
      <c r="AX56" s="4">
        <f t="shared" si="2"/>
        <v>0</v>
      </c>
      <c r="AY56" s="4">
        <f t="shared" si="2"/>
        <v>0</v>
      </c>
      <c r="AZ56" s="4">
        <f t="shared" si="2"/>
        <v>5</v>
      </c>
      <c r="BA56" s="4">
        <f t="shared" si="2"/>
        <v>3</v>
      </c>
      <c r="BB56" s="4">
        <f t="shared" si="2"/>
        <v>7</v>
      </c>
      <c r="BC56" s="4">
        <f t="shared" si="2"/>
        <v>0</v>
      </c>
      <c r="BD56" s="4">
        <f t="shared" si="2"/>
        <v>0</v>
      </c>
      <c r="BE56" s="4">
        <f t="shared" si="2"/>
        <v>7</v>
      </c>
      <c r="BF56" s="4">
        <f t="shared" si="2"/>
        <v>10</v>
      </c>
      <c r="BG56" s="4">
        <f t="shared" si="2"/>
        <v>12</v>
      </c>
      <c r="BH56" s="4">
        <f t="shared" si="2"/>
        <v>5</v>
      </c>
      <c r="BI56" s="4">
        <f t="shared" si="2"/>
        <v>8</v>
      </c>
      <c r="BJ56" s="4">
        <f t="shared" si="2"/>
        <v>1</v>
      </c>
      <c r="BK56" s="4">
        <f t="shared" si="2"/>
        <v>0</v>
      </c>
      <c r="BL56" s="4">
        <f t="shared" si="2"/>
        <v>12</v>
      </c>
    </row>
    <row r="57" spans="1:64" x14ac:dyDescent="0.2"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N57" s="39" t="s">
        <v>1287</v>
      </c>
      <c r="AO57" s="4">
        <f t="shared" ref="AO57:BL57" si="3">MAX(C40:C43)</f>
        <v>29</v>
      </c>
      <c r="AP57" s="4">
        <f t="shared" si="3"/>
        <v>60</v>
      </c>
      <c r="AQ57" s="4">
        <f t="shared" si="3"/>
        <v>48</v>
      </c>
      <c r="AR57" s="4">
        <f t="shared" si="3"/>
        <v>51</v>
      </c>
      <c r="AS57" s="4">
        <f t="shared" si="3"/>
        <v>37</v>
      </c>
      <c r="AT57" s="4">
        <f t="shared" si="3"/>
        <v>66</v>
      </c>
      <c r="AU57" s="4">
        <f t="shared" si="3"/>
        <v>49</v>
      </c>
      <c r="AV57" s="4">
        <f t="shared" si="3"/>
        <v>52</v>
      </c>
      <c r="AW57" s="4">
        <f t="shared" si="3"/>
        <v>22</v>
      </c>
      <c r="AX57" s="4">
        <f t="shared" si="3"/>
        <v>56</v>
      </c>
      <c r="AY57" s="4">
        <f t="shared" si="3"/>
        <v>50</v>
      </c>
      <c r="AZ57" s="4">
        <f t="shared" si="3"/>
        <v>57</v>
      </c>
      <c r="BA57" s="4">
        <f t="shared" si="3"/>
        <v>41</v>
      </c>
      <c r="BB57" s="4">
        <f t="shared" si="3"/>
        <v>68</v>
      </c>
      <c r="BC57" s="4">
        <f t="shared" si="3"/>
        <v>50</v>
      </c>
      <c r="BD57" s="4">
        <f t="shared" si="3"/>
        <v>52</v>
      </c>
      <c r="BE57" s="4">
        <f t="shared" si="3"/>
        <v>40</v>
      </c>
      <c r="BF57" s="4">
        <f t="shared" si="3"/>
        <v>70</v>
      </c>
      <c r="BG57" s="4">
        <f t="shared" si="3"/>
        <v>30</v>
      </c>
      <c r="BH57" s="4">
        <f t="shared" si="3"/>
        <v>65</v>
      </c>
      <c r="BI57" s="4">
        <f t="shared" si="3"/>
        <v>31</v>
      </c>
      <c r="BJ57" s="4">
        <f t="shared" si="3"/>
        <v>56</v>
      </c>
      <c r="BK57" s="4">
        <f t="shared" si="3"/>
        <v>47</v>
      </c>
      <c r="BL57" s="4">
        <f t="shared" si="3"/>
        <v>72</v>
      </c>
    </row>
    <row r="58" spans="1:64" x14ac:dyDescent="0.2"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O58" s="4">
        <f t="shared" ref="AO58:BL58" si="4">MIN(C40:C43)</f>
        <v>19</v>
      </c>
      <c r="AP58" s="4">
        <f t="shared" si="4"/>
        <v>60</v>
      </c>
      <c r="AQ58" s="4">
        <f t="shared" si="4"/>
        <v>48</v>
      </c>
      <c r="AR58" s="4">
        <f t="shared" si="4"/>
        <v>51</v>
      </c>
      <c r="AS58" s="4">
        <f t="shared" si="4"/>
        <v>37</v>
      </c>
      <c r="AT58" s="4">
        <f t="shared" si="4"/>
        <v>63</v>
      </c>
      <c r="AU58" s="4">
        <f t="shared" si="4"/>
        <v>47</v>
      </c>
      <c r="AV58" s="4">
        <f t="shared" si="4"/>
        <v>52</v>
      </c>
      <c r="AW58" s="4">
        <f t="shared" si="4"/>
        <v>21</v>
      </c>
      <c r="AX58" s="4">
        <f t="shared" si="4"/>
        <v>56</v>
      </c>
      <c r="AY58" s="4">
        <f t="shared" si="4"/>
        <v>50</v>
      </c>
      <c r="AZ58" s="4">
        <f t="shared" si="4"/>
        <v>56</v>
      </c>
      <c r="BA58" s="4">
        <f t="shared" si="4"/>
        <v>38</v>
      </c>
      <c r="BB58" s="4">
        <f t="shared" si="4"/>
        <v>62</v>
      </c>
      <c r="BC58" s="4">
        <f t="shared" si="4"/>
        <v>50</v>
      </c>
      <c r="BD58" s="4">
        <f t="shared" si="4"/>
        <v>52</v>
      </c>
      <c r="BE58" s="4">
        <f t="shared" si="4"/>
        <v>31</v>
      </c>
      <c r="BF58" s="4">
        <f t="shared" si="4"/>
        <v>67</v>
      </c>
      <c r="BG58" s="4">
        <f t="shared" si="4"/>
        <v>25</v>
      </c>
      <c r="BH58" s="4">
        <f t="shared" si="4"/>
        <v>53</v>
      </c>
      <c r="BI58" s="4">
        <f t="shared" si="4"/>
        <v>28</v>
      </c>
      <c r="BJ58" s="4">
        <f t="shared" si="4"/>
        <v>56</v>
      </c>
      <c r="BK58" s="4">
        <f t="shared" si="4"/>
        <v>47</v>
      </c>
      <c r="BL58" s="4">
        <f t="shared" si="4"/>
        <v>61</v>
      </c>
    </row>
    <row r="59" spans="1:64" x14ac:dyDescent="0.2"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O59" s="4">
        <f t="shared" ref="AO59:BL59" si="5">AO57-AO58</f>
        <v>10</v>
      </c>
      <c r="AP59" s="4">
        <f t="shared" si="5"/>
        <v>0</v>
      </c>
      <c r="AQ59" s="4">
        <f t="shared" si="5"/>
        <v>0</v>
      </c>
      <c r="AR59" s="4">
        <f t="shared" si="5"/>
        <v>0</v>
      </c>
      <c r="AS59" s="4">
        <f t="shared" si="5"/>
        <v>0</v>
      </c>
      <c r="AT59" s="4">
        <f t="shared" si="5"/>
        <v>3</v>
      </c>
      <c r="AU59" s="4">
        <f t="shared" si="5"/>
        <v>2</v>
      </c>
      <c r="AV59" s="4">
        <f t="shared" si="5"/>
        <v>0</v>
      </c>
      <c r="AW59" s="4">
        <f t="shared" si="5"/>
        <v>1</v>
      </c>
      <c r="AX59" s="4">
        <f t="shared" si="5"/>
        <v>0</v>
      </c>
      <c r="AY59" s="4">
        <f t="shared" si="5"/>
        <v>0</v>
      </c>
      <c r="AZ59" s="4">
        <f t="shared" si="5"/>
        <v>1</v>
      </c>
      <c r="BA59" s="4">
        <f t="shared" si="5"/>
        <v>3</v>
      </c>
      <c r="BB59" s="4">
        <f t="shared" si="5"/>
        <v>6</v>
      </c>
      <c r="BC59" s="4">
        <f t="shared" si="5"/>
        <v>0</v>
      </c>
      <c r="BD59" s="4">
        <f t="shared" si="5"/>
        <v>0</v>
      </c>
      <c r="BE59" s="4">
        <f t="shared" si="5"/>
        <v>9</v>
      </c>
      <c r="BF59" s="4">
        <f t="shared" si="5"/>
        <v>3</v>
      </c>
      <c r="BG59" s="4">
        <f t="shared" si="5"/>
        <v>5</v>
      </c>
      <c r="BH59" s="4">
        <f t="shared" si="5"/>
        <v>12</v>
      </c>
      <c r="BI59" s="4">
        <f t="shared" si="5"/>
        <v>3</v>
      </c>
      <c r="BJ59" s="4">
        <f t="shared" si="5"/>
        <v>0</v>
      </c>
      <c r="BK59" s="4">
        <f t="shared" si="5"/>
        <v>0</v>
      </c>
      <c r="BL59" s="4">
        <f t="shared" si="5"/>
        <v>11</v>
      </c>
    </row>
    <row r="60" spans="1:64" x14ac:dyDescent="0.2"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N60" s="39" t="s">
        <v>27</v>
      </c>
      <c r="AO60" s="4">
        <f t="shared" ref="AO60:BL60" si="6">MAX(C44:C47)</f>
        <v>34</v>
      </c>
      <c r="AP60" s="4">
        <f t="shared" si="6"/>
        <v>60</v>
      </c>
      <c r="AQ60" s="4">
        <f t="shared" si="6"/>
        <v>48</v>
      </c>
      <c r="AR60" s="4">
        <f t="shared" si="6"/>
        <v>53</v>
      </c>
      <c r="AS60" s="4">
        <f t="shared" si="6"/>
        <v>39</v>
      </c>
      <c r="AT60" s="4">
        <f t="shared" si="6"/>
        <v>74</v>
      </c>
      <c r="AU60" s="4">
        <f t="shared" si="6"/>
        <v>0</v>
      </c>
      <c r="AV60" s="4">
        <f t="shared" si="6"/>
        <v>0</v>
      </c>
      <c r="AW60" s="4">
        <f t="shared" si="6"/>
        <v>23</v>
      </c>
      <c r="AX60" s="4">
        <f t="shared" si="6"/>
        <v>56</v>
      </c>
      <c r="AY60" s="4">
        <f t="shared" si="6"/>
        <v>0</v>
      </c>
      <c r="AZ60" s="4">
        <f t="shared" si="6"/>
        <v>0</v>
      </c>
      <c r="BA60" s="4">
        <f t="shared" si="6"/>
        <v>40</v>
      </c>
      <c r="BB60" s="4">
        <f t="shared" si="6"/>
        <v>68</v>
      </c>
      <c r="BC60" s="4">
        <f t="shared" si="6"/>
        <v>50</v>
      </c>
      <c r="BD60" s="4">
        <f t="shared" si="6"/>
        <v>52</v>
      </c>
      <c r="BE60" s="4">
        <f t="shared" si="6"/>
        <v>39</v>
      </c>
      <c r="BF60" s="4">
        <f t="shared" si="6"/>
        <v>71</v>
      </c>
      <c r="BG60" s="4">
        <f t="shared" si="6"/>
        <v>33</v>
      </c>
      <c r="BH60" s="4">
        <f t="shared" si="6"/>
        <v>58</v>
      </c>
      <c r="BI60" s="4">
        <f t="shared" si="6"/>
        <v>34</v>
      </c>
      <c r="BJ60" s="4">
        <f t="shared" si="6"/>
        <v>63</v>
      </c>
      <c r="BK60" s="4">
        <f t="shared" si="6"/>
        <v>47</v>
      </c>
      <c r="BL60" s="4">
        <f t="shared" si="6"/>
        <v>72</v>
      </c>
    </row>
    <row r="61" spans="1:64" x14ac:dyDescent="0.2"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O61" s="4">
        <f t="shared" ref="AO61:BL61" si="7">MIN(C44:C47)</f>
        <v>25</v>
      </c>
      <c r="AP61" s="4">
        <f t="shared" si="7"/>
        <v>60</v>
      </c>
      <c r="AQ61" s="4">
        <f t="shared" si="7"/>
        <v>47</v>
      </c>
      <c r="AR61" s="4">
        <f t="shared" si="7"/>
        <v>51</v>
      </c>
      <c r="AS61" s="4">
        <f t="shared" si="7"/>
        <v>37</v>
      </c>
      <c r="AT61" s="4">
        <f t="shared" si="7"/>
        <v>61</v>
      </c>
      <c r="AU61" s="4">
        <f t="shared" si="7"/>
        <v>0</v>
      </c>
      <c r="AV61" s="4">
        <f t="shared" si="7"/>
        <v>0</v>
      </c>
      <c r="AW61" s="4">
        <f t="shared" si="7"/>
        <v>18</v>
      </c>
      <c r="AX61" s="4">
        <f t="shared" si="7"/>
        <v>54</v>
      </c>
      <c r="AY61" s="4">
        <f t="shared" si="7"/>
        <v>0</v>
      </c>
      <c r="AZ61" s="4">
        <f t="shared" si="7"/>
        <v>0</v>
      </c>
      <c r="BA61" s="4">
        <f t="shared" si="7"/>
        <v>37</v>
      </c>
      <c r="BB61" s="4">
        <f t="shared" si="7"/>
        <v>64</v>
      </c>
      <c r="BC61" s="4">
        <f t="shared" si="7"/>
        <v>50</v>
      </c>
      <c r="BD61" s="4">
        <f t="shared" si="7"/>
        <v>52</v>
      </c>
      <c r="BE61" s="4">
        <f t="shared" si="7"/>
        <v>36</v>
      </c>
      <c r="BF61" s="4">
        <f t="shared" si="7"/>
        <v>61</v>
      </c>
      <c r="BG61" s="4">
        <f t="shared" si="7"/>
        <v>28</v>
      </c>
      <c r="BH61" s="4">
        <f t="shared" si="7"/>
        <v>53</v>
      </c>
      <c r="BI61" s="4">
        <f t="shared" si="7"/>
        <v>27</v>
      </c>
      <c r="BJ61" s="4">
        <f t="shared" si="7"/>
        <v>56</v>
      </c>
      <c r="BK61" s="4">
        <f t="shared" si="7"/>
        <v>47</v>
      </c>
      <c r="BL61" s="4">
        <f t="shared" si="7"/>
        <v>59</v>
      </c>
    </row>
    <row r="62" spans="1:64" x14ac:dyDescent="0.2"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O62" s="4">
        <f t="shared" ref="AO62:BL62" si="8">AO60-AO61</f>
        <v>9</v>
      </c>
      <c r="AP62" s="4">
        <f t="shared" si="8"/>
        <v>0</v>
      </c>
      <c r="AQ62" s="4">
        <f t="shared" si="8"/>
        <v>1</v>
      </c>
      <c r="AR62" s="4">
        <f t="shared" si="8"/>
        <v>2</v>
      </c>
      <c r="AS62" s="4">
        <f t="shared" si="8"/>
        <v>2</v>
      </c>
      <c r="AT62" s="4">
        <f t="shared" si="8"/>
        <v>13</v>
      </c>
      <c r="AU62" s="4">
        <f t="shared" si="8"/>
        <v>0</v>
      </c>
      <c r="AV62" s="4">
        <f t="shared" si="8"/>
        <v>0</v>
      </c>
      <c r="AW62" s="4">
        <f t="shared" si="8"/>
        <v>5</v>
      </c>
      <c r="AX62" s="4">
        <f t="shared" si="8"/>
        <v>2</v>
      </c>
      <c r="AY62" s="4">
        <f t="shared" si="8"/>
        <v>0</v>
      </c>
      <c r="AZ62" s="4">
        <f t="shared" si="8"/>
        <v>0</v>
      </c>
      <c r="BA62" s="4">
        <f t="shared" si="8"/>
        <v>3</v>
      </c>
      <c r="BB62" s="4">
        <f t="shared" si="8"/>
        <v>4</v>
      </c>
      <c r="BC62" s="4">
        <f t="shared" si="8"/>
        <v>0</v>
      </c>
      <c r="BD62" s="4">
        <f t="shared" si="8"/>
        <v>0</v>
      </c>
      <c r="BE62" s="4">
        <f t="shared" si="8"/>
        <v>3</v>
      </c>
      <c r="BF62" s="4">
        <f t="shared" si="8"/>
        <v>10</v>
      </c>
      <c r="BG62" s="4">
        <f t="shared" si="8"/>
        <v>5</v>
      </c>
      <c r="BH62" s="4">
        <f t="shared" si="8"/>
        <v>5</v>
      </c>
      <c r="BI62" s="4">
        <f t="shared" si="8"/>
        <v>7</v>
      </c>
      <c r="BJ62" s="4">
        <f t="shared" si="8"/>
        <v>7</v>
      </c>
      <c r="BK62" s="4">
        <f t="shared" si="8"/>
        <v>0</v>
      </c>
      <c r="BL62" s="4">
        <f t="shared" si="8"/>
        <v>13</v>
      </c>
    </row>
    <row r="63" spans="1:64" x14ac:dyDescent="0.2"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N63" s="39" t="s">
        <v>28</v>
      </c>
      <c r="AO63" s="4">
        <f t="shared" ref="AO63:BL63" si="9">MAX(C48)</f>
        <v>34</v>
      </c>
      <c r="AP63" s="4">
        <f t="shared" si="9"/>
        <v>60</v>
      </c>
      <c r="AQ63" s="4">
        <f t="shared" si="9"/>
        <v>47</v>
      </c>
      <c r="AR63" s="4">
        <f t="shared" si="9"/>
        <v>53</v>
      </c>
      <c r="AS63" s="4">
        <f t="shared" si="9"/>
        <v>39</v>
      </c>
      <c r="AT63" s="4">
        <f t="shared" si="9"/>
        <v>61</v>
      </c>
      <c r="AU63" s="4">
        <f t="shared" si="9"/>
        <v>0</v>
      </c>
      <c r="AV63" s="4">
        <f t="shared" si="9"/>
        <v>0</v>
      </c>
      <c r="AW63" s="4">
        <f t="shared" si="9"/>
        <v>22</v>
      </c>
      <c r="AX63" s="4">
        <f t="shared" si="9"/>
        <v>54</v>
      </c>
      <c r="AY63" s="4">
        <f t="shared" si="9"/>
        <v>0</v>
      </c>
      <c r="AZ63" s="4">
        <f t="shared" si="9"/>
        <v>0</v>
      </c>
      <c r="BA63" s="4">
        <f t="shared" si="9"/>
        <v>38</v>
      </c>
      <c r="BB63" s="4">
        <f t="shared" si="9"/>
        <v>64</v>
      </c>
      <c r="BC63" s="4">
        <f t="shared" si="9"/>
        <v>50</v>
      </c>
      <c r="BD63" s="4">
        <f t="shared" si="9"/>
        <v>52</v>
      </c>
      <c r="BE63" s="4">
        <f t="shared" si="9"/>
        <v>37</v>
      </c>
      <c r="BF63" s="4">
        <f t="shared" si="9"/>
        <v>61</v>
      </c>
      <c r="BG63" s="4">
        <f t="shared" si="9"/>
        <v>33</v>
      </c>
      <c r="BH63" s="4">
        <f t="shared" si="9"/>
        <v>57</v>
      </c>
      <c r="BI63" s="4">
        <f t="shared" si="9"/>
        <v>34</v>
      </c>
      <c r="BJ63" s="4">
        <f t="shared" si="9"/>
        <v>63</v>
      </c>
      <c r="BK63" s="4">
        <f t="shared" si="9"/>
        <v>47</v>
      </c>
      <c r="BL63" s="4">
        <f t="shared" si="9"/>
        <v>59</v>
      </c>
    </row>
    <row r="64" spans="1:64" x14ac:dyDescent="0.2"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O64" s="4">
        <f t="shared" ref="AO64:BL64" si="10">MIN(C48)</f>
        <v>34</v>
      </c>
      <c r="AP64" s="4">
        <f t="shared" si="10"/>
        <v>60</v>
      </c>
      <c r="AQ64" s="4">
        <f t="shared" si="10"/>
        <v>47</v>
      </c>
      <c r="AR64" s="4">
        <f t="shared" si="10"/>
        <v>53</v>
      </c>
      <c r="AS64" s="4">
        <f t="shared" si="10"/>
        <v>39</v>
      </c>
      <c r="AT64" s="4">
        <f t="shared" si="10"/>
        <v>61</v>
      </c>
      <c r="AU64" s="4">
        <f t="shared" si="10"/>
        <v>0</v>
      </c>
      <c r="AV64" s="4">
        <f t="shared" si="10"/>
        <v>0</v>
      </c>
      <c r="AW64" s="4">
        <f t="shared" si="10"/>
        <v>22</v>
      </c>
      <c r="AX64" s="4">
        <f t="shared" si="10"/>
        <v>54</v>
      </c>
      <c r="AY64" s="4">
        <f t="shared" si="10"/>
        <v>0</v>
      </c>
      <c r="AZ64" s="4">
        <f t="shared" si="10"/>
        <v>0</v>
      </c>
      <c r="BA64" s="4">
        <f t="shared" si="10"/>
        <v>38</v>
      </c>
      <c r="BB64" s="4">
        <f t="shared" si="10"/>
        <v>64</v>
      </c>
      <c r="BC64" s="4">
        <f t="shared" si="10"/>
        <v>50</v>
      </c>
      <c r="BD64" s="4">
        <f t="shared" si="10"/>
        <v>52</v>
      </c>
      <c r="BE64" s="4">
        <f t="shared" si="10"/>
        <v>37</v>
      </c>
      <c r="BF64" s="4">
        <f t="shared" si="10"/>
        <v>61</v>
      </c>
      <c r="BG64" s="4">
        <f t="shared" si="10"/>
        <v>33</v>
      </c>
      <c r="BH64" s="4">
        <f t="shared" si="10"/>
        <v>57</v>
      </c>
      <c r="BI64" s="4">
        <f t="shared" si="10"/>
        <v>34</v>
      </c>
      <c r="BJ64" s="4">
        <f t="shared" si="10"/>
        <v>63</v>
      </c>
      <c r="BK64" s="4">
        <f t="shared" si="10"/>
        <v>47</v>
      </c>
      <c r="BL64" s="4">
        <f t="shared" si="10"/>
        <v>59</v>
      </c>
    </row>
    <row r="65" spans="3:64" x14ac:dyDescent="0.2"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O65" s="4">
        <f t="shared" ref="AO65:BL65" si="11">AO63-AO64</f>
        <v>0</v>
      </c>
      <c r="AP65" s="4">
        <f t="shared" si="11"/>
        <v>0</v>
      </c>
      <c r="AQ65" s="4">
        <f t="shared" si="11"/>
        <v>0</v>
      </c>
      <c r="AR65" s="4">
        <f t="shared" si="11"/>
        <v>0</v>
      </c>
      <c r="AS65" s="4">
        <f t="shared" si="11"/>
        <v>0</v>
      </c>
      <c r="AT65" s="4">
        <f t="shared" si="11"/>
        <v>0</v>
      </c>
      <c r="AU65" s="4">
        <f t="shared" si="11"/>
        <v>0</v>
      </c>
      <c r="AV65" s="4">
        <f t="shared" si="11"/>
        <v>0</v>
      </c>
      <c r="AW65" s="4">
        <f t="shared" si="11"/>
        <v>0</v>
      </c>
      <c r="AX65" s="4">
        <f t="shared" si="11"/>
        <v>0</v>
      </c>
      <c r="AY65" s="4">
        <f t="shared" si="11"/>
        <v>0</v>
      </c>
      <c r="AZ65" s="4">
        <f t="shared" si="11"/>
        <v>0</v>
      </c>
      <c r="BA65" s="4">
        <f t="shared" si="11"/>
        <v>0</v>
      </c>
      <c r="BB65" s="4">
        <f t="shared" si="11"/>
        <v>0</v>
      </c>
      <c r="BC65" s="4">
        <f t="shared" si="11"/>
        <v>0</v>
      </c>
      <c r="BD65" s="4">
        <f t="shared" si="11"/>
        <v>0</v>
      </c>
      <c r="BE65" s="4">
        <f t="shared" si="11"/>
        <v>0</v>
      </c>
      <c r="BF65" s="4">
        <f t="shared" si="11"/>
        <v>0</v>
      </c>
      <c r="BG65" s="4">
        <f t="shared" si="11"/>
        <v>0</v>
      </c>
      <c r="BH65" s="4">
        <f t="shared" si="11"/>
        <v>0</v>
      </c>
      <c r="BI65" s="4">
        <f t="shared" si="11"/>
        <v>0</v>
      </c>
      <c r="BJ65" s="4">
        <f t="shared" si="11"/>
        <v>0</v>
      </c>
      <c r="BK65" s="4">
        <f t="shared" si="11"/>
        <v>0</v>
      </c>
      <c r="BL65" s="4">
        <f t="shared" si="11"/>
        <v>0</v>
      </c>
    </row>
    <row r="66" spans="3:64" x14ac:dyDescent="0.2"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O66" s="4">
        <f t="shared" ref="AO66:BL66" si="12">AO56+AO59+AO62+AO65</f>
        <v>31</v>
      </c>
      <c r="AP66" s="4">
        <f t="shared" si="12"/>
        <v>4</v>
      </c>
      <c r="AQ66" s="4">
        <f t="shared" si="12"/>
        <v>1</v>
      </c>
      <c r="AR66" s="4">
        <f t="shared" si="12"/>
        <v>3</v>
      </c>
      <c r="AS66" s="4">
        <f t="shared" si="12"/>
        <v>6</v>
      </c>
      <c r="AT66" s="4">
        <f t="shared" si="12"/>
        <v>22</v>
      </c>
      <c r="AU66" s="4">
        <f t="shared" si="12"/>
        <v>5</v>
      </c>
      <c r="AV66" s="4">
        <f t="shared" si="12"/>
        <v>1</v>
      </c>
      <c r="AW66" s="4">
        <f t="shared" si="12"/>
        <v>12</v>
      </c>
      <c r="AX66" s="4">
        <f t="shared" si="12"/>
        <v>2</v>
      </c>
      <c r="AY66" s="4">
        <f t="shared" si="12"/>
        <v>0</v>
      </c>
      <c r="AZ66" s="4">
        <f t="shared" si="12"/>
        <v>6</v>
      </c>
      <c r="BA66" s="4">
        <f t="shared" si="12"/>
        <v>9</v>
      </c>
      <c r="BB66" s="4">
        <f t="shared" si="12"/>
        <v>17</v>
      </c>
      <c r="BC66" s="4">
        <f t="shared" si="12"/>
        <v>0</v>
      </c>
      <c r="BD66" s="4">
        <f t="shared" si="12"/>
        <v>0</v>
      </c>
      <c r="BE66" s="4">
        <f t="shared" si="12"/>
        <v>19</v>
      </c>
      <c r="BF66" s="4">
        <f t="shared" si="12"/>
        <v>23</v>
      </c>
      <c r="BG66" s="4">
        <f t="shared" si="12"/>
        <v>22</v>
      </c>
      <c r="BH66" s="4">
        <f t="shared" si="12"/>
        <v>22</v>
      </c>
      <c r="BI66" s="4">
        <f t="shared" si="12"/>
        <v>18</v>
      </c>
      <c r="BJ66" s="4">
        <f t="shared" si="12"/>
        <v>8</v>
      </c>
      <c r="BK66" s="4">
        <f t="shared" si="12"/>
        <v>0</v>
      </c>
      <c r="BL66" s="4">
        <f t="shared" si="12"/>
        <v>36</v>
      </c>
    </row>
    <row r="67" spans="3:64" x14ac:dyDescent="0.2"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3:64" x14ac:dyDescent="0.2"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3:64" x14ac:dyDescent="0.2"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3:64" x14ac:dyDescent="0.2"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3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3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3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3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3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3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3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3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3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3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3:26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3:26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3:26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3:26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26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26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26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26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26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26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26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26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26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26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26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26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4"/>
  <sheetViews>
    <sheetView zoomScale="113" zoomScaleNormal="113" zoomScalePageLayoutView="113" workbookViewId="0">
      <pane ySplit="1" topLeftCell="A4" activePane="bottomLeft" state="frozenSplit"/>
      <selection pane="bottomLeft" activeCell="Q17" sqref="Q17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1395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1395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1395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ht="17" thickBot="1" x14ac:dyDescent="0.25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ht="17" thickBot="1" x14ac:dyDescent="0.25">
      <c r="A7" s="3" t="str">
        <f t="shared" ref="A7:A25" si="0">D7&amp;"__wt"</f>
        <v>ccr9_human__wt</v>
      </c>
      <c r="B7" s="3" t="str">
        <f>VLOOKUP(D7,Classification!A:D,3,FALSE)</f>
        <v>Protein</v>
      </c>
      <c r="C7" s="3" t="str">
        <f>VLOOKUP(D7,Classification!A:D,4,FALSE)</f>
        <v>Chemokine</v>
      </c>
      <c r="D7" s="3" t="s">
        <v>177</v>
      </c>
      <c r="E7" s="3">
        <f>VLOOKUP($D7,'SegEnds_NonXtal_Prot#'!$A:$AZ,30,FALSE)-VLOOKUP($D7,'SegEnds_NonXtal_Prot#'!$A:$AZ,29,FALSE)</f>
        <v>5</v>
      </c>
      <c r="F7" s="82">
        <f>VLOOKUP($D7,'SegEnds_NonXtal_Prot#'!$A:$AZ,31,FALSE)-VLOOKUP($D7,'SegEnds_NonXtal_Prot#'!$A:$AZ,28,FALSE)</f>
        <v>43</v>
      </c>
      <c r="G7" s="83">
        <f>50+VLOOKUP($A7,'SegEnds_Xtal_Prot#'!$A:$AY,39,FALSE)-VLOOKUP($D7,'SegEnds_NonXtal_Prot#'!$A:$AZ,28,FALSE)</f>
        <v>68</v>
      </c>
      <c r="H7" s="84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  <c r="Q7" s="8"/>
      <c r="R7" s="8"/>
    </row>
    <row r="8" spans="1:18" ht="17" thickBot="1" x14ac:dyDescent="0.25">
      <c r="A8" s="3" t="str">
        <f t="shared" si="0"/>
        <v>us28_hcmva__wt</v>
      </c>
      <c r="B8" s="3" t="str">
        <f>VLOOKUP(D8,Classification!A:D,3,FALSE)</f>
        <v>Peptide</v>
      </c>
      <c r="C8" s="3" t="str">
        <f>VLOOKUP(D8,Classification!A:D,4,FALSE)</f>
        <v>Chemokine</v>
      </c>
      <c r="D8" s="3" t="s">
        <v>924</v>
      </c>
      <c r="E8" s="3">
        <f>VLOOKUP($D8,'SegEnds_NonXtal_Prot#'!$A:$AZ,30,FALSE)-VLOOKUP($D8,'SegEnds_NonXtal_Prot#'!$A:$AZ,29,FALSE)</f>
        <v>4</v>
      </c>
      <c r="F8" s="1">
        <f>VLOOKUP($D8,'SegEnds_NonXtal_Prot#'!$A:$AZ,31,FALSE)-VLOOKUP($D8,'SegEnds_NonXtal_Prot#'!$A:$AZ,28,FALSE)</f>
        <v>43</v>
      </c>
      <c r="G8" s="3">
        <f>50+VLOOKUP($A8,'SegEnds_Xtal_Prot#'!$A:$AY,39,FALSE)-VLOOKUP($D8,'SegEnds_NonXtal_Prot#'!$A:$AZ,28,FALSE)</f>
        <v>68</v>
      </c>
      <c r="H8" s="3">
        <f>50+VLOOKUP($A8,'SegEnds_Xtal_Prot#'!$A:$AY,41,FALSE)-VLOOKUP($D8,'SegEnds_NonXtal_Prot#'!$A:$AZ,31,FALSE)</f>
        <v>29</v>
      </c>
      <c r="I8" s="3">
        <f>G8</f>
        <v>68</v>
      </c>
      <c r="J8" s="3">
        <f>H8</f>
        <v>29</v>
      </c>
      <c r="K8" s="1" t="s">
        <v>1297</v>
      </c>
      <c r="L8" s="1"/>
      <c r="M8" s="1"/>
      <c r="N8" s="1"/>
    </row>
    <row r="9" spans="1:18" ht="17" thickBot="1" x14ac:dyDescent="0.25">
      <c r="A9" s="3" t="str">
        <f>D9&amp;"__wt"</f>
        <v>ccr5_human__wt</v>
      </c>
      <c r="B9" s="3" t="str">
        <f>VLOOKUP(D9,Classification!A:D,3,FALSE)</f>
        <v>Protein</v>
      </c>
      <c r="C9" s="3" t="str">
        <f>VLOOKUP(D9,Classification!A:D,4,FALSE)</f>
        <v>Chemokine</v>
      </c>
      <c r="D9" s="3" t="s">
        <v>173</v>
      </c>
      <c r="E9" s="3">
        <f>VLOOKUP($D9,'SegEnds_NonXtal_Prot#'!$A:$AZ,30,FALSE)-VLOOKUP($D9,'SegEnds_NonXtal_Prot#'!$A:$AZ,29,FALSE)</f>
        <v>4</v>
      </c>
      <c r="F9" s="82">
        <f>VLOOKUP($D9,'SegEnds_NonXtal_Prot#'!$A:$AZ,31,FALSE)-VLOOKUP($D9,'SegEnds_NonXtal_Prot#'!$A:$AZ,28,FALSE)</f>
        <v>44</v>
      </c>
      <c r="G9" s="83">
        <f>50+VLOOKUP($A9,'SegEnds_Xtal_Prot#'!$A:$AY,39,FALSE)-VLOOKUP($D9,'SegEnds_NonXtal_Prot#'!$A:$AZ,28,FALSE)</f>
        <v>68</v>
      </c>
      <c r="H9" s="84">
        <f>50+VLOOKUP($A9,'SegEnds_Xtal_Prot#'!$A:$AY,41,FALSE)-VLOOKUP($D9,'SegEnds_NonXtal_Prot#'!$A:$AZ,31,FALSE)</f>
        <v>28</v>
      </c>
      <c r="I9" s="3"/>
      <c r="J9" s="3"/>
      <c r="K9" s="1"/>
      <c r="L9" s="1"/>
      <c r="M9" s="1"/>
      <c r="N9" s="1"/>
    </row>
    <row r="10" spans="1:18" x14ac:dyDescent="0.2">
      <c r="A10" s="3" t="str">
        <f t="shared" si="0"/>
        <v>ffar1_human__wt</v>
      </c>
      <c r="B10" s="3" t="str">
        <f>VLOOKUP(D10,Classification!A:D,3,FALSE)</f>
        <v>Lipid</v>
      </c>
      <c r="C10" s="3" t="str">
        <f>VLOOKUP(D10,Classification!A:D,4,FALSE)</f>
        <v>Freefattyacid</v>
      </c>
      <c r="D10" s="3" t="s">
        <v>1173</v>
      </c>
      <c r="E10" s="3">
        <f>VLOOKUP($D10,'SegEnds_NonXtal_Prot#'!$A:$AZ,30,FALSE)-VLOOKUP($D10,'SegEnds_NonXtal_Prot#'!$A:$AZ,29,FALSE)</f>
        <v>6</v>
      </c>
      <c r="F10" s="1">
        <f>VLOOKUP($D10,'SegEnds_NonXtal_Prot#'!$A:$AZ,31,FALSE)-VLOOKUP($D10,'SegEnds_NonXtal_Prot#'!$A:$AZ,28,FALSE)</f>
        <v>45</v>
      </c>
      <c r="G10" s="3">
        <f>50+VLOOKUP($A10,'SegEnds_Xtal_Prot#'!$A:$AY,39,FALSE)-VLOOKUP($D10,'SegEnds_NonXtal_Prot#'!$A:$AZ,28,FALSE)</f>
        <v>67</v>
      </c>
      <c r="H10" s="3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par1_human__wt</v>
      </c>
      <c r="B11" s="3" t="str">
        <f>VLOOKUP(D11,Classification!A:D,3,FALSE)</f>
        <v>Peptide</v>
      </c>
      <c r="C11" s="3" t="str">
        <f>VLOOKUP(D11,Classification!A:D,4,FALSE)</f>
        <v>Proteinase-activated</v>
      </c>
      <c r="D11" s="3" t="s">
        <v>355</v>
      </c>
      <c r="E11" s="3">
        <f>VLOOKUP($D11,'SegEnds_NonXtal_Prot#'!$A:$AZ,30,FALSE)-VLOOKUP($D11,'SegEnds_NonXtal_Prot#'!$A:$AZ,29,FALSE)</f>
        <v>5</v>
      </c>
      <c r="F11" s="1">
        <f>VLOOKUP($D11,'SegEnds_NonXtal_Prot#'!$A:$AZ,31,FALSE)-VLOOKUP($D11,'SegEnds_NonXtal_Prot#'!$A:$AZ,28,FALSE)</f>
        <v>46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26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p2ry1_human__wt</v>
      </c>
      <c r="B12" s="3" t="str">
        <f>VLOOKUP(D12,Classification!A:D,3,FALSE)</f>
        <v>Nucleotide</v>
      </c>
      <c r="C12" s="3" t="str">
        <f>VLOOKUP(D12,Classification!A:D,4,FALSE)</f>
        <v>P2Y</v>
      </c>
      <c r="D12" s="3" t="s">
        <v>345</v>
      </c>
      <c r="E12" s="3">
        <f>VLOOKUP($D12,'SegEnds_NonXtal_Prot#'!$A:$AZ,30,FALSE)-VLOOKUP($D12,'SegEnds_NonXtal_Prot#'!$A:$AZ,29,FALSE)</f>
        <v>6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68</v>
      </c>
      <c r="H12" s="3">
        <f>50+VLOOKUP($A12,'SegEnds_Xtal_Prot#'!$A:$AY,41,FALSE)-VLOOKUP($D12,'SegEnds_NonXtal_Prot#'!$A:$AZ,31,FALSE)</f>
        <v>28</v>
      </c>
      <c r="I12" s="3"/>
      <c r="J12" s="3"/>
      <c r="K12" s="1"/>
      <c r="L12" s="1"/>
      <c r="M12" s="1"/>
      <c r="N12" s="1"/>
    </row>
    <row r="13" spans="1:18" x14ac:dyDescent="0.2">
      <c r="A13" s="9" t="str">
        <f t="shared" ref="A13" si="1">D13&amp;"__wt"</f>
        <v>agtr2_human__wt</v>
      </c>
      <c r="B13" s="3" t="str">
        <f>VLOOKUP(D13,Classification!A:D,3,FALSE)</f>
        <v>Peptide</v>
      </c>
      <c r="C13" s="3" t="str">
        <f>VLOOKUP(D13,Classification!A:D,4,FALSE)</f>
        <v>Angiotensin</v>
      </c>
      <c r="D13" s="3" t="s">
        <v>159</v>
      </c>
      <c r="E13" s="3">
        <f>VLOOKUP($D13,'SegEnds_NonXtal_Prot#'!$A:$AZ,30,FALSE)-VLOOKUP($D13,'SegEnds_NonXtal_Prot#'!$A:$AZ,29,FALSE)</f>
        <v>4</v>
      </c>
      <c r="F13" s="1">
        <f>VLOOKUP($D13,'SegEnds_NonXtal_Prot#'!$A:$AZ,31,FALSE)-VLOOKUP($D13,'SegEnds_NonXtal_Prot#'!$A:$AZ,28,FALSE)</f>
        <v>48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24</v>
      </c>
      <c r="I13" s="3"/>
      <c r="J13" s="3"/>
      <c r="K13" s="1"/>
      <c r="L13" s="1"/>
      <c r="M13" s="1"/>
      <c r="N13" s="1"/>
    </row>
    <row r="14" spans="1:18" x14ac:dyDescent="0.2">
      <c r="A14" s="3" t="str">
        <f t="shared" si="0"/>
        <v>agtr1_human__wt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158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28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p2y12_human__wt</v>
      </c>
      <c r="B15" s="3" t="str">
        <f>VLOOKUP(D15,Classification!A:D,3,FALSE)</f>
        <v>Nucleotide</v>
      </c>
      <c r="C15" s="3" t="str">
        <f>VLOOKUP(D15,Classification!A:D,4,FALSE)</f>
        <v>P2Y</v>
      </c>
      <c r="D15" s="9" t="s">
        <v>352</v>
      </c>
      <c r="E15" s="3">
        <f>VLOOKUP($D15,'SegEnds_NonXtal_Prot#'!$A:$AZ,30,FALSE)-VLOOKUP($D15,'SegEnds_NonXtal_Prot#'!$A:$AZ,29,FALSE)</f>
        <v>7</v>
      </c>
      <c r="F15" s="1">
        <f>VLOOKUP($D15,'SegEnds_NonXtal_Prot#'!$A:$AZ,31,FALSE)-VLOOKUP($D15,'SegEnds_NonXtal_Prot#'!$A:$AZ,28,FALSE)</f>
        <v>50</v>
      </c>
      <c r="G15" s="3">
        <f>50+VLOOKUP($A15,'SegEnds_Xtal_Prot#'!$A:$AY,39,FALSE)-VLOOKUP($D15,'SegEnds_NonXtal_Prot#'!$A:$AZ,28,FALSE)</f>
        <v>72</v>
      </c>
      <c r="H15" s="3">
        <f>50+VLOOKUP($A15,'SegEnds_Xtal_Prot#'!$A:$AY,41,FALSE)-VLOOKUP($D15,'SegEnds_NonXtal_Prot#'!$A:$AZ,31,FALSE)</f>
        <v>29</v>
      </c>
      <c r="I15" s="3"/>
      <c r="J15" s="3"/>
      <c r="K15" s="1"/>
      <c r="L15" s="1"/>
      <c r="M15" s="1" t="s">
        <v>1308</v>
      </c>
      <c r="N15" s="1"/>
    </row>
    <row r="16" spans="1:18" x14ac:dyDescent="0.2">
      <c r="A16" s="3" t="str">
        <f t="shared" ref="A16" si="2">D16&amp;"__wt"</f>
        <v>glp1r_human__wt</v>
      </c>
      <c r="B16" s="3" t="str">
        <f>VLOOKUP(D16,Classification!A:D,3,FALSE)</f>
        <v>Peptide</v>
      </c>
      <c r="C16" s="3" t="str">
        <f>VLOOKUP(D16,Classification!A:D,4,FALSE)</f>
        <v>Glucagonreceptorfamily</v>
      </c>
      <c r="D16" s="3" t="s">
        <v>406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71</v>
      </c>
      <c r="H16" s="3">
        <f>50+VLOOKUP($A16,'SegEnds_Xtal_Prot#'!$A:$AY,41,FALSE)-VLOOKUP($D16,'SegEnds_NonXtal_Prot#'!$A:$AZ,31,FALSE)</f>
        <v>28</v>
      </c>
      <c r="I16" s="3"/>
      <c r="J16" s="3"/>
      <c r="K16" s="1"/>
      <c r="L16" s="1"/>
      <c r="M16" s="1"/>
      <c r="N16" s="1"/>
      <c r="O16" s="1" t="s">
        <v>1418</v>
      </c>
    </row>
    <row r="17" spans="1:14" x14ac:dyDescent="0.2">
      <c r="A17" s="3" t="str">
        <f t="shared" ref="A17" si="3">D17&amp;"__wt"</f>
        <v>glr_human__wt</v>
      </c>
      <c r="B17" s="3" t="str">
        <f>VLOOKUP(D17,Classification!A:D,3,FALSE)</f>
        <v>Peptide</v>
      </c>
      <c r="C17" s="3" t="str">
        <f>VLOOKUP(D17,Classification!A:D,4,FALSE)</f>
        <v>Glucagonreceptorfamily</v>
      </c>
      <c r="D17" s="3" t="s">
        <v>32</v>
      </c>
      <c r="E17" s="3">
        <f>VLOOKUP($D17,'SegEnds_NonXtal_Prot#'!$A:$AZ,30,FALSE)-VLOOKUP($D17,'SegEnds_NonXtal_Prot#'!$A:$AZ,29,FALSE)</f>
        <v>8</v>
      </c>
      <c r="F17" s="1">
        <f>VLOOKUP($D17,'SegEnds_NonXtal_Prot#'!$A:$AZ,31,FALSE)-VLOOKUP($D17,'SegEnds_NonXtal_Prot#'!$A:$AZ,28,FALSE)</f>
        <v>50</v>
      </c>
      <c r="G17" s="3">
        <f>50+VLOOKUP($A17,'SegEnds_Xtal_Prot#'!$A:$AY,39,FALSE)-VLOOKUP($D17,'SegEnds_NonXtal_Prot#'!$A:$AZ,28,FALSE)</f>
        <v>71</v>
      </c>
      <c r="H17" s="3">
        <f>50+VLOOKUP($A17,'SegEnds_Xtal_Prot#'!$A:$AY,41,FALSE)-VLOOKUP($D17,'SegEnds_NonXtal_Prot#'!$A:$AZ,31,FALSE)</f>
        <v>29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ref="A18" si="4">D18&amp;"__wt"</f>
        <v>g1sgd4_rabit__wt</v>
      </c>
      <c r="B18" s="3" t="str">
        <f>VLOOKUP(D18,Classification!A:D,3,FALSE)</f>
        <v>Peptide</v>
      </c>
      <c r="C18" s="3" t="str">
        <f>VLOOKUP(D18,Classification!A:D,4,FALSE)</f>
        <v>Glucagonreceptorfamily</v>
      </c>
      <c r="D18" s="3" t="s">
        <v>1430</v>
      </c>
      <c r="E18" s="3">
        <f>VLOOKUP($D18,'SegEnds_NonXtal_Prot#'!$A:$AZ,30,FALSE)-VLOOKUP($D18,'SegEnds_NonXtal_Prot#'!$A:$AZ,29,FALSE)</f>
        <v>9</v>
      </c>
      <c r="F18" s="1">
        <f>VLOOKUP($D18,'SegEnds_NonXtal_Prot#'!$A:$AZ,31,FALSE)-VLOOKUP($D18,'SegEnds_NonXtal_Prot#'!$A:$AZ,28,FALSE)</f>
        <v>50</v>
      </c>
      <c r="G18" s="3">
        <f>50+VLOOKUP($A18,'SegEnds_Xtal_Prot#'!$A:$AY,39,FALSE)-VLOOKUP($D18,'SegEnds_NonXtal_Prot#'!$A:$AZ,28,FALSE)</f>
        <v>71</v>
      </c>
      <c r="H18" s="3">
        <f>50+VLOOKUP($A18,'SegEnds_Xtal_Prot#'!$A:$AY,41,FALSE)-VLOOKUP($D18,'SegEnds_NonXtal_Prot#'!$A:$AZ,31,FALSE)</f>
        <v>30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oprd_human__wt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335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oprd_mouse__wt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916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/>
      <c r="J20" s="3"/>
      <c r="K20" s="1"/>
      <c r="L20" s="1"/>
      <c r="M20" s="1"/>
      <c r="N20" s="1"/>
    </row>
    <row r="21" spans="1:14" x14ac:dyDescent="0.2">
      <c r="A21" s="3" t="str">
        <f t="shared" si="0"/>
        <v>oprk_human__wt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336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oprm_mouse__wt</v>
      </c>
      <c r="B22" s="3" t="str">
        <f>VLOOKUP(D22,Classification!A:D,3,FALSE)</f>
        <v>Peptide</v>
      </c>
      <c r="C22" s="3" t="str">
        <f>VLOOKUP(D22,Classification!A:D,4,FALSE)</f>
        <v>Opioid</v>
      </c>
      <c r="D22" s="3" t="s">
        <v>918</v>
      </c>
      <c r="E22" s="3">
        <f>VLOOKUP($D22,'SegEnds_NonXtal_Prot#'!$A:$AZ,30,FALSE)-VLOOKUP($D22,'SegEnds_NonXtal_Prot#'!$A:$AZ,29,FALSE)</f>
        <v>6</v>
      </c>
      <c r="F22" s="1">
        <f>VLOOKUP($D22,'SegEnds_NonXtal_Prot#'!$A:$AZ,31,FALSE)-VLOOKUP($D22,'SegEnds_NonXtal_Prot#'!$A:$AZ,28,FALSE)</f>
        <v>51</v>
      </c>
      <c r="G22" s="3">
        <f>50+VLOOKUP($A22,'SegEnds_Xtal_Prot#'!$A:$AY,39,FALSE)-VLOOKUP($D22,'SegEnds_NonXtal_Prot#'!$A:$AZ,28,FALSE)</f>
        <v>68</v>
      </c>
      <c r="H22" s="3">
        <f>50+VLOOKUP($A22,'SegEnds_Xtal_Prot#'!$A:$AY,41,FALSE)-VLOOKUP($D22,'SegEnds_NonXtal_Prot#'!$A:$AZ,31,FALSE)</f>
        <v>23</v>
      </c>
      <c r="I22" s="3">
        <f>G22</f>
        <v>68</v>
      </c>
      <c r="J22" s="3">
        <f>H22</f>
        <v>23</v>
      </c>
      <c r="K22" s="1" t="s">
        <v>1297</v>
      </c>
      <c r="L22" s="1"/>
      <c r="M22" s="1"/>
      <c r="N22" s="1"/>
    </row>
    <row r="23" spans="1:14" x14ac:dyDescent="0.2">
      <c r="A23" s="3" t="str">
        <f t="shared" si="0"/>
        <v>oprx_human__wt</v>
      </c>
      <c r="B23" s="3" t="str">
        <f>VLOOKUP(D23,Classification!A:D,3,FALSE)</f>
        <v>Peptide</v>
      </c>
      <c r="C23" s="3" t="str">
        <f>VLOOKUP(D23,Classification!A:D,4,FALSE)</f>
        <v>Opioid</v>
      </c>
      <c r="D23" s="3" t="s">
        <v>1174</v>
      </c>
      <c r="E23" s="3">
        <f>VLOOKUP($D23,'SegEnds_NonXtal_Prot#'!$A:$AZ,30,FALSE)-VLOOKUP($D23,'SegEnds_NonXtal_Prot#'!$A:$AZ,29,FALSE)</f>
        <v>6</v>
      </c>
      <c r="F23" s="1">
        <f>VLOOKUP($D23,'SegEnds_NonXtal_Prot#'!$A:$AZ,31,FALSE)-VLOOKUP($D23,'SegEnds_NonXtal_Prot#'!$A:$AZ,28,FALSE)</f>
        <v>51</v>
      </c>
      <c r="G23" s="3">
        <f>50+VLOOKUP($A23,'SegEnds_Xtal_Prot#'!$A:$AY,39,FALSE)-VLOOKUP($D23,'SegEnds_NonXtal_Prot#'!$A:$AZ,28,FALSE)</f>
        <v>68</v>
      </c>
      <c r="H23" s="3">
        <f>50+VLOOKUP($A23,'SegEnds_Xtal_Prot#'!$A:$AY,41,FALSE)-VLOOKUP($D23,'SegEnds_NonXtal_Prot#'!$A:$AZ,31,FALSE)</f>
        <v>23</v>
      </c>
      <c r="I23" s="3"/>
      <c r="J23" s="3"/>
      <c r="K23" s="1"/>
      <c r="L23" s="1"/>
      <c r="M23" s="1"/>
      <c r="N23" s="1"/>
    </row>
    <row r="24" spans="1:14" x14ac:dyDescent="0.2">
      <c r="A24" s="3" t="str">
        <f t="shared" si="0"/>
        <v>opsd_bovin__wt</v>
      </c>
      <c r="B24" s="3" t="str">
        <f>VLOOKUP(D24,Classification!A:D,3,FALSE)</f>
        <v>Sensory</v>
      </c>
      <c r="C24" s="3" t="str">
        <f>VLOOKUP(D24,Classification!A:D,4,FALSE)</f>
        <v>Opsins</v>
      </c>
      <c r="D24" s="3" t="s">
        <v>920</v>
      </c>
      <c r="E24" s="3">
        <f>VLOOKUP($D24,'SegEnds_NonXtal_Prot#'!$A:$AZ,30,FALSE)-VLOOKUP($D24,'SegEnds_NonXtal_Prot#'!$A:$AZ,29,FALSE)</f>
        <v>4</v>
      </c>
      <c r="F24" s="1">
        <f>VLOOKUP($D24,'SegEnds_NonXtal_Prot#'!$A:$AZ,31,FALSE)-VLOOKUP($D24,'SegEnds_NonXtal_Prot#'!$A:$AZ,28,FALSE)</f>
        <v>52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  <c r="I24" s="3"/>
      <c r="J24" s="3"/>
      <c r="K24" s="1" t="s">
        <v>1297</v>
      </c>
      <c r="L24" s="1"/>
      <c r="M24" s="1"/>
      <c r="N24" s="1"/>
    </row>
    <row r="25" spans="1:14" customFormat="1" x14ac:dyDescent="0.2">
      <c r="A25" s="3" t="str">
        <f t="shared" si="0"/>
        <v>opsd_human__wt</v>
      </c>
      <c r="B25" s="3" t="str">
        <f>VLOOKUP(D25,Classification!A:D,3,FALSE)</f>
        <v>Sensory</v>
      </c>
      <c r="C25" s="3" t="str">
        <f>VLOOKUP(D25,Classification!A:D,4,FALSE)</f>
        <v>Opsins</v>
      </c>
      <c r="D25" s="3" t="s">
        <v>339</v>
      </c>
      <c r="E25" s="3">
        <f>VLOOKUP($D25,'SegEnds_NonXtal_Prot#'!$A:$AZ,30,FALSE)-VLOOKUP($D25,'SegEnds_NonXtal_Prot#'!$A:$AZ,29,FALSE)</f>
        <v>4</v>
      </c>
      <c r="F25" s="1">
        <f>VLOOKUP($D25,'SegEnds_NonXtal_Prot#'!$A:$AZ,31,FALSE)-VLOOKUP($D25,'SegEnds_NonXtal_Prot#'!$A:$AZ,28,FALSE)</f>
        <v>52</v>
      </c>
      <c r="G25" s="3">
        <f>50+VLOOKUP($A25,'SegEnds_Xtal_Prot#'!$A:$AY,39,FALSE)-VLOOKUP($D25,'SegEnds_NonXtal_Prot#'!$A:$AZ,28,FALSE)</f>
        <v>72</v>
      </c>
      <c r="H25" s="3">
        <f>50+VLOOKUP($A25,'SegEnds_Xtal_Prot#'!$A:$AY,41,FALSE)-VLOOKUP($D25,'SegEnds_NonXtal_Prot#'!$A:$AZ,31,FALSE)</f>
        <v>24</v>
      </c>
      <c r="I25" s="3"/>
      <c r="J25" s="3"/>
    </row>
    <row r="26" spans="1:14" customFormat="1" x14ac:dyDescent="0.2">
      <c r="A26" s="1" t="s">
        <v>1335</v>
      </c>
      <c r="B26" s="3" t="str">
        <f>VLOOKUP(D26,Classification!A:D,3,FALSE)</f>
        <v>Peptide</v>
      </c>
      <c r="C26" s="3" t="str">
        <f>VLOOKUP(D26,Classification!A:D,4,FALSE)</f>
        <v>Endothelin</v>
      </c>
      <c r="D26" s="3" t="s">
        <v>196</v>
      </c>
      <c r="E26" s="3">
        <f>VLOOKUP($D26,'SegEnds_NonXtal_Prot#'!$A:$AZ,30,FALSE)-VLOOKUP($D26,'SegEnds_NonXtal_Prot#'!$A:$AZ,29,FALSE)</f>
        <v>5</v>
      </c>
      <c r="F26" s="1">
        <f>VLOOKUP($D26,'SegEnds_NonXtal_Prot#'!$A:$AZ,31,FALSE)-VLOOKUP($D26,'SegEnds_NonXtal_Prot#'!$A:$AZ,28,FALSE)</f>
        <v>53</v>
      </c>
      <c r="G26" s="3">
        <f>50+VLOOKUP($A26,'SegEnds_Xtal_Prot#'!$A:$AY,39,FALSE)-VLOOKUP($D26,'SegEnds_NonXtal_Prot#'!$A:$AZ,28,FALSE)</f>
        <v>72</v>
      </c>
      <c r="H26" s="3">
        <f>50+VLOOKUP($A26,'SegEnds_Xtal_Prot#'!$A:$AY,41,FALSE)-VLOOKUP($D26,'SegEnds_NonXtal_Prot#'!$A:$AZ,31,FALSE)</f>
        <v>24</v>
      </c>
    </row>
    <row r="27" spans="1:14" customFormat="1" x14ac:dyDescent="0.2">
      <c r="A27" s="3" t="str">
        <f t="shared" ref="A27:A44" si="5">D27&amp;"__wt"</f>
        <v>lpar1_human__wt</v>
      </c>
      <c r="B27" s="3" t="str">
        <f>VLOOKUP(D27,Classification!A:D,3,FALSE)</f>
        <v>Lipid</v>
      </c>
      <c r="C27" s="3" t="str">
        <f>VLOOKUP(D27,Classification!A:D,4,FALSE)</f>
        <v>Lysophospholipid(LPA)</v>
      </c>
      <c r="D27" s="9" t="s">
        <v>103</v>
      </c>
      <c r="E27" s="3">
        <f>VLOOKUP($D27,'SegEnds_NonXtal_Prot#'!$A:$AZ,30,FALSE)-VLOOKUP($D27,'SegEnds_NonXtal_Prot#'!$A:$AZ,29,FALSE)</f>
        <v>5</v>
      </c>
      <c r="F27" s="1">
        <f>VLOOKUP($D27,'SegEnds_NonXtal_Prot#'!$A:$AZ,31,FALSE)-VLOOKUP($D27,'SegEnds_NonXtal_Prot#'!$A:$AZ,28,FALSE)</f>
        <v>56</v>
      </c>
      <c r="G27" s="3">
        <f>50+VLOOKUP($A27,'SegEnds_Xtal_Prot#'!$A:$AY,39,FALSE)-VLOOKUP($D27,'SegEnds_NonXtal_Prot#'!$A:$AZ,28,FALSE)</f>
        <v>73</v>
      </c>
      <c r="H27" s="3">
        <f>50+VLOOKUP($A27,'SegEnds_Xtal_Prot#'!$A:$AY,41,FALSE)-VLOOKUP($D27,'SegEnds_NonXtal_Prot#'!$A:$AZ,31,FALSE)</f>
        <v>22</v>
      </c>
      <c r="I27" s="3"/>
      <c r="J27" s="3"/>
      <c r="M27" t="s">
        <v>1304</v>
      </c>
    </row>
    <row r="28" spans="1:14" customFormat="1" x14ac:dyDescent="0.2">
      <c r="A28" s="3" t="str">
        <f t="shared" ref="A28" si="6">D28&amp;"__wt"</f>
        <v>smo_human__wt</v>
      </c>
      <c r="B28" s="3" t="str">
        <f>VLOOKUP(D28,Classification!A:D,3,FALSE)</f>
        <v>Protein</v>
      </c>
      <c r="C28" s="3" t="str">
        <f>VLOOKUP(D28,Classification!A:D,4,FALSE)</f>
        <v>Frizzled</v>
      </c>
      <c r="D28" s="3" t="s">
        <v>33</v>
      </c>
      <c r="E28" s="3">
        <f>VLOOKUP($D28,'SegEnds_NonXtal_Prot#'!$A:$AZ,30,FALSE)-VLOOKUP($D28,'SegEnds_NonXtal_Prot#'!$A:$AZ,29,FALSE)</f>
        <v>9</v>
      </c>
      <c r="F28" s="1">
        <f>VLOOKUP($D28,'SegEnds_NonXtal_Prot#'!$A:$AZ,31,FALSE)-VLOOKUP($D28,'SegEnds_NonXtal_Prot#'!$A:$AZ,28,FALSE)</f>
        <v>57</v>
      </c>
      <c r="G28" s="3">
        <f>50+VLOOKUP($A28,'SegEnds_Xtal_Prot#'!$A:$AY,39,FALSE)-VLOOKUP($D28,'SegEnds_NonXtal_Prot#'!$A:$AZ,28,FALSE)</f>
        <v>72</v>
      </c>
      <c r="H28" s="3">
        <f>50+VLOOKUP($A28,'SegEnds_Xtal_Prot#'!$A:$AY,41,FALSE)-VLOOKUP($D28,'SegEnds_NonXtal_Prot#'!$A:$AZ,31,FALSE)</f>
        <v>24</v>
      </c>
      <c r="I28" s="3"/>
      <c r="J28" s="3"/>
    </row>
    <row r="29" spans="1:14" customFormat="1" x14ac:dyDescent="0.2">
      <c r="A29" s="3" t="str">
        <f t="shared" si="5"/>
        <v>s1pr1_human__wt</v>
      </c>
      <c r="B29" s="3" t="str">
        <f>VLOOKUP(D29,Classification!A:D,3,FALSE)</f>
        <v>Lipid</v>
      </c>
      <c r="C29" s="3" t="str">
        <f>VLOOKUP(D29,Classification!A:D,4,FALSE)</f>
        <v>Lysophospholipid(S1P)</v>
      </c>
      <c r="D29" s="9" t="s">
        <v>104</v>
      </c>
      <c r="E29" s="3">
        <f>VLOOKUP($D29,'SegEnds_NonXtal_Prot#'!$A:$AZ,30,FALSE)-VLOOKUP($D29,'SegEnds_NonXtal_Prot#'!$A:$AZ,29,FALSE)</f>
        <v>9</v>
      </c>
      <c r="F29" s="1">
        <f>VLOOKUP($D29,'SegEnds_NonXtal_Prot#'!$A:$AZ,31,FALSE)-VLOOKUP($D29,'SegEnds_NonXtal_Prot#'!$A:$AZ,28,FALSE)</f>
        <v>58</v>
      </c>
      <c r="G29" s="3">
        <f>50+VLOOKUP($A29,'SegEnds_Xtal_Prot#'!$A:$AY,39,FALSE)-VLOOKUP($D29,'SegEnds_NonXtal_Prot#'!$A:$AZ,28,FALSE)</f>
        <v>73</v>
      </c>
      <c r="H29" s="3">
        <f>50+VLOOKUP($A29,'SegEnds_Xtal_Prot#'!$A:$AY,41,FALSE)-VLOOKUP($D29,'SegEnds_NonXtal_Prot#'!$A:$AZ,31,FALSE)</f>
        <v>24</v>
      </c>
      <c r="I29" s="3"/>
      <c r="J29" s="3"/>
      <c r="M29" t="s">
        <v>1305</v>
      </c>
    </row>
    <row r="30" spans="1:14" customFormat="1" x14ac:dyDescent="0.2">
      <c r="A30" s="3" t="str">
        <f t="shared" si="5"/>
        <v>aa2ar_human__wt</v>
      </c>
      <c r="B30" s="3" t="str">
        <f>VLOOKUP(D30,Classification!A:D,3,FALSE)</f>
        <v>Nucleotide</v>
      </c>
      <c r="C30" s="3" t="str">
        <f>VLOOKUP(D30,Classification!A:D,4,FALSE)</f>
        <v>Adenosine</v>
      </c>
      <c r="D30" s="3" t="s">
        <v>139</v>
      </c>
      <c r="E30" s="3">
        <f>VLOOKUP($D30,'SegEnds_NonXtal_Prot#'!$A:$AZ,30,FALSE)-VLOOKUP($D30,'SegEnds_NonXtal_Prot#'!$A:$AZ,29,FALSE)</f>
        <v>6</v>
      </c>
      <c r="F30" s="1">
        <f>VLOOKUP($D30,'SegEnds_NonXtal_Prot#'!$A:$AZ,31,FALSE)-VLOOKUP($D30,'SegEnds_NonXtal_Prot#'!$A:$AZ,28,FALSE)</f>
        <v>59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21</v>
      </c>
      <c r="I30" s="3">
        <f>G30</f>
        <v>74</v>
      </c>
      <c r="J30" s="3">
        <f>H30</f>
        <v>21</v>
      </c>
      <c r="K30" s="1" t="s">
        <v>1297</v>
      </c>
      <c r="L30" s="1"/>
    </row>
    <row r="31" spans="1:14" customFormat="1" x14ac:dyDescent="0.2">
      <c r="A31" s="3" t="str">
        <f t="shared" si="5"/>
        <v>ntr1_rat__wt</v>
      </c>
      <c r="B31" s="3" t="str">
        <f>VLOOKUP(D31,Classification!A:D,3,FALSE)</f>
        <v>Peptide</v>
      </c>
      <c r="C31" s="3" t="str">
        <f>VLOOKUP(D31,Classification!A:D,4,FALSE)</f>
        <v>Neurotensin</v>
      </c>
      <c r="D31" s="49" t="s">
        <v>914</v>
      </c>
      <c r="E31" s="3">
        <f>VLOOKUP($D31,'SegEnds_NonXtal_Prot#'!$A:$AZ,30,FALSE)-VLOOKUP($D31,'SegEnds_NonXtal_Prot#'!$A:$AZ,29,FALSE)</f>
        <v>22</v>
      </c>
      <c r="F31" s="1">
        <f>VLOOKUP($D31,'SegEnds_NonXtal_Prot#'!$A:$AZ,31,FALSE)-VLOOKUP($D31,'SegEnds_NonXtal_Prot#'!$A:$AZ,28,FALSE)</f>
        <v>74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M31" t="s">
        <v>1301</v>
      </c>
    </row>
    <row r="32" spans="1:14" customFormat="1" x14ac:dyDescent="0.2">
      <c r="A32" s="3" t="str">
        <f t="shared" si="5"/>
        <v>adrb2_human__wt</v>
      </c>
      <c r="B32" s="3" t="str">
        <f>VLOOKUP(D32,Classification!A:D,3,FALSE)</f>
        <v>Aminergic</v>
      </c>
      <c r="C32" s="3" t="str">
        <f>VLOOKUP(D32,Classification!A:D,4,FALSE)</f>
        <v>Adrenoceptors</v>
      </c>
      <c r="D32" s="49" t="s">
        <v>126</v>
      </c>
      <c r="E32" s="3">
        <f>VLOOKUP($D32,'SegEnds_NonXtal_Prot#'!$A:$AZ,30,FALSE)-VLOOKUP($D32,'SegEnds_NonXtal_Prot#'!$A:$AZ,29,FALSE)</f>
        <v>25</v>
      </c>
      <c r="F32" s="1">
        <f>VLOOKUP($D32,'SegEnds_NonXtal_Prot#'!$A:$AZ,31,FALSE)-VLOOKUP($D32,'SegEnds_NonXtal_Prot#'!$A:$AZ,28,FALSE)</f>
        <v>77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>
        <f>G32</f>
        <v>76</v>
      </c>
      <c r="J32" s="3"/>
      <c r="K32" s="1" t="s">
        <v>1297</v>
      </c>
      <c r="L32" s="1"/>
      <c r="N32" t="s">
        <v>1307</v>
      </c>
    </row>
    <row r="33" spans="1:14" x14ac:dyDescent="0.2">
      <c r="A33" s="3" t="str">
        <f t="shared" si="5"/>
        <v>5ht1b_human__wt</v>
      </c>
      <c r="B33" s="3" t="str">
        <f>VLOOKUP(D33,Classification!A:D,3,FALSE)</f>
        <v>Aminergic</v>
      </c>
      <c r="C33" s="3" t="str">
        <f>VLOOKUP(D33,Classification!A:D,4,FALSE)</f>
        <v>5-Hydroxytryptamine</v>
      </c>
      <c r="D33" s="3" t="s">
        <v>34</v>
      </c>
      <c r="E33" s="3">
        <f>VLOOKUP($D33,'SegEnds_NonXtal_Prot#'!$A:$AZ,30,FALSE)-VLOOKUP($D33,'SegEnds_NonXtal_Prot#'!$A:$AZ,29,FALSE)</f>
        <v>59</v>
      </c>
      <c r="F33" s="1">
        <f>VLOOKUP($D33,'SegEnds_NonXtal_Prot#'!$A:$AZ,31,FALSE)-VLOOKUP($D33,'SegEnds_NonXtal_Prot#'!$A:$AZ,28,FALSE)</f>
        <v>109</v>
      </c>
      <c r="G33" s="3">
        <f>50+VLOOKUP($A33,'SegEnds_Xtal_Prot#'!$A:$AY,39,FALSE)-VLOOKUP($D33,'SegEnds_NonXtal_Prot#'!$A:$AZ,28,FALSE)</f>
        <v>74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>
        <v>76</v>
      </c>
      <c r="M33" s="1"/>
      <c r="N33" s="1"/>
    </row>
    <row r="34" spans="1:14" x14ac:dyDescent="0.2">
      <c r="A34" s="3" t="str">
        <f t="shared" si="5"/>
        <v>5ht2b_human__wt</v>
      </c>
      <c r="B34" s="3" t="str">
        <f>VLOOKUP(D34,Classification!A:D,3,FALSE)</f>
        <v>Aminergic</v>
      </c>
      <c r="C34" s="3" t="str">
        <f>VLOOKUP(D34,Classification!A:D,4,FALSE)</f>
        <v>5-Hydroxytryptamine</v>
      </c>
      <c r="D34" s="3" t="s">
        <v>35</v>
      </c>
      <c r="E34" s="3">
        <f>VLOOKUP($D34,'SegEnds_NonXtal_Prot#'!$A:$AZ,30,FALSE)-VLOOKUP($D34,'SegEnds_NonXtal_Prot#'!$A:$AZ,29,FALSE)</f>
        <v>58</v>
      </c>
      <c r="F34" s="1">
        <f>VLOOKUP($D34,'SegEnds_NonXtal_Prot#'!$A:$AZ,31,FALSE)-VLOOKUP($D34,'SegEnds_NonXtal_Prot#'!$A:$AZ,28,FALSE)</f>
        <v>110</v>
      </c>
      <c r="G34" s="3">
        <f>50+VLOOKUP($A34,'SegEnds_Xtal_Prot#'!$A:$AY,39,FALSE)-VLOOKUP($D34,'SegEnds_NonXtal_Prot#'!$A:$AZ,28,FALSE)</f>
        <v>76</v>
      </c>
      <c r="H34" s="3">
        <f>50+VLOOKUP($A34,'SegEnds_Xtal_Prot#'!$A:$AY,41,FALSE)-VLOOKUP($D34,'SegEnds_NonXtal_Prot#'!$A:$AZ,31,FALSE)</f>
        <v>24</v>
      </c>
      <c r="I34" s="3"/>
      <c r="J34" s="3"/>
      <c r="K34" s="1"/>
      <c r="L34" s="1"/>
      <c r="M34" s="1"/>
      <c r="N34" s="1"/>
    </row>
    <row r="35" spans="1:14" x14ac:dyDescent="0.2">
      <c r="A35" s="3" t="str">
        <f t="shared" si="5"/>
        <v>drd3_human__wt</v>
      </c>
      <c r="B35" s="3" t="str">
        <f>VLOOKUP(D35,Classification!A:D,3,FALSE)</f>
        <v>Aminergic</v>
      </c>
      <c r="C35" s="3" t="str">
        <f>VLOOKUP(D35,Classification!A:D,4,FALSE)</f>
        <v>Dopamine</v>
      </c>
      <c r="D35" s="3" t="s">
        <v>192</v>
      </c>
      <c r="E35" s="3">
        <f>VLOOKUP($D35,'SegEnds_NonXtal_Prot#'!$A:$AZ,30,FALSE)-VLOOKUP($D35,'SegEnds_NonXtal_Prot#'!$A:$AZ,29,FALSE)</f>
        <v>92</v>
      </c>
      <c r="F35" s="1">
        <f>VLOOKUP($D35,'SegEnds_NonXtal_Prot#'!$A:$AZ,31,FALSE)-VLOOKUP($D35,'SegEnds_NonXtal_Prot#'!$A:$AZ,28,FALSE)</f>
        <v>144</v>
      </c>
      <c r="G35" s="3">
        <f>50+VLOOKUP($A35,'SegEnds_Xtal_Prot#'!$A:$AY,39,FALSE)-VLOOKUP($D35,'SegEnds_NonXtal_Prot#'!$A:$AZ,28,FALSE)</f>
        <v>76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x14ac:dyDescent="0.2">
      <c r="A36" s="3" t="str">
        <f t="shared" si="5"/>
        <v>acm1_human__wt</v>
      </c>
      <c r="B36" s="3" t="str">
        <f>VLOOKUP(D36,Classification!A:D,3,FALSE)</f>
        <v>Aminergic</v>
      </c>
      <c r="C36" s="3" t="str">
        <f>VLOOKUP(D36,Classification!A:D,4,FALSE)</f>
        <v>Acetylcholine(muscarinic)</v>
      </c>
      <c r="D36" s="3" t="s">
        <v>146</v>
      </c>
      <c r="E36" s="3">
        <f>VLOOKUP($D36,'SegEnds_NonXtal_Prot#'!$A:$AZ,30,FALSE)-VLOOKUP($D36,'SegEnds_NonXtal_Prot#'!$A:$AZ,29,FALSE)</f>
        <v>129</v>
      </c>
      <c r="F36" s="1">
        <f>VLOOKUP($D36,'SegEnds_NonXtal_Prot#'!$A:$AZ,31,FALSE)-VLOOKUP($D36,'SegEnds_NonXtal_Prot#'!$A:$AZ,28,FALSE)</f>
        <v>180</v>
      </c>
      <c r="G36" s="3">
        <f>50+VLOOKUP($A36,'SegEnds_Xtal_Prot#'!$A:$AY,39,FALSE)-VLOOKUP($D36,'SegEnds_NonXtal_Prot#'!$A:$AZ,28,FALSE)</f>
        <v>75</v>
      </c>
      <c r="H36" s="3">
        <f>50+VLOOKUP($A36,'SegEnds_Xtal_Prot#'!$A:$AY,41,FALSE)-VLOOKUP($D36,'SegEnds_NonXtal_Prot#'!$A:$AZ,31,FALSE)</f>
        <v>24</v>
      </c>
      <c r="I36" s="3"/>
      <c r="J36" s="3"/>
      <c r="K36" s="1"/>
      <c r="L36" s="1"/>
      <c r="M36" s="1"/>
      <c r="N36" s="1"/>
    </row>
    <row r="37" spans="1:14" x14ac:dyDescent="0.2">
      <c r="A37" s="3" t="str">
        <f t="shared" si="5"/>
        <v>acm2_human__wt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147</v>
      </c>
      <c r="E37" s="3">
        <f>VLOOKUP($D37,'SegEnds_NonXtal_Prot#'!$A:$AZ,30,FALSE)-VLOOKUP($D37,'SegEnds_NonXtal_Prot#'!$A:$AZ,29,FALSE)</f>
        <v>153</v>
      </c>
      <c r="F37" s="1">
        <f>VLOOKUP($D37,'SegEnds_NonXtal_Prot#'!$A:$AZ,31,FALSE)-VLOOKUP($D37,'SegEnds_NonXtal_Prot#'!$A:$AZ,28,FALSE)</f>
        <v>204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>
        <f>G37</f>
        <v>75</v>
      </c>
      <c r="J37" s="3">
        <f>H37</f>
        <v>24</v>
      </c>
      <c r="K37" s="1" t="s">
        <v>1297</v>
      </c>
      <c r="L37" s="1"/>
      <c r="M37" s="1"/>
      <c r="N37" s="1"/>
    </row>
    <row r="38" spans="1:14" x14ac:dyDescent="0.2">
      <c r="A38" s="3" t="str">
        <f t="shared" si="5"/>
        <v>acm4_human__wt</v>
      </c>
      <c r="B38" s="3" t="str">
        <f>VLOOKUP(D38,Classification!A:D,3,FALSE)</f>
        <v>Aminergic</v>
      </c>
      <c r="C38" s="3" t="str">
        <f>VLOOKUP(D38,Classification!A:D,4,FALSE)</f>
        <v>Acetylcholine(muscarinic)</v>
      </c>
      <c r="D38" s="3" t="s">
        <v>149</v>
      </c>
      <c r="E38" s="3">
        <f>VLOOKUP($D38,'SegEnds_NonXtal_Prot#'!$A:$AZ,30,FALSE)-VLOOKUP($D38,'SegEnds_NonXtal_Prot#'!$A:$AZ,29,FALSE)</f>
        <v>157</v>
      </c>
      <c r="F38" s="1">
        <f>VLOOKUP($D38,'SegEnds_NonXtal_Prot#'!$A:$AZ,31,FALSE)-VLOOKUP($D38,'SegEnds_NonXtal_Prot#'!$A:$AZ,28,FALSE)</f>
        <v>208</v>
      </c>
      <c r="G38" s="3">
        <f>50+VLOOKUP($A38,'SegEnds_Xtal_Prot#'!$A:$AY,39,FALSE)-VLOOKUP($D38,'SegEnds_NonXtal_Prot#'!$A:$AZ,28,FALSE)</f>
        <v>75</v>
      </c>
      <c r="H38" s="3">
        <f>50+VLOOKUP($A38,'SegEnds_Xtal_Prot#'!$A:$AY,41,FALSE)-VLOOKUP($D38,'SegEnds_NonXtal_Prot#'!$A:$AZ,31,FALSE)</f>
        <v>24</v>
      </c>
      <c r="I38" s="3"/>
      <c r="J38" s="3"/>
      <c r="K38" s="1"/>
      <c r="L38" s="1"/>
      <c r="M38" s="1"/>
      <c r="N38" s="1"/>
    </row>
    <row r="39" spans="1:14" customFormat="1" x14ac:dyDescent="0.2">
      <c r="A39" s="3" t="str">
        <f t="shared" si="5"/>
        <v>hrh1_human__wt</v>
      </c>
      <c r="B39" s="3" t="str">
        <f>VLOOKUP(D39,Classification!A:D,3,FALSE)</f>
        <v>Aminergic</v>
      </c>
      <c r="C39" s="3" t="str">
        <f>VLOOKUP(D39,Classification!A:D,4,FALSE)</f>
        <v>Histamine</v>
      </c>
      <c r="D39" s="3" t="s">
        <v>278</v>
      </c>
      <c r="E39" s="3">
        <f>VLOOKUP($D39,'SegEnds_NonXtal_Prot#'!$A:$AZ,30,FALSE)-VLOOKUP($D39,'SegEnds_NonXtal_Prot#'!$A:$AZ,29,FALSE)</f>
        <v>176</v>
      </c>
      <c r="F39" s="1">
        <f>VLOOKUP($D39,'SegEnds_NonXtal_Prot#'!$A:$AZ,31,FALSE)-VLOOKUP($D39,'SegEnds_NonXtal_Prot#'!$A:$AZ,28,FALSE)</f>
        <v>228</v>
      </c>
      <c r="G39" s="3">
        <f>50+VLOOKUP($A39,'SegEnds_Xtal_Prot#'!$A:$AY,39,FALSE)-VLOOKUP($D39,'SegEnds_NonXtal_Prot#'!$A:$AZ,28,FALSE)</f>
        <v>76</v>
      </c>
      <c r="H39" s="3">
        <f>50+VLOOKUP($A39,'SegEnds_Xtal_Prot#'!$A:$AY,41,FALSE)-VLOOKUP($D39,'SegEnds_NonXtal_Prot#'!$A:$AZ,31,FALSE)</f>
        <v>24</v>
      </c>
      <c r="I39" s="3"/>
      <c r="J39" s="3"/>
    </row>
    <row r="40" spans="1:14" customFormat="1" x14ac:dyDescent="0.2">
      <c r="A40" s="3" t="str">
        <f t="shared" si="5"/>
        <v>acm3_rat__wt</v>
      </c>
      <c r="B40" s="3" t="str">
        <f>VLOOKUP(D40,Classification!A:D,3,FALSE)</f>
        <v>Aminergic</v>
      </c>
      <c r="C40" s="3" t="str">
        <f>VLOOKUP(D40,Classification!A:D,4,FALSE)</f>
        <v>Acetylcholine(muscarinic)</v>
      </c>
      <c r="D40" s="3" t="s">
        <v>910</v>
      </c>
      <c r="E40" s="3">
        <f>VLOOKUP($D40,'SegEnds_NonXtal_Prot#'!$A:$AZ,30,FALSE)-VLOOKUP($D40,'SegEnds_NonXtal_Prot#'!$A:$AZ,29,FALSE)</f>
        <v>212</v>
      </c>
      <c r="F40" s="1">
        <f>VLOOKUP($D40,'SegEnds_NonXtal_Prot#'!$A:$AZ,31,FALSE)-VLOOKUP($D40,'SegEnds_NonXtal_Prot#'!$A:$AZ,28,FALSE)</f>
        <v>263</v>
      </c>
      <c r="G40" s="3">
        <f>50+VLOOKUP($A40,'SegEnds_Xtal_Prot#'!$A:$AY,39,FALSE)-VLOOKUP($D40,'SegEnds_NonXtal_Prot#'!$A:$AZ,28,FALSE)</f>
        <v>75</v>
      </c>
      <c r="H40" s="3">
        <f>50+VLOOKUP($A40,'SegEnds_Xtal_Prot#'!$A:$AY,41,FALSE)-VLOOKUP($D40,'SegEnds_NonXtal_Prot#'!$A:$AZ,31,FALSE)</f>
        <v>24</v>
      </c>
      <c r="I40" s="3"/>
      <c r="J40" s="3"/>
    </row>
    <row r="41" spans="1:14" s="61" customFormat="1" x14ac:dyDescent="0.2">
      <c r="A41" s="60" t="str">
        <f t="shared" si="5"/>
        <v>opsd_todpa__wt</v>
      </c>
      <c r="B41" s="60" t="str">
        <f>VLOOKUP(D41,Classification!A:D,3,FALSE)</f>
        <v>Sensory</v>
      </c>
      <c r="C41" s="60" t="str">
        <f>VLOOKUP(D41,Classification!A:D,4,FALSE)</f>
        <v>Opsins</v>
      </c>
      <c r="D41" s="60" t="s">
        <v>922</v>
      </c>
      <c r="E41" s="60">
        <f>VLOOKUP($D41,'SegEnds_NonXtal_Prot#'!$A:$AZ,30,FALSE)-VLOOKUP($D41,'SegEnds_NonXtal_Prot#'!$A:$AZ,29,FALSE)</f>
        <v>5</v>
      </c>
      <c r="F41" s="43">
        <f>VLOOKUP($D41,'SegEnds_NonXtal_Prot#'!$A:$AZ,31,FALSE)-VLOOKUP($D41,'SegEnds_NonXtal_Prot#'!$A:$AZ,28,FALSE)</f>
        <v>64</v>
      </c>
      <c r="G41" s="60">
        <f>50+VLOOKUP($A41,'SegEnds_Xtal_Prot#'!$A:$AY,39,FALSE)-VLOOKUP($D41,'SegEnds_NonXtal_Prot#'!$A:$AZ,28,FALSE)</f>
        <v>77</v>
      </c>
      <c r="H41" s="60">
        <f>50+VLOOKUP($A41,'SegEnds_Xtal_Prot#'!$A:$AY,41,FALSE)-VLOOKUP($D41,'SegEnds_NonXtal_Prot#'!$A:$AZ,31,FALSE)</f>
        <v>18</v>
      </c>
      <c r="I41" s="81" t="s">
        <v>1337</v>
      </c>
      <c r="J41" s="60"/>
    </row>
    <row r="42" spans="1:14" x14ac:dyDescent="0.2">
      <c r="A42" s="3" t="str">
        <f t="shared" si="5"/>
        <v>ox2r_human__wt</v>
      </c>
      <c r="B42" s="3" t="str">
        <f>VLOOKUP(D42,Classification!A:D,3,FALSE)</f>
        <v>Peptide</v>
      </c>
      <c r="C42" s="3" t="str">
        <f>VLOOKUP(D42,Classification!A:D,4,FALSE)</f>
        <v>Orexin</v>
      </c>
      <c r="D42" s="49" t="s">
        <v>1176</v>
      </c>
      <c r="E42" s="3">
        <f>VLOOKUP($D42,'SegEnds_NonXtal_Prot#'!$A:$AZ,30,FALSE)-VLOOKUP($D42,'SegEnds_NonXtal_Prot#'!$A:$AZ,29,FALSE)</f>
        <v>33</v>
      </c>
      <c r="F42" s="1">
        <f>VLOOKUP($D42,'SegEnds_NonXtal_Prot#'!$A:$AZ,31,FALSE)-VLOOKUP($D42,'SegEnds_NonXtal_Prot#'!$A:$AZ,28,FALSE)</f>
        <v>84</v>
      </c>
      <c r="G42" s="3">
        <f>50+VLOOKUP($A42,'SegEnds_Xtal_Prot#'!$A:$AY,39,FALSE)-VLOOKUP($D42,'SegEnds_NonXtal_Prot#'!$A:$AZ,28,FALSE)</f>
        <v>71</v>
      </c>
      <c r="H42" s="3">
        <f>50+VLOOKUP($A42,'SegEnds_Xtal_Prot#'!$A:$AY,41,FALSE)-VLOOKUP($D42,'SegEnds_NonXtal_Prot#'!$A:$AZ,31,FALSE)</f>
        <v>20</v>
      </c>
      <c r="I42" s="3"/>
      <c r="J42" s="3"/>
      <c r="K42" s="1"/>
      <c r="L42" s="1"/>
      <c r="M42" s="1" t="s">
        <v>1300</v>
      </c>
      <c r="N42" s="1" t="s">
        <v>1306</v>
      </c>
    </row>
    <row r="43" spans="1:14" customFormat="1" x14ac:dyDescent="0.2">
      <c r="A43" s="3" t="str">
        <f t="shared" si="5"/>
        <v>ox1r_human__wt</v>
      </c>
      <c r="B43" s="3" t="str">
        <f>VLOOKUP(D43,Classification!A:D,3,FALSE)</f>
        <v>Peptide</v>
      </c>
      <c r="C43" s="3" t="str">
        <f>VLOOKUP(D43,Classification!A:D,4,FALSE)</f>
        <v>Orexin</v>
      </c>
      <c r="D43" s="49" t="s">
        <v>1175</v>
      </c>
      <c r="E43" s="3">
        <f>VLOOKUP($D43,'SegEnds_NonXtal_Prot#'!$A:$AZ,30,FALSE)-VLOOKUP($D43,'SegEnds_NonXtal_Prot#'!$A:$AZ,29,FALSE)</f>
        <v>35</v>
      </c>
      <c r="F43" s="1">
        <f>VLOOKUP($D43,'SegEnds_NonXtal_Prot#'!$A:$AZ,31,FALSE)-VLOOKUP($D43,'SegEnds_NonXtal_Prot#'!$A:$AZ,28,FALSE)</f>
        <v>86</v>
      </c>
      <c r="G43" s="3">
        <f>50+VLOOKUP($A43,'SegEnds_Xtal_Prot#'!$A:$AY,39,FALSE)-VLOOKUP($D43,'SegEnds_NonXtal_Prot#'!$A:$AZ,28,FALSE)</f>
        <v>71</v>
      </c>
      <c r="H43" s="3">
        <f>50+VLOOKUP($A43,'SegEnds_Xtal_Prot#'!$A:$AY,41,FALSE)-VLOOKUP($D43,'SegEnds_NonXtal_Prot#'!$A:$AZ,31,FALSE)</f>
        <v>20</v>
      </c>
      <c r="I43" s="3"/>
      <c r="J43" s="3"/>
      <c r="M43" s="1" t="s">
        <v>1300</v>
      </c>
      <c r="N43" s="1" t="s">
        <v>1306</v>
      </c>
    </row>
    <row r="44" spans="1:14" x14ac:dyDescent="0.2">
      <c r="A44" s="3" t="str">
        <f t="shared" si="5"/>
        <v>adrb1_melga__wt</v>
      </c>
      <c r="B44" s="3" t="str">
        <f>VLOOKUP(D44,Classification!A:D,3,FALSE)</f>
        <v>Aminergic</v>
      </c>
      <c r="C44" s="3" t="str">
        <f>VLOOKUP(D44,Classification!A:D,4,FALSE)</f>
        <v>Adrenoceptors</v>
      </c>
      <c r="D44" s="3" t="s">
        <v>912</v>
      </c>
      <c r="E44" s="3">
        <f>VLOOKUP($D44,'SegEnds_NonXtal_Prot#'!$A:$AZ,30,FALSE)-VLOOKUP($D44,'SegEnds_NonXtal_Prot#'!$A:$AZ,29,FALSE)</f>
        <v>30</v>
      </c>
      <c r="F44" s="1">
        <f>VLOOKUP($D44,'SegEnds_NonXtal_Prot#'!$A:$AZ,31,FALSE)-VLOOKUP($D44,'SegEnds_NonXtal_Prot#'!$A:$AZ,28,FALSE)</f>
        <v>86</v>
      </c>
      <c r="G44" s="3">
        <f>50+VLOOKUP($A44,'SegEnds_Xtal_Prot#'!$A:$AY,39,FALSE)-VLOOKUP($D44,'SegEnds_NonXtal_Prot#'!$A:$AZ,28,FALSE)</f>
        <v>76</v>
      </c>
      <c r="H44" s="3">
        <f>50+VLOOKUP($A44,'SegEnds_Xtal_Prot#'!$A:$AY,41,FALSE)-VLOOKUP($D44,'SegEnds_NonXtal_Prot#'!$A:$AZ,31,FALSE)</f>
        <v>20</v>
      </c>
      <c r="I44" s="3">
        <f>G44</f>
        <v>76</v>
      </c>
      <c r="J44" s="3">
        <f>H44</f>
        <v>20</v>
      </c>
      <c r="K44" s="1" t="s">
        <v>1297</v>
      </c>
      <c r="L44" s="1"/>
      <c r="M44" s="1"/>
      <c r="N44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33" priority="10" operator="equal">
      <formula>"Opsins"</formula>
    </cfRule>
    <cfRule type="cellIs" dxfId="32" priority="11" operator="equal">
      <formula>"Opioid"</formula>
    </cfRule>
    <cfRule type="cellIs" dxfId="31" priority="12" operator="equal">
      <formula>"P2Y"</formula>
    </cfRule>
    <cfRule type="cellIs" dxfId="30" priority="13" operator="equal">
      <formula>"Chemokine"</formula>
    </cfRule>
  </conditionalFormatting>
  <conditionalFormatting sqref="B6:B44">
    <cfRule type="cellIs" dxfId="29" priority="5" operator="equal">
      <formula>"Aminergic"</formula>
    </cfRule>
    <cfRule type="cellIs" dxfId="28" priority="6" operator="equal">
      <formula>"Opsins"</formula>
    </cfRule>
    <cfRule type="cellIs" dxfId="27" priority="7" operator="equal">
      <formula>"Opioid"</formula>
    </cfRule>
    <cfRule type="cellIs" dxfId="26" priority="8" operator="equal">
      <formula>"P2Y"</formula>
    </cfRule>
    <cfRule type="cellIs" dxfId="25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4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6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J407"/>
  <sheetViews>
    <sheetView zoomScale="135" zoomScaleNormal="135" zoomScalePageLayoutView="135" workbookViewId="0">
      <pane ySplit="1" topLeftCell="A281" activePane="bottomLeft" state="frozenSplit"/>
      <selection pane="bottomLeft" activeCell="V308" sqref="V308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164062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9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4.6640625" style="1" customWidth="1"/>
    <col min="29" max="29" width="8.1640625" style="1" customWidth="1"/>
    <col min="30" max="30" width="5" style="1" customWidth="1"/>
    <col min="31" max="31" width="6.83203125" style="1" customWidth="1"/>
    <col min="32" max="34" width="6.5" style="1" customWidth="1"/>
    <col min="35" max="35" width="5.83203125" style="1" customWidth="1"/>
    <col min="36" max="16384" width="10.83203125" style="1"/>
  </cols>
  <sheetData>
    <row r="1" spans="1:36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102" t="s">
        <v>1064</v>
      </c>
      <c r="I1" s="8" t="s">
        <v>1080</v>
      </c>
      <c r="J1" s="8" t="s">
        <v>1081</v>
      </c>
      <c r="K1" s="102" t="s">
        <v>1065</v>
      </c>
      <c r="L1" s="8" t="s">
        <v>1066</v>
      </c>
      <c r="M1" s="8" t="s">
        <v>1093</v>
      </c>
      <c r="N1" s="102" t="s">
        <v>1094</v>
      </c>
      <c r="O1" s="88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1292</v>
      </c>
      <c r="AC1" s="30" t="s">
        <v>1288</v>
      </c>
      <c r="AD1" s="30" t="s">
        <v>1242</v>
      </c>
      <c r="AE1" s="30" t="s">
        <v>1281</v>
      </c>
      <c r="AF1" s="26" t="s">
        <v>1285</v>
      </c>
      <c r="AG1" s="30" t="s">
        <v>1398</v>
      </c>
      <c r="AH1" s="30" t="s">
        <v>1243</v>
      </c>
      <c r="AI1" s="30" t="s">
        <v>1240</v>
      </c>
      <c r="AJ1" s="30" t="s">
        <v>1227</v>
      </c>
    </row>
    <row r="2" spans="1:36" x14ac:dyDescent="0.2">
      <c r="A2" s="1" t="s">
        <v>210</v>
      </c>
      <c r="B2" s="1" t="str">
        <f>VLOOKUP(A2,Xtal_Templ!A:B,2,FALSE)</f>
        <v>apj_human</v>
      </c>
      <c r="C2" s="5">
        <f>VLOOKUP($B2&amp;"__wt",'SegEnds_Xtal_BW#'!$A:$Z,3,FALSE)</f>
        <v>33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52</v>
      </c>
      <c r="G2" s="1">
        <v>37</v>
      </c>
      <c r="H2" s="12">
        <v>66</v>
      </c>
      <c r="I2" s="1">
        <f>VLOOKUP($B2&amp;"__wt",'SegEnds_Xtal_BW#'!$A:$Z,9,FALSE)</f>
        <v>49</v>
      </c>
      <c r="J2" s="1">
        <f>VLOOKUP($B2&amp;"__wt",'SegEnds_Xtal_BW#'!$A:$Z,10,FALSE)</f>
        <v>52</v>
      </c>
      <c r="K2" s="12">
        <v>21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53</v>
      </c>
      <c r="O2" s="89">
        <v>38</v>
      </c>
      <c r="P2" s="1">
        <f>VLOOKUP($B2&amp;"__wt",'SegEnds_Xtal_BW#'!$A:$Z,16,FALSE)</f>
        <v>64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f>VLOOKUP($B2&amp;"__wt",'SegEnds_Xtal_BW#'!$A:$Z,19,FALSE)</f>
        <v>30</v>
      </c>
      <c r="T2" s="1">
        <f t="array" ref="T2">INDEX('ICL3'!$G$2:$G$40,MATCH(MIN(ABS(AH2-'ICL3'!$F$2:$F$40)),ABS(AH2-'ICL3'!$F$2:$F$40),0))</f>
        <v>74</v>
      </c>
      <c r="U2" s="1">
        <f t="array" ref="U2">INDEX('ICL3'!$H$2:$H$40,MATCH(MIN(ABS(AH2-'ICL3'!$F$2:$F$40)),ABS(AH2-'ICL3'!$F$2:$F$40),0))</f>
        <v>21</v>
      </c>
      <c r="V2" s="1">
        <v>61</v>
      </c>
      <c r="W2" s="1">
        <v>28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61</v>
      </c>
      <c r="AA2" s="27" t="str">
        <f>VLOOKUP(A2,Classification!A:B,2,FALSE)</f>
        <v>A</v>
      </c>
      <c r="AB2" s="1">
        <f>VLOOKUP(A2,'SegEnds_NonXtal_Prot#'!A:AL,10,FALSE)-VLOOKUP(A2,'SegEnds_NonXtal_Prot#'!A:AL,7,FALSE)</f>
        <v>14</v>
      </c>
      <c r="AC2" s="1">
        <f>VLOOKUP(A2,'SegEnds_NonXtal_Prot#'!A:AL,13,FALSE)-VLOOKUP(A2,'SegEnds_NonXtal_Prot#'!A:AL,10,FALSE)</f>
        <v>20</v>
      </c>
      <c r="AD2" s="1">
        <f>VLOOKUP(A2,'SegEnds_NonXtal_Prot#'!A:AL,16,FALSE)-VLOOKUP(A2,'SegEnds_NonXtal_Prot#'!A:AL,10,FALSE)</f>
        <v>52</v>
      </c>
      <c r="AE2" s="1">
        <f>VLOOKUP(A2,'SegEnds_NonXtal_Prot#'!A:AL,22,FALSE)-VLOOKUP(A2,'SegEnds_NonXtal_Prot#'!A:AL,19,FALSE)</f>
        <v>18</v>
      </c>
      <c r="AF2" s="1">
        <f>VLOOKUP(A2,'SegEnds_NonXtal_Prot#'!A:AL,28,FALSE)-VLOOKUP(A2,'SegEnds_NonXtal_Prot#'!A:AL,25,FALSE)</f>
        <v>23</v>
      </c>
      <c r="AG2" s="1">
        <f>VLOOKUP(A2,'SegEnds_NonXtal_Prot#'!A:AL,28,FALSE)-VLOOKUP(A2,'SegEnds_NonXtal_Prot#'!A:AL,22,FALSE)</f>
        <v>59</v>
      </c>
      <c r="AH2" s="1">
        <f>VLOOKUP(A2,'SegEnds_NonXtal_Prot#'!A:AL,31,FALSE)-VLOOKUP(A2,'SegEnds_NonXtal_Prot#'!A:AL,28,FALSE)</f>
        <v>59</v>
      </c>
      <c r="AI2" s="1">
        <f>VLOOKUP(A2,'SegEnds_NonXtal_Prot#'!A:AL,34,FALSE)-VLOOKUP(A2,'SegEnds_NonXtal_Prot#'!A:AL,31,FALSE)</f>
        <v>38</v>
      </c>
      <c r="AJ2" s="1" t="str">
        <f>IF(ISERROR(MATCH(A2,'SegEnds_Xtal_Prot#'!B:B, 0)), "NoXtal", "Xtal")</f>
        <v>NoXtal</v>
      </c>
    </row>
    <row r="3" spans="1:36" x14ac:dyDescent="0.2">
      <c r="A3" s="4" t="s">
        <v>242</v>
      </c>
      <c r="B3" s="4" t="str">
        <f>VLOOKUP(A3,Xtal_Templ!A:B,2,FALSE)</f>
        <v>ox2r_human</v>
      </c>
      <c r="C3" s="5">
        <f>VLOOKUP($B3&amp;"__wt",'SegEnds_Xtal_BW#'!$A:$Z,3,FALSE)</f>
        <v>31</v>
      </c>
      <c r="D3" s="4">
        <f>VLOOKUP($B3&amp;"__wt",'SegEnds_Xtal_BW#'!$A:$Z,4,FALSE)</f>
        <v>60</v>
      </c>
      <c r="E3" s="4">
        <f>VLOOKUP($B3&amp;"__wt",'SegEnds_Xtal_BW#'!$A:$Z,5,FALSE)</f>
        <v>48</v>
      </c>
      <c r="F3" s="4">
        <f>VLOOKUP($B3&amp;"__wt",'SegEnds_Xtal_BW#'!$A:$Z,6,FALSE)</f>
        <v>51</v>
      </c>
      <c r="G3" s="4">
        <v>37</v>
      </c>
      <c r="H3" s="12">
        <f>VLOOKUP($B3&amp;"__wt",'SegEnds_Xtal_BW#'!$A:$Z,8,FALSE)</f>
        <v>67</v>
      </c>
      <c r="I3" s="4">
        <f>VLOOKUP($B3&amp;"__wt",'SegEnds_Xtal_BW#'!$A:$Z,9,FALSE)</f>
        <v>49</v>
      </c>
      <c r="J3" s="4">
        <f>VLOOKUP($B3&amp;"__wt",'SegEnds_Xtal_BW#'!$A:$Z,10,FALSE)</f>
        <v>52</v>
      </c>
      <c r="K3" s="11">
        <v>18</v>
      </c>
      <c r="L3" s="4">
        <f>VLOOKUP($B3&amp;"__wt",'SegEnds_Xtal_BW#'!$A:$Z,12,FALSE)</f>
        <v>56</v>
      </c>
      <c r="M3" s="4">
        <f>VLOOKUP($B3&amp;"__wt",'SegEnds_Xtal_BW#'!$A:$Z,13,FALSE)</f>
        <v>50</v>
      </c>
      <c r="N3" s="11">
        <v>53</v>
      </c>
      <c r="O3" s="89">
        <f>VLOOKUP($B3&amp;"__wt",'SegEnds_Xtal_BW#'!$A:$Z,15,FALSE)</f>
        <v>38</v>
      </c>
      <c r="P3" s="4">
        <f>VLOOKUP($B3&amp;"__wt",'SegEnds_Xtal_BW#'!$A:$Z,16,FALSE)</f>
        <v>64</v>
      </c>
      <c r="Q3" s="4">
        <f>VLOOKUP($B3&amp;"__wt",'SegEnds_Xtal_BW#'!$A:$Z,17,FALSE)</f>
        <v>50</v>
      </c>
      <c r="R3" s="4">
        <f>VLOOKUP($B3&amp;"__wt",'SegEnds_Xtal_BW#'!$A:$Z,18,FALSE)</f>
        <v>52</v>
      </c>
      <c r="S3" s="4">
        <f>VLOOKUP($B3&amp;"__wt",'SegEnds_Xtal_BW#'!$A:$Z,19,FALSE)</f>
        <v>32</v>
      </c>
      <c r="T3" s="4">
        <f t="array" ref="T3">INDEX('ICL3'!$G$2:$G$40,MATCH(MIN(ABS(AH3-'ICL3'!$F$2:$F$40)),ABS(AH3-'ICL3'!$F$2:$F$40),0))</f>
        <v>73</v>
      </c>
      <c r="U3" s="4">
        <f t="array" ref="U3">INDEX('ICL3'!$H$2:$H$40,MATCH(MIN(ABS(AH3-'ICL3'!$F$2:$F$40)),ABS(AH3-'ICL3'!$F$2:$F$40),0))</f>
        <v>22</v>
      </c>
      <c r="V3" s="4">
        <v>61</v>
      </c>
      <c r="W3" s="4">
        <v>31</v>
      </c>
      <c r="X3" s="4">
        <f>VLOOKUP($B3&amp;"__wt",'SegEnds_Xtal_BW#'!$A:$Z,24,FALSE)</f>
        <v>56</v>
      </c>
      <c r="Y3" s="4">
        <f>VLOOKUP($B3&amp;"__wt",'SegEnds_Xtal_BW#'!$A:$Z,25,FALSE)</f>
        <v>47</v>
      </c>
      <c r="Z3" s="4">
        <f>VLOOKUP($B3&amp;"__wt",'SegEnds_Xtal_BW#'!$A:$Z,26,FALSE)</f>
        <v>58</v>
      </c>
      <c r="AA3" s="27" t="str">
        <f>VLOOKUP(A3,Classification!A:B,2,FALSE)</f>
        <v>A</v>
      </c>
      <c r="AB3" s="4">
        <f>VLOOKUP(A3,'SegEnds_NonXtal_Prot#'!A:AL,10,FALSE)-VLOOKUP(A3,'SegEnds_NonXtal_Prot#'!A:AL,7,FALSE)</f>
        <v>15</v>
      </c>
      <c r="AC3" s="4">
        <f>VLOOKUP(A3,'SegEnds_NonXtal_Prot#'!A:AL,13,FALSE)-VLOOKUP(A3,'SegEnds_NonXtal_Prot#'!A:AL,10,FALSE)</f>
        <v>20</v>
      </c>
      <c r="AD3" s="4">
        <f>VLOOKUP(A3,'SegEnds_NonXtal_Prot#'!A:AL,16,FALSE)-VLOOKUP(A3,'SegEnds_NonXtal_Prot#'!A:AL,10,FALSE)</f>
        <v>52</v>
      </c>
      <c r="AE3" s="1">
        <f>VLOOKUP(A3,'SegEnds_NonXtal_Prot#'!A:AL,22,FALSE)-VLOOKUP(A3,'SegEnds_NonXtal_Prot#'!A:AL,19,FALSE)</f>
        <v>18</v>
      </c>
      <c r="AF3" s="4">
        <f>VLOOKUP(A3,'SegEnds_NonXtal_Prot#'!A:AL,28,FALSE)-VLOOKUP(A3,'SegEnds_NonXtal_Prot#'!A:AL,25,FALSE)</f>
        <v>25</v>
      </c>
      <c r="AG3" s="1">
        <f>VLOOKUP(A3,'SegEnds_NonXtal_Prot#'!A:AL,28,FALSE)-VLOOKUP(A3,'SegEnds_NonXtal_Prot#'!A:AL,22,FALSE)</f>
        <v>47</v>
      </c>
      <c r="AH3" s="4">
        <f>VLOOKUP(A3,'SegEnds_NonXtal_Prot#'!A:AL,31,FALSE)-VLOOKUP(A3,'SegEnds_NonXtal_Prot#'!A:AL,28,FALSE)</f>
        <v>56</v>
      </c>
      <c r="AI3" s="4">
        <f>VLOOKUP(A3,'SegEnds_NonXtal_Prot#'!A:AL,34,FALSE)-VLOOKUP(A3,'SegEnds_NonXtal_Prot#'!A:AL,31,FALSE)</f>
        <v>36</v>
      </c>
      <c r="AJ3" s="1" t="str">
        <f>IF(ISERROR(MATCH(A3,'SegEnds_Xtal_Prot#'!B:B, 0)), "NoXtal", "Xtal")</f>
        <v>NoXtal</v>
      </c>
    </row>
    <row r="4" spans="1:36" x14ac:dyDescent="0.2">
      <c r="A4" s="1" t="s">
        <v>245</v>
      </c>
      <c r="B4" s="1" t="str">
        <f>VLOOKUP(A4,Xtal_Templ!A:B,2,FALSE)</f>
        <v>hrh1_human</v>
      </c>
      <c r="C4" s="5">
        <f>VLOOKUP($B4&amp;"__wt",'SegEnds_Xtal_BW#'!$A:$Z,3,FALSE)</f>
        <v>34</v>
      </c>
      <c r="D4" s="1">
        <f>VLOOKUP($B4&amp;"__wt",'SegEnds_Xtal_BW#'!$A:$Z,4,FALSE)</f>
        <v>60</v>
      </c>
      <c r="E4" s="1">
        <f>VLOOKUP($B4&amp;"__wt",'SegEnds_Xtal_BW#'!$A:$Z,5,FALSE)</f>
        <v>48</v>
      </c>
      <c r="F4" s="1">
        <f>VLOOKUP($B4&amp;"__wt",'SegEnds_Xtal_BW#'!$A:$Z,6,FALSE)</f>
        <v>51</v>
      </c>
      <c r="G4" s="1">
        <v>37</v>
      </c>
      <c r="H4" s="12">
        <f>VLOOKUP($B4&amp;"__wt",'SegEnds_Xtal_BW#'!$A:$Z,8,FALSE)</f>
        <v>67</v>
      </c>
      <c r="I4" s="1">
        <f>VLOOKUP($B4&amp;"__wt",'SegEnds_Xtal_BW#'!$A:$Z,9,FALSE)</f>
        <v>49</v>
      </c>
      <c r="J4" s="1">
        <f>VLOOKUP($B4&amp;"__wt",'SegEnds_Xtal_BW#'!$A:$Z,10,FALSE)</f>
        <v>52</v>
      </c>
      <c r="K4" s="12">
        <v>21</v>
      </c>
      <c r="L4" s="1">
        <f>VLOOKUP($B4&amp;"__wt",'SegEnds_Xtal_BW#'!$A:$Z,12,FALSE)</f>
        <v>56</v>
      </c>
      <c r="M4" s="1">
        <f>VLOOKUP($B4&amp;"__wt",'SegEnds_Xtal_BW#'!$A:$Z,13,FALSE)</f>
        <v>50</v>
      </c>
      <c r="N4" s="12">
        <v>53</v>
      </c>
      <c r="O4" s="89">
        <f>VLOOKUP($B4&amp;"__wt",'SegEnds_Xtal_BW#'!$A:$Z,15,FALSE)</f>
        <v>38</v>
      </c>
      <c r="P4" s="1">
        <v>63</v>
      </c>
      <c r="Q4" s="1">
        <f>VLOOKUP($B4&amp;"__wt",'SegEnds_Xtal_BW#'!$A:$Z,17,FALSE)</f>
        <v>50</v>
      </c>
      <c r="R4" s="1">
        <f>VLOOKUP($B4&amp;"__wt",'SegEnds_Xtal_BW#'!$A:$Z,18,FALSE)</f>
        <v>52</v>
      </c>
      <c r="S4" s="1">
        <v>35</v>
      </c>
      <c r="T4" s="1">
        <f t="array" ref="T4">INDEX('ICL3'!$G$2:$G$40,MATCH(MIN(ABS(AH4-'ICL3'!$F$2:$F$40)),ABS(AH4-'ICL3'!$F$2:$F$40),0))</f>
        <v>74</v>
      </c>
      <c r="U4" s="1">
        <f t="array" ref="U4">INDEX('ICL3'!$H$2:$H$40,MATCH(MIN(ABS(AH4-'ICL3'!$F$2:$F$40)),ABS(AH4-'ICL3'!$F$2:$F$40),0))</f>
        <v>24</v>
      </c>
      <c r="V4" s="1">
        <v>61</v>
      </c>
      <c r="W4" s="1">
        <v>31</v>
      </c>
      <c r="X4" s="1">
        <f>VLOOKUP($B4&amp;"__wt",'SegEnds_Xtal_BW#'!$A:$Z,24,FALSE)</f>
        <v>56</v>
      </c>
      <c r="Y4" s="1">
        <f>VLOOKUP($B4&amp;"__wt",'SegEnds_Xtal_BW#'!$A:$Z,25,FALSE)</f>
        <v>47</v>
      </c>
      <c r="Z4" s="1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VLOOKUP(A4,'SegEnds_NonXtal_Prot#'!A:AL,10,FALSE)-VLOOKUP(A4,'SegEnds_NonXtal_Prot#'!A:AL,7,FALSE)</f>
        <v>16</v>
      </c>
      <c r="AC4" s="1" t="e">
        <f>VLOOKUP(A4,'SegEnds_NonXtal_Prot#'!A:AL,13,FALSE)-VLOOKUP(A4,'SegEnds_NonXtal_Prot#'!A:AL,10,FALSE)</f>
        <v>#VALUE!</v>
      </c>
      <c r="AD4" s="1">
        <f>VLOOKUP(A4,'SegEnds_NonXtal_Prot#'!A:AL,16,FALSE)-VLOOKUP(A4,'SegEnds_NonXtal_Prot#'!A:AL,10,FALSE)</f>
        <v>52</v>
      </c>
      <c r="AE4" s="1">
        <f>VLOOKUP(A4,'SegEnds_NonXtal_Prot#'!A:AL,22,FALSE)-VLOOKUP(A4,'SegEnds_NonXtal_Prot#'!A:AL,19,FALSE)</f>
        <v>18</v>
      </c>
      <c r="AF4" s="1">
        <f>VLOOKUP(A4,'SegEnds_NonXtal_Prot#'!A:AL,28,FALSE)-VLOOKUP(A4,'SegEnds_NonXtal_Prot#'!A:AL,25,FALSE)</f>
        <v>26</v>
      </c>
      <c r="AG4" s="1">
        <f>VLOOKUP(A4,'SegEnds_NonXtal_Prot#'!A:AL,28,FALSE)-VLOOKUP(A4,'SegEnds_NonXtal_Prot#'!A:AL,22,FALSE)</f>
        <v>58</v>
      </c>
      <c r="AH4" s="1">
        <f>VLOOKUP(A4,'SegEnds_NonXtal_Prot#'!A:AL,31,FALSE)-VLOOKUP(A4,'SegEnds_NonXtal_Prot#'!A:AL,28,FALSE)</f>
        <v>105</v>
      </c>
      <c r="AI4" s="1">
        <f>VLOOKUP(A4,'SegEnds_NonXtal_Prot#'!A:AL,34,FALSE)-VLOOKUP(A4,'SegEnds_NonXtal_Prot#'!A:AL,31,FALSE)</f>
        <v>36</v>
      </c>
      <c r="AJ4" s="1" t="str">
        <f>IF(ISERROR(MATCH(A4,'SegEnds_Xtal_Prot#'!B:B, 0)), "NoXtal", "Xtal")</f>
        <v>NoXtal</v>
      </c>
    </row>
    <row r="5" spans="1:36" x14ac:dyDescent="0.2">
      <c r="A5" s="1" t="s">
        <v>324</v>
      </c>
      <c r="B5" s="1" t="str">
        <f>VLOOKUP(A5,Xtal_Templ!A:B,2,FALSE)</f>
        <v>hrh1_human</v>
      </c>
      <c r="C5" s="5">
        <f>VLOOKUP($B5&amp;"__wt",'SegEnds_Xtal_BW#'!$A:$Z,3,FALSE)</f>
        <v>34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f>VLOOKUP($B5&amp;"__wt",'SegEnds_Xtal_BW#'!$A:$Z,8,FALSE)</f>
        <v>67</v>
      </c>
      <c r="I5" s="1">
        <f>VLOOKUP($B5&amp;"__wt",'SegEnds_Xtal_BW#'!$A:$Z,9,FALSE)</f>
        <v>49</v>
      </c>
      <c r="J5" s="1">
        <f>VLOOKUP($B5&amp;"__wt",'SegEnds_Xtal_BW#'!$A:$Z,10,FALSE)</f>
        <v>52</v>
      </c>
      <c r="K5" s="12">
        <v>18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53</v>
      </c>
      <c r="O5" s="89">
        <v>38</v>
      </c>
      <c r="P5" s="1">
        <f>VLOOKUP($B5&amp;"__wt",'SegEnds_Xtal_BW#'!$A:$Z,16,FALSE)</f>
        <v>62</v>
      </c>
      <c r="Q5" s="1">
        <f>VLOOKUP($B5&amp;"__wt",'SegEnds_Xtal_BW#'!$A:$Z,17,FALSE)</f>
        <v>50</v>
      </c>
      <c r="R5" s="1">
        <f>VLOOKUP($B5&amp;"__wt",'SegEnds_Xtal_BW#'!$A:$Z,18,FALSE)</f>
        <v>52</v>
      </c>
      <c r="S5" s="1">
        <f>VLOOKUP($B5&amp;"__wt",'SegEnds_Xtal_BW#'!$A:$Z,19,FALSE)</f>
        <v>35</v>
      </c>
      <c r="T5" s="1">
        <f t="array" ref="T5">INDEX('ICL3'!$G$2:$G$40,MATCH(MIN(ABS(AH5-'ICL3'!$F$2:$F$40)),ABS(AH5-'ICL3'!$F$2:$F$40),0))</f>
        <v>76</v>
      </c>
      <c r="U5" s="1">
        <f t="array" ref="U5">INDEX('ICL3'!$H$2:$H$40,MATCH(MIN(ABS(AH5-'ICL3'!$F$2:$F$40)),ABS(AH5-'ICL3'!$F$2:$F$40),0))</f>
        <v>24</v>
      </c>
      <c r="V5" s="1">
        <v>61</v>
      </c>
      <c r="W5" s="1">
        <v>28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 t="e">
        <f>VLOOKUP(A5,'SegEnds_NonXtal_Prot#'!A:AL,10,FALSE)-VLOOKUP(A5,'SegEnds_NonXtal_Prot#'!A:AL,7,FALSE)</f>
        <v>#VALUE!</v>
      </c>
      <c r="AC5" s="1">
        <f>VLOOKUP(A5,'SegEnds_NonXtal_Prot#'!A:AL,13,FALSE)-VLOOKUP(A5,'SegEnds_NonXtal_Prot#'!A:AL,10,FALSE)</f>
        <v>20</v>
      </c>
      <c r="AD5" s="1">
        <f>VLOOKUP(A5,'SegEnds_NonXtal_Prot#'!A:AL,16,FALSE)-VLOOKUP(A5,'SegEnds_NonXtal_Prot#'!A:AL,10,FALSE)</f>
        <v>52</v>
      </c>
      <c r="AE5" s="1">
        <f>VLOOKUP(A5,'SegEnds_NonXtal_Prot#'!A:AL,22,FALSE)-VLOOKUP(A5,'SegEnds_NonXtal_Prot#'!A:AL,19,FALSE)</f>
        <v>18</v>
      </c>
      <c r="AF5" s="1">
        <f>VLOOKUP(A5,'SegEnds_NonXtal_Prot#'!A:AL,28,FALSE)-VLOOKUP(A5,'SegEnds_NonXtal_Prot#'!A:AL,25,FALSE)</f>
        <v>25</v>
      </c>
      <c r="AG5" s="1">
        <f>VLOOKUP(A5,'SegEnds_NonXtal_Prot#'!A:AL,28,FALSE)-VLOOKUP(A5,'SegEnds_NonXtal_Prot#'!A:AL,22,FALSE)</f>
        <v>51</v>
      </c>
      <c r="AH5" s="1">
        <f>VLOOKUP(A5,'SegEnds_NonXtal_Prot#'!A:AL,31,FALSE)-VLOOKUP(A5,'SegEnds_NonXtal_Prot#'!A:AL,28,FALSE)</f>
        <v>67</v>
      </c>
      <c r="AI5" s="1">
        <f>VLOOKUP(A5,'SegEnds_NonXtal_Prot#'!A:AL,34,FALSE)-VLOOKUP(A5,'SegEnds_NonXtal_Prot#'!A:AL,31,FALSE)</f>
        <v>38</v>
      </c>
      <c r="AJ5" s="1" t="str">
        <f>IF(ISERROR(MATCH(A5,'SegEnds_Xtal_Prot#'!B:B, 0)), "NoXtal", "Xtal")</f>
        <v>NoXtal</v>
      </c>
    </row>
    <row r="6" spans="1:36" x14ac:dyDescent="0.2">
      <c r="A6" s="1" t="s">
        <v>1175</v>
      </c>
      <c r="B6" s="1" t="str">
        <f>VLOOKUP(A6,Xtal_Templ!A:B,2,FALSE)</f>
        <v>ox1r_human</v>
      </c>
      <c r="C6" s="5">
        <f>VLOOKUP($B6&amp;"__wt",'SegEnds_Xtal_BW#'!$A:$Z,3,FALSE)</f>
        <v>32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f>VLOOKUP($B6&amp;"__wt",'SegEnds_Xtal_BW#'!$A:$Z,8,FALSE)</f>
        <v>67</v>
      </c>
      <c r="I6" s="1">
        <f>VLOOKUP($B6&amp;"__wt",'SegEnds_Xtal_BW#'!$A:$Z,9,FALSE)</f>
        <v>49</v>
      </c>
      <c r="J6" s="1">
        <f>VLOOKUP($B6&amp;"__wt",'SegEnds_Xtal_BW#'!$A:$Z,10,FALSE)</f>
        <v>52</v>
      </c>
      <c r="K6" s="12">
        <v>18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f>VLOOKUP($B6&amp;"__wt",'SegEnds_Xtal_BW#'!$A:$Z,14,FALSE)</f>
        <v>53</v>
      </c>
      <c r="O6" s="89">
        <f>VLOOKUP($B6&amp;"__wt",'SegEnds_Xtal_BW#'!$A:$Z,15,FALSE)</f>
        <v>38</v>
      </c>
      <c r="P6" s="1">
        <f>VLOOKUP($B6&amp;"__wt",'SegEnds_Xtal_BW#'!$A:$Z,16,FALSE)</f>
        <v>64</v>
      </c>
      <c r="Q6" s="1">
        <f>VLOOKUP($B6&amp;"__wt",'SegEnds_Xtal_BW#'!$A:$Z,17,FALSE)</f>
        <v>50</v>
      </c>
      <c r="R6" s="1">
        <f>VLOOKUP($B6&amp;"__wt",'SegEnds_Xtal_BW#'!$A:$Z,18,FALSE)</f>
        <v>52</v>
      </c>
      <c r="S6" s="1">
        <f>VLOOKUP($B6&amp;"__wt",'SegEnds_Xtal_BW#'!$A:$Z,19,FALSE)</f>
        <v>32</v>
      </c>
      <c r="T6" s="1">
        <f t="array" ref="T6">INDEX('ICL3'!$G$2:$G$40,MATCH(MIN(ABS(AH6-'ICL3'!$F$2:$F$40)),ABS(AH6-'ICL3'!$F$2:$F$40),0))</f>
        <v>76</v>
      </c>
      <c r="U6" s="1">
        <v>20</v>
      </c>
      <c r="V6" s="1">
        <v>61</v>
      </c>
      <c r="W6" s="1">
        <v>28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58</v>
      </c>
      <c r="AA6" s="27" t="str">
        <f>VLOOKUP(A6,Classification!A:B,2,FALSE)</f>
        <v>A</v>
      </c>
      <c r="AB6" s="1">
        <f>VLOOKUP(A6,'SegEnds_NonXtal_Prot#'!A:AL,10,FALSE)-VLOOKUP(A6,'SegEnds_NonXtal_Prot#'!A:AL,7,FALSE)</f>
        <v>15</v>
      </c>
      <c r="AC6" s="1">
        <f>VLOOKUP(A6,'SegEnds_NonXtal_Prot#'!A:AL,13,FALSE)-VLOOKUP(A6,'SegEnds_NonXtal_Prot#'!A:AL,10,FALSE)</f>
        <v>20</v>
      </c>
      <c r="AD6" s="1">
        <f>VLOOKUP(A6,'SegEnds_NonXtal_Prot#'!A:AL,16,FALSE)-VLOOKUP(A6,'SegEnds_NonXtal_Prot#'!A:AL,10,FALSE)</f>
        <v>52</v>
      </c>
      <c r="AE6" s="1">
        <f>VLOOKUP(A6,'SegEnds_NonXtal_Prot#'!A:AL,22,FALSE)-VLOOKUP(A6,'SegEnds_NonXtal_Prot#'!A:AL,19,FALSE)</f>
        <v>18</v>
      </c>
      <c r="AF6" s="1">
        <f>VLOOKUP(A6,'SegEnds_NonXtal_Prot#'!A:AL,28,FALSE)-VLOOKUP(A6,'SegEnds_NonXtal_Prot#'!A:AL,25,FALSE)</f>
        <v>25</v>
      </c>
      <c r="AG6" s="1">
        <f>VLOOKUP(A6,'SegEnds_NonXtal_Prot#'!A:AL,28,FALSE)-VLOOKUP(A6,'SegEnds_NonXtal_Prot#'!A:AL,22,FALSE)</f>
        <v>58</v>
      </c>
      <c r="AH6" s="12">
        <f>VLOOKUP(A6,'SegEnds_NonXtal_Prot#'!A:AL,31,FALSE)-VLOOKUP(A6,'SegEnds_NonXtal_Prot#'!A:AL,28,FALSE)</f>
        <v>86</v>
      </c>
      <c r="AI6" s="1">
        <f>VLOOKUP(A6,'SegEnds_NonXtal_Prot#'!A:AL,34,FALSE)-VLOOKUP(A6,'SegEnds_NonXtal_Prot#'!A:AL,31,FALSE)</f>
        <v>42</v>
      </c>
      <c r="AJ6" s="12" t="str">
        <f>IF(ISERROR(MATCH(A6,'SegEnds_Xtal_Prot#'!B:B, 0)), "NoXtal", "Xtal")</f>
        <v>Xtal</v>
      </c>
    </row>
    <row r="7" spans="1:36" x14ac:dyDescent="0.2">
      <c r="A7" s="1" t="s">
        <v>1176</v>
      </c>
      <c r="B7" s="1" t="str">
        <f>VLOOKUP(A7,Xtal_Templ!A:B,2,FALSE)</f>
        <v>ox2r_human</v>
      </c>
      <c r="C7" s="5">
        <f>VLOOKUP($B7&amp;"__wt",'SegEnds_Xtal_BW#'!$A:$Z,3,FALSE)</f>
        <v>31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67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f>VLOOKUP($B7&amp;"__wt",'SegEnds_Xtal_BW#'!$A:$Z,14,FALSE)</f>
        <v>53</v>
      </c>
      <c r="O7" s="89">
        <f>VLOOKUP($B7&amp;"__wt",'SegEnds_Xtal_BW#'!$A:$Z,15,FALSE)</f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32</v>
      </c>
      <c r="T7" s="1">
        <f t="array" ref="T7">INDEX('ICL3'!$G$2:$G$40,MATCH(MIN(ABS(AH7-'ICL3'!$F$2:$F$40)),ABS(AH7-'ICL3'!$F$2:$F$40),0))</f>
        <v>76</v>
      </c>
      <c r="U7" s="1">
        <v>20</v>
      </c>
      <c r="V7" s="1">
        <v>61</v>
      </c>
      <c r="W7" s="1">
        <v>28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58</v>
      </c>
      <c r="AA7" s="27" t="str">
        <f>VLOOKUP(A7,Classification!A:B,2,FALSE)</f>
        <v>A</v>
      </c>
      <c r="AB7" s="1">
        <f>VLOOKUP(A7,'SegEnds_NonXtal_Prot#'!A:AL,10,FALSE)-VLOOKUP(A7,'SegEnds_NonXtal_Prot#'!A:AL,7,FALSE)</f>
        <v>15</v>
      </c>
      <c r="AC7" s="1">
        <f>VLOOKUP(A7,'SegEnds_NonXtal_Prot#'!A:AL,13,FALSE)-VLOOKUP(A7,'SegEnds_NonXtal_Prot#'!A:AL,10,FALSE)</f>
        <v>20</v>
      </c>
      <c r="AD7" s="1">
        <f>VLOOKUP(A7,'SegEnds_NonXtal_Prot#'!A:AL,16,FALSE)-VLOOKUP(A7,'SegEnds_NonXtal_Prot#'!A:AL,10,FALSE)</f>
        <v>52</v>
      </c>
      <c r="AE7" s="1">
        <f>VLOOKUP(A7,'SegEnds_NonXtal_Prot#'!A:AL,22,FALSE)-VLOOKUP(A7,'SegEnds_NonXtal_Prot#'!A:AL,19,FALSE)</f>
        <v>18</v>
      </c>
      <c r="AF7" s="1">
        <f>VLOOKUP(A7,'SegEnds_NonXtal_Prot#'!A:AL,28,FALSE)-VLOOKUP(A7,'SegEnds_NonXtal_Prot#'!A:AL,25,FALSE)</f>
        <v>25</v>
      </c>
      <c r="AG7" s="1">
        <f>VLOOKUP(A7,'SegEnds_NonXtal_Prot#'!A:AL,28,FALSE)-VLOOKUP(A7,'SegEnds_NonXtal_Prot#'!A:AL,22,FALSE)</f>
        <v>58</v>
      </c>
      <c r="AH7" s="12">
        <f>VLOOKUP(A7,'SegEnds_NonXtal_Prot#'!A:AL,31,FALSE)-VLOOKUP(A7,'SegEnds_NonXtal_Prot#'!A:AL,28,FALSE)</f>
        <v>84</v>
      </c>
      <c r="AI7" s="1">
        <f>VLOOKUP(A7,'SegEnds_NonXtal_Prot#'!A:AL,34,FALSE)-VLOOKUP(A7,'SegEnds_NonXtal_Prot#'!A:AL,31,FALSE)</f>
        <v>42</v>
      </c>
      <c r="AJ7" s="12" t="str">
        <f>IF(ISERROR(MATCH(A7,'SegEnds_Xtal_Prot#'!B:B, 0)), "NoXtal", "Xtal")</f>
        <v>Xtal</v>
      </c>
    </row>
    <row r="8" spans="1:36" x14ac:dyDescent="0.2">
      <c r="A8" s="4" t="s">
        <v>369</v>
      </c>
      <c r="B8" s="4" t="str">
        <f>VLOOKUP(A8,Xtal_Templ!A:B,2,FALSE)</f>
        <v>ox2r_human</v>
      </c>
      <c r="C8" s="5">
        <f>VLOOKUP($B8&amp;"__wt",'SegEnds_Xtal_BW#'!$A:$Z,3,FALSE)</f>
        <v>31</v>
      </c>
      <c r="D8" s="4">
        <f>VLOOKUP($B8&amp;"__wt",'SegEnds_Xtal_BW#'!$A:$Z,4,FALSE)</f>
        <v>60</v>
      </c>
      <c r="E8" s="4">
        <f>VLOOKUP($B8&amp;"__wt",'SegEnds_Xtal_BW#'!$A:$Z,5,FALSE)</f>
        <v>48</v>
      </c>
      <c r="F8" s="4">
        <f>VLOOKUP($B8&amp;"__wt",'SegEnds_Xtal_BW#'!$A:$Z,6,FALSE)</f>
        <v>51</v>
      </c>
      <c r="G8" s="4">
        <v>37</v>
      </c>
      <c r="H8" s="11">
        <f>VLOOKUP($B8&amp;"__wt",'SegEnds_Xtal_BW#'!$A:$Z,8,FALSE)</f>
        <v>67</v>
      </c>
      <c r="I8" s="4">
        <f>VLOOKUP($B8&amp;"__wt",'SegEnds_Xtal_BW#'!$A:$Z,9,FALSE)</f>
        <v>49</v>
      </c>
      <c r="J8" s="4">
        <f>VLOOKUP($B8&amp;"__wt",'SegEnds_Xtal_BW#'!$A:$Z,10,FALSE)</f>
        <v>52</v>
      </c>
      <c r="K8" s="11">
        <v>18</v>
      </c>
      <c r="L8" s="4">
        <f>VLOOKUP($B8&amp;"__wt",'SegEnds_Xtal_BW#'!$A:$Z,12,FALSE)</f>
        <v>56</v>
      </c>
      <c r="M8" s="4">
        <f>VLOOKUP($B8&amp;"__wt",'SegEnds_Xtal_BW#'!$A:$Z,13,FALSE)</f>
        <v>50</v>
      </c>
      <c r="N8" s="11">
        <v>53</v>
      </c>
      <c r="O8" s="89">
        <f>VLOOKUP($B8&amp;"__wt",'SegEnds_Xtal_BW#'!$A:$Z,15,FALSE)</f>
        <v>38</v>
      </c>
      <c r="P8" s="4">
        <f>VLOOKUP($B8&amp;"__wt",'SegEnds_Xtal_BW#'!$A:$Z,16,FALSE)</f>
        <v>64</v>
      </c>
      <c r="Q8" s="4">
        <f>VLOOKUP($B8&amp;"__wt",'SegEnds_Xtal_BW#'!$A:$Z,17,FALSE)</f>
        <v>50</v>
      </c>
      <c r="R8" s="4">
        <f>VLOOKUP($B8&amp;"__wt",'SegEnds_Xtal_BW#'!$A:$Z,18,FALSE)</f>
        <v>52</v>
      </c>
      <c r="S8" s="4">
        <f>VLOOKUP($B8&amp;"__wt",'SegEnds_Xtal_BW#'!$A:$Z,19,FALSE)</f>
        <v>32</v>
      </c>
      <c r="T8" s="4">
        <f t="array" ref="T8">INDEX('ICL3'!$G$2:$G$40,MATCH(MIN(ABS(AH8-'ICL3'!$F$2:$F$40)),ABS(AH8-'ICL3'!$F$2:$F$40),0))</f>
        <v>73</v>
      </c>
      <c r="U8" s="4">
        <f t="array" ref="U8">INDEX('ICL3'!$H$2:$H$40,MATCH(MIN(ABS(AH8-'ICL3'!$F$2:$F$40)),ABS(AH8-'ICL3'!$F$2:$F$40),0))</f>
        <v>22</v>
      </c>
      <c r="V8" s="4">
        <v>61</v>
      </c>
      <c r="W8" s="4">
        <v>28</v>
      </c>
      <c r="X8" s="4">
        <f>VLOOKUP($B8&amp;"__wt",'SegEnds_Xtal_BW#'!$A:$Z,24,FALSE)</f>
        <v>56</v>
      </c>
      <c r="Y8" s="4">
        <f>VLOOKUP($B8&amp;"__wt",'SegEnds_Xtal_BW#'!$A:$Z,25,FALSE)</f>
        <v>47</v>
      </c>
      <c r="Z8" s="4">
        <f>VLOOKUP($B8&amp;"__wt",'SegEnds_Xtal_BW#'!$A:$Z,26,FALSE)</f>
        <v>58</v>
      </c>
      <c r="AA8" s="27" t="str">
        <f>VLOOKUP(A8,Classification!A:B,2,FALSE)</f>
        <v>A</v>
      </c>
      <c r="AB8" s="4">
        <f>VLOOKUP(A8,'SegEnds_NonXtal_Prot#'!A:AL,10,FALSE)-VLOOKUP(A8,'SegEnds_NonXtal_Prot#'!A:AL,7,FALSE)</f>
        <v>15</v>
      </c>
      <c r="AC8" s="4">
        <f>VLOOKUP(A8,'SegEnds_NonXtal_Prot#'!A:AL,13,FALSE)-VLOOKUP(A8,'SegEnds_NonXtal_Prot#'!A:AL,10,FALSE)</f>
        <v>21</v>
      </c>
      <c r="AD8" s="4">
        <f>VLOOKUP(A8,'SegEnds_NonXtal_Prot#'!A:AL,16,FALSE)-VLOOKUP(A8,'SegEnds_NonXtal_Prot#'!A:AL,10,FALSE)</f>
        <v>53</v>
      </c>
      <c r="AE8" s="1">
        <f>VLOOKUP(A8,'SegEnds_NonXtal_Prot#'!A:AL,22,FALSE)-VLOOKUP(A8,'SegEnds_NonXtal_Prot#'!A:AL,19,FALSE)</f>
        <v>18</v>
      </c>
      <c r="AF8" s="4">
        <f>VLOOKUP(A8,'SegEnds_NonXtal_Prot#'!A:AL,28,FALSE)-VLOOKUP(A8,'SegEnds_NonXtal_Prot#'!A:AL,25,FALSE)</f>
        <v>26</v>
      </c>
      <c r="AG8" s="1">
        <f>VLOOKUP(A8,'SegEnds_NonXtal_Prot#'!A:AL,28,FALSE)-VLOOKUP(A8,'SegEnds_NonXtal_Prot#'!A:AL,22,FALSE)</f>
        <v>53</v>
      </c>
      <c r="AH8" s="4">
        <f>VLOOKUP(A8,'SegEnds_NonXtal_Prot#'!A:AL,31,FALSE)-VLOOKUP(A8,'SegEnds_NonXtal_Prot#'!A:AL,28,FALSE)</f>
        <v>56</v>
      </c>
      <c r="AI8" s="4">
        <f>VLOOKUP(A8,'SegEnds_NonXtal_Prot#'!A:AL,34,FALSE)-VLOOKUP(A8,'SegEnds_NonXtal_Prot#'!A:AL,31,FALSE)</f>
        <v>39</v>
      </c>
      <c r="AJ8" s="1" t="str">
        <f>IF(ISERROR(MATCH(A8,'SegEnds_Xtal_Prot#'!B:B, 0)), "NoXtal", "Xtal")</f>
        <v>NoXtal</v>
      </c>
    </row>
    <row r="9" spans="1:36" x14ac:dyDescent="0.2">
      <c r="A9" s="12" t="s">
        <v>159</v>
      </c>
      <c r="B9" s="12" t="str">
        <f>VLOOKUP(A9,Xtal_Templ!A:B,2,FALSE)</f>
        <v>agtr2_human</v>
      </c>
      <c r="C9" s="5">
        <f>VLOOKUP($B9&amp;"__wt",'SegEnds_Xtal_BW#'!$A:$Z,3,FALSE)</f>
        <v>33</v>
      </c>
      <c r="D9" s="1">
        <f>VLOOKUP($B9&amp;"__wt",'SegEnds_Xtal_BW#'!$A:$Z,4,FALSE)</f>
        <v>60</v>
      </c>
      <c r="E9" s="1" t="str">
        <f>VLOOKUP($B9&amp;"__wt",'SegEnds_Xtal_BW#'!$A:$Z,5,FALSE)</f>
        <v>-</v>
      </c>
      <c r="F9" s="1" t="str">
        <f>VLOOKUP($B9&amp;"__wt",'SegEnds_Xtal_BW#'!$A:$Z,6,FALSE)</f>
        <v>-</v>
      </c>
      <c r="G9" s="111">
        <v>38</v>
      </c>
      <c r="H9" s="12">
        <f>VLOOKUP($B9&amp;"__wt",'SegEnds_Xtal_BW#'!$A:$Z,8,FALSE)</f>
        <v>66</v>
      </c>
      <c r="I9" s="1">
        <f>VLOOKUP($B9&amp;"__wt",'SegEnds_Xtal_BW#'!$A:$Z,9,FALSE)</f>
        <v>47</v>
      </c>
      <c r="J9" s="1">
        <f>VLOOKUP($B9&amp;"__wt",'SegEnds_Xtal_BW#'!$A:$Z,10,FALSE)</f>
        <v>52</v>
      </c>
      <c r="K9" s="12">
        <v>21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11">
        <v>56</v>
      </c>
      <c r="O9" s="89">
        <f>VLOOKUP($B9&amp;"__wt",'SegEnds_Xtal_BW#'!$A:$Z,15,FALSE)</f>
        <v>38</v>
      </c>
      <c r="P9" s="1">
        <f>VLOOKUP($B9&amp;"__wt",'SegEnds_Xtal_BW#'!$A:$Z,16,FALSE)</f>
        <v>64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30</v>
      </c>
      <c r="T9" s="1">
        <f t="array" ref="T9">INDEX('ICL3'!$G$2:$G$40,MATCH(MIN(ABS(AH9-'ICL3'!$F$2:$F$40)),ABS(AH9-'ICL3'!$F$2:$F$40),0))</f>
        <v>68</v>
      </c>
      <c r="U9" s="1">
        <f t="array" ref="U9">INDEX('ICL3'!$H$2:$H$40,MATCH(MIN(ABS(AH9-'ICL3'!$F$2:$F$40)),ABS(AH9-'ICL3'!$F$2:$F$40),0))</f>
        <v>24</v>
      </c>
      <c r="V9" s="1">
        <v>64</v>
      </c>
      <c r="W9" s="1">
        <v>24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 t="e">
        <f>VLOOKUP(A9,'SegEnds_NonXtal_Prot#'!A:AL,10,FALSE)-VLOOKUP(A9,'SegEnds_NonXtal_Prot#'!A:AL,7,FALSE)</f>
        <v>#VALUE!</v>
      </c>
      <c r="AC9" s="1">
        <f>VLOOKUP(A9,'SegEnds_NonXtal_Prot#'!A:AL,13,FALSE)-VLOOKUP(A9,'SegEnds_NonXtal_Prot#'!A:AL,10,FALSE)</f>
        <v>20</v>
      </c>
      <c r="AD9" s="1">
        <f>VLOOKUP(A9,'SegEnds_NonXtal_Prot#'!A:AL,16,FALSE)-VLOOKUP(A9,'SegEnds_NonXtal_Prot#'!A:AL,10,FALSE)</f>
        <v>52</v>
      </c>
      <c r="AE9" s="1">
        <f>VLOOKUP(A9,'SegEnds_NonXtal_Prot#'!A:AL,22,FALSE)-VLOOKUP(A9,'SegEnds_NonXtal_Prot#'!A:AL,19,FALSE)</f>
        <v>19</v>
      </c>
      <c r="AF9" s="1">
        <f>VLOOKUP(A9,'SegEnds_NonXtal_Prot#'!A:AL,28,FALSE)-VLOOKUP(A9,'SegEnds_NonXtal_Prot#'!A:AL,25,FALSE)</f>
        <v>28</v>
      </c>
      <c r="AG9" s="1">
        <f>VLOOKUP(A9,'SegEnds_NonXtal_Prot#'!A:AL,28,FALSE)-VLOOKUP(A9,'SegEnds_NonXtal_Prot#'!A:AL,22,FALSE)</f>
        <v>55</v>
      </c>
      <c r="AH9" s="1">
        <f>VLOOKUP(A9,'SegEnds_NonXtal_Prot#'!A:AL,31,FALSE)-VLOOKUP(A9,'SegEnds_NonXtal_Prot#'!A:AL,28,FALSE)</f>
        <v>48</v>
      </c>
      <c r="AI9" s="1">
        <f>VLOOKUP(A9,'SegEnds_NonXtal_Prot#'!A:AL,34,FALSE)-VLOOKUP(A9,'SegEnds_NonXtal_Prot#'!A:AL,31,FALSE)</f>
        <v>44</v>
      </c>
      <c r="AJ9" s="1" t="str">
        <f>IF(ISERROR(MATCH(A9,'SegEnds_Xtal_Prot#'!B:B, 0)), "NoXtal", "Xtal")</f>
        <v>Xtal</v>
      </c>
    </row>
    <row r="10" spans="1:36" x14ac:dyDescent="0.2">
      <c r="A10" s="1" t="s">
        <v>185</v>
      </c>
      <c r="B10" s="1" t="str">
        <f>VLOOKUP(A10,Xtal_Templ!A:B,2,FALSE)</f>
        <v>ccr2_human</v>
      </c>
      <c r="C10" s="5">
        <f>VLOOKUP($B10&amp;"__wt",'SegEnds_Xtal_BW#'!$A:$Z,3,FALSE)</f>
        <v>27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24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11">
        <v>56</v>
      </c>
      <c r="O10" s="89">
        <f>VLOOKUP($B10&amp;"__wt",'SegEnds_Xtal_BW#'!$A:$Z,15,FALSE)</f>
        <v>38</v>
      </c>
      <c r="P10" s="1">
        <f>VLOOKUP($B10&amp;"__wt",'SegEnds_Xtal_BW#'!$A:$Z,16,FALSE)</f>
        <v>64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31</v>
      </c>
      <c r="T10" s="1">
        <f t="array" ref="T10">INDEX('ICL3'!$G$2:$G$40,MATCH(MIN(ABS(AH10-'ICL3'!$F$2:$F$40)),ABS(AH10-'ICL3'!$F$2:$F$40),0))</f>
        <v>68</v>
      </c>
      <c r="U10" s="1">
        <f t="array" ref="U10">INDEX('ICL3'!$H$2:$H$40,MATCH(MIN(ABS(AH10-'ICL3'!$F$2:$F$40)),ABS(AH10-'ICL3'!$F$2:$F$40),0))</f>
        <v>30</v>
      </c>
      <c r="V10" s="1">
        <v>64</v>
      </c>
      <c r="W10" s="1">
        <v>24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58</v>
      </c>
      <c r="AA10" s="27" t="str">
        <f>VLOOKUP(A10,Classification!A:B,2,FALSE)</f>
        <v>A</v>
      </c>
      <c r="AB10" s="1">
        <f>VLOOKUP(A10,'SegEnds_NonXtal_Prot#'!A:AL,10,FALSE)-VLOOKUP(A10,'SegEnds_NonXtal_Prot#'!A:AL,7,FALSE)</f>
        <v>15</v>
      </c>
      <c r="AC10" s="1">
        <f>VLOOKUP(A10,'SegEnds_NonXtal_Prot#'!A:AL,13,FALSE)-VLOOKUP(A10,'SegEnds_NonXtal_Prot#'!A:AL,10,FALSE)</f>
        <v>18</v>
      </c>
      <c r="AD10" s="1">
        <f>VLOOKUP(A10,'SegEnds_NonXtal_Prot#'!A:AL,16,FALSE)-VLOOKUP(A10,'SegEnds_NonXtal_Prot#'!A:AL,10,FALSE)</f>
        <v>50</v>
      </c>
      <c r="AE10" s="1">
        <f>VLOOKUP(A10,'SegEnds_NonXtal_Prot#'!A:AL,22,FALSE)-VLOOKUP(A10,'SegEnds_NonXtal_Prot#'!A:AL,19,FALSE)</f>
        <v>19</v>
      </c>
      <c r="AF10" s="1">
        <f>VLOOKUP(A10,'SegEnds_NonXtal_Prot#'!A:AL,28,FALSE)-VLOOKUP(A10,'SegEnds_NonXtal_Prot#'!A:AL,25,FALSE)</f>
        <v>27</v>
      </c>
      <c r="AG10" s="1">
        <f>VLOOKUP(A10,'SegEnds_NonXtal_Prot#'!A:AL,28,FALSE)-VLOOKUP(A10,'SegEnds_NonXtal_Prot#'!A:AL,22,FALSE)</f>
        <v>53</v>
      </c>
      <c r="AH10" s="1">
        <f>VLOOKUP(A10,'SegEnds_NonXtal_Prot#'!A:AL,31,FALSE)-VLOOKUP(A10,'SegEnds_NonXtal_Prot#'!A:AL,28,FALSE)</f>
        <v>43</v>
      </c>
      <c r="AI10" s="1">
        <f>VLOOKUP(A10,'SegEnds_NonXtal_Prot#'!A:AL,34,FALSE)-VLOOKUP(A10,'SegEnds_NonXtal_Prot#'!A:AL,31,FALSE)</f>
        <v>45</v>
      </c>
      <c r="AJ10" s="1" t="str">
        <f>IF(ISERROR(MATCH(A10,'SegEnds_Xtal_Prot#'!B:B, 0)), "NoXtal", "Xtal")</f>
        <v>NoXtal</v>
      </c>
    </row>
    <row r="11" spans="1:36" x14ac:dyDescent="0.2">
      <c r="A11" s="1" t="s">
        <v>186</v>
      </c>
      <c r="B11" s="1" t="str">
        <f>VLOOKUP(A11,Xtal_Templ!A:B,2,FALSE)</f>
        <v>ccr9_human</v>
      </c>
      <c r="C11" s="5">
        <f>VLOOKUP($B11&amp;"__wt",'SegEnds_Xtal_BW#'!$A:$Z,3,FALSE)</f>
        <v>27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v>66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24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11">
        <v>56</v>
      </c>
      <c r="O11" s="111">
        <v>38</v>
      </c>
      <c r="P11" s="1">
        <f>VLOOKUP($B11&amp;"__wt",'SegEnds_Xtal_BW#'!$A:$Z,16,FALSE)</f>
        <v>64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33</v>
      </c>
      <c r="T11" s="1">
        <f t="array" ref="T11">INDEX('ICL3'!$G$2:$G$40,MATCH(MIN(ABS(AH11-'ICL3'!$F$2:$F$40)),ABS(AH11-'ICL3'!$F$2:$F$40),0))</f>
        <v>68</v>
      </c>
      <c r="U11" s="1">
        <f t="array" ref="U11">INDEX('ICL3'!$H$2:$H$40,MATCH(MIN(ABS(AH11-'ICL3'!$F$2:$F$40)),ABS(AH11-'ICL3'!$F$2:$F$40),0))</f>
        <v>30</v>
      </c>
      <c r="V11" s="1">
        <v>64</v>
      </c>
      <c r="W11" s="1">
        <v>24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67</v>
      </c>
      <c r="AA11" s="27" t="str">
        <f>VLOOKUP(A11,Classification!A:B,2,FALSE)</f>
        <v>A</v>
      </c>
      <c r="AB11" s="1">
        <f>VLOOKUP(A11,'SegEnds_NonXtal_Prot#'!A:AL,10,FALSE)-VLOOKUP(A11,'SegEnds_NonXtal_Prot#'!A:AL,7,FALSE)</f>
        <v>15</v>
      </c>
      <c r="AC11" s="1">
        <f>VLOOKUP(A11,'SegEnds_NonXtal_Prot#'!A:AL,13,FALSE)-VLOOKUP(A11,'SegEnds_NonXtal_Prot#'!A:AL,10,FALSE)</f>
        <v>18</v>
      </c>
      <c r="AD11" s="1">
        <f>VLOOKUP(A11,'SegEnds_NonXtal_Prot#'!A:AL,16,FALSE)-VLOOKUP(A11,'SegEnds_NonXtal_Prot#'!A:AL,10,FALSE)</f>
        <v>50</v>
      </c>
      <c r="AE11" s="1">
        <f>VLOOKUP(A11,'SegEnds_NonXtal_Prot#'!A:AL,22,FALSE)-VLOOKUP(A11,'SegEnds_NonXtal_Prot#'!A:AL,19,FALSE)</f>
        <v>19</v>
      </c>
      <c r="AF11" s="1">
        <f>VLOOKUP(A11,'SegEnds_NonXtal_Prot#'!A:AL,28,FALSE)-VLOOKUP(A11,'SegEnds_NonXtal_Prot#'!A:AL,25,FALSE)</f>
        <v>27</v>
      </c>
      <c r="AG11" s="1">
        <f>VLOOKUP(A11,'SegEnds_NonXtal_Prot#'!A:AL,28,FALSE)-VLOOKUP(A11,'SegEnds_NonXtal_Prot#'!A:AL,22,FALSE)</f>
        <v>53</v>
      </c>
      <c r="AH11" s="1">
        <f>VLOOKUP(A11,'SegEnds_NonXtal_Prot#'!A:AL,31,FALSE)-VLOOKUP(A11,'SegEnds_NonXtal_Prot#'!A:AL,28,FALSE)</f>
        <v>43</v>
      </c>
      <c r="AI11" s="1">
        <f>VLOOKUP(A11,'SegEnds_NonXtal_Prot#'!A:AL,34,FALSE)-VLOOKUP(A11,'SegEnds_NonXtal_Prot#'!A:AL,31,FALSE)</f>
        <v>45</v>
      </c>
      <c r="AJ11" s="1" t="str">
        <f>IF(ISERROR(MATCH(A11,'SegEnds_Xtal_Prot#'!B:B, 0)), "NoXtal", "Xtal")</f>
        <v>NoXtal</v>
      </c>
    </row>
    <row r="12" spans="1:36" x14ac:dyDescent="0.2">
      <c r="A12" s="1" t="s">
        <v>216</v>
      </c>
      <c r="B12" s="1" t="str">
        <f>VLOOKUP(A12,Xtal_Templ!A:B,2,FALSE)</f>
        <v>ntr1_rat</v>
      </c>
      <c r="C12" s="5">
        <f>VLOOKUP($B12&amp;"__wt",'SegEnds_Xtal_BW#'!$A:$Z,3,FALSE)</f>
        <v>29</v>
      </c>
      <c r="D12" s="1">
        <f>VLOOKUP($B12&amp;"__wt",'SegEnds_Xtal_BW#'!$A:$Z,4,FALSE)</f>
        <v>60</v>
      </c>
      <c r="E12" s="1">
        <f>VLOOKUP($B12&amp;"__wt",'SegEnds_Xtal_BW#'!$A:$Z,5,FALSE)</f>
        <v>48</v>
      </c>
      <c r="F12" s="1">
        <f>VLOOKUP($B12&amp;"__wt",'SegEnds_Xtal_BW#'!$A:$Z,6,FALSE)</f>
        <v>51</v>
      </c>
      <c r="G12" s="1">
        <v>37</v>
      </c>
      <c r="H12" s="1"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11">
        <v>56</v>
      </c>
      <c r="O12" s="89">
        <f>VLOOKUP($B12&amp;"__wt",'SegEnds_Xtal_BW#'!$A:$Z,15,FALSE)</f>
        <v>38</v>
      </c>
      <c r="P12" s="1">
        <f>VLOOKUP($B12&amp;"__wt",'SegEnds_Xtal_BW#'!$A:$Z,16,FALSE)</f>
        <v>64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f>VLOOKUP($B12&amp;"__wt",'SegEnds_Xtal_BW#'!$A:$Z,19,FALSE)</f>
        <v>32</v>
      </c>
      <c r="T12" s="1">
        <f t="array" ref="T12">INDEX('ICL3'!$G$2:$G$40,MATCH(MIN(ABS(AH12-'ICL3'!$F$2:$F$40)),ABS(AH12-'ICL3'!$F$2:$F$40),0))</f>
        <v>68</v>
      </c>
      <c r="U12" s="1">
        <f t="array" ref="U12">INDEX('ICL3'!$H$2:$H$40,MATCH(MIN(ABS(AH12-'ICL3'!$F$2:$F$40)),ABS(AH12-'ICL3'!$F$2:$F$40),0))</f>
        <v>24</v>
      </c>
      <c r="V12" s="1">
        <v>61</v>
      </c>
      <c r="W12" s="1">
        <v>28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58</v>
      </c>
      <c r="AA12" s="27" t="str">
        <f>VLOOKUP(A12,Classification!A:B,2,FALSE)</f>
        <v>A</v>
      </c>
      <c r="AB12" s="1" t="e">
        <f>VLOOKUP(A12,'SegEnds_NonXtal_Prot#'!A:AL,10,FALSE)-VLOOKUP(A12,'SegEnds_NonXtal_Prot#'!A:AL,7,FALSE)</f>
        <v>#VALUE!</v>
      </c>
      <c r="AC12" s="1" t="e">
        <f>VLOOKUP(A12,'SegEnds_NonXtal_Prot#'!A:AL,13,FALSE)-VLOOKUP(A12,'SegEnds_NonXtal_Prot#'!A:AL,10,FALSE)</f>
        <v>#VALUE!</v>
      </c>
      <c r="AD12" s="1">
        <f>VLOOKUP(A12,'SegEnds_NonXtal_Prot#'!A:AL,16,FALSE)-VLOOKUP(A12,'SegEnds_NonXtal_Prot#'!A:AL,10,FALSE)</f>
        <v>53</v>
      </c>
      <c r="AE12" s="1">
        <f>VLOOKUP(A12,'SegEnds_NonXtal_Prot#'!A:AL,22,FALSE)-VLOOKUP(A12,'SegEnds_NonXtal_Prot#'!A:AL,19,FALSE)</f>
        <v>19</v>
      </c>
      <c r="AF12" s="1" t="e">
        <f>VLOOKUP(A12,'SegEnds_NonXtal_Prot#'!A:AL,28,FALSE)-VLOOKUP(A12,'SegEnds_NonXtal_Prot#'!A:AL,25,FALSE)</f>
        <v>#VALUE!</v>
      </c>
      <c r="AG12" s="1">
        <f>VLOOKUP(A12,'SegEnds_NonXtal_Prot#'!A:AL,28,FALSE)-VLOOKUP(A12,'SegEnds_NonXtal_Prot#'!A:AL,22,FALSE)</f>
        <v>43</v>
      </c>
      <c r="AH12" s="1">
        <f>VLOOKUP(A12,'SegEnds_NonXtal_Prot#'!A:AL,31,FALSE)-VLOOKUP(A12,'SegEnds_NonXtal_Prot#'!A:AL,28,FALSE)</f>
        <v>48</v>
      </c>
      <c r="AI12" s="1">
        <f>VLOOKUP(A12,'SegEnds_NonXtal_Prot#'!A:AL,34,FALSE)-VLOOKUP(A12,'SegEnds_NonXtal_Prot#'!A:AL,31,FALSE)</f>
        <v>39</v>
      </c>
      <c r="AJ12" s="1" t="str">
        <f>IF(ISERROR(MATCH(A12,'SegEnds_Xtal_Prot#'!B:B, 0)), "NoXtal", "Xtal")</f>
        <v>NoXtal</v>
      </c>
    </row>
    <row r="13" spans="1:36" x14ac:dyDescent="0.2">
      <c r="A13" s="1" t="s">
        <v>218</v>
      </c>
      <c r="B13" s="1" t="str">
        <f>VLOOKUP(A13,Xtal_Templ!A:B,2,FALSE)</f>
        <v>5ht2b_human</v>
      </c>
      <c r="C13" s="5">
        <f>VLOOKUP($B13&amp;"__wt",'SegEnds_Xtal_BW#'!$A:$Z,3,FALSE)</f>
        <v>32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">
        <v>67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11">
        <v>56</v>
      </c>
      <c r="O13" s="89">
        <f>VLOOKUP($B13&amp;"__wt",'SegEnds_Xtal_BW#'!$A:$Z,15,FALSE)</f>
        <v>38</v>
      </c>
      <c r="P13" s="1">
        <f>VLOOKUP($B13&amp;"__wt",'SegEnds_Xtal_BW#'!$A:$Z,16,FALSE)</f>
        <v>64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f>VLOOKUP($B13&amp;"__wt",'SegEnds_Xtal_BW#'!$A:$Z,19,FALSE)</f>
        <v>35</v>
      </c>
      <c r="T13" s="1">
        <f t="array" ref="T13">INDEX('ICL3'!$G$2:$G$40,MATCH(MIN(ABS(AH13-'ICL3'!$F$2:$F$40)),ABS(AH13-'ICL3'!$F$2:$F$40),0))</f>
        <v>67</v>
      </c>
      <c r="U13" s="1">
        <f t="array" ref="U13">INDEX('ICL3'!$H$2:$H$40,MATCH(MIN(ABS(AH13-'ICL3'!$F$2:$F$40)),ABS(AH13-'ICL3'!$F$2:$F$40),0))</f>
        <v>26</v>
      </c>
      <c r="V13" s="1">
        <v>61</v>
      </c>
      <c r="W13" s="1">
        <v>28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58</v>
      </c>
      <c r="AA13" s="27" t="str">
        <f>VLOOKUP(A13,Classification!A:B,2,FALSE)</f>
        <v>A</v>
      </c>
      <c r="AB13" s="1" t="e">
        <f>VLOOKUP(A13,'SegEnds_NonXtal_Prot#'!A:AL,10,FALSE)-VLOOKUP(A13,'SegEnds_NonXtal_Prot#'!A:AL,7,FALSE)</f>
        <v>#VALUE!</v>
      </c>
      <c r="AC13" s="1" t="e">
        <f>VLOOKUP(A13,'SegEnds_NonXtal_Prot#'!A:AL,13,FALSE)-VLOOKUP(A13,'SegEnds_NonXtal_Prot#'!A:AL,10,FALSE)</f>
        <v>#VALUE!</v>
      </c>
      <c r="AD13" s="1">
        <f>VLOOKUP(A13,'SegEnds_NonXtal_Prot#'!A:AL,16,FALSE)-VLOOKUP(A13,'SegEnds_NonXtal_Prot#'!A:AL,10,FALSE)</f>
        <v>53</v>
      </c>
      <c r="AE13" s="1">
        <f>VLOOKUP(A13,'SegEnds_NonXtal_Prot#'!A:AL,22,FALSE)-VLOOKUP(A13,'SegEnds_NonXtal_Prot#'!A:AL,19,FALSE)</f>
        <v>19</v>
      </c>
      <c r="AF13" s="1" t="e">
        <f>VLOOKUP(A13,'SegEnds_NonXtal_Prot#'!A:AL,28,FALSE)-VLOOKUP(A13,'SegEnds_NonXtal_Prot#'!A:AL,25,FALSE)</f>
        <v>#VALUE!</v>
      </c>
      <c r="AG13" s="1">
        <f>VLOOKUP(A13,'SegEnds_NonXtal_Prot#'!A:AL,28,FALSE)-VLOOKUP(A13,'SegEnds_NonXtal_Prot#'!A:AL,22,FALSE)</f>
        <v>43</v>
      </c>
      <c r="AH13" s="1">
        <f>VLOOKUP(A13,'SegEnds_NonXtal_Prot#'!A:AL,31,FALSE)-VLOOKUP(A13,'SegEnds_NonXtal_Prot#'!A:AL,28,FALSE)</f>
        <v>47</v>
      </c>
      <c r="AI13" s="1">
        <f>VLOOKUP(A13,'SegEnds_NonXtal_Prot#'!A:AL,34,FALSE)-VLOOKUP(A13,'SegEnds_NonXtal_Prot#'!A:AL,31,FALSE)</f>
        <v>39</v>
      </c>
      <c r="AJ13" s="1" t="str">
        <f>IF(ISERROR(MATCH(A13,'SegEnds_Xtal_Prot#'!B:B, 0)), "NoXtal", "Xtal")</f>
        <v>NoXtal</v>
      </c>
    </row>
    <row r="14" spans="1:36" x14ac:dyDescent="0.2">
      <c r="A14" s="1" t="s">
        <v>223</v>
      </c>
      <c r="B14" s="1" t="str">
        <f>VLOOKUP(A14,Xtal_Templ!A:B,2,FALSE)</f>
        <v>agtr2_human</v>
      </c>
      <c r="C14" s="5">
        <f>VLOOKUP($B14&amp;"__wt",'SegEnds_Xtal_BW#'!$A:$Z,3,FALSE)</f>
        <v>33</v>
      </c>
      <c r="D14" s="1">
        <f>VLOOKUP($B14&amp;"__wt",'SegEnds_Xtal_BW#'!$A:$Z,4,FALSE)</f>
        <v>60</v>
      </c>
      <c r="E14" s="1" t="str">
        <f>VLOOKUP($B14&amp;"__wt",'SegEnds_Xtal_BW#'!$A:$Z,5,FALSE)</f>
        <v>-</v>
      </c>
      <c r="F14" s="1" t="str">
        <f>VLOOKUP($B14&amp;"__wt",'SegEnds_Xtal_BW#'!$A:$Z,6,FALSE)</f>
        <v>-</v>
      </c>
      <c r="G14" s="1">
        <v>37</v>
      </c>
      <c r="H14" s="12">
        <f>VLOOKUP($B14&amp;"__wt",'SegEnds_Xtal_BW#'!$A:$Z,8,FALSE)</f>
        <v>66</v>
      </c>
      <c r="I14" s="1">
        <f>VLOOKUP($B14&amp;"__wt",'SegEnds_Xtal_BW#'!$A:$Z,9,FALSE)</f>
        <v>47</v>
      </c>
      <c r="J14" s="1">
        <f>VLOOKUP($B14&amp;"__wt",'SegEnds_Xtal_BW#'!$A:$Z,10,FALSE)</f>
        <v>52</v>
      </c>
      <c r="K14" s="12">
        <v>18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11">
        <v>56</v>
      </c>
      <c r="O14" s="89">
        <f>VLOOKUP($B14&amp;"__wt",'SegEnds_Xtal_BW#'!$A:$Z,15,FALSE)</f>
        <v>38</v>
      </c>
      <c r="P14" s="1">
        <f>VLOOKUP($B14&amp;"__wt",'SegEnds_Xtal_BW#'!$A:$Z,16,FALSE)</f>
        <v>64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30</v>
      </c>
      <c r="T14" s="1">
        <f t="array" ref="T14">INDEX('ICL3'!$G$2:$G$40,MATCH(MIN(ABS(AH14-'ICL3'!$F$2:$F$40)),ABS(AH14-'ICL3'!$F$2:$F$40),0))</f>
        <v>68</v>
      </c>
      <c r="U14" s="1">
        <f t="array" ref="U14">INDEX('ICL3'!$H$2:$H$40,MATCH(MIN(ABS(AH14-'ICL3'!$F$2:$F$40)),ABS(AH14-'ICL3'!$F$2:$F$40),0))</f>
        <v>23</v>
      </c>
      <c r="V14" s="1">
        <v>61</v>
      </c>
      <c r="W14" s="1">
        <v>28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61</v>
      </c>
      <c r="AA14" s="27" t="str">
        <f>VLOOKUP(A14,Classification!A:B,2,FALSE)</f>
        <v>A</v>
      </c>
      <c r="AB14" s="1" t="e">
        <f>VLOOKUP(A14,'SegEnds_NonXtal_Prot#'!A:AL,10,FALSE)-VLOOKUP(A14,'SegEnds_NonXtal_Prot#'!A:AL,7,FALSE)</f>
        <v>#VALUE!</v>
      </c>
      <c r="AC14" s="1">
        <f>VLOOKUP(A14,'SegEnds_NonXtal_Prot#'!A:AL,13,FALSE)-VLOOKUP(A14,'SegEnds_NonXtal_Prot#'!A:AL,10,FALSE)</f>
        <v>20</v>
      </c>
      <c r="AD14" s="1">
        <f>VLOOKUP(A14,'SegEnds_NonXtal_Prot#'!A:AL,16,FALSE)-VLOOKUP(A14,'SegEnds_NonXtal_Prot#'!A:AL,10,FALSE)</f>
        <v>52</v>
      </c>
      <c r="AE14" s="1">
        <f>VLOOKUP(A14,'SegEnds_NonXtal_Prot#'!A:AL,22,FALSE)-VLOOKUP(A14,'SegEnds_NonXtal_Prot#'!A:AL,19,FALSE)</f>
        <v>19</v>
      </c>
      <c r="AF14" s="1">
        <f>VLOOKUP(A14,'SegEnds_NonXtal_Prot#'!A:AL,28,FALSE)-VLOOKUP(A14,'SegEnds_NonXtal_Prot#'!A:AL,25,FALSE)</f>
        <v>27</v>
      </c>
      <c r="AG14" s="1">
        <f>VLOOKUP(A14,'SegEnds_NonXtal_Prot#'!A:AL,28,FALSE)-VLOOKUP(A14,'SegEnds_NonXtal_Prot#'!A:AL,22,FALSE)</f>
        <v>52</v>
      </c>
      <c r="AH14" s="1">
        <f>VLOOKUP(A14,'SegEnds_NonXtal_Prot#'!A:AL,31,FALSE)-VLOOKUP(A14,'SegEnds_NonXtal_Prot#'!A:AL,28,FALSE)</f>
        <v>51</v>
      </c>
      <c r="AI14" s="1">
        <f>VLOOKUP(A14,'SegEnds_NonXtal_Prot#'!A:AL,34,FALSE)-VLOOKUP(A14,'SegEnds_NonXtal_Prot#'!A:AL,31,FALSE)</f>
        <v>38</v>
      </c>
      <c r="AJ14" s="1" t="str">
        <f>IF(ISERROR(MATCH(A14,'SegEnds_Xtal_Prot#'!B:B, 0)), "NoXtal", "Xtal")</f>
        <v>NoXtal</v>
      </c>
    </row>
    <row r="15" spans="1:36" x14ac:dyDescent="0.2">
      <c r="A15" s="1" t="s">
        <v>231</v>
      </c>
      <c r="B15" s="1" t="str">
        <f>VLOOKUP(A15,Xtal_Templ!A:B,2,FALSE)</f>
        <v>p2ry1_human</v>
      </c>
      <c r="C15" s="5">
        <f>VLOOKUP($B15&amp;"__wt",'SegEnds_Xtal_BW#'!$A:$Z,3,FALSE)</f>
        <v>30</v>
      </c>
      <c r="D15" s="1">
        <f>VLOOKUP($B15&amp;"__wt",'SegEnds_Xtal_BW#'!$A:$Z,4,FALSE)</f>
        <v>60</v>
      </c>
      <c r="E15" s="1" t="str">
        <f>VLOOKUP($B15&amp;"__wt",'SegEnds_Xtal_BW#'!$A:$Z,5,FALSE)</f>
        <v>-</v>
      </c>
      <c r="F15" s="1" t="str">
        <f>VLOOKUP($B15&amp;"__wt",'SegEnds_Xtal_BW#'!$A:$Z,6,FALSE)</f>
        <v>-</v>
      </c>
      <c r="G15" s="1">
        <v>37</v>
      </c>
      <c r="H15" s="12">
        <v>66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21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11">
        <v>56</v>
      </c>
      <c r="O15" s="89">
        <f>VLOOKUP($B15&amp;"__wt",'SegEnds_Xtal_BW#'!$A:$Z,15,FALSE)</f>
        <v>38</v>
      </c>
      <c r="P15" s="1">
        <f>VLOOKUP($B15&amp;"__wt",'SegEnds_Xtal_BW#'!$A:$Z,16,FALSE)</f>
        <v>64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f>VLOOKUP($B15&amp;"__wt",'SegEnds_Xtal_BW#'!$A:$Z,19,FALSE)</f>
        <v>32</v>
      </c>
      <c r="T15" s="1">
        <f t="array" ref="T15">INDEX('ICL3'!$G$2:$G$40,MATCH(MIN(ABS(AH15-'ICL3'!$F$2:$F$40)),ABS(AH15-'ICL3'!$F$2:$F$40),0))</f>
        <v>68</v>
      </c>
      <c r="U15" s="1">
        <f t="array" ref="U15">INDEX('ICL3'!$H$2:$H$40,MATCH(MIN(ABS(AH15-'ICL3'!$F$2:$F$40)),ABS(AH15-'ICL3'!$F$2:$F$40),0))</f>
        <v>24</v>
      </c>
      <c r="V15" s="1">
        <v>64</v>
      </c>
      <c r="W15" s="1">
        <v>24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 t="e">
        <f>VLOOKUP(A15,'SegEnds_NonXtal_Prot#'!A:AL,10,FALSE)-VLOOKUP(A15,'SegEnds_NonXtal_Prot#'!A:AL,7,FALSE)</f>
        <v>#VALUE!</v>
      </c>
      <c r="AC15" s="1">
        <f>VLOOKUP(A15,'SegEnds_NonXtal_Prot#'!A:AL,13,FALSE)-VLOOKUP(A15,'SegEnds_NonXtal_Prot#'!A:AL,10,FALSE)</f>
        <v>19</v>
      </c>
      <c r="AD15" s="1">
        <f>VLOOKUP(A15,'SegEnds_NonXtal_Prot#'!A:AL,16,FALSE)-VLOOKUP(A15,'SegEnds_NonXtal_Prot#'!A:AL,10,FALSE)</f>
        <v>51</v>
      </c>
      <c r="AE15" s="1">
        <f>VLOOKUP(A15,'SegEnds_NonXtal_Prot#'!A:AL,22,FALSE)-VLOOKUP(A15,'SegEnds_NonXtal_Prot#'!A:AL,19,FALSE)</f>
        <v>19</v>
      </c>
      <c r="AF15" s="1">
        <f>VLOOKUP(A15,'SegEnds_NonXtal_Prot#'!A:AL,28,FALSE)-VLOOKUP(A15,'SegEnds_NonXtal_Prot#'!A:AL,25,FALSE)</f>
        <v>29</v>
      </c>
      <c r="AG15" s="1">
        <f>VLOOKUP(A15,'SegEnds_NonXtal_Prot#'!A:AL,28,FALSE)-VLOOKUP(A15,'SegEnds_NonXtal_Prot#'!A:AL,22,FALSE)</f>
        <v>55</v>
      </c>
      <c r="AH15" s="1">
        <f>VLOOKUP(A15,'SegEnds_NonXtal_Prot#'!A:AL,31,FALSE)-VLOOKUP(A15,'SegEnds_NonXtal_Prot#'!A:AL,28,FALSE)</f>
        <v>48</v>
      </c>
      <c r="AI15" s="1">
        <f>VLOOKUP(A15,'SegEnds_NonXtal_Prot#'!A:AL,34,FALSE)-VLOOKUP(A15,'SegEnds_NonXtal_Prot#'!A:AL,31,FALSE)</f>
        <v>44</v>
      </c>
      <c r="AJ15" s="1" t="str">
        <f>IF(ISERROR(MATCH(A15,'SegEnds_Xtal_Prot#'!B:B, 0)), "NoXtal", "Xtal")</f>
        <v>NoXtal</v>
      </c>
    </row>
    <row r="16" spans="1:36" x14ac:dyDescent="0.2">
      <c r="A16" s="1" t="s">
        <v>103</v>
      </c>
      <c r="B16" s="1" t="str">
        <f>VLOOKUP(A16,Xtal_Templ!A:B,2,FALSE)</f>
        <v>lpar1_human</v>
      </c>
      <c r="C16" s="5">
        <f>VLOOKUP($B16&amp;"__wt",'SegEnds_Xtal_BW#'!$A:$Z,3,FALSE)</f>
        <v>30</v>
      </c>
      <c r="D16" s="1">
        <f>VLOOKUP($B16&amp;"__wt",'SegEnds_Xtal_BW#'!$A:$Z,4,FALSE)</f>
        <v>60</v>
      </c>
      <c r="E16" s="1">
        <f>VLOOKUP($B16&amp;"__wt",'SegEnds_Xtal_BW#'!$A:$Z,5,FALSE)</f>
        <v>48</v>
      </c>
      <c r="F16" s="1">
        <f>VLOOKUP($B16&amp;"__wt",'SegEnds_Xtal_BW#'!$A:$Z,6,FALSE)</f>
        <v>51</v>
      </c>
      <c r="G16" s="1">
        <v>37</v>
      </c>
      <c r="H16" s="12">
        <v>63</v>
      </c>
      <c r="I16" s="1">
        <f>VLOOKUP($B16&amp;"__wt",'SegEnds_Xtal_BW#'!$A:$Z,9,FALSE)</f>
        <v>47</v>
      </c>
      <c r="J16" s="1">
        <f>VLOOKUP($B16&amp;"__wt",'SegEnds_Xtal_BW#'!$A:$Z,10,FALSE)</f>
        <v>53</v>
      </c>
      <c r="K16" s="12">
        <f>VLOOKUP($B16&amp;"__wt",'SegEnds_Xtal_BW#'!$A:$Z,11,FALSE)</f>
        <v>21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11">
        <f>VLOOKUP($B16&amp;"__wt",'SegEnds_Xtal_BW#'!$A:$Z,14,FALSE)</f>
        <v>56</v>
      </c>
      <c r="O16" s="111">
        <f>VLOOKUP($B16&amp;"__wt",'SegEnds_Xtal_BW#'!$A:$Z,15,FALSE)</f>
        <v>38</v>
      </c>
      <c r="P16" s="1">
        <f>VLOOKUP($B16&amp;"__wt",'SegEnds_Xtal_BW#'!$A:$Z,16,FALSE)</f>
        <v>63</v>
      </c>
      <c r="Q16" s="1" t="str">
        <f>VLOOKUP($B16&amp;"__wt",'SegEnds_Xtal_BW#'!$A:$Z,17,FALSE)</f>
        <v>-</v>
      </c>
      <c r="R16" s="1" t="str">
        <f>VLOOKUP($B16&amp;"__wt",'SegEnds_Xtal_BW#'!$A:$Z,18,FALSE)</f>
        <v>-</v>
      </c>
      <c r="S16" s="1">
        <f>VLOOKUP($B16&amp;"__wt",'SegEnds_Xtal_BW#'!$A:$Z,19,FALSE)</f>
        <v>36</v>
      </c>
      <c r="T16" s="1">
        <f t="array" ref="T16">INDEX('ICL3'!$G$2:$G$40,MATCH(MIN(ABS(AH16-'ICL3'!$F$2:$F$40)),ABS(AH16-'ICL3'!$F$2:$F$40),0))</f>
        <v>73</v>
      </c>
      <c r="U16" s="1">
        <f t="array" ref="U16">INDEX('ICL3'!$H$2:$H$40,MATCH(MIN(ABS(AH16-'ICL3'!$F$2:$F$40)),ABS(AH16-'ICL3'!$F$2:$F$40),0))</f>
        <v>22</v>
      </c>
      <c r="V16" s="1">
        <v>61</v>
      </c>
      <c r="W16" s="1">
        <v>30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59</v>
      </c>
      <c r="AA16" s="27" t="str">
        <f>VLOOKUP(A16,Classification!A:B,2,FALSE)</f>
        <v>A</v>
      </c>
      <c r="AB16" s="1">
        <f>VLOOKUP(A16,'SegEnds_NonXtal_Prot#'!A:AL,10,FALSE)-VLOOKUP(A16,'SegEnds_NonXtal_Prot#'!A:AL,7,FALSE)</f>
        <v>15</v>
      </c>
      <c r="AC16" s="1">
        <f>VLOOKUP(A16,'SegEnds_NonXtal_Prot#'!A:AL,13,FALSE)-VLOOKUP(A16,'SegEnds_NonXtal_Prot#'!A:AL,10,FALSE)</f>
        <v>18</v>
      </c>
      <c r="AD16" s="1">
        <f>VLOOKUP(A16,'SegEnds_NonXtal_Prot#'!A:AL,16,FALSE)-VLOOKUP(A16,'SegEnds_NonXtal_Prot#'!A:AL,10,FALSE)</f>
        <v>51</v>
      </c>
      <c r="AE16" s="1">
        <f>VLOOKUP(A16,'SegEnds_NonXtal_Prot#'!A:AL,22,FALSE)-VLOOKUP(A16,'SegEnds_NonXtal_Prot#'!A:AL,19,FALSE)</f>
        <v>19</v>
      </c>
      <c r="AF16" s="1" t="e">
        <f>VLOOKUP(A16,'SegEnds_NonXtal_Prot#'!A:AL,28,FALSE)-VLOOKUP(A16,'SegEnds_NonXtal_Prot#'!A:AL,25,FALSE)</f>
        <v>#VALUE!</v>
      </c>
      <c r="AG16" s="1">
        <f>VLOOKUP(A16,'SegEnds_NonXtal_Prot#'!A:AL,28,FALSE)-VLOOKUP(A16,'SegEnds_NonXtal_Prot#'!A:AL,22,FALSE)</f>
        <v>45</v>
      </c>
      <c r="AH16" s="1">
        <f>VLOOKUP(A16,'SegEnds_NonXtal_Prot#'!A:AL,31,FALSE)-VLOOKUP(A16,'SegEnds_NonXtal_Prot#'!A:AL,28,FALSE)</f>
        <v>56</v>
      </c>
      <c r="AI16" s="1">
        <f>VLOOKUP(A16,'SegEnds_NonXtal_Prot#'!A:AL,34,FALSE)-VLOOKUP(A16,'SegEnds_NonXtal_Prot#'!A:AL,31,FALSE)</f>
        <v>35</v>
      </c>
      <c r="AJ16" s="1" t="str">
        <f>IF(ISERROR(MATCH(A16,'SegEnds_Xtal_Prot#'!B:B, 0)), "NoXtal", "Xtal")</f>
        <v>Xtal</v>
      </c>
    </row>
    <row r="17" spans="1:36" x14ac:dyDescent="0.2">
      <c r="A17" s="1" t="s">
        <v>286</v>
      </c>
      <c r="B17" s="1" t="str">
        <f>VLOOKUP(A17,Xtal_Templ!A:B,2,FALSE)</f>
        <v>lpar1_human</v>
      </c>
      <c r="C17" s="5">
        <f>VLOOKUP($B17&amp;"__wt",'SegEnds_Xtal_BW#'!$A:$Z,3,FALSE)</f>
        <v>30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f>VLOOKUP($B17&amp;"__wt",'SegEnds_Xtal_BW#'!$A:$Z,8,FALSE)</f>
        <v>63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21</v>
      </c>
      <c r="L17" s="1">
        <f>VLOOKUP($B17&amp;"__wt",'SegEnds_Xtal_BW#'!$A:$Z,12,FALSE)</f>
        <v>56</v>
      </c>
      <c r="M17" s="1">
        <f>VLOOKUP($B17&amp;"__wt",'SegEnds_Xtal_BW#'!$A:$Z,13,FALSE)</f>
        <v>50</v>
      </c>
      <c r="N17" s="111">
        <v>56</v>
      </c>
      <c r="O17" s="111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INDEX('ICL3'!$G$2:$G$40,MATCH(MIN(ABS(AH17-'ICL3'!$F$2:$F$40)),ABS(AH17-'ICL3'!$F$2:$F$40),0))</f>
        <v>73</v>
      </c>
      <c r="U17" s="1">
        <f t="array" ref="U17">INDEX('ICL3'!$H$2:$H$40,MATCH(MIN(ABS(AH17-'ICL3'!$F$2:$F$40)),ABS(AH17-'ICL3'!$F$2:$F$40),0))</f>
        <v>22</v>
      </c>
      <c r="V17" s="1">
        <v>61</v>
      </c>
      <c r="W17" s="1">
        <v>30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VLOOKUP(A17,'SegEnds_NonXtal_Prot#'!A:AL,10,FALSE)-VLOOKUP(A17,'SegEnds_NonXtal_Prot#'!A:AL,7,FALSE)</f>
        <v>15</v>
      </c>
      <c r="AC17" s="1">
        <f>VLOOKUP(A17,'SegEnds_NonXtal_Prot#'!A:AL,13,FALSE)-VLOOKUP(A17,'SegEnds_NonXtal_Prot#'!A:AL,10,FALSE)</f>
        <v>18</v>
      </c>
      <c r="AD17" s="1">
        <f>VLOOKUP(A17,'SegEnds_NonXtal_Prot#'!A:AL,16,FALSE)-VLOOKUP(A17,'SegEnds_NonXtal_Prot#'!A:AL,10,FALSE)</f>
        <v>51</v>
      </c>
      <c r="AE17" s="1">
        <f>VLOOKUP(A17,'SegEnds_NonXtal_Prot#'!A:AL,22,FALSE)-VLOOKUP(A17,'SegEnds_NonXtal_Prot#'!A:AL,19,FALSE)</f>
        <v>19</v>
      </c>
      <c r="AF17" s="1" t="e">
        <f>VLOOKUP(A17,'SegEnds_NonXtal_Prot#'!A:AL,28,FALSE)-VLOOKUP(A17,'SegEnds_NonXtal_Prot#'!A:AL,25,FALSE)</f>
        <v>#VALUE!</v>
      </c>
      <c r="AG17" s="1">
        <f>VLOOKUP(A17,'SegEnds_NonXtal_Prot#'!A:AL,28,FALSE)-VLOOKUP(A17,'SegEnds_NonXtal_Prot#'!A:AL,22,FALSE)</f>
        <v>45</v>
      </c>
      <c r="AH17" s="1">
        <f>VLOOKUP(A17,'SegEnds_NonXtal_Prot#'!A:AL,31,FALSE)-VLOOKUP(A17,'SegEnds_NonXtal_Prot#'!A:AL,28,FALSE)</f>
        <v>56</v>
      </c>
      <c r="AI17" s="1">
        <f>VLOOKUP(A17,'SegEnds_NonXtal_Prot#'!A:AL,34,FALSE)-VLOOKUP(A17,'SegEnds_NonXtal_Prot#'!A:AL,31,FALSE)</f>
        <v>36</v>
      </c>
      <c r="AJ17" s="1" t="str">
        <f>IF(ISERROR(MATCH(A17,'SegEnds_Xtal_Prot#'!B:B, 0)), "NoXtal", "Xtal")</f>
        <v>NoXtal</v>
      </c>
    </row>
    <row r="18" spans="1:36" x14ac:dyDescent="0.2">
      <c r="A18" s="1" t="s">
        <v>287</v>
      </c>
      <c r="B18" s="1" t="str">
        <f>VLOOKUP(A18,Xtal_Templ!A:B,2,FALSE)</f>
        <v>lpar1_human</v>
      </c>
      <c r="C18" s="5">
        <f>VLOOKUP($B18&amp;"__wt",'SegEnds_Xtal_BW#'!$A:$Z,3,FALSE)</f>
        <v>30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63</v>
      </c>
      <c r="I18" s="1">
        <f>VLOOKUP($B18&amp;"__wt",'SegEnds_Xtal_BW#'!$A:$Z,9,FALSE)</f>
        <v>47</v>
      </c>
      <c r="J18" s="1">
        <f>VLOOKUP($B18&amp;"__wt",'SegEnds_Xtal_BW#'!$A:$Z,10,FALSE)</f>
        <v>53</v>
      </c>
      <c r="K18" s="12">
        <v>21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11">
        <v>56</v>
      </c>
      <c r="O18" s="111">
        <f>VLOOKUP($B18&amp;"__wt",'SegEnds_Xtal_BW#'!$A:$Z,15,FALSE)</f>
        <v>38</v>
      </c>
      <c r="P18" s="1">
        <f>VLOOKUP($B18&amp;"__wt",'SegEnds_Xtal_BW#'!$A:$Z,16,FALSE)</f>
        <v>63</v>
      </c>
      <c r="Q18" s="1" t="str">
        <f>VLOOKUP($B18&amp;"__wt",'SegEnds_Xtal_BW#'!$A:$Z,17,FALSE)</f>
        <v>-</v>
      </c>
      <c r="R18" s="1" t="str">
        <f>VLOOKUP($B18&amp;"__wt",'SegEnds_Xtal_BW#'!$A:$Z,18,FALSE)</f>
        <v>-</v>
      </c>
      <c r="S18" s="1">
        <f>VLOOKUP($B18&amp;"__wt",'SegEnds_Xtal_BW#'!$A:$Z,19,FALSE)</f>
        <v>36</v>
      </c>
      <c r="T18" s="1">
        <f t="array" ref="T18">INDEX('ICL3'!$G$2:$G$40,MATCH(MIN(ABS(AH18-'ICL3'!$F$2:$F$40)),ABS(AH18-'ICL3'!$F$2:$F$40),0))</f>
        <v>73</v>
      </c>
      <c r="U18" s="1">
        <f t="array" ref="U18">INDEX('ICL3'!$H$2:$H$40,MATCH(MIN(ABS(AH18-'ICL3'!$F$2:$F$40)),ABS(AH18-'ICL3'!$F$2:$F$40),0))</f>
        <v>22</v>
      </c>
      <c r="V18" s="1">
        <v>61</v>
      </c>
      <c r="W18" s="1">
        <v>30</v>
      </c>
      <c r="X18" s="1">
        <f>VLOOKUP($B18&amp;"__wt",'SegEnds_Xtal_BW#'!$A:$Z,24,FALSE)</f>
        <v>56</v>
      </c>
      <c r="Y18" s="1">
        <f>VLOOKUP($B18&amp;"__wt",'SegEnds_Xtal_BW#'!$A:$Z,25,FALSE)</f>
        <v>47</v>
      </c>
      <c r="Z18" s="1">
        <f>VLOOKUP($B18&amp;"__wt",'SegEnds_Xtal_BW#'!$A:$Z,26,FALSE)</f>
        <v>59</v>
      </c>
      <c r="AA18" s="27" t="str">
        <f>VLOOKUP(A18,Classification!A:B,2,FALSE)</f>
        <v>A</v>
      </c>
      <c r="AB18" s="1">
        <f>VLOOKUP(A18,'SegEnds_NonXtal_Prot#'!A:AL,10,FALSE)-VLOOKUP(A18,'SegEnds_NonXtal_Prot#'!A:AL,7,FALSE)</f>
        <v>15</v>
      </c>
      <c r="AC18" s="1">
        <f>VLOOKUP(A18,'SegEnds_NonXtal_Prot#'!A:AL,13,FALSE)-VLOOKUP(A18,'SegEnds_NonXtal_Prot#'!A:AL,10,FALSE)</f>
        <v>18</v>
      </c>
      <c r="AD18" s="1">
        <f>VLOOKUP(A18,'SegEnds_NonXtal_Prot#'!A:AL,16,FALSE)-VLOOKUP(A18,'SegEnds_NonXtal_Prot#'!A:AL,10,FALSE)</f>
        <v>51</v>
      </c>
      <c r="AE18" s="1">
        <f>VLOOKUP(A18,'SegEnds_NonXtal_Prot#'!A:AL,22,FALSE)-VLOOKUP(A18,'SegEnds_NonXtal_Prot#'!A:AL,19,FALSE)</f>
        <v>19</v>
      </c>
      <c r="AF18" s="1" t="e">
        <f>VLOOKUP(A18,'SegEnds_NonXtal_Prot#'!A:AL,28,FALSE)-VLOOKUP(A18,'SegEnds_NonXtal_Prot#'!A:AL,25,FALSE)</f>
        <v>#VALUE!</v>
      </c>
      <c r="AG18" s="1">
        <f>VLOOKUP(A18,'SegEnds_NonXtal_Prot#'!A:AL,28,FALSE)-VLOOKUP(A18,'SegEnds_NonXtal_Prot#'!A:AL,22,FALSE)</f>
        <v>45</v>
      </c>
      <c r="AH18" s="1">
        <f>VLOOKUP(A18,'SegEnds_NonXtal_Prot#'!A:AL,31,FALSE)-VLOOKUP(A18,'SegEnds_NonXtal_Prot#'!A:AL,28,FALSE)</f>
        <v>56</v>
      </c>
      <c r="AI18" s="1">
        <f>VLOOKUP(A18,'SegEnds_NonXtal_Prot#'!A:AL,34,FALSE)-VLOOKUP(A18,'SegEnds_NonXtal_Prot#'!A:AL,31,FALSE)</f>
        <v>36</v>
      </c>
      <c r="AJ18" s="1" t="str">
        <f>IF(ISERROR(MATCH(A18,'SegEnds_Xtal_Prot#'!B:B, 0)), "NoXtal", "Xtal")</f>
        <v>NoXtal</v>
      </c>
    </row>
    <row r="19" spans="1:36" x14ac:dyDescent="0.2">
      <c r="A19" s="1" t="s">
        <v>334</v>
      </c>
      <c r="B19" s="1" t="str">
        <f>VLOOKUP(A19,Xtal_Templ!A:B,2,FALSE)</f>
        <v>opsd_bovin</v>
      </c>
      <c r="C19" s="5">
        <f>VLOOKUP($B19&amp;"__wt",'SegEnds_Xtal_BW#'!$A:$Z,3,FALSE)</f>
        <v>29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67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">
        <f>VLOOKUP($B19&amp;"__wt",'SegEnds_Xtal_BW#'!$A:$Z,13,FALSE)</f>
        <v>50</v>
      </c>
      <c r="N19" s="111">
        <v>56</v>
      </c>
      <c r="O19" s="89">
        <f>VLOOKUP($B19&amp;"__wt",'SegEnds_Xtal_BW#'!$A:$Z,15,FALSE)</f>
        <v>38</v>
      </c>
      <c r="P19" s="1">
        <f>VLOOKUP($B19&amp;"__wt",'SegEnds_Xtal_BW#'!$A:$Z,16,FALSE)</f>
        <v>62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f>VLOOKUP($B19&amp;"__wt",'SegEnds_Xtal_BW#'!$A:$Z,19,FALSE)</f>
        <v>34</v>
      </c>
      <c r="T19" s="1">
        <f t="array" ref="T19">INDEX('ICL3'!$G$2:$G$40,MATCH(MIN(ABS(AH19-'ICL3'!$F$2:$F$40)),ABS(AH19-'ICL3'!$F$2:$F$40),0))</f>
        <v>73</v>
      </c>
      <c r="U19" s="1">
        <f t="array" ref="U19">INDEX('ICL3'!$H$2:$H$40,MATCH(MIN(ABS(AH19-'ICL3'!$F$2:$F$40)),ABS(AH19-'ICL3'!$F$2:$F$40),0))</f>
        <v>22</v>
      </c>
      <c r="V19" s="1">
        <v>61</v>
      </c>
      <c r="W19" s="1">
        <v>31</v>
      </c>
      <c r="X19" s="1">
        <f>VLOOKUP($B19&amp;"__wt",'SegEnds_Xtal_BW#'!$A:$Z,24,FALSE)</f>
        <v>56</v>
      </c>
      <c r="Y19" s="1">
        <f>VLOOKUP($B19&amp;"__wt",'SegEnds_Xtal_BW#'!$A:$Z,25,FALSE)</f>
        <v>47</v>
      </c>
      <c r="Z19" s="1">
        <f>VLOOKUP($B19&amp;"__wt",'SegEnds_Xtal_BW#'!$A:$Z,26,FALSE)</f>
        <v>59</v>
      </c>
      <c r="AA19" s="27" t="str">
        <f>VLOOKUP(A19,Classification!A:B,2,FALSE)</f>
        <v>A</v>
      </c>
      <c r="AB19" s="1">
        <f>VLOOKUP(A19,'SegEnds_NonXtal_Prot#'!A:AL,10,FALSE)-VLOOKUP(A19,'SegEnds_NonXtal_Prot#'!A:AL,7,FALSE)</f>
        <v>14</v>
      </c>
      <c r="AC19" s="1">
        <f>VLOOKUP(A19,'SegEnds_NonXtal_Prot#'!A:AL,13,FALSE)-VLOOKUP(A19,'SegEnds_NonXtal_Prot#'!A:AL,10,FALSE)</f>
        <v>20</v>
      </c>
      <c r="AD19" s="1">
        <f>VLOOKUP(A19,'SegEnds_NonXtal_Prot#'!A:AL,16,FALSE)-VLOOKUP(A19,'SegEnds_NonXtal_Prot#'!A:AL,10,FALSE)</f>
        <v>52</v>
      </c>
      <c r="AE19" s="1">
        <f>VLOOKUP(A19,'SegEnds_NonXtal_Prot#'!A:AL,22,FALSE)-VLOOKUP(A19,'SegEnds_NonXtal_Prot#'!A:AL,19,FALSE)</f>
        <v>19</v>
      </c>
      <c r="AF19" s="1">
        <f>VLOOKUP(A19,'SegEnds_NonXtal_Prot#'!A:AL,28,FALSE)-VLOOKUP(A19,'SegEnds_NonXtal_Prot#'!A:AL,25,FALSE)</f>
        <v>28</v>
      </c>
      <c r="AG19" s="1">
        <f>VLOOKUP(A19,'SegEnds_NonXtal_Prot#'!A:AL,28,FALSE)-VLOOKUP(A19,'SegEnds_NonXtal_Prot#'!A:AL,22,FALSE)</f>
        <v>54</v>
      </c>
      <c r="AH19" s="1">
        <f>VLOOKUP(A19,'SegEnds_NonXtal_Prot#'!A:AL,31,FALSE)-VLOOKUP(A19,'SegEnds_NonXtal_Prot#'!A:AL,28,FALSE)</f>
        <v>56</v>
      </c>
      <c r="AI19" s="1">
        <f>VLOOKUP(A19,'SegEnds_NonXtal_Prot#'!A:AL,34,FALSE)-VLOOKUP(A19,'SegEnds_NonXtal_Prot#'!A:AL,31,FALSE)</f>
        <v>36</v>
      </c>
      <c r="AJ19" s="1" t="str">
        <f>IF(ISERROR(MATCH(A19,'SegEnds_Xtal_Prot#'!B:B, 0)), "NoXtal", "Xtal")</f>
        <v>NoXtal</v>
      </c>
    </row>
    <row r="20" spans="1:36" x14ac:dyDescent="0.2">
      <c r="A20" s="1" t="s">
        <v>338</v>
      </c>
      <c r="B20" s="1" t="str">
        <f>VLOOKUP(A20,Xtal_Templ!A:B,2,FALSE)</f>
        <v>opsd_human</v>
      </c>
      <c r="C20" s="5">
        <f>VLOOKUP($B20&amp;"__wt",'SegEnds_Xtal_BW#'!$A:$Z,3,FALSE)</f>
        <v>29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2">
        <f>VLOOKUP($B20&amp;"__wt",'SegEnds_Xtal_BW#'!$A:$Z,8,FALSE)</f>
        <v>67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11">
        <v>56</v>
      </c>
      <c r="O20" s="89">
        <f>VLOOKUP($B20&amp;"__wt",'SegEnds_Xtal_BW#'!$A:$Z,15,FALSE)</f>
        <v>38</v>
      </c>
      <c r="P20" s="1">
        <f>VLOOKUP($B20&amp;"__wt",'SegEnds_Xtal_BW#'!$A:$Z,16,FALSE)</f>
        <v>62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f>VLOOKUP($B20&amp;"__wt",'SegEnds_Xtal_BW#'!$A:$Z,19,FALSE)</f>
        <v>34</v>
      </c>
      <c r="T20" s="1">
        <f t="array" ref="T20">INDEX('ICL3'!$G$2:$G$40,MATCH(MIN(ABS(AH20-'ICL3'!$F$2:$F$40)),ABS(AH20-'ICL3'!$F$2:$F$40),0))</f>
        <v>72</v>
      </c>
      <c r="U20" s="1">
        <f t="array" ref="U20">INDEX('ICL3'!$H$2:$H$40,MATCH(MIN(ABS(AH20-'ICL3'!$F$2:$F$40)),ABS(AH20-'ICL3'!$F$2:$F$40),0))</f>
        <v>24</v>
      </c>
      <c r="V20" s="1">
        <v>61</v>
      </c>
      <c r="W20" s="1">
        <v>31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59</v>
      </c>
      <c r="AA20" s="27" t="str">
        <f>VLOOKUP(A20,Classification!A:B,2,FALSE)</f>
        <v>A</v>
      </c>
      <c r="AB20" s="1">
        <f>VLOOKUP(A20,'SegEnds_NonXtal_Prot#'!A:AL,10,FALSE)-VLOOKUP(A20,'SegEnds_NonXtal_Prot#'!A:AL,7,FALSE)</f>
        <v>15</v>
      </c>
      <c r="AC20" s="1">
        <f>VLOOKUP(A20,'SegEnds_NonXtal_Prot#'!A:AL,13,FALSE)-VLOOKUP(A20,'SegEnds_NonXtal_Prot#'!A:AL,10,FALSE)</f>
        <v>20</v>
      </c>
      <c r="AD20" s="1">
        <f>VLOOKUP(A20,'SegEnds_NonXtal_Prot#'!A:AL,16,FALSE)-VLOOKUP(A20,'SegEnds_NonXtal_Prot#'!A:AL,10,FALSE)</f>
        <v>52</v>
      </c>
      <c r="AE20" s="1">
        <f>VLOOKUP(A20,'SegEnds_NonXtal_Prot#'!A:AL,22,FALSE)-VLOOKUP(A20,'SegEnds_NonXtal_Prot#'!A:AL,19,FALSE)</f>
        <v>19</v>
      </c>
      <c r="AF20" s="1">
        <f>VLOOKUP(A20,'SegEnds_NonXtal_Prot#'!A:AL,28,FALSE)-VLOOKUP(A20,'SegEnds_NonXtal_Prot#'!A:AL,25,FALSE)</f>
        <v>28</v>
      </c>
      <c r="AG20" s="1">
        <f>VLOOKUP(A20,'SegEnds_NonXtal_Prot#'!A:AL,28,FALSE)-VLOOKUP(A20,'SegEnds_NonXtal_Prot#'!A:AL,22,FALSE)</f>
        <v>54</v>
      </c>
      <c r="AH20" s="1">
        <f>VLOOKUP(A20,'SegEnds_NonXtal_Prot#'!A:AL,31,FALSE)-VLOOKUP(A20,'SegEnds_NonXtal_Prot#'!A:AL,28,FALSE)</f>
        <v>52</v>
      </c>
      <c r="AI20" s="1">
        <f>VLOOKUP(A20,'SegEnds_NonXtal_Prot#'!A:AL,34,FALSE)-VLOOKUP(A20,'SegEnds_NonXtal_Prot#'!A:AL,31,FALSE)</f>
        <v>36</v>
      </c>
      <c r="AJ20" s="1" t="str">
        <f>IF(ISERROR(MATCH(A20,'SegEnds_Xtal_Prot#'!B:B, 0)), "NoXtal", "Xtal")</f>
        <v>NoXtal</v>
      </c>
    </row>
    <row r="21" spans="1:36" x14ac:dyDescent="0.2">
      <c r="A21" s="1" t="s">
        <v>920</v>
      </c>
      <c r="B21" s="1" t="str">
        <f>VLOOKUP(A21,Xtal_Templ!A:B,2,FALSE)</f>
        <v>opsd_bovin</v>
      </c>
      <c r="C21" s="5">
        <f>VLOOKUP($B21&amp;"__wt",'SegEnds_Xtal_BW#'!$A:$Z,3,FALSE)</f>
        <v>29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2">
        <f>VLOOKUP($B21&amp;"__wt",'SegEnds_Xtal_BW#'!$A:$Z,8,FALSE)</f>
        <v>67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11">
        <f>VLOOKUP($B21&amp;"__wt",'SegEnds_Xtal_BW#'!$A:$Z,14,FALSE)</f>
        <v>56</v>
      </c>
      <c r="O21" s="89">
        <f>VLOOKUP($B21&amp;"__wt",'SegEnds_Xtal_BW#'!$A:$Z,15,FALSE)</f>
        <v>38</v>
      </c>
      <c r="P21" s="1">
        <f>VLOOKUP($B21&amp;"__wt",'SegEnds_Xtal_BW#'!$A:$Z,16,FALSE)</f>
        <v>62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f>VLOOKUP($B21&amp;"__wt",'SegEnds_Xtal_BW#'!$A:$Z,19,FALSE)</f>
        <v>34</v>
      </c>
      <c r="T21" s="1">
        <f t="array" ref="T21">INDEX('ICL3'!$G$2:$G$40,MATCH(MIN(ABS(AH21-'ICL3'!$F$2:$F$40)),ABS(AH21-'ICL3'!$F$2:$F$40),0))</f>
        <v>72</v>
      </c>
      <c r="U21" s="1">
        <f t="array" ref="U21">INDEX('ICL3'!$H$2:$H$40,MATCH(MIN(ABS(AH21-'ICL3'!$F$2:$F$40)),ABS(AH21-'ICL3'!$F$2:$F$40),0))</f>
        <v>24</v>
      </c>
      <c r="V21" s="1">
        <v>61</v>
      </c>
      <c r="W21" s="1">
        <v>31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59</v>
      </c>
      <c r="AA21" s="27" t="str">
        <f>VLOOKUP(A21,Classification!A:B,2,FALSE)</f>
        <v>A</v>
      </c>
      <c r="AB21" s="1">
        <f>VLOOKUP(A21,'SegEnds_NonXtal_Prot#'!A:AL,10,FALSE)-VLOOKUP(A21,'SegEnds_NonXtal_Prot#'!A:AL,7,FALSE)</f>
        <v>15</v>
      </c>
      <c r="AC21" s="1">
        <f>VLOOKUP(A21,'SegEnds_NonXtal_Prot#'!A:AL,13,FALSE)-VLOOKUP(A21,'SegEnds_NonXtal_Prot#'!A:AL,10,FALSE)</f>
        <v>20</v>
      </c>
      <c r="AD21" s="1">
        <f>VLOOKUP(A21,'SegEnds_NonXtal_Prot#'!A:AL,16,FALSE)-VLOOKUP(A21,'SegEnds_NonXtal_Prot#'!A:AL,10,FALSE)</f>
        <v>52</v>
      </c>
      <c r="AE21" s="1">
        <f>VLOOKUP(A21,'SegEnds_NonXtal_Prot#'!A:AL,22,FALSE)-VLOOKUP(A21,'SegEnds_NonXtal_Prot#'!A:AL,19,FALSE)</f>
        <v>19</v>
      </c>
      <c r="AF21" s="1">
        <f>VLOOKUP(A21,'SegEnds_NonXtal_Prot#'!A:AL,28,FALSE)-VLOOKUP(A21,'SegEnds_NonXtal_Prot#'!A:AL,25,FALSE)</f>
        <v>28</v>
      </c>
      <c r="AG21" s="1">
        <f>VLOOKUP(A21,'SegEnds_NonXtal_Prot#'!A:AL,28,FALSE)-VLOOKUP(A21,'SegEnds_NonXtal_Prot#'!A:AL,22,FALSE)</f>
        <v>54</v>
      </c>
      <c r="AH21" s="1">
        <f>VLOOKUP(A21,'SegEnds_NonXtal_Prot#'!A:AL,31,FALSE)-VLOOKUP(A21,'SegEnds_NonXtal_Prot#'!A:AL,28,FALSE)</f>
        <v>52</v>
      </c>
      <c r="AI21" s="1">
        <f>VLOOKUP(A21,'SegEnds_NonXtal_Prot#'!A:AL,34,FALSE)-VLOOKUP(A21,'SegEnds_NonXtal_Prot#'!A:AL,31,FALSE)</f>
        <v>36</v>
      </c>
      <c r="AJ21" s="1" t="str">
        <f>IF(ISERROR(MATCH(A21,'SegEnds_Xtal_Prot#'!B:B, 0)), "NoXtal", "Xtal")</f>
        <v>Xtal</v>
      </c>
    </row>
    <row r="22" spans="1:36" x14ac:dyDescent="0.2">
      <c r="A22" s="1" t="s">
        <v>339</v>
      </c>
      <c r="B22" s="1" t="str">
        <f>VLOOKUP(A22,Xtal_Templ!A:B,2,FALSE)</f>
        <v>opsd_human</v>
      </c>
      <c r="C22" s="5">
        <f>VLOOKUP($B22&amp;"__wt",'SegEnds_Xtal_BW#'!$A:$Z,3,FALSE)</f>
        <v>29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11">
        <f>VLOOKUP($B22&amp;"__wt",'SegEnds_Xtal_BW#'!$A:$Z,14,FALSE)</f>
        <v>56</v>
      </c>
      <c r="O22" s="89">
        <f>VLOOKUP($B22&amp;"__wt",'SegEnds_Xtal_BW#'!$A:$Z,15,FALSE)</f>
        <v>38</v>
      </c>
      <c r="P22" s="1">
        <f>VLOOKUP($B22&amp;"__wt",'SegEnds_Xtal_BW#'!$A:$Z,16,FALSE)</f>
        <v>62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f>VLOOKUP($B22&amp;"__wt",'SegEnds_Xtal_BW#'!$A:$Z,19,FALSE)</f>
        <v>34</v>
      </c>
      <c r="T22" s="1">
        <f t="array" ref="T22">INDEX('ICL3'!$G$2:$G$40,MATCH(MIN(ABS(AH22-'ICL3'!$F$2:$F$40)),ABS(AH22-'ICL3'!$F$2:$F$40),0))</f>
        <v>72</v>
      </c>
      <c r="U22" s="1">
        <f t="array" ref="U22">INDEX('ICL3'!$H$2:$H$40,MATCH(MIN(ABS(AH22-'ICL3'!$F$2:$F$40)),ABS(AH22-'ICL3'!$F$2:$F$40),0))</f>
        <v>24</v>
      </c>
      <c r="V22" s="1">
        <v>61</v>
      </c>
      <c r="W22" s="1">
        <v>31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59</v>
      </c>
      <c r="AA22" s="27" t="str">
        <f>VLOOKUP(A22,Classification!A:B,2,FALSE)</f>
        <v>A</v>
      </c>
      <c r="AB22" s="1">
        <f>VLOOKUP(A22,'SegEnds_NonXtal_Prot#'!A:AL,10,FALSE)-VLOOKUP(A22,'SegEnds_NonXtal_Prot#'!A:AL,7,FALSE)</f>
        <v>15</v>
      </c>
      <c r="AC22" s="1">
        <f>VLOOKUP(A22,'SegEnds_NonXtal_Prot#'!A:AL,13,FALSE)-VLOOKUP(A22,'SegEnds_NonXtal_Prot#'!A:AL,10,FALSE)</f>
        <v>20</v>
      </c>
      <c r="AD22" s="1">
        <f>VLOOKUP(A22,'SegEnds_NonXtal_Prot#'!A:AL,16,FALSE)-VLOOKUP(A22,'SegEnds_NonXtal_Prot#'!A:AL,10,FALSE)</f>
        <v>52</v>
      </c>
      <c r="AE22" s="1">
        <f>VLOOKUP(A22,'SegEnds_NonXtal_Prot#'!A:AL,22,FALSE)-VLOOKUP(A22,'SegEnds_NonXtal_Prot#'!A:AL,19,FALSE)</f>
        <v>19</v>
      </c>
      <c r="AF22" s="1">
        <f>VLOOKUP(A22,'SegEnds_NonXtal_Prot#'!A:AL,28,FALSE)-VLOOKUP(A22,'SegEnds_NonXtal_Prot#'!A:AL,25,FALSE)</f>
        <v>28</v>
      </c>
      <c r="AG22" s="1">
        <f>VLOOKUP(A22,'SegEnds_NonXtal_Prot#'!A:AL,28,FALSE)-VLOOKUP(A22,'SegEnds_NonXtal_Prot#'!A:AL,22,FALSE)</f>
        <v>54</v>
      </c>
      <c r="AH22" s="1">
        <f>VLOOKUP(A22,'SegEnds_NonXtal_Prot#'!A:AL,31,FALSE)-VLOOKUP(A22,'SegEnds_NonXtal_Prot#'!A:AL,28,FALSE)</f>
        <v>52</v>
      </c>
      <c r="AI22" s="1">
        <f>VLOOKUP(A22,'SegEnds_NonXtal_Prot#'!A:AL,34,FALSE)-VLOOKUP(A22,'SegEnds_NonXtal_Prot#'!A:AL,31,FALSE)</f>
        <v>36</v>
      </c>
      <c r="AJ22" s="1" t="str">
        <f>IF(ISERROR(MATCH(A22,'SegEnds_Xtal_Prot#'!B:B, 0)), "NoXtal", "Xtal")</f>
        <v>Xtal</v>
      </c>
    </row>
    <row r="23" spans="1:36" x14ac:dyDescent="0.2">
      <c r="A23" s="1" t="s">
        <v>340</v>
      </c>
      <c r="B23" s="1" t="str">
        <f>VLOOKUP(A23,Xtal_Templ!A:B,2,FALSE)</f>
        <v>opsd_human</v>
      </c>
      <c r="C23" s="5">
        <f>VLOOKUP($B23&amp;"__wt",'SegEnds_Xtal_BW#'!$A:$Z,3,FALSE)</f>
        <v>29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f>VLOOKUP($B23&amp;"__wt",'SegEnds_Xtal_BW#'!$A:$Z,8,FALSE)</f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11">
        <v>56</v>
      </c>
      <c r="O23" s="89">
        <f>VLOOKUP($B23&amp;"__wt",'SegEnds_Xtal_BW#'!$A:$Z,15,FALSE)</f>
        <v>38</v>
      </c>
      <c r="P23" s="1">
        <f>VLOOKUP($B23&amp;"__wt",'SegEnds_Xtal_BW#'!$A:$Z,16,FALSE)</f>
        <v>62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INDEX('ICL3'!$G$2:$G$40,MATCH(MIN(ABS(AH23-'ICL3'!$F$2:$F$40)),ABS(AH23-'ICL3'!$F$2:$F$40),0))</f>
        <v>72</v>
      </c>
      <c r="U23" s="1">
        <f t="array" ref="U23">INDEX('ICL3'!$H$2:$H$40,MATCH(MIN(ABS(AH23-'ICL3'!$F$2:$F$40)),ABS(AH23-'ICL3'!$F$2:$F$40),0))</f>
        <v>24</v>
      </c>
      <c r="V23" s="1">
        <v>61</v>
      </c>
      <c r="W23" s="1">
        <v>31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59</v>
      </c>
      <c r="AA23" s="27" t="str">
        <f>VLOOKUP(A23,Classification!A:B,2,FALSE)</f>
        <v>A</v>
      </c>
      <c r="AB23" s="1">
        <f>VLOOKUP(A23,'SegEnds_NonXtal_Prot#'!A:AL,10,FALSE)-VLOOKUP(A23,'SegEnds_NonXtal_Prot#'!A:AL,7,FALSE)</f>
        <v>15</v>
      </c>
      <c r="AC23" s="1">
        <f>VLOOKUP(A23,'SegEnds_NonXtal_Prot#'!A:AL,13,FALSE)-VLOOKUP(A23,'SegEnds_NonXtal_Prot#'!A:AL,10,FALSE)</f>
        <v>20</v>
      </c>
      <c r="AD23" s="1">
        <f>VLOOKUP(A23,'SegEnds_NonXtal_Prot#'!A:AL,16,FALSE)-VLOOKUP(A23,'SegEnds_NonXtal_Prot#'!A:AL,10,FALSE)</f>
        <v>52</v>
      </c>
      <c r="AE23" s="1">
        <f>VLOOKUP(A23,'SegEnds_NonXtal_Prot#'!A:AL,22,FALSE)-VLOOKUP(A23,'SegEnds_NonXtal_Prot#'!A:AL,19,FALSE)</f>
        <v>19</v>
      </c>
      <c r="AF23" s="1">
        <f>VLOOKUP(A23,'SegEnds_NonXtal_Prot#'!A:AL,28,FALSE)-VLOOKUP(A23,'SegEnds_NonXtal_Prot#'!A:AL,25,FALSE)</f>
        <v>28</v>
      </c>
      <c r="AG23" s="1">
        <f>VLOOKUP(A23,'SegEnds_NonXtal_Prot#'!A:AL,28,FALSE)-VLOOKUP(A23,'SegEnds_NonXtal_Prot#'!A:AL,22,FALSE)</f>
        <v>54</v>
      </c>
      <c r="AH23" s="1">
        <f>VLOOKUP(A23,'SegEnds_NonXtal_Prot#'!A:AL,31,FALSE)-VLOOKUP(A23,'SegEnds_NonXtal_Prot#'!A:AL,28,FALSE)</f>
        <v>52</v>
      </c>
      <c r="AI23" s="1">
        <f>VLOOKUP(A23,'SegEnds_NonXtal_Prot#'!A:AL,34,FALSE)-VLOOKUP(A23,'SegEnds_NonXtal_Prot#'!A:AL,31,FALSE)</f>
        <v>36</v>
      </c>
      <c r="AJ23" s="1" t="str">
        <f>IF(ISERROR(MATCH(A23,'SegEnds_Xtal_Prot#'!B:B, 0)), "NoXtal", "Xtal")</f>
        <v>NoXtal</v>
      </c>
    </row>
    <row r="24" spans="1:36" x14ac:dyDescent="0.2">
      <c r="A24" s="1" t="s">
        <v>341</v>
      </c>
      <c r="B24" s="1" t="str">
        <f>VLOOKUP(A24,Xtal_Templ!A:B,2,FALSE)</f>
        <v>opsd_bovin</v>
      </c>
      <c r="C24" s="5">
        <f>VLOOKUP($B24&amp;"__wt",'SegEnds_Xtal_BW#'!$A:$Z,3,FALSE)</f>
        <v>29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67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18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11">
        <v>56</v>
      </c>
      <c r="O24" s="89">
        <f>VLOOKUP($B24&amp;"__wt",'SegEnds_Xtal_BW#'!$A:$Z,15,FALSE)</f>
        <v>38</v>
      </c>
      <c r="P24" s="1">
        <f>VLOOKUP($B24&amp;"__wt",'SegEnds_Xtal_BW#'!$A:$Z,16,FALSE)</f>
        <v>62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34</v>
      </c>
      <c r="T24" s="1">
        <f t="array" ref="T24">INDEX('ICL3'!$G$2:$G$40,MATCH(MIN(ABS(AH24-'ICL3'!$F$2:$F$40)),ABS(AH24-'ICL3'!$F$2:$F$40),0))</f>
        <v>72</v>
      </c>
      <c r="U24" s="1">
        <f t="array" ref="U24">INDEX('ICL3'!$H$2:$H$40,MATCH(MIN(ABS(AH24-'ICL3'!$F$2:$F$40)),ABS(AH24-'ICL3'!$F$2:$F$40),0))</f>
        <v>24</v>
      </c>
      <c r="V24" s="1">
        <v>61</v>
      </c>
      <c r="W24" s="1">
        <v>31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VLOOKUP(A24,'SegEnds_NonXtal_Prot#'!A:AL,10,FALSE)-VLOOKUP(A24,'SegEnds_NonXtal_Prot#'!A:AL,7,FALSE)</f>
        <v>15</v>
      </c>
      <c r="AC24" s="1">
        <f>VLOOKUP(A24,'SegEnds_NonXtal_Prot#'!A:AL,13,FALSE)-VLOOKUP(A24,'SegEnds_NonXtal_Prot#'!A:AL,10,FALSE)</f>
        <v>19</v>
      </c>
      <c r="AD24" s="1">
        <f>VLOOKUP(A24,'SegEnds_NonXtal_Prot#'!A:AL,16,FALSE)-VLOOKUP(A24,'SegEnds_NonXtal_Prot#'!A:AL,10,FALSE)</f>
        <v>52</v>
      </c>
      <c r="AE24" s="1">
        <f>VLOOKUP(A24,'SegEnds_NonXtal_Prot#'!A:AL,22,FALSE)-VLOOKUP(A24,'SegEnds_NonXtal_Prot#'!A:AL,19,FALSE)</f>
        <v>19</v>
      </c>
      <c r="AF24" s="1">
        <f>VLOOKUP(A24,'SegEnds_NonXtal_Prot#'!A:AL,28,FALSE)-VLOOKUP(A24,'SegEnds_NonXtal_Prot#'!A:AL,25,FALSE)</f>
        <v>28</v>
      </c>
      <c r="AG24" s="1">
        <f>VLOOKUP(A24,'SegEnds_NonXtal_Prot#'!A:AL,28,FALSE)-VLOOKUP(A24,'SegEnds_NonXtal_Prot#'!A:AL,22,FALSE)</f>
        <v>54</v>
      </c>
      <c r="AH24" s="1">
        <f>VLOOKUP(A24,'SegEnds_NonXtal_Prot#'!A:AL,31,FALSE)-VLOOKUP(A24,'SegEnds_NonXtal_Prot#'!A:AL,28,FALSE)</f>
        <v>52</v>
      </c>
      <c r="AI24" s="1">
        <f>VLOOKUP(A24,'SegEnds_NonXtal_Prot#'!A:AL,34,FALSE)-VLOOKUP(A24,'SegEnds_NonXtal_Prot#'!A:AL,31,FALSE)</f>
        <v>36</v>
      </c>
      <c r="AJ24" s="1" t="str">
        <f>IF(ISERROR(MATCH(A24,'SegEnds_Xtal_Prot#'!B:B, 0)), "NoXtal", "Xtal")</f>
        <v>NoXtal</v>
      </c>
    </row>
    <row r="25" spans="1:36" x14ac:dyDescent="0.2">
      <c r="A25" s="4" t="s">
        <v>350</v>
      </c>
      <c r="B25" s="4" t="str">
        <f>VLOOKUP(A25,Xtal_Templ!A:B,2,FALSE)</f>
        <v>p2ry1_human</v>
      </c>
      <c r="C25" s="5">
        <f>VLOOKUP($B25&amp;"__wt",'SegEnds_Xtal_BW#'!$A:$Z,3,FALSE)</f>
        <v>30</v>
      </c>
      <c r="D25" s="4">
        <f>VLOOKUP($B25&amp;"__wt",'SegEnds_Xtal_BW#'!$A:$Z,4,FALSE)</f>
        <v>60</v>
      </c>
      <c r="E25" s="4" t="str">
        <f>VLOOKUP($B25&amp;"__wt",'SegEnds_Xtal_BW#'!$A:$Z,5,FALSE)</f>
        <v>-</v>
      </c>
      <c r="F25" s="4" t="str">
        <f>VLOOKUP($B25&amp;"__wt",'SegEnds_Xtal_BW#'!$A:$Z,6,FALSE)</f>
        <v>-</v>
      </c>
      <c r="G25" s="4">
        <v>37</v>
      </c>
      <c r="H25" s="11">
        <v>66</v>
      </c>
      <c r="I25" s="4">
        <f>VLOOKUP($B25&amp;"__wt",'SegEnds_Xtal_BW#'!$A:$Z,9,FALSE)</f>
        <v>49</v>
      </c>
      <c r="J25" s="4">
        <f>VLOOKUP($B25&amp;"__wt",'SegEnds_Xtal_BW#'!$A:$Z,10,FALSE)</f>
        <v>52</v>
      </c>
      <c r="K25" s="11">
        <v>21</v>
      </c>
      <c r="L25" s="4">
        <f>VLOOKUP($B25&amp;"__wt",'SegEnds_Xtal_BW#'!$A:$Z,12,FALSE)</f>
        <v>56</v>
      </c>
      <c r="M25" s="4">
        <f>VLOOKUP($B25&amp;"__wt",'SegEnds_Xtal_BW#'!$A:$Z,13,FALSE)</f>
        <v>50</v>
      </c>
      <c r="N25" s="111">
        <v>56</v>
      </c>
      <c r="O25" s="89">
        <f>VLOOKUP($B25&amp;"__wt",'SegEnds_Xtal_BW#'!$A:$Z,15,FALSE)</f>
        <v>38</v>
      </c>
      <c r="P25" s="4">
        <f>VLOOKUP($B25&amp;"__wt",'SegEnds_Xtal_BW#'!$A:$Z,16,FALSE)</f>
        <v>64</v>
      </c>
      <c r="Q25" s="4">
        <f>VLOOKUP($B25&amp;"__wt",'SegEnds_Xtal_BW#'!$A:$Z,17,FALSE)</f>
        <v>50</v>
      </c>
      <c r="R25" s="4">
        <f>VLOOKUP($B25&amp;"__wt",'SegEnds_Xtal_BW#'!$A:$Z,18,FALSE)</f>
        <v>52</v>
      </c>
      <c r="S25" s="4">
        <f>VLOOKUP($B25&amp;"__wt",'SegEnds_Xtal_BW#'!$A:$Z,19,FALSE)</f>
        <v>32</v>
      </c>
      <c r="T25" s="4">
        <f t="array" ref="T25">INDEX('ICL3'!$G$2:$G$40,MATCH(MIN(ABS(AH25-'ICL3'!$F$2:$F$40)),ABS(AH25-'ICL3'!$F$2:$F$40),0))</f>
        <v>68</v>
      </c>
      <c r="U25" s="4">
        <f t="array" ref="U25">INDEX('ICL3'!$H$2:$H$40,MATCH(MIN(ABS(AH25-'ICL3'!$F$2:$F$40)),ABS(AH25-'ICL3'!$F$2:$F$40),0))</f>
        <v>24</v>
      </c>
      <c r="V25" s="4">
        <v>64</v>
      </c>
      <c r="W25" s="4">
        <v>24</v>
      </c>
      <c r="X25" s="4">
        <f>VLOOKUP($B25&amp;"__wt",'SegEnds_Xtal_BW#'!$A:$Z,24,FALSE)</f>
        <v>56</v>
      </c>
      <c r="Y25" s="4">
        <f>VLOOKUP($B25&amp;"__wt",'SegEnds_Xtal_BW#'!$A:$Z,25,FALSE)</f>
        <v>47</v>
      </c>
      <c r="Z25" s="4">
        <f>VLOOKUP($B25&amp;"__wt",'SegEnds_Xtal_BW#'!$A:$Z,26,FALSE)</f>
        <v>59</v>
      </c>
      <c r="AA25" s="27" t="str">
        <f>VLOOKUP(A25,Classification!A:B,2,FALSE)</f>
        <v>A</v>
      </c>
      <c r="AB25" s="4" t="e">
        <f>VLOOKUP(A25,'SegEnds_NonXtal_Prot#'!A:AL,10,FALSE)-VLOOKUP(A25,'SegEnds_NonXtal_Prot#'!A:AL,7,FALSE)</f>
        <v>#VALUE!</v>
      </c>
      <c r="AC25" s="4">
        <f>VLOOKUP(A25,'SegEnds_NonXtal_Prot#'!A:AL,13,FALSE)-VLOOKUP(A25,'SegEnds_NonXtal_Prot#'!A:AL,10,FALSE)</f>
        <v>19</v>
      </c>
      <c r="AD25" s="4">
        <f>VLOOKUP(A25,'SegEnds_NonXtal_Prot#'!A:AL,16,FALSE)-VLOOKUP(A25,'SegEnds_NonXtal_Prot#'!A:AL,10,FALSE)</f>
        <v>51</v>
      </c>
      <c r="AE25" s="1">
        <f>VLOOKUP(A25,'SegEnds_NonXtal_Prot#'!A:AL,22,FALSE)-VLOOKUP(A25,'SegEnds_NonXtal_Prot#'!A:AL,19,FALSE)</f>
        <v>19</v>
      </c>
      <c r="AF25" s="4">
        <f>VLOOKUP(A25,'SegEnds_NonXtal_Prot#'!A:AL,28,FALSE)-VLOOKUP(A25,'SegEnds_NonXtal_Prot#'!A:AL,25,FALSE)</f>
        <v>29</v>
      </c>
      <c r="AG25" s="1">
        <f>VLOOKUP(A25,'SegEnds_NonXtal_Prot#'!A:AL,28,FALSE)-VLOOKUP(A25,'SegEnds_NonXtal_Prot#'!A:AL,22,FALSE)</f>
        <v>53</v>
      </c>
      <c r="AH25" s="4">
        <f>VLOOKUP(A25,'SegEnds_NonXtal_Prot#'!A:AL,31,FALSE)-VLOOKUP(A25,'SegEnds_NonXtal_Prot#'!A:AL,28,FALSE)</f>
        <v>48</v>
      </c>
      <c r="AI25" s="4">
        <f>VLOOKUP(A25,'SegEnds_NonXtal_Prot#'!A:AL,34,FALSE)-VLOOKUP(A25,'SegEnds_NonXtal_Prot#'!A:AL,31,FALSE)</f>
        <v>44</v>
      </c>
      <c r="AJ25" s="1" t="str">
        <f>IF(ISERROR(MATCH(A25,'SegEnds_Xtal_Prot#'!B:B, 0)), "NoXtal", "Xtal")</f>
        <v>NoXtal</v>
      </c>
    </row>
    <row r="26" spans="1:36" x14ac:dyDescent="0.2">
      <c r="A26" s="1" t="s">
        <v>356</v>
      </c>
      <c r="B26" s="1" t="str">
        <f>VLOOKUP(A26,Xtal_Templ!A:B,2,FALSE)</f>
        <v>par2_human</v>
      </c>
      <c r="C26" s="5">
        <f>VLOOKUP($B26&amp;"__wt",'SegEnds_Xtal_BW#'!$A:$Z,3,FALSE)</f>
        <v>28</v>
      </c>
      <c r="D26" s="1">
        <f>VLOOKUP($B26&amp;"__wt",'SegEnds_Xtal_BW#'!$A:$Z,4,FALSE)</f>
        <v>60</v>
      </c>
      <c r="E26" s="1" t="str">
        <f>VLOOKUP($B26&amp;"__wt",'SegEnds_Xtal_BW#'!$A:$Z,5,FALSE)</f>
        <v>-</v>
      </c>
      <c r="F26" s="1" t="str">
        <f>VLOOKUP($B26&amp;"__wt",'SegEnds_Xtal_BW#'!$A:$Z,6,FALSE)</f>
        <v>-</v>
      </c>
      <c r="G26" s="1">
        <v>37</v>
      </c>
      <c r="H26" s="12">
        <f>VLOOKUP($B26&amp;"__wt",'SegEnds_Xtal_BW#'!$A:$Z,8,FALSE)</f>
        <v>66</v>
      </c>
      <c r="I26" s="1">
        <f>VLOOKUP($B26&amp;"__wt",'SegEnds_Xtal_BW#'!$A:$Z,9,FALSE)</f>
        <v>47</v>
      </c>
      <c r="J26" s="1">
        <f>VLOOKUP($B26&amp;"__wt",'SegEnds_Xtal_BW#'!$A:$Z,10,FALSE)</f>
        <v>52</v>
      </c>
      <c r="K26" s="12">
        <v>18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f>VLOOKUP($B26&amp;"__wt",'SegEnds_Xtal_BW#'!$A:$Z,14,FALSE)</f>
        <v>56</v>
      </c>
      <c r="O26" s="89">
        <f>VLOOKUP($B26&amp;"__wt",'SegEnds_Xtal_BW#'!$A:$Z,15,FALSE)</f>
        <v>38</v>
      </c>
      <c r="P26" s="1">
        <f>VLOOKUP($B26&amp;"__wt",'SegEnds_Xtal_BW#'!$A:$Z,16,FALSE)</f>
        <v>62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31</v>
      </c>
      <c r="T26" s="1">
        <f t="array" ref="T26">INDEX('ICL3'!$G$2:$G$40,MATCH(MIN(ABS(AH26-'ICL3'!$F$2:$F$40)),ABS(AH26-'ICL3'!$F$2:$F$40),0))</f>
        <v>68</v>
      </c>
      <c r="U26" s="1">
        <f t="array" ref="U26">INDEX('ICL3'!$H$2:$H$40,MATCH(MIN(ABS(AH26-'ICL3'!$F$2:$F$40)),ABS(AH26-'ICL3'!$F$2:$F$40),0))</f>
        <v>24</v>
      </c>
      <c r="V26" s="1">
        <v>62</v>
      </c>
      <c r="W26" s="1">
        <v>28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61</v>
      </c>
      <c r="AA26" s="27" t="str">
        <f>VLOOKUP(A26,Classification!A:B,2,FALSE)</f>
        <v>A</v>
      </c>
      <c r="AB26" s="1" t="e">
        <f>VLOOKUP(A26,'SegEnds_NonXtal_Prot#'!A:AL,10,FALSE)-VLOOKUP(A26,'SegEnds_NonXtal_Prot#'!A:AL,7,FALSE)</f>
        <v>#VALUE!</v>
      </c>
      <c r="AC26" s="1">
        <f>VLOOKUP(A26,'SegEnds_NonXtal_Prot#'!A:AL,13,FALSE)-VLOOKUP(A26,'SegEnds_NonXtal_Prot#'!A:AL,10,FALSE)</f>
        <v>20</v>
      </c>
      <c r="AD26" s="1">
        <f>VLOOKUP(A26,'SegEnds_NonXtal_Prot#'!A:AL,16,FALSE)-VLOOKUP(A26,'SegEnds_NonXtal_Prot#'!A:AL,10,FALSE)</f>
        <v>52</v>
      </c>
      <c r="AE26" s="1">
        <f>VLOOKUP(A26,'SegEnds_NonXtal_Prot#'!A:AL,22,FALSE)-VLOOKUP(A26,'SegEnds_NonXtal_Prot#'!A:AL,19,FALSE)</f>
        <v>19</v>
      </c>
      <c r="AF26" s="1">
        <f>VLOOKUP(A26,'SegEnds_NonXtal_Prot#'!A:AL,28,FALSE)-VLOOKUP(A26,'SegEnds_NonXtal_Prot#'!A:AL,25,FALSE)</f>
        <v>28</v>
      </c>
      <c r="AG26" s="1">
        <f>VLOOKUP(A26,'SegEnds_NonXtal_Prot#'!A:AL,28,FALSE)-VLOOKUP(A26,'SegEnds_NonXtal_Prot#'!A:AL,22,FALSE)</f>
        <v>55</v>
      </c>
      <c r="AH26" s="1">
        <f>VLOOKUP(A26,'SegEnds_NonXtal_Prot#'!A:AL,31,FALSE)-VLOOKUP(A26,'SegEnds_NonXtal_Prot#'!A:AL,28,FALSE)</f>
        <v>48</v>
      </c>
      <c r="AI26" s="1">
        <f>VLOOKUP(A26,'SegEnds_NonXtal_Prot#'!A:AL,34,FALSE)-VLOOKUP(A26,'SegEnds_NonXtal_Prot#'!A:AL,31,FALSE)</f>
        <v>39</v>
      </c>
      <c r="AJ26" s="1" t="str">
        <f>IF(ISERROR(MATCH(A26,'SegEnds_Xtal_Prot#'!B:B, 0)), "NoXtal", "Xtal")</f>
        <v>Xtal</v>
      </c>
    </row>
    <row r="27" spans="1:36" x14ac:dyDescent="0.2">
      <c r="A27" s="1" t="s">
        <v>375</v>
      </c>
      <c r="B27" s="1" t="str">
        <f>VLOOKUP(A27,Xtal_Templ!A:B,2,FALSE)</f>
        <v>aa1r_human</v>
      </c>
      <c r="C27" s="5">
        <f>VLOOKUP($B27&amp;"__wt",'SegEnds_Xtal_BW#'!$A:$Z,3,FALSE)</f>
        <v>29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f>VLOOKUP($B27&amp;"__wt",'SegEnds_Xtal_BW#'!$A:$Z,8,FALSE)</f>
        <v>67</v>
      </c>
      <c r="I27" s="1">
        <f>VLOOKUP($B27&amp;"__wt",'SegEnds_Xtal_BW#'!$A:$Z,9,FALSE)</f>
        <v>50</v>
      </c>
      <c r="J27" s="1">
        <f>VLOOKUP($B27&amp;"__wt",'SegEnds_Xtal_BW#'!$A:$Z,10,FALSE)</f>
        <v>52</v>
      </c>
      <c r="K27" s="12">
        <v>18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11">
        <v>56</v>
      </c>
      <c r="O27" s="89">
        <f>VLOOKUP($B27&amp;"__wt",'SegEnds_Xtal_BW#'!$A:$Z,15,FALSE)</f>
        <v>38</v>
      </c>
      <c r="P27" s="1">
        <f>VLOOKUP($B27&amp;"__wt",'SegEnds_Xtal_BW#'!$A:$Z,16,FALSE)</f>
        <v>63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v>35</v>
      </c>
      <c r="T27" s="1">
        <f t="array" ref="T27">INDEX('ICL3'!$G$2:$G$40,MATCH(MIN(ABS(AH27-'ICL3'!$F$2:$F$40)),ABS(AH27-'ICL3'!$F$2:$F$40),0))</f>
        <v>72</v>
      </c>
      <c r="U27" s="1">
        <f t="array" ref="U27">INDEX('ICL3'!$H$2:$H$40,MATCH(MIN(ABS(AH27-'ICL3'!$F$2:$F$40)),ABS(AH27-'ICL3'!$F$2:$F$40),0))</f>
        <v>24</v>
      </c>
      <c r="V27" s="1">
        <v>61</v>
      </c>
      <c r="W27" s="1">
        <v>31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69</v>
      </c>
      <c r="AA27" s="27" t="str">
        <f>VLOOKUP(A27,Classification!A:B,2,FALSE)</f>
        <v>A</v>
      </c>
      <c r="AB27" s="1">
        <f>VLOOKUP(A27,'SegEnds_NonXtal_Prot#'!A:AL,10,FALSE)-VLOOKUP(A27,'SegEnds_NonXtal_Prot#'!A:AL,7,FALSE)</f>
        <v>15</v>
      </c>
      <c r="AC27" s="1" t="e">
        <f>VLOOKUP(A27,'SegEnds_NonXtal_Prot#'!A:AL,13,FALSE)-VLOOKUP(A27,'SegEnds_NonXtal_Prot#'!A:AL,10,FALSE)</f>
        <v>#VALUE!</v>
      </c>
      <c r="AD27" s="1">
        <f>VLOOKUP(A27,'SegEnds_NonXtal_Prot#'!A:AL,16,FALSE)-VLOOKUP(A27,'SegEnds_NonXtal_Prot#'!A:AL,10,FALSE)</f>
        <v>59</v>
      </c>
      <c r="AE27" s="1">
        <f>VLOOKUP(A27,'SegEnds_NonXtal_Prot#'!A:AL,22,FALSE)-VLOOKUP(A27,'SegEnds_NonXtal_Prot#'!A:AL,19,FALSE)</f>
        <v>19</v>
      </c>
      <c r="AF27" s="1">
        <f>VLOOKUP(A27,'SegEnds_NonXtal_Prot#'!A:AL,28,FALSE)-VLOOKUP(A27,'SegEnds_NonXtal_Prot#'!A:AL,25,FALSE)</f>
        <v>28</v>
      </c>
      <c r="AG27" s="1">
        <f>VLOOKUP(A27,'SegEnds_NonXtal_Prot#'!A:AL,28,FALSE)-VLOOKUP(A27,'SegEnds_NonXtal_Prot#'!A:AL,22,FALSE)</f>
        <v>55</v>
      </c>
      <c r="AH27" s="1">
        <f>VLOOKUP(A27,'SegEnds_NonXtal_Prot#'!A:AL,31,FALSE)-VLOOKUP(A27,'SegEnds_NonXtal_Prot#'!A:AL,28,FALSE)</f>
        <v>52</v>
      </c>
      <c r="AI27" s="1">
        <f>VLOOKUP(A27,'SegEnds_NonXtal_Prot#'!A:AL,34,FALSE)-VLOOKUP(A27,'SegEnds_NonXtal_Prot#'!A:AL,31,FALSE)</f>
        <v>35</v>
      </c>
      <c r="AJ27" s="1" t="str">
        <f>IF(ISERROR(MATCH(A27,'SegEnds_Xtal_Prot#'!B:B, 0)), "NoXtal", "Xtal")</f>
        <v>NoXtal</v>
      </c>
    </row>
    <row r="28" spans="1:36" x14ac:dyDescent="0.2">
      <c r="A28" s="1" t="s">
        <v>376</v>
      </c>
      <c r="B28" s="1" t="str">
        <f>VLOOKUP(A28,Xtal_Templ!A:B,2,FALSE)</f>
        <v>aa1r_human</v>
      </c>
      <c r="C28" s="5">
        <f>VLOOKUP($B28&amp;"__wt",'SegEnds_Xtal_BW#'!$A:$Z,3,FALSE)</f>
        <v>29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f>VLOOKUP($B28&amp;"__wt",'SegEnds_Xtal_BW#'!$A:$Z,8,FALSE)</f>
        <v>67</v>
      </c>
      <c r="I28" s="1">
        <f>VLOOKUP($B28&amp;"__wt",'SegEnds_Xtal_BW#'!$A:$Z,9,FALSE)</f>
        <v>50</v>
      </c>
      <c r="J28" s="1">
        <f>VLOOKUP($B28&amp;"__wt",'SegEnds_Xtal_BW#'!$A:$Z,10,FALSE)</f>
        <v>52</v>
      </c>
      <c r="K28" s="12">
        <v>18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11">
        <v>56</v>
      </c>
      <c r="O28" s="89">
        <f>VLOOKUP($B28&amp;"__wt",'SegEnds_Xtal_BW#'!$A:$Z,15,FALSE)</f>
        <v>38</v>
      </c>
      <c r="P28" s="1">
        <f>VLOOKUP($B28&amp;"__wt",'SegEnds_Xtal_BW#'!$A:$Z,16,FALSE)</f>
        <v>63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v>35</v>
      </c>
      <c r="T28" s="1">
        <f t="array" ref="T28">INDEX('ICL3'!$G$2:$G$40,MATCH(MIN(ABS(AH28-'ICL3'!$F$2:$F$40)),ABS(AH28-'ICL3'!$F$2:$F$40),0))</f>
        <v>72</v>
      </c>
      <c r="U28" s="1">
        <f t="array" ref="U28">INDEX('ICL3'!$H$2:$H$40,MATCH(MIN(ABS(AH28-'ICL3'!$F$2:$F$40)),ABS(AH28-'ICL3'!$F$2:$F$40),0))</f>
        <v>24</v>
      </c>
      <c r="V28" s="1">
        <v>61</v>
      </c>
      <c r="W28" s="1">
        <v>31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69</v>
      </c>
      <c r="AA28" s="27" t="str">
        <f>VLOOKUP(A28,Classification!A:B,2,FALSE)</f>
        <v>A</v>
      </c>
      <c r="AB28" s="1">
        <f>VLOOKUP(A28,'SegEnds_NonXtal_Prot#'!A:AL,10,FALSE)-VLOOKUP(A28,'SegEnds_NonXtal_Prot#'!A:AL,7,FALSE)</f>
        <v>15</v>
      </c>
      <c r="AC28" s="1">
        <f>VLOOKUP(A28,'SegEnds_NonXtal_Prot#'!A:AL,13,FALSE)-VLOOKUP(A28,'SegEnds_NonXtal_Prot#'!A:AL,10,FALSE)</f>
        <v>24</v>
      </c>
      <c r="AD28" s="1">
        <f>VLOOKUP(A28,'SegEnds_NonXtal_Prot#'!A:AL,16,FALSE)-VLOOKUP(A28,'SegEnds_NonXtal_Prot#'!A:AL,10,FALSE)</f>
        <v>59</v>
      </c>
      <c r="AE28" s="1">
        <f>VLOOKUP(A28,'SegEnds_NonXtal_Prot#'!A:AL,22,FALSE)-VLOOKUP(A28,'SegEnds_NonXtal_Prot#'!A:AL,19,FALSE)</f>
        <v>19</v>
      </c>
      <c r="AF28" s="1">
        <f>VLOOKUP(A28,'SegEnds_NonXtal_Prot#'!A:AL,28,FALSE)-VLOOKUP(A28,'SegEnds_NonXtal_Prot#'!A:AL,25,FALSE)</f>
        <v>28</v>
      </c>
      <c r="AG28" s="1">
        <f>VLOOKUP(A28,'SegEnds_NonXtal_Prot#'!A:AL,28,FALSE)-VLOOKUP(A28,'SegEnds_NonXtal_Prot#'!A:AL,22,FALSE)</f>
        <v>55</v>
      </c>
      <c r="AH28" s="1">
        <f>VLOOKUP(A28,'SegEnds_NonXtal_Prot#'!A:AL,31,FALSE)-VLOOKUP(A28,'SegEnds_NonXtal_Prot#'!A:AL,28,FALSE)</f>
        <v>52</v>
      </c>
      <c r="AI28" s="1">
        <f>VLOOKUP(A28,'SegEnds_NonXtal_Prot#'!A:AL,34,FALSE)-VLOOKUP(A28,'SegEnds_NonXtal_Prot#'!A:AL,31,FALSE)</f>
        <v>35</v>
      </c>
      <c r="AJ28" s="1" t="str">
        <f>IF(ISERROR(MATCH(A28,'SegEnds_Xtal_Prot#'!B:B, 0)), "NoXtal", "Xtal")</f>
        <v>NoXtal</v>
      </c>
    </row>
    <row r="29" spans="1:36" x14ac:dyDescent="0.2">
      <c r="A29" s="4" t="s">
        <v>104</v>
      </c>
      <c r="B29" s="4" t="str">
        <f>VLOOKUP(A29,Xtal_Templ!A:B,2,FALSE)</f>
        <v>s1pr1_human</v>
      </c>
      <c r="C29" s="5">
        <f>VLOOKUP($B29&amp;"__wt",'SegEnds_Xtal_BW#'!$A:$Z,3,FALSE)</f>
        <v>29</v>
      </c>
      <c r="D29" s="4">
        <f>VLOOKUP($B29&amp;"__wt",'SegEnds_Xtal_BW#'!$A:$Z,4,FALSE)</f>
        <v>60</v>
      </c>
      <c r="E29" s="4">
        <f>VLOOKUP($B29&amp;"__wt",'SegEnds_Xtal_BW#'!$A:$Z,5,FALSE)</f>
        <v>48</v>
      </c>
      <c r="F29" s="4">
        <f>VLOOKUP($B29&amp;"__wt",'SegEnds_Xtal_BW#'!$A:$Z,6,FALSE)</f>
        <v>51</v>
      </c>
      <c r="G29" s="4">
        <v>37</v>
      </c>
      <c r="H29" s="11">
        <v>63</v>
      </c>
      <c r="I29" s="4">
        <f>VLOOKUP($B29&amp;"__wt",'SegEnds_Xtal_BW#'!$A:$Z,9,FALSE)</f>
        <v>47</v>
      </c>
      <c r="J29" s="4">
        <f>VLOOKUP($B29&amp;"__wt",'SegEnds_Xtal_BW#'!$A:$Z,10,FALSE)</f>
        <v>53</v>
      </c>
      <c r="K29" s="11">
        <f>VLOOKUP($B29&amp;"__wt",'SegEnds_Xtal_BW#'!$A:$Z,11,FALSE)</f>
        <v>21</v>
      </c>
      <c r="L29" s="4">
        <f>VLOOKUP($B29&amp;"__wt",'SegEnds_Xtal_BW#'!$A:$Z,12,FALSE)</f>
        <v>56</v>
      </c>
      <c r="M29" s="4">
        <f>VLOOKUP($B29&amp;"__wt",'SegEnds_Xtal_BW#'!$A:$Z,13,FALSE)</f>
        <v>50</v>
      </c>
      <c r="N29" s="111">
        <f>VLOOKUP($B29&amp;"__wt",'SegEnds_Xtal_BW#'!$A:$Z,14,FALSE)</f>
        <v>56</v>
      </c>
      <c r="O29" s="89">
        <f>VLOOKUP($B29&amp;"__wt",'SegEnds_Xtal_BW#'!$A:$Z,15,FALSE)</f>
        <v>38</v>
      </c>
      <c r="P29" s="4">
        <f>VLOOKUP($B29&amp;"__wt",'SegEnds_Xtal_BW#'!$A:$Z,16,FALSE)</f>
        <v>63</v>
      </c>
      <c r="Q29" s="4" t="str">
        <f>VLOOKUP($B29&amp;"__wt",'SegEnds_Xtal_BW#'!$A:$Z,17,FALSE)</f>
        <v>-</v>
      </c>
      <c r="R29" s="4" t="str">
        <f>VLOOKUP($B29&amp;"__wt",'SegEnds_Xtal_BW#'!$A:$Z,18,FALSE)</f>
        <v>-</v>
      </c>
      <c r="S29" s="4">
        <f>VLOOKUP($B29&amp;"__wt",'SegEnds_Xtal_BW#'!$A:$Z,19,FALSE)</f>
        <v>36</v>
      </c>
      <c r="T29" s="4">
        <f t="array" ref="T29">INDEX('ICL3'!$G$2:$G$40,MATCH(MIN(ABS(AH29-'ICL3'!$F$2:$F$40)),ABS(AH29-'ICL3'!$F$2:$F$40),0))</f>
        <v>73</v>
      </c>
      <c r="U29" s="4">
        <f t="array" ref="U29">INDEX('ICL3'!$H$2:$H$40,MATCH(MIN(ABS(AH29-'ICL3'!$F$2:$F$40)),ABS(AH29-'ICL3'!$F$2:$F$40),0))</f>
        <v>24</v>
      </c>
      <c r="V29" s="4">
        <v>61</v>
      </c>
      <c r="W29" s="4">
        <v>30</v>
      </c>
      <c r="X29" s="95">
        <f>VLOOKUP($B29&amp;"__wt",'SegEnds_Xtal_BW#'!$A:$Z,24,FALSE)</f>
        <v>56</v>
      </c>
      <c r="Y29" s="4">
        <f>VLOOKUP($B29&amp;"__wt",'SegEnds_Xtal_BW#'!$A:$Z,25,FALSE)</f>
        <v>47</v>
      </c>
      <c r="Z29" s="4">
        <f>VLOOKUP($B29&amp;"__wt",'SegEnds_Xtal_BW#'!$A:$Z,26,FALSE)</f>
        <v>59</v>
      </c>
      <c r="AA29" s="27" t="str">
        <f>VLOOKUP(A29,Classification!A:B,2,FALSE)</f>
        <v>A</v>
      </c>
      <c r="AB29" s="4">
        <f>VLOOKUP(A29,'SegEnds_NonXtal_Prot#'!A:AL,10,FALSE)-VLOOKUP(A29,'SegEnds_NonXtal_Prot#'!A:AL,7,FALSE)</f>
        <v>15</v>
      </c>
      <c r="AC29" s="4">
        <f>VLOOKUP(A29,'SegEnds_NonXtal_Prot#'!A:AL,13,FALSE)-VLOOKUP(A29,'SegEnds_NonXtal_Prot#'!A:AL,10,FALSE)</f>
        <v>18</v>
      </c>
      <c r="AD29" s="4">
        <f>VLOOKUP(A29,'SegEnds_NonXtal_Prot#'!A:AL,16,FALSE)-VLOOKUP(A29,'SegEnds_NonXtal_Prot#'!A:AL,10,FALSE)</f>
        <v>51</v>
      </c>
      <c r="AE29" s="1">
        <f>VLOOKUP(A29,'SegEnds_NonXtal_Prot#'!A:AL,22,FALSE)-VLOOKUP(A29,'SegEnds_NonXtal_Prot#'!A:AL,19,FALSE)</f>
        <v>19</v>
      </c>
      <c r="AF29" s="4" t="e">
        <f>VLOOKUP(A29,'SegEnds_NonXtal_Prot#'!A:AL,28,FALSE)-VLOOKUP(A29,'SegEnds_NonXtal_Prot#'!A:AL,25,FALSE)</f>
        <v>#VALUE!</v>
      </c>
      <c r="AG29" s="1">
        <f>VLOOKUP(A29,'SegEnds_NonXtal_Prot#'!A:AL,28,FALSE)-VLOOKUP(A29,'SegEnds_NonXtal_Prot#'!A:AL,22,FALSE)</f>
        <v>45</v>
      </c>
      <c r="AH29" s="4">
        <f>VLOOKUP(A29,'SegEnds_NonXtal_Prot#'!A:AL,31,FALSE)-VLOOKUP(A29,'SegEnds_NonXtal_Prot#'!A:AL,28,FALSE)</f>
        <v>58</v>
      </c>
      <c r="AI29" s="4">
        <f>VLOOKUP(A29,'SegEnds_NonXtal_Prot#'!A:AL,34,FALSE)-VLOOKUP(A29,'SegEnds_NonXtal_Prot#'!A:AL,31,FALSE)</f>
        <v>37</v>
      </c>
      <c r="AJ29" s="1" t="str">
        <f>IF(ISERROR(MATCH(A29,'SegEnds_Xtal_Prot#'!B:B, 0)), "NoXtal", "Xtal")</f>
        <v>Xtal</v>
      </c>
    </row>
    <row r="30" spans="1:36" x14ac:dyDescent="0.2">
      <c r="A30" s="1" t="s">
        <v>377</v>
      </c>
      <c r="B30" s="1" t="str">
        <f>VLOOKUP(A30,Xtal_Templ!A:B,2,FALSE)</f>
        <v>s1pr1_human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v>63</v>
      </c>
      <c r="I30" s="1">
        <f>VLOOKUP($B30&amp;"__wt",'SegEnds_Xtal_BW#'!$A:$Z,9,FALSE)</f>
        <v>47</v>
      </c>
      <c r="J30" s="1">
        <f>VLOOKUP($B30&amp;"__wt",'SegEnds_Xtal_BW#'!$A:$Z,10,FALSE)</f>
        <v>53</v>
      </c>
      <c r="K30" s="12">
        <v>21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11">
        <v>56</v>
      </c>
      <c r="O30" s="89">
        <f>VLOOKUP($B30&amp;"__wt",'SegEnds_Xtal_BW#'!$A:$Z,15,FALSE)</f>
        <v>38</v>
      </c>
      <c r="P30" s="1">
        <f>VLOOKUP($B30&amp;"__wt",'SegEnds_Xtal_BW#'!$A:$Z,16,FALSE)</f>
        <v>63</v>
      </c>
      <c r="Q30" s="1" t="str">
        <f>VLOOKUP($B30&amp;"__wt",'SegEnds_Xtal_BW#'!$A:$Z,17,FALSE)</f>
        <v>-</v>
      </c>
      <c r="R30" s="1" t="str">
        <f>VLOOKUP($B30&amp;"__wt",'SegEnds_Xtal_BW#'!$A:$Z,18,FALSE)</f>
        <v>-</v>
      </c>
      <c r="S30" s="1">
        <f>VLOOKUP($B30&amp;"__wt",'SegEnds_Xtal_BW#'!$A:$Z,19,FALSE)</f>
        <v>36</v>
      </c>
      <c r="T30" s="1">
        <f t="array" ref="T30">INDEX('ICL3'!$G$2:$G$40,MATCH(MIN(ABS(AH30-'ICL3'!$F$2:$F$40)),ABS(AH30-'ICL3'!$F$2:$F$40),0))</f>
        <v>67</v>
      </c>
      <c r="U30" s="1">
        <f t="array" ref="U30">INDEX('ICL3'!$H$2:$H$40,MATCH(MIN(ABS(AH30-'ICL3'!$F$2:$F$40)),ABS(AH30-'ICL3'!$F$2:$F$40),0))</f>
        <v>26</v>
      </c>
      <c r="V30" s="1">
        <v>61</v>
      </c>
      <c r="W30" s="1">
        <v>30</v>
      </c>
      <c r="X30" s="1">
        <f>VLOOKUP($B30&amp;"__wt",'SegEnds_Xtal_BW#'!$A:$Z,24,FALSE)</f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VLOOKUP(A30,'SegEnds_NonXtal_Prot#'!A:AL,10,FALSE)-VLOOKUP(A30,'SegEnds_NonXtal_Prot#'!A:AL,7,FALSE)</f>
        <v>15</v>
      </c>
      <c r="AC30" s="1">
        <f>VLOOKUP(A30,'SegEnds_NonXtal_Prot#'!A:AL,13,FALSE)-VLOOKUP(A30,'SegEnds_NonXtal_Prot#'!A:AL,10,FALSE)</f>
        <v>18</v>
      </c>
      <c r="AD30" s="1">
        <f>VLOOKUP(A30,'SegEnds_NonXtal_Prot#'!A:AL,16,FALSE)-VLOOKUP(A30,'SegEnds_NonXtal_Prot#'!A:AL,10,FALSE)</f>
        <v>51</v>
      </c>
      <c r="AE30" s="1">
        <f>VLOOKUP(A30,'SegEnds_NonXtal_Prot#'!A:AL,22,FALSE)-VLOOKUP(A30,'SegEnds_NonXtal_Prot#'!A:AL,19,FALSE)</f>
        <v>19</v>
      </c>
      <c r="AF30" s="1" t="e">
        <f>VLOOKUP(A30,'SegEnds_NonXtal_Prot#'!A:AL,28,FALSE)-VLOOKUP(A30,'SegEnds_NonXtal_Prot#'!A:AL,25,FALSE)</f>
        <v>#VALUE!</v>
      </c>
      <c r="AG30" s="1">
        <f>VLOOKUP(A30,'SegEnds_NonXtal_Prot#'!A:AL,28,FALSE)-VLOOKUP(A30,'SegEnds_NonXtal_Prot#'!A:AL,22,FALSE)</f>
        <v>45</v>
      </c>
      <c r="AH30" s="1">
        <f>VLOOKUP(A30,'SegEnds_NonXtal_Prot#'!A:AL,31,FALSE)-VLOOKUP(A30,'SegEnds_NonXtal_Prot#'!A:AL,28,FALSE)</f>
        <v>47</v>
      </c>
      <c r="AI30" s="1">
        <f>VLOOKUP(A30,'SegEnds_NonXtal_Prot#'!A:AL,34,FALSE)-VLOOKUP(A30,'SegEnds_NonXtal_Prot#'!A:AL,31,FALSE)</f>
        <v>37</v>
      </c>
      <c r="AJ30" s="1" t="str">
        <f>IF(ISERROR(MATCH(A30,'SegEnds_Xtal_Prot#'!B:B, 0)), "NoXtal", "Xtal")</f>
        <v>NoXtal</v>
      </c>
    </row>
    <row r="31" spans="1:36" x14ac:dyDescent="0.2">
      <c r="A31" s="1" t="s">
        <v>378</v>
      </c>
      <c r="B31" s="1" t="str">
        <f>VLOOKUP(A31,Xtal_Templ!A:B,2,FALSE)</f>
        <v>s1pr1_human</v>
      </c>
      <c r="C31" s="5">
        <f>VLOOKUP($B31&amp;"__wt",'SegEnds_Xtal_BW#'!$A:$Z,3,FALSE)</f>
        <v>29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v>63</v>
      </c>
      <c r="I31" s="1">
        <f>VLOOKUP($B31&amp;"__wt",'SegEnds_Xtal_BW#'!$A:$Z,9,FALSE)</f>
        <v>47</v>
      </c>
      <c r="J31" s="1">
        <f>VLOOKUP($B31&amp;"__wt",'SegEnds_Xtal_BW#'!$A:$Z,10,FALSE)</f>
        <v>53</v>
      </c>
      <c r="K31" s="12">
        <v>21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11">
        <v>56</v>
      </c>
      <c r="O31" s="89">
        <f>VLOOKUP($B31&amp;"__wt",'SegEnds_Xtal_BW#'!$A:$Z,15,FALSE)</f>
        <v>38</v>
      </c>
      <c r="P31" s="1">
        <f>VLOOKUP($B31&amp;"__wt",'SegEnds_Xtal_BW#'!$A:$Z,16,FALSE)</f>
        <v>63</v>
      </c>
      <c r="Q31" s="1" t="str">
        <f>VLOOKUP($B31&amp;"__wt",'SegEnds_Xtal_BW#'!$A:$Z,17,FALSE)</f>
        <v>-</v>
      </c>
      <c r="R31" s="1" t="str">
        <f>VLOOKUP($B31&amp;"__wt",'SegEnds_Xtal_BW#'!$A:$Z,18,FALSE)</f>
        <v>-</v>
      </c>
      <c r="S31" s="1">
        <f>VLOOKUP($B31&amp;"__wt",'SegEnds_Xtal_BW#'!$A:$Z,19,FALSE)</f>
        <v>36</v>
      </c>
      <c r="T31" s="1">
        <f t="array" ref="T31">INDEX('ICL3'!$G$2:$G$40,MATCH(MIN(ABS(AH31-'ICL3'!$F$2:$F$40)),ABS(AH31-'ICL3'!$F$2:$F$40),0))</f>
        <v>68</v>
      </c>
      <c r="U31" s="1">
        <f t="array" ref="U31">INDEX('ICL3'!$H$2:$H$40,MATCH(MIN(ABS(AH31-'ICL3'!$F$2:$F$40)),ABS(AH31-'ICL3'!$F$2:$F$40),0))</f>
        <v>23</v>
      </c>
      <c r="V31" s="1">
        <v>61</v>
      </c>
      <c r="W31" s="1">
        <v>30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59</v>
      </c>
      <c r="AA31" s="27" t="str">
        <f>VLOOKUP(A31,Classification!A:B,2,FALSE)</f>
        <v>A</v>
      </c>
      <c r="AB31" s="1">
        <f>VLOOKUP(A31,'SegEnds_NonXtal_Prot#'!A:AL,10,FALSE)-VLOOKUP(A31,'SegEnds_NonXtal_Prot#'!A:AL,7,FALSE)</f>
        <v>15</v>
      </c>
      <c r="AC31" s="1">
        <f>VLOOKUP(A31,'SegEnds_NonXtal_Prot#'!A:AL,13,FALSE)-VLOOKUP(A31,'SegEnds_NonXtal_Prot#'!A:AL,10,FALSE)</f>
        <v>18</v>
      </c>
      <c r="AD31" s="1">
        <f>VLOOKUP(A31,'SegEnds_NonXtal_Prot#'!A:AL,16,FALSE)-VLOOKUP(A31,'SegEnds_NonXtal_Prot#'!A:AL,10,FALSE)</f>
        <v>51</v>
      </c>
      <c r="AE31" s="1">
        <f>VLOOKUP(A31,'SegEnds_NonXtal_Prot#'!A:AL,22,FALSE)-VLOOKUP(A31,'SegEnds_NonXtal_Prot#'!A:AL,19,FALSE)</f>
        <v>19</v>
      </c>
      <c r="AF31" s="1" t="e">
        <f>VLOOKUP(A31,'SegEnds_NonXtal_Prot#'!A:AL,28,FALSE)-VLOOKUP(A31,'SegEnds_NonXtal_Prot#'!A:AL,25,FALSE)</f>
        <v>#VALUE!</v>
      </c>
      <c r="AG31" s="1">
        <f>VLOOKUP(A31,'SegEnds_NonXtal_Prot#'!A:AL,28,FALSE)-VLOOKUP(A31,'SegEnds_NonXtal_Prot#'!A:AL,22,FALSE)</f>
        <v>45</v>
      </c>
      <c r="AH31" s="1">
        <f>VLOOKUP(A31,'SegEnds_NonXtal_Prot#'!A:AL,31,FALSE)-VLOOKUP(A31,'SegEnds_NonXtal_Prot#'!A:AL,28,FALSE)</f>
        <v>51</v>
      </c>
      <c r="AI31" s="1">
        <f>VLOOKUP(A31,'SegEnds_NonXtal_Prot#'!A:AL,34,FALSE)-VLOOKUP(A31,'SegEnds_NonXtal_Prot#'!A:AL,31,FALSE)</f>
        <v>37</v>
      </c>
      <c r="AJ31" s="1" t="str">
        <f>IF(ISERROR(MATCH(A31,'SegEnds_Xtal_Prot#'!B:B, 0)), "NoXtal", "Xtal")</f>
        <v>NoXtal</v>
      </c>
    </row>
    <row r="32" spans="1:36" x14ac:dyDescent="0.2">
      <c r="A32" s="1" t="s">
        <v>380</v>
      </c>
      <c r="B32" s="1" t="str">
        <f>VLOOKUP(A32,Xtal_Templ!A:B,2,FALSE)</f>
        <v>s1pr1_human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v>63</v>
      </c>
      <c r="I32" s="1">
        <f>VLOOKUP($B32&amp;"__wt",'SegEnds_Xtal_BW#'!$A:$Z,9,FALSE)</f>
        <v>47</v>
      </c>
      <c r="J32" s="1">
        <f>VLOOKUP($B32&amp;"__wt",'SegEnds_Xtal_BW#'!$A:$Z,10,FALSE)</f>
        <v>53</v>
      </c>
      <c r="K32" s="12">
        <v>21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11">
        <v>56</v>
      </c>
      <c r="O32" s="89">
        <f>VLOOKUP($B32&amp;"__wt",'SegEnds_Xtal_BW#'!$A:$Z,15,FALSE)</f>
        <v>38</v>
      </c>
      <c r="P32" s="1">
        <f>VLOOKUP($B32&amp;"__wt",'SegEnds_Xtal_BW#'!$A:$Z,16,FALSE)</f>
        <v>63</v>
      </c>
      <c r="Q32" s="1" t="str">
        <f>VLOOKUP($B32&amp;"__wt",'SegEnds_Xtal_BW#'!$A:$Z,17,FALSE)</f>
        <v>-</v>
      </c>
      <c r="R32" s="1" t="str">
        <f>VLOOKUP($B32&amp;"__wt",'SegEnds_Xtal_BW#'!$A:$Z,18,FALSE)</f>
        <v>-</v>
      </c>
      <c r="S32" s="1">
        <f>VLOOKUP($B32&amp;"__wt",'SegEnds_Xtal_BW#'!$A:$Z,19,FALSE)</f>
        <v>36</v>
      </c>
      <c r="T32" s="1">
        <f t="array" ref="T32">INDEX('ICL3'!$G$2:$G$40,MATCH(MIN(ABS(AH32-'ICL3'!$F$2:$F$40)),ABS(AH32-'ICL3'!$F$2:$F$40),0))</f>
        <v>74</v>
      </c>
      <c r="U32" s="1">
        <f t="array" ref="U32">INDEX('ICL3'!$H$2:$H$40,MATCH(MIN(ABS(AH32-'ICL3'!$F$2:$F$40)),ABS(AH32-'ICL3'!$F$2:$F$40),0))</f>
        <v>21</v>
      </c>
      <c r="V32" s="1">
        <v>61</v>
      </c>
      <c r="W32" s="1">
        <v>30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VLOOKUP(A32,'SegEnds_NonXtal_Prot#'!A:AL,10,FALSE)-VLOOKUP(A32,'SegEnds_NonXtal_Prot#'!A:AL,7,FALSE)</f>
        <v>15</v>
      </c>
      <c r="AC32" s="1">
        <f>VLOOKUP(A32,'SegEnds_NonXtal_Prot#'!A:AL,13,FALSE)-VLOOKUP(A32,'SegEnds_NonXtal_Prot#'!A:AL,10,FALSE)</f>
        <v>18</v>
      </c>
      <c r="AD32" s="1">
        <f>VLOOKUP(A32,'SegEnds_NonXtal_Prot#'!A:AL,16,FALSE)-VLOOKUP(A32,'SegEnds_NonXtal_Prot#'!A:AL,10,FALSE)</f>
        <v>51</v>
      </c>
      <c r="AE32" s="1">
        <f>VLOOKUP(A32,'SegEnds_NonXtal_Prot#'!A:AL,22,FALSE)-VLOOKUP(A32,'SegEnds_NonXtal_Prot#'!A:AL,19,FALSE)</f>
        <v>19</v>
      </c>
      <c r="AF32" s="1" t="e">
        <f>VLOOKUP(A32,'SegEnds_NonXtal_Prot#'!A:AL,28,FALSE)-VLOOKUP(A32,'SegEnds_NonXtal_Prot#'!A:AL,25,FALSE)</f>
        <v>#VALUE!</v>
      </c>
      <c r="AG32" s="1">
        <f>VLOOKUP(A32,'SegEnds_NonXtal_Prot#'!A:AL,28,FALSE)-VLOOKUP(A32,'SegEnds_NonXtal_Prot#'!A:AL,22,FALSE)</f>
        <v>45</v>
      </c>
      <c r="AH32" s="1">
        <f>VLOOKUP(A32,'SegEnds_NonXtal_Prot#'!A:AL,31,FALSE)-VLOOKUP(A32,'SegEnds_NonXtal_Prot#'!A:AL,28,FALSE)</f>
        <v>62</v>
      </c>
      <c r="AI32" s="1">
        <f>VLOOKUP(A32,'SegEnds_NonXtal_Prot#'!A:AL,34,FALSE)-VLOOKUP(A32,'SegEnds_NonXtal_Prot#'!A:AL,31,FALSE)</f>
        <v>37</v>
      </c>
      <c r="AJ32" s="1" t="str">
        <f>IF(ISERROR(MATCH(A32,'SegEnds_Xtal_Prot#'!B:B, 0)), "NoXtal", "Xtal")</f>
        <v>NoXtal</v>
      </c>
    </row>
    <row r="33" spans="1:36" x14ac:dyDescent="0.2">
      <c r="A33" s="1" t="s">
        <v>396</v>
      </c>
      <c r="B33" s="1" t="str">
        <f>VLOOKUP(A33,Xtal_Templ!A:B,2,FALSE)</f>
        <v>adrb2_human</v>
      </c>
      <c r="C33" s="5">
        <f>VLOOKUP($B33&amp;"__wt",'SegEnds_Xtal_BW#'!$A:$Z,3,FALSE)</f>
        <v>25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v>66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21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11">
        <v>56</v>
      </c>
      <c r="O33" s="89">
        <f>VLOOKUP($B33&amp;"__wt",'SegEnds_Xtal_BW#'!$A:$Z,15,FALSE)</f>
        <v>38</v>
      </c>
      <c r="P33" s="1">
        <f>VLOOKUP($B33&amp;"__wt",'SegEnds_Xtal_BW#'!$A:$Z,16,FALSE)</f>
        <v>64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INDEX('ICL3'!$G$2:$G$40,MATCH(MIN(ABS(AH33-'ICL3'!$F$2:$F$40)),ABS(AH33-'ICL3'!$F$2:$F$40),0))</f>
        <v>72</v>
      </c>
      <c r="U33" s="1">
        <f t="array" ref="U33">INDEX('ICL3'!$H$2:$H$40,MATCH(MIN(ABS(AH33-'ICL3'!$F$2:$F$40)),ABS(AH33-'ICL3'!$F$2:$F$40),0))</f>
        <v>29</v>
      </c>
      <c r="V33" s="1">
        <v>61</v>
      </c>
      <c r="W33" s="1">
        <v>28</v>
      </c>
      <c r="X33" s="1">
        <f>VLOOKUP($B33&amp;"__wt",'SegEnds_Xtal_BW#'!$A:$Z,24,FALSE)</f>
        <v>55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VLOOKUP(A33,'SegEnds_NonXtal_Prot#'!A:AL,10,FALSE)-VLOOKUP(A33,'SegEnds_NonXtal_Prot#'!A:AL,7,FALSE)</f>
        <v>15</v>
      </c>
      <c r="AC33" s="1">
        <f>VLOOKUP(A33,'SegEnds_NonXtal_Prot#'!A:AL,13,FALSE)-VLOOKUP(A33,'SegEnds_NonXtal_Prot#'!A:AL,10,FALSE)</f>
        <v>19</v>
      </c>
      <c r="AD33" s="1">
        <f>VLOOKUP(A33,'SegEnds_NonXtal_Prot#'!A:AL,16,FALSE)-VLOOKUP(A33,'SegEnds_NonXtal_Prot#'!A:AL,10,FALSE)</f>
        <v>51</v>
      </c>
      <c r="AE33" s="1">
        <f>VLOOKUP(A33,'SegEnds_NonXtal_Prot#'!A:AL,22,FALSE)-VLOOKUP(A33,'SegEnds_NonXtal_Prot#'!A:AL,19,FALSE)</f>
        <v>19</v>
      </c>
      <c r="AF33" s="1">
        <f>VLOOKUP(A33,'SegEnds_NonXtal_Prot#'!A:AL,28,FALSE)-VLOOKUP(A33,'SegEnds_NonXtal_Prot#'!A:AL,25,FALSE)</f>
        <v>24</v>
      </c>
      <c r="AG33" s="1">
        <f>VLOOKUP(A33,'SegEnds_NonXtal_Prot#'!A:AL,28,FALSE)-VLOOKUP(A33,'SegEnds_NonXtal_Prot#'!A:AL,22,FALSE)</f>
        <v>49</v>
      </c>
      <c r="AH33" s="1">
        <f>VLOOKUP(A33,'SegEnds_NonXtal_Prot#'!A:AL,31,FALSE)-VLOOKUP(A33,'SegEnds_NonXtal_Prot#'!A:AL,28,FALSE)</f>
        <v>50</v>
      </c>
      <c r="AI33" s="1">
        <f>VLOOKUP(A33,'SegEnds_NonXtal_Prot#'!A:AL,34,FALSE)-VLOOKUP(A33,'SegEnds_NonXtal_Prot#'!A:AL,31,FALSE)</f>
        <v>39</v>
      </c>
      <c r="AJ33" s="1" t="str">
        <f>IF(ISERROR(MATCH(A33,'SegEnds_Xtal_Prot#'!B:B, 0)), "NoXtal", "Xtal")</f>
        <v>NoXtal</v>
      </c>
    </row>
    <row r="34" spans="1:36" x14ac:dyDescent="0.2">
      <c r="A34" s="1" t="s">
        <v>397</v>
      </c>
      <c r="B34" s="1" t="str">
        <f>VLOOKUP(A34,Xtal_Templ!A:B,2,FALSE)</f>
        <v>ox2r_human</v>
      </c>
      <c r="C34" s="5">
        <f>VLOOKUP($B34&amp;"__wt",'SegEnds_Xtal_BW#'!$A:$Z,3,FALSE)</f>
        <v>31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11">
        <v>56</v>
      </c>
      <c r="O34" s="89">
        <f>VLOOKUP($B34&amp;"__wt",'SegEnds_Xtal_BW#'!$A:$Z,15,FALSE)</f>
        <v>38</v>
      </c>
      <c r="P34" s="1">
        <f>VLOOKUP($B34&amp;"__wt",'SegEnds_Xtal_BW#'!$A:$Z,16,FALSE)</f>
        <v>64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32</v>
      </c>
      <c r="T34" s="1">
        <f t="array" ref="T34">INDEX('ICL3'!$G$2:$G$40,MATCH(MIN(ABS(AH34-'ICL3'!$F$2:$F$40)),ABS(AH34-'ICL3'!$F$2:$F$40),0))</f>
        <v>76</v>
      </c>
      <c r="U34" s="1">
        <f t="array" ref="U34">INDEX('ICL3'!$H$2:$H$40,MATCH(MIN(ABS(AH34-'ICL3'!$F$2:$F$40)),ABS(AH34-'ICL3'!$F$2:$F$40),0))</f>
        <v>24</v>
      </c>
      <c r="V34" s="1">
        <v>61</v>
      </c>
      <c r="W34" s="1">
        <v>28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VLOOKUP(A34,'SegEnds_NonXtal_Prot#'!A:AL,10,FALSE)-VLOOKUP(A34,'SegEnds_NonXtal_Prot#'!A:AL,7,FALSE)</f>
        <v>15</v>
      </c>
      <c r="AC34" s="1">
        <f>VLOOKUP(A34,'SegEnds_NonXtal_Prot#'!A:AL,13,FALSE)-VLOOKUP(A34,'SegEnds_NonXtal_Prot#'!A:AL,10,FALSE)</f>
        <v>18</v>
      </c>
      <c r="AD34" s="1">
        <f>VLOOKUP(A34,'SegEnds_NonXtal_Prot#'!A:AL,16,FALSE)-VLOOKUP(A34,'SegEnds_NonXtal_Prot#'!A:AL,10,FALSE)</f>
        <v>52</v>
      </c>
      <c r="AE34" s="1">
        <f>VLOOKUP(A34,'SegEnds_NonXtal_Prot#'!A:AL,22,FALSE)-VLOOKUP(A34,'SegEnds_NonXtal_Prot#'!A:AL,19,FALSE)</f>
        <v>19</v>
      </c>
      <c r="AF34" s="1">
        <f>VLOOKUP(A34,'SegEnds_NonXtal_Prot#'!A:AL,28,FALSE)-VLOOKUP(A34,'SegEnds_NonXtal_Prot#'!A:AL,25,FALSE)</f>
        <v>25</v>
      </c>
      <c r="AG34" s="1">
        <f>VLOOKUP(A34,'SegEnds_NonXtal_Prot#'!A:AL,28,FALSE)-VLOOKUP(A34,'SegEnds_NonXtal_Prot#'!A:AL,22,FALSE)</f>
        <v>53</v>
      </c>
      <c r="AH34" s="1">
        <f>VLOOKUP(A34,'SegEnds_NonXtal_Prot#'!A:AL,31,FALSE)-VLOOKUP(A34,'SegEnds_NonXtal_Prot#'!A:AL,28,FALSE)</f>
        <v>78</v>
      </c>
      <c r="AI34" s="1">
        <f>VLOOKUP(A34,'SegEnds_NonXtal_Prot#'!A:AL,34,FALSE)-VLOOKUP(A34,'SegEnds_NonXtal_Prot#'!A:AL,31,FALSE)</f>
        <v>39</v>
      </c>
      <c r="AJ34" s="1" t="str">
        <f>IF(ISERROR(MATCH(A34,'SegEnds_Xtal_Prot#'!B:B, 0)), "NoXtal", "Xtal")</f>
        <v>NoXtal</v>
      </c>
    </row>
    <row r="35" spans="1:36" x14ac:dyDescent="0.2">
      <c r="A35" s="1" t="s">
        <v>398</v>
      </c>
      <c r="B35" s="1" t="str">
        <f>VLOOKUP(A35,Xtal_Templ!A:B,2,FALSE)</f>
        <v>s1pr1_human</v>
      </c>
      <c r="C35" s="5">
        <f>VLOOKUP($B35&amp;"__wt",'SegEnds_Xtal_BW#'!$A:$Z,3,FALSE)</f>
        <v>29</v>
      </c>
      <c r="D35" s="1">
        <f>VLOOKUP($B35&amp;"__wt",'SegEnds_Xtal_BW#'!$A:$Z,4,FALSE)</f>
        <v>60</v>
      </c>
      <c r="E35" s="1">
        <f>VLOOKUP($B35&amp;"__wt",'SegEnds_Xtal_BW#'!$A:$Z,5,FALSE)</f>
        <v>48</v>
      </c>
      <c r="F35" s="1">
        <f>VLOOKUP($B35&amp;"__wt",'SegEnds_Xtal_BW#'!$A:$Z,6,FALSE)</f>
        <v>51</v>
      </c>
      <c r="G35" s="1">
        <v>37</v>
      </c>
      <c r="H35" s="12">
        <f>VLOOKUP($B35&amp;"__wt",'SegEnds_Xtal_BW#'!$A:$Z,8,FALSE)</f>
        <v>63</v>
      </c>
      <c r="I35" s="1">
        <f>VLOOKUP($B35&amp;"__wt",'SegEnds_Xtal_BW#'!$A:$Z,9,FALSE)</f>
        <v>47</v>
      </c>
      <c r="J35" s="1">
        <f>VLOOKUP($B35&amp;"__wt",'SegEnds_Xtal_BW#'!$A:$Z,10,FALSE)</f>
        <v>53</v>
      </c>
      <c r="K35" s="12">
        <v>18</v>
      </c>
      <c r="L35" s="1">
        <f>VLOOKUP($B35&amp;"__wt",'SegEnds_Xtal_BW#'!$A:$Z,12,FALSE)</f>
        <v>56</v>
      </c>
      <c r="M35" s="1">
        <f>VLOOKUP($B35&amp;"__wt",'SegEnds_Xtal_BW#'!$A:$Z,13,FALSE)</f>
        <v>50</v>
      </c>
      <c r="N35" s="111">
        <v>56</v>
      </c>
      <c r="O35" s="89">
        <f>VLOOKUP($B35&amp;"__wt",'SegEnds_Xtal_BW#'!$A:$Z,15,FALSE)</f>
        <v>38</v>
      </c>
      <c r="P35" s="1">
        <f>VLOOKUP($B35&amp;"__wt",'SegEnds_Xtal_BW#'!$A:$Z,16,FALSE)</f>
        <v>63</v>
      </c>
      <c r="Q35" s="1" t="str">
        <f>VLOOKUP($B35&amp;"__wt",'SegEnds_Xtal_BW#'!$A:$Z,17,FALSE)</f>
        <v>-</v>
      </c>
      <c r="R35" s="1" t="str">
        <f>VLOOKUP($B35&amp;"__wt",'SegEnds_Xtal_BW#'!$A:$Z,18,FALSE)</f>
        <v>-</v>
      </c>
      <c r="S35" s="1">
        <f>VLOOKUP($B35&amp;"__wt",'SegEnds_Xtal_BW#'!$A:$Z,19,FALSE)</f>
        <v>36</v>
      </c>
      <c r="T35" s="1">
        <f t="array" ref="T35">INDEX('ICL3'!$G$2:$G$40,MATCH(MIN(ABS(AH35-'ICL3'!$F$2:$F$40)),ABS(AH35-'ICL3'!$F$2:$F$40),0))</f>
        <v>76</v>
      </c>
      <c r="U35" s="1">
        <f t="array" ref="U35">INDEX('ICL3'!$H$2:$H$40,MATCH(MIN(ABS(AH35-'ICL3'!$F$2:$F$40)),ABS(AH35-'ICL3'!$F$2:$F$40),0))</f>
        <v>24</v>
      </c>
      <c r="V35" s="1">
        <v>61</v>
      </c>
      <c r="W35" s="1">
        <v>28</v>
      </c>
      <c r="X35" s="1">
        <f>VLOOKUP($B35&amp;"__wt",'SegEnds_Xtal_BW#'!$A:$Z,24,FALSE)</f>
        <v>56</v>
      </c>
      <c r="Y35" s="1">
        <f>VLOOKUP($B35&amp;"__wt",'SegEnds_Xtal_BW#'!$A:$Z,25,FALSE)</f>
        <v>47</v>
      </c>
      <c r="Z35" s="1">
        <f>VLOOKUP($B35&amp;"__wt",'SegEnds_Xtal_BW#'!$A:$Z,26,FALSE)</f>
        <v>59</v>
      </c>
      <c r="AA35" s="27" t="str">
        <f>VLOOKUP(A35,Classification!A:B,2,FALSE)</f>
        <v>A</v>
      </c>
      <c r="AB35" s="1">
        <f>VLOOKUP(A35,'SegEnds_NonXtal_Prot#'!A:AL,10,FALSE)-VLOOKUP(A35,'SegEnds_NonXtal_Prot#'!A:AL,7,FALSE)</f>
        <v>15</v>
      </c>
      <c r="AC35" s="1">
        <f>VLOOKUP(A35,'SegEnds_NonXtal_Prot#'!A:AL,13,FALSE)-VLOOKUP(A35,'SegEnds_NonXtal_Prot#'!A:AL,10,FALSE)</f>
        <v>18</v>
      </c>
      <c r="AD35" s="1">
        <f>VLOOKUP(A35,'SegEnds_NonXtal_Prot#'!A:AL,16,FALSE)-VLOOKUP(A35,'SegEnds_NonXtal_Prot#'!A:AL,10,FALSE)</f>
        <v>52</v>
      </c>
      <c r="AE35" s="1">
        <f>VLOOKUP(A35,'SegEnds_NonXtal_Prot#'!A:AL,22,FALSE)-VLOOKUP(A35,'SegEnds_NonXtal_Prot#'!A:AL,19,FALSE)</f>
        <v>19</v>
      </c>
      <c r="AF35" s="1">
        <f>VLOOKUP(A35,'SegEnds_NonXtal_Prot#'!A:AL,28,FALSE)-VLOOKUP(A35,'SegEnds_NonXtal_Prot#'!A:AL,25,FALSE)</f>
        <v>25</v>
      </c>
      <c r="AG35" s="1">
        <f>VLOOKUP(A35,'SegEnds_NonXtal_Prot#'!A:AL,28,FALSE)-VLOOKUP(A35,'SegEnds_NonXtal_Prot#'!A:AL,22,FALSE)</f>
        <v>53</v>
      </c>
      <c r="AH35" s="1">
        <f>VLOOKUP(A35,'SegEnds_NonXtal_Prot#'!A:AL,31,FALSE)-VLOOKUP(A35,'SegEnds_NonXtal_Prot#'!A:AL,28,FALSE)</f>
        <v>85</v>
      </c>
      <c r="AI35" s="1">
        <f>VLOOKUP(A35,'SegEnds_NonXtal_Prot#'!A:AL,34,FALSE)-VLOOKUP(A35,'SegEnds_NonXtal_Prot#'!A:AL,31,FALSE)</f>
        <v>39</v>
      </c>
      <c r="AJ35" s="1" t="str">
        <f>IF(ISERROR(MATCH(A35,'SegEnds_Xtal_Prot#'!B:B, 0)), "NoXtal", "Xtal")</f>
        <v>NoXtal</v>
      </c>
    </row>
    <row r="36" spans="1:36" x14ac:dyDescent="0.2">
      <c r="A36" s="1" t="s">
        <v>128</v>
      </c>
      <c r="B36" s="1" t="str">
        <f>VLOOKUP(A36,Xtal_Templ!A:B,2,FALSE)</f>
        <v>5ht1b_human</v>
      </c>
      <c r="C36" s="5">
        <f>VLOOKUP($B36&amp;"__wt",'SegEnds_Xtal_BW#'!$A:$Z,3,FALSE)</f>
        <v>29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v>57</v>
      </c>
      <c r="O36" s="89">
        <v>38</v>
      </c>
      <c r="P36" s="1">
        <f>VLOOKUP($B36&amp;"__wt",'SegEnds_Xtal_BW#'!$A:$Z,16,FALSE)</f>
        <v>63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v>35</v>
      </c>
      <c r="T36" s="1">
        <f t="array" ref="T36">INDEX('ICL3'!$G$2:$G$40,MATCH(MIN(ABS(AH36-'ICL3'!$F$2:$F$40)),ABS(AH36-'ICL3'!$F$2:$F$40),0))</f>
        <v>76</v>
      </c>
      <c r="U36" s="1">
        <f t="array" ref="U36">INDEX('ICL3'!$H$2:$H$40,MATCH(MIN(ABS(AH36-'ICL3'!$F$2:$F$40)),ABS(AH36-'ICL3'!$F$2:$F$40),0))</f>
        <v>24</v>
      </c>
      <c r="V36" s="1">
        <v>60</v>
      </c>
      <c r="W36" s="1">
        <v>31</v>
      </c>
      <c r="X36" s="34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58</v>
      </c>
      <c r="AA36" s="27" t="str">
        <f>VLOOKUP(A36,Classification!A:B,2,FALSE)</f>
        <v>A</v>
      </c>
      <c r="AB36" s="1">
        <f>VLOOKUP(A36,'SegEnds_NonXtal_Prot#'!A:AL,10,FALSE)-VLOOKUP(A36,'SegEnds_NonXtal_Prot#'!A:AL,7,FALSE)</f>
        <v>15</v>
      </c>
      <c r="AC36" s="1">
        <f>VLOOKUP(A36,'SegEnds_NonXtal_Prot#'!A:AL,13,FALSE)-VLOOKUP(A36,'SegEnds_NonXtal_Prot#'!A:AL,10,FALSE)</f>
        <v>20</v>
      </c>
      <c r="AD36" s="1">
        <f>VLOOKUP(A36,'SegEnds_NonXtal_Prot#'!A:AL,16,FALSE)-VLOOKUP(A36,'SegEnds_NonXtal_Prot#'!A:AL,10,FALSE)</f>
        <v>52</v>
      </c>
      <c r="AE36" s="1">
        <f>VLOOKUP(A36,'SegEnds_NonXtal_Prot#'!A:AL,22,FALSE)-VLOOKUP(A36,'SegEnds_NonXtal_Prot#'!A:AL,19,FALSE)</f>
        <v>20</v>
      </c>
      <c r="AF36" s="1">
        <f>VLOOKUP(A36,'SegEnds_NonXtal_Prot#'!A:AL,28,FALSE)-VLOOKUP(A36,'SegEnds_NonXtal_Prot#'!A:AL,25,FALSE)</f>
        <v>20</v>
      </c>
      <c r="AG36" s="1">
        <f>VLOOKUP(A36,'SegEnds_NonXtal_Prot#'!A:AL,28,FALSE)-VLOOKUP(A36,'SegEnds_NonXtal_Prot#'!A:AL,22,FALSE)</f>
        <v>46</v>
      </c>
      <c r="AH36" s="1">
        <f>VLOOKUP(A36,'SegEnds_NonXtal_Prot#'!A:AL,31,FALSE)-VLOOKUP(A36,'SegEnds_NonXtal_Prot#'!A:AL,28,FALSE)</f>
        <v>153</v>
      </c>
      <c r="AI36" s="1">
        <f>VLOOKUP(A36,'SegEnds_NonXtal_Prot#'!A:AL,34,FALSE)-VLOOKUP(A36,'SegEnds_NonXtal_Prot#'!A:AL,31,FALSE)</f>
        <v>37</v>
      </c>
      <c r="AJ36" s="1" t="str">
        <f>IF(ISERROR(MATCH(A36,'SegEnds_Xtal_Prot#'!B:B, 0)), "NoXtal", "Xtal")</f>
        <v>NoXtal</v>
      </c>
    </row>
    <row r="37" spans="1:36" x14ac:dyDescent="0.2">
      <c r="A37" s="1" t="s">
        <v>34</v>
      </c>
      <c r="B37" s="1" t="str">
        <f>VLOOKUP(A37,Xtal_Templ!A:B,2,FALSE)</f>
        <v>5ht1b_human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f>VLOOKUP($B37&amp;"__wt",'SegEnds_Xtal_BW#'!$A:$Z,14,FALSE)</f>
        <v>57</v>
      </c>
      <c r="O37" s="89">
        <f>VLOOKUP($B37&amp;"__wt",'SegEnds_Xtal_BW#'!$A:$Z,15,FALSE)</f>
        <v>38</v>
      </c>
      <c r="P37" s="1">
        <f>VLOOKUP($B37&amp;"__wt",'SegEnds_Xtal_BW#'!$A:$Z,16,FALSE)</f>
        <v>63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v>35</v>
      </c>
      <c r="T37" s="1">
        <f t="array" ref="T37">INDEX('ICL3'!$G$2:$G$40,MATCH(MIN(ABS(AH37-'ICL3'!$F$2:$F$40)),ABS(AH37-'ICL3'!$F$2:$F$40),0))</f>
        <v>74</v>
      </c>
      <c r="U37" s="1">
        <f t="array" ref="U37">INDEX('ICL3'!$H$2:$H$40,MATCH(MIN(ABS(AH37-'ICL3'!$F$2:$F$40)),ABS(AH37-'ICL3'!$F$2:$F$40),0))</f>
        <v>24</v>
      </c>
      <c r="V37" s="1">
        <v>60</v>
      </c>
      <c r="W37" s="1">
        <v>31</v>
      </c>
      <c r="X37" s="34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VLOOKUP(A37,'SegEnds_NonXtal_Prot#'!A:AL,10,FALSE)-VLOOKUP(A37,'SegEnds_NonXtal_Prot#'!A:AL,7,FALSE)</f>
        <v>15</v>
      </c>
      <c r="AC37" s="1">
        <f>VLOOKUP(A37,'SegEnds_NonXtal_Prot#'!A:AL,13,FALSE)-VLOOKUP(A37,'SegEnds_NonXtal_Prot#'!A:AL,10,FALSE)</f>
        <v>20</v>
      </c>
      <c r="AD37" s="1">
        <f>VLOOKUP(A37,'SegEnds_NonXtal_Prot#'!A:AL,16,FALSE)-VLOOKUP(A37,'SegEnds_NonXtal_Prot#'!A:AL,10,FALSE)</f>
        <v>52</v>
      </c>
      <c r="AE37" s="1">
        <f>VLOOKUP(A37,'SegEnds_NonXtal_Prot#'!A:AL,22,FALSE)-VLOOKUP(A37,'SegEnds_NonXtal_Prot#'!A:AL,19,FALSE)</f>
        <v>20</v>
      </c>
      <c r="AF37" s="1">
        <f>VLOOKUP(A37,'SegEnds_NonXtal_Prot#'!A:AL,28,FALSE)-VLOOKUP(A37,'SegEnds_NonXtal_Prot#'!A:AL,25,FALSE)</f>
        <v>21</v>
      </c>
      <c r="AG37" s="1">
        <f>VLOOKUP(A37,'SegEnds_NonXtal_Prot#'!A:AL,28,FALSE)-VLOOKUP(A37,'SegEnds_NonXtal_Prot#'!A:AL,22,FALSE)</f>
        <v>46</v>
      </c>
      <c r="AH37" s="1">
        <f>VLOOKUP(A37,'SegEnds_NonXtal_Prot#'!A:AL,31,FALSE)-VLOOKUP(A37,'SegEnds_NonXtal_Prot#'!A:AL,28,FALSE)</f>
        <v>109</v>
      </c>
      <c r="AI37" s="1">
        <f>VLOOKUP(A37,'SegEnds_NonXtal_Prot#'!A:AL,34,FALSE)-VLOOKUP(A37,'SegEnds_NonXtal_Prot#'!A:AL,31,FALSE)</f>
        <v>37</v>
      </c>
      <c r="AJ37" s="1" t="str">
        <f>IF(ISERROR(MATCH(A37,'SegEnds_Xtal_Prot#'!B:B, 0)), "NoXtal", "Xtal")</f>
        <v>Xtal</v>
      </c>
    </row>
    <row r="38" spans="1:36" x14ac:dyDescent="0.2">
      <c r="A38" s="1" t="s">
        <v>129</v>
      </c>
      <c r="B38" s="1" t="str">
        <f>VLOOKUP(A38,Xtal_Templ!A:B,2,FALSE)</f>
        <v>5ht1b_human</v>
      </c>
      <c r="C38" s="5">
        <f>VLOOKUP($B38&amp;"__wt",'SegEnds_Xtal_BW#'!$A:$Z,3,FALSE)</f>
        <v>29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9">
        <v>38</v>
      </c>
      <c r="P38" s="1">
        <f>VLOOKUP($B38&amp;"__wt",'SegEnds_Xtal_BW#'!$A:$Z,16,FALSE)</f>
        <v>63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v>35</v>
      </c>
      <c r="T38" s="1">
        <f t="array" ref="T38">INDEX('ICL3'!$G$2:$G$40,MATCH(MIN(ABS(AH38-'ICL3'!$F$2:$F$40)),ABS(AH38-'ICL3'!$F$2:$F$40),0))</f>
        <v>74</v>
      </c>
      <c r="U38" s="1">
        <f t="array" ref="U38">INDEX('ICL3'!$H$2:$H$40,MATCH(MIN(ABS(AH38-'ICL3'!$F$2:$F$40)),ABS(AH38-'ICL3'!$F$2:$F$40),0))</f>
        <v>24</v>
      </c>
      <c r="V38" s="1">
        <v>60</v>
      </c>
      <c r="W38" s="1">
        <v>31</v>
      </c>
      <c r="X38" s="34">
        <f>VLOOKUP($B38&amp;"__wt",'SegEnds_Xtal_BW#'!$A:$Z,24,FALSE)</f>
        <v>56</v>
      </c>
      <c r="Y38" s="1">
        <f>VLOOKUP($B38&amp;"__wt",'SegEnds_Xtal_BW#'!$A:$Z,25,FALSE)</f>
        <v>47</v>
      </c>
      <c r="Z38" s="1">
        <f>VLOOKUP($B38&amp;"__wt",'SegEnds_Xtal_BW#'!$A:$Z,26,FALSE)</f>
        <v>58</v>
      </c>
      <c r="AA38" s="27" t="str">
        <f>VLOOKUP(A38,Classification!A:B,2,FALSE)</f>
        <v>A</v>
      </c>
      <c r="AB38" s="1">
        <f>VLOOKUP(A38,'SegEnds_NonXtal_Prot#'!A:AL,10,FALSE)-VLOOKUP(A38,'SegEnds_NonXtal_Prot#'!A:AL,7,FALSE)</f>
        <v>15</v>
      </c>
      <c r="AC38" s="1">
        <f>VLOOKUP(A38,'SegEnds_NonXtal_Prot#'!A:AL,13,FALSE)-VLOOKUP(A38,'SegEnds_NonXtal_Prot#'!A:AL,10,FALSE)</f>
        <v>20</v>
      </c>
      <c r="AD38" s="1">
        <f>VLOOKUP(A38,'SegEnds_NonXtal_Prot#'!A:AL,16,FALSE)-VLOOKUP(A38,'SegEnds_NonXtal_Prot#'!A:AL,10,FALSE)</f>
        <v>52</v>
      </c>
      <c r="AE38" s="1">
        <f>VLOOKUP(A38,'SegEnds_NonXtal_Prot#'!A:AL,22,FALSE)-VLOOKUP(A38,'SegEnds_NonXtal_Prot#'!A:AL,19,FALSE)</f>
        <v>20</v>
      </c>
      <c r="AF38" s="1">
        <f>VLOOKUP(A38,'SegEnds_NonXtal_Prot#'!A:AL,28,FALSE)-VLOOKUP(A38,'SegEnds_NonXtal_Prot#'!A:AL,25,FALSE)</f>
        <v>21</v>
      </c>
      <c r="AG38" s="1">
        <f>VLOOKUP(A38,'SegEnds_NonXtal_Prot#'!A:AL,28,FALSE)-VLOOKUP(A38,'SegEnds_NonXtal_Prot#'!A:AL,22,FALSE)</f>
        <v>46</v>
      </c>
      <c r="AH38" s="1">
        <f>VLOOKUP(A38,'SegEnds_NonXtal_Prot#'!A:AL,31,FALSE)-VLOOKUP(A38,'SegEnds_NonXtal_Prot#'!A:AL,28,FALSE)</f>
        <v>107</v>
      </c>
      <c r="AI38" s="1">
        <f>VLOOKUP(A38,'SegEnds_NonXtal_Prot#'!A:AL,34,FALSE)-VLOOKUP(A38,'SegEnds_NonXtal_Prot#'!A:AL,31,FALSE)</f>
        <v>37</v>
      </c>
      <c r="AJ38" s="1" t="str">
        <f>IF(ISERROR(MATCH(A38,'SegEnds_Xtal_Prot#'!B:B, 0)), "NoXtal", "Xtal")</f>
        <v>NoXtal</v>
      </c>
    </row>
    <row r="39" spans="1:36" x14ac:dyDescent="0.2">
      <c r="A39" s="1" t="s">
        <v>130</v>
      </c>
      <c r="B39" s="1" t="str">
        <f>VLOOKUP(A39,Xtal_Templ!A:B,2,FALSE)</f>
        <v>5ht1b_human</v>
      </c>
      <c r="C39" s="5">
        <f>VLOOKUP($B39&amp;"__wt",'SegEnds_Xtal_BW#'!$A:$Z,3,FALSE)</f>
        <v>29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v>57</v>
      </c>
      <c r="O39" s="89">
        <v>38</v>
      </c>
      <c r="P39" s="1">
        <f>VLOOKUP($B39&amp;"__wt",'SegEnds_Xtal_BW#'!$A:$Z,16,FALSE)</f>
        <v>63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v>35</v>
      </c>
      <c r="T39" s="1">
        <f t="array" ref="T39">INDEX('ICL3'!$G$2:$G$40,MATCH(MIN(ABS(AH39-'ICL3'!$F$2:$F$40)),ABS(AH39-'ICL3'!$F$2:$F$40),0))</f>
        <v>76</v>
      </c>
      <c r="U39" s="1">
        <f t="array" ref="U39">INDEX('ICL3'!$H$2:$H$40,MATCH(MIN(ABS(AH39-'ICL3'!$F$2:$F$40)),ABS(AH39-'ICL3'!$F$2:$F$40),0))</f>
        <v>24</v>
      </c>
      <c r="V39" s="1">
        <v>61</v>
      </c>
      <c r="W39" s="1">
        <v>31</v>
      </c>
      <c r="X39" s="1">
        <f>VLOOKUP($B39&amp;"__wt",'SegEnds_Xtal_BW#'!$A:$Z,24,FALSE)</f>
        <v>56</v>
      </c>
      <c r="Y39" s="1">
        <f>VLOOKUP($B39&amp;"__wt",'SegEnds_Xtal_BW#'!$A:$Z,25,FALSE)</f>
        <v>47</v>
      </c>
      <c r="Z39" s="1">
        <f>VLOOKUP($B39&amp;"__wt",'SegEnds_Xtal_BW#'!$A:$Z,26,FALSE)</f>
        <v>58</v>
      </c>
      <c r="AA39" s="27" t="str">
        <f>VLOOKUP(A39,Classification!A:B,2,FALSE)</f>
        <v>A</v>
      </c>
      <c r="AB39" s="1">
        <f>VLOOKUP(A39,'SegEnds_NonXtal_Prot#'!A:AL,10,FALSE)-VLOOKUP(A39,'SegEnds_NonXtal_Prot#'!A:AL,7,FALSE)</f>
        <v>15</v>
      </c>
      <c r="AC39" s="1">
        <f>VLOOKUP(A39,'SegEnds_NonXtal_Prot#'!A:AL,13,FALSE)-VLOOKUP(A39,'SegEnds_NonXtal_Prot#'!A:AL,10,FALSE)</f>
        <v>20</v>
      </c>
      <c r="AD39" s="1">
        <f>VLOOKUP(A39,'SegEnds_NonXtal_Prot#'!A:AL,16,FALSE)-VLOOKUP(A39,'SegEnds_NonXtal_Prot#'!A:AL,10,FALSE)</f>
        <v>52</v>
      </c>
      <c r="AE39" s="1">
        <f>VLOOKUP(A39,'SegEnds_NonXtal_Prot#'!A:AL,22,FALSE)-VLOOKUP(A39,'SegEnds_NonXtal_Prot#'!A:AL,19,FALSE)</f>
        <v>20</v>
      </c>
      <c r="AF39" s="1">
        <f>VLOOKUP(A39,'SegEnds_NonXtal_Prot#'!A:AL,28,FALSE)-VLOOKUP(A39,'SegEnds_NonXtal_Prot#'!A:AL,25,FALSE)</f>
        <v>21</v>
      </c>
      <c r="AG39" s="1">
        <f>VLOOKUP(A39,'SegEnds_NonXtal_Prot#'!A:AL,28,FALSE)-VLOOKUP(A39,'SegEnds_NonXtal_Prot#'!A:AL,22,FALSE)</f>
        <v>47</v>
      </c>
      <c r="AH39" s="1">
        <f>VLOOKUP(A39,'SegEnds_NonXtal_Prot#'!A:AL,31,FALSE)-VLOOKUP(A39,'SegEnds_NonXtal_Prot#'!A:AL,28,FALSE)</f>
        <v>112</v>
      </c>
      <c r="AI39" s="1">
        <f>VLOOKUP(A39,'SegEnds_NonXtal_Prot#'!A:AL,34,FALSE)-VLOOKUP(A39,'SegEnds_NonXtal_Prot#'!A:AL,31,FALSE)</f>
        <v>35</v>
      </c>
      <c r="AJ39" s="1" t="str">
        <f>IF(ISERROR(MATCH(A39,'SegEnds_Xtal_Prot#'!B:B, 0)), "NoXtal", "Xtal")</f>
        <v>NoXtal</v>
      </c>
    </row>
    <row r="40" spans="1:36" x14ac:dyDescent="0.2">
      <c r="A40" s="1" t="s">
        <v>131</v>
      </c>
      <c r="B40" s="1" t="str">
        <f>VLOOKUP(A40,Xtal_Templ!A:B,2,FALSE)</f>
        <v>5ht1b_human</v>
      </c>
      <c r="C40" s="5">
        <f>VLOOKUP($B40&amp;"__wt",'SegEnds_Xtal_BW#'!$A:$Z,3,FALSE)</f>
        <v>29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v>57</v>
      </c>
      <c r="O40" s="89">
        <v>38</v>
      </c>
      <c r="P40" s="1">
        <f>VLOOKUP($B40&amp;"__wt",'SegEnds_Xtal_BW#'!$A:$Z,16,FALSE)</f>
        <v>63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v>35</v>
      </c>
      <c r="T40" s="1">
        <f t="array" ref="T40">INDEX('ICL3'!$G$2:$G$40,MATCH(MIN(ABS(AH40-'ICL3'!$F$2:$F$40)),ABS(AH40-'ICL3'!$F$2:$F$40),0))</f>
        <v>76</v>
      </c>
      <c r="U40" s="1">
        <f t="array" ref="U40">INDEX('ICL3'!$H$2:$H$40,MATCH(MIN(ABS(AH40-'ICL3'!$F$2:$F$40)),ABS(AH40-'ICL3'!$F$2:$F$40),0))</f>
        <v>24</v>
      </c>
      <c r="V40" s="1">
        <v>61</v>
      </c>
      <c r="W40" s="1">
        <v>31</v>
      </c>
      <c r="X40" s="1">
        <f>VLOOKUP($B40&amp;"__wt",'SegEnds_Xtal_BW#'!$A:$Z,24,FALSE)</f>
        <v>56</v>
      </c>
      <c r="Y40" s="1">
        <f>VLOOKUP($B40&amp;"__wt",'SegEnds_Xtal_BW#'!$A:$Z,25,FALSE)</f>
        <v>47</v>
      </c>
      <c r="Z40" s="1">
        <f>VLOOKUP($B40&amp;"__wt",'SegEnds_Xtal_BW#'!$A:$Z,26,FALSE)</f>
        <v>58</v>
      </c>
      <c r="AA40" s="27" t="str">
        <f>VLOOKUP(A40,Classification!A:B,2,FALSE)</f>
        <v>A</v>
      </c>
      <c r="AB40" s="1">
        <f>VLOOKUP(A40,'SegEnds_NonXtal_Prot#'!A:AL,10,FALSE)-VLOOKUP(A40,'SegEnds_NonXtal_Prot#'!A:AL,7,FALSE)</f>
        <v>15</v>
      </c>
      <c r="AC40" s="1">
        <f>VLOOKUP(A40,'SegEnds_NonXtal_Prot#'!A:AL,13,FALSE)-VLOOKUP(A40,'SegEnds_NonXtal_Prot#'!A:AL,10,FALSE)</f>
        <v>20</v>
      </c>
      <c r="AD40" s="1">
        <f>VLOOKUP(A40,'SegEnds_NonXtal_Prot#'!A:AL,16,FALSE)-VLOOKUP(A40,'SegEnds_NonXtal_Prot#'!A:AL,10,FALSE)</f>
        <v>52</v>
      </c>
      <c r="AE40" s="1">
        <f>VLOOKUP(A40,'SegEnds_NonXtal_Prot#'!A:AL,22,FALSE)-VLOOKUP(A40,'SegEnds_NonXtal_Prot#'!A:AL,19,FALSE)</f>
        <v>20</v>
      </c>
      <c r="AF40" s="1">
        <f>VLOOKUP(A40,'SegEnds_NonXtal_Prot#'!A:AL,28,FALSE)-VLOOKUP(A40,'SegEnds_NonXtal_Prot#'!A:AL,25,FALSE)</f>
        <v>21</v>
      </c>
      <c r="AG40" s="1">
        <f>VLOOKUP(A40,'SegEnds_NonXtal_Prot#'!A:AL,28,FALSE)-VLOOKUP(A40,'SegEnds_NonXtal_Prot#'!A:AL,22,FALSE)</f>
        <v>45</v>
      </c>
      <c r="AH40" s="1">
        <f>VLOOKUP(A40,'SegEnds_NonXtal_Prot#'!A:AL,31,FALSE)-VLOOKUP(A40,'SegEnds_NonXtal_Prot#'!A:AL,28,FALSE)</f>
        <v>115</v>
      </c>
      <c r="AI40" s="1">
        <f>VLOOKUP(A40,'SegEnds_NonXtal_Prot#'!A:AL,34,FALSE)-VLOOKUP(A40,'SegEnds_NonXtal_Prot#'!A:AL,31,FALSE)</f>
        <v>36</v>
      </c>
      <c r="AJ40" s="1" t="str">
        <f>IF(ISERROR(MATCH(A40,'SegEnds_Xtal_Prot#'!B:B, 0)), "NoXtal", "Xtal")</f>
        <v>NoXtal</v>
      </c>
    </row>
    <row r="41" spans="1:36" x14ac:dyDescent="0.2">
      <c r="A41" s="1" t="s">
        <v>132</v>
      </c>
      <c r="B41" s="1" t="str">
        <f>VLOOKUP(A41,Xtal_Templ!A:B,2,FALSE)</f>
        <v>5ht2b_human</v>
      </c>
      <c r="C41" s="5">
        <f>VLOOKUP($B41&amp;"__wt",'SegEnds_Xtal_BW#'!$A:$Z,3,FALSE)</f>
        <v>32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67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v>57</v>
      </c>
      <c r="O41" s="89">
        <f>VLOOKUP($B41&amp;"__wt",'SegEnds_Xtal_BW#'!$A:$Z,15,FALSE)</f>
        <v>38</v>
      </c>
      <c r="P41" s="1">
        <f>VLOOKUP($B41&amp;"__wt",'SegEnds_Xtal_BW#'!$A:$Z,16,FALSE)</f>
        <v>64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v>35</v>
      </c>
      <c r="T41" s="1">
        <f t="array" ref="T41">INDEX('ICL3'!$G$2:$G$40,MATCH(MIN(ABS(AH41-'ICL3'!$F$2:$F$40)),ABS(AH41-'ICL3'!$F$2:$F$40),0))</f>
        <v>76</v>
      </c>
      <c r="U41" s="1">
        <f t="array" ref="U41">INDEX('ICL3'!$H$2:$H$40,MATCH(MIN(ABS(AH41-'ICL3'!$F$2:$F$40)),ABS(AH41-'ICL3'!$F$2:$F$40),0))</f>
        <v>24</v>
      </c>
      <c r="V41" s="1">
        <v>61</v>
      </c>
      <c r="W41" s="1">
        <v>28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58</v>
      </c>
      <c r="AA41" s="27" t="str">
        <f>VLOOKUP(A41,Classification!A:B,2,FALSE)</f>
        <v>A</v>
      </c>
      <c r="AB41" s="1">
        <f>VLOOKUP(A41,'SegEnds_NonXtal_Prot#'!A:AL,10,FALSE)-VLOOKUP(A41,'SegEnds_NonXtal_Prot#'!A:AL,7,FALSE)</f>
        <v>15</v>
      </c>
      <c r="AC41" s="1">
        <f>VLOOKUP(A41,'SegEnds_NonXtal_Prot#'!A:AL,13,FALSE)-VLOOKUP(A41,'SegEnds_NonXtal_Prot#'!A:AL,10,FALSE)</f>
        <v>21</v>
      </c>
      <c r="AD41" s="1">
        <f>VLOOKUP(A41,'SegEnds_NonXtal_Prot#'!A:AL,16,FALSE)-VLOOKUP(A41,'SegEnds_NonXtal_Prot#'!A:AL,10,FALSE)</f>
        <v>53</v>
      </c>
      <c r="AE41" s="1">
        <f>VLOOKUP(A41,'SegEnds_NonXtal_Prot#'!A:AL,22,FALSE)-VLOOKUP(A41,'SegEnds_NonXtal_Prot#'!A:AL,19,FALSE)</f>
        <v>20</v>
      </c>
      <c r="AF41" s="1">
        <f>VLOOKUP(A41,'SegEnds_NonXtal_Prot#'!A:AL,28,FALSE)-VLOOKUP(A41,'SegEnds_NonXtal_Prot#'!A:AL,25,FALSE)</f>
        <v>19</v>
      </c>
      <c r="AG41" s="1">
        <f>VLOOKUP(A41,'SegEnds_NonXtal_Prot#'!A:AL,28,FALSE)-VLOOKUP(A41,'SegEnds_NonXtal_Prot#'!A:AL,22,FALSE)</f>
        <v>46</v>
      </c>
      <c r="AH41" s="1">
        <f>VLOOKUP(A41,'SegEnds_NonXtal_Prot#'!A:AL,31,FALSE)-VLOOKUP(A41,'SegEnds_NonXtal_Prot#'!A:AL,28,FALSE)</f>
        <v>92</v>
      </c>
      <c r="AI41" s="1">
        <f>VLOOKUP(A41,'SegEnds_NonXtal_Prot#'!A:AL,34,FALSE)-VLOOKUP(A41,'SegEnds_NonXtal_Prot#'!A:AL,31,FALSE)</f>
        <v>39</v>
      </c>
      <c r="AJ41" s="1" t="str">
        <f>IF(ISERROR(MATCH(A41,'SegEnds_Xtal_Prot#'!B:B, 0)), "NoXtal", "Xtal")</f>
        <v>NoXtal</v>
      </c>
    </row>
    <row r="42" spans="1:36" x14ac:dyDescent="0.2">
      <c r="A42" s="1" t="s">
        <v>35</v>
      </c>
      <c r="B42" s="1" t="str">
        <f>VLOOKUP(A42,Xtal_Templ!A:B,2,FALSE)</f>
        <v>5ht2b_human</v>
      </c>
      <c r="C42" s="5">
        <f>VLOOKUP($B42&amp;"__wt",'SegEnds_Xtal_BW#'!$A:$Z,3,FALSE)</f>
        <v>32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67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f>VLOOKUP($B42&amp;"__wt",'SegEnds_Xtal_BW#'!$A:$Z,14,FALSE)</f>
        <v>57</v>
      </c>
      <c r="O42" s="89">
        <f>VLOOKUP($B42&amp;"__wt",'SegEnds_Xtal_BW#'!$A:$Z,15,FALSE)</f>
        <v>38</v>
      </c>
      <c r="P42" s="1">
        <f>VLOOKUP($B42&amp;"__wt",'SegEnds_Xtal_BW#'!$A:$Z,16,FALSE)</f>
        <v>64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INDEX('ICL3'!$G$2:$G$40,MATCH(MIN(ABS(AH42-'ICL3'!$F$2:$F$40)),ABS(AH42-'ICL3'!$F$2:$F$40),0))</f>
        <v>76</v>
      </c>
      <c r="U42" s="1">
        <f t="array" ref="U42">INDEX('ICL3'!$H$2:$H$40,MATCH(MIN(ABS(AH42-'ICL3'!$F$2:$F$40)),ABS(AH42-'ICL3'!$F$2:$F$40),0))</f>
        <v>24</v>
      </c>
      <c r="V42" s="1">
        <v>61</v>
      </c>
      <c r="W42" s="1">
        <v>28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58</v>
      </c>
      <c r="AA42" s="27" t="str">
        <f>VLOOKUP(A42,Classification!A:B,2,FALSE)</f>
        <v>A</v>
      </c>
      <c r="AB42" s="1">
        <f>VLOOKUP(A42,'SegEnds_NonXtal_Prot#'!A:AL,10,FALSE)-VLOOKUP(A42,'SegEnds_NonXtal_Prot#'!A:AL,7,FALSE)</f>
        <v>15</v>
      </c>
      <c r="AC42" s="1">
        <f>VLOOKUP(A42,'SegEnds_NonXtal_Prot#'!A:AL,13,FALSE)-VLOOKUP(A42,'SegEnds_NonXtal_Prot#'!A:AL,10,FALSE)</f>
        <v>21</v>
      </c>
      <c r="AD42" s="1">
        <f>VLOOKUP(A42,'SegEnds_NonXtal_Prot#'!A:AL,16,FALSE)-VLOOKUP(A42,'SegEnds_NonXtal_Prot#'!A:AL,10,FALSE)</f>
        <v>53</v>
      </c>
      <c r="AE42" s="1">
        <f>VLOOKUP(A42,'SegEnds_NonXtal_Prot#'!A:AL,22,FALSE)-VLOOKUP(A42,'SegEnds_NonXtal_Prot#'!A:AL,19,FALSE)</f>
        <v>20</v>
      </c>
      <c r="AF42" s="1">
        <f>VLOOKUP(A42,'SegEnds_NonXtal_Prot#'!A:AL,28,FALSE)-VLOOKUP(A42,'SegEnds_NonXtal_Prot#'!A:AL,25,FALSE)</f>
        <v>22</v>
      </c>
      <c r="AG42" s="1">
        <f>VLOOKUP(A42,'SegEnds_NonXtal_Prot#'!A:AL,28,FALSE)-VLOOKUP(A42,'SegEnds_NonXtal_Prot#'!A:AL,22,FALSE)</f>
        <v>49</v>
      </c>
      <c r="AH42" s="1">
        <f>VLOOKUP(A42,'SegEnds_NonXtal_Prot#'!A:AL,31,FALSE)-VLOOKUP(A42,'SegEnds_NonXtal_Prot#'!A:AL,28,FALSE)</f>
        <v>110</v>
      </c>
      <c r="AI42" s="1">
        <f>VLOOKUP(A42,'SegEnds_NonXtal_Prot#'!A:AL,34,FALSE)-VLOOKUP(A42,'SegEnds_NonXtal_Prot#'!A:AL,31,FALSE)</f>
        <v>38</v>
      </c>
      <c r="AJ42" s="1" t="str">
        <f>IF(ISERROR(MATCH(A42,'SegEnds_Xtal_Prot#'!B:B, 0)), "NoXtal", "Xtal")</f>
        <v>Xtal</v>
      </c>
    </row>
    <row r="43" spans="1:36" x14ac:dyDescent="0.2">
      <c r="A43" s="1" t="s">
        <v>133</v>
      </c>
      <c r="B43" s="1" t="str">
        <f>VLOOKUP(A43,Xtal_Templ!A:B,2,FALSE)</f>
        <v>5ht2b_human</v>
      </c>
      <c r="C43" s="5">
        <f>VLOOKUP($B43&amp;"__wt",'SegEnds_Xtal_BW#'!$A:$Z,3,FALSE)</f>
        <v>32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67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18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9">
        <f>VLOOKUP($B43&amp;"__wt",'SegEnds_Xtal_BW#'!$A:$Z,15,FALSE)</f>
        <v>38</v>
      </c>
      <c r="P43" s="1">
        <f>VLOOKUP($B43&amp;"__wt",'SegEnds_Xtal_BW#'!$A:$Z,16,FALSE)</f>
        <v>64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INDEX('ICL3'!$G$2:$G$40,MATCH(MIN(ABS(AH43-'ICL3'!$F$2:$F$40)),ABS(AH43-'ICL3'!$F$2:$F$40),0))</f>
        <v>74</v>
      </c>
      <c r="U43" s="1">
        <f t="array" ref="U43">INDEX('ICL3'!$H$2:$H$40,MATCH(MIN(ABS(AH43-'ICL3'!$F$2:$F$40)),ABS(AH43-'ICL3'!$F$2:$F$40),0))</f>
        <v>24</v>
      </c>
      <c r="V43" s="1">
        <v>61</v>
      </c>
      <c r="W43" s="1">
        <v>28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58</v>
      </c>
      <c r="AA43" s="27" t="str">
        <f>VLOOKUP(A43,Classification!A:B,2,FALSE)</f>
        <v>A</v>
      </c>
      <c r="AB43" s="1">
        <f>VLOOKUP(A43,'SegEnds_NonXtal_Prot#'!A:AL,10,FALSE)-VLOOKUP(A43,'SegEnds_NonXtal_Prot#'!A:AL,7,FALSE)</f>
        <v>15</v>
      </c>
      <c r="AC43" s="1">
        <f>VLOOKUP(A43,'SegEnds_NonXtal_Prot#'!A:AL,13,FALSE)-VLOOKUP(A43,'SegEnds_NonXtal_Prot#'!A:AL,10,FALSE)</f>
        <v>21</v>
      </c>
      <c r="AD43" s="1">
        <f>VLOOKUP(A43,'SegEnds_NonXtal_Prot#'!A:AL,16,FALSE)-VLOOKUP(A43,'SegEnds_NonXtal_Prot#'!A:AL,10,FALSE)</f>
        <v>53</v>
      </c>
      <c r="AE43" s="1">
        <f>VLOOKUP(A43,'SegEnds_NonXtal_Prot#'!A:AL,22,FALSE)-VLOOKUP(A43,'SegEnds_NonXtal_Prot#'!A:AL,19,FALSE)</f>
        <v>20</v>
      </c>
      <c r="AF43" s="1">
        <f>VLOOKUP(A43,'SegEnds_NonXtal_Prot#'!A:AL,28,FALSE)-VLOOKUP(A43,'SegEnds_NonXtal_Prot#'!A:AL,25,FALSE)</f>
        <v>19</v>
      </c>
      <c r="AG43" s="1">
        <f>VLOOKUP(A43,'SegEnds_NonXtal_Prot#'!A:AL,28,FALSE)-VLOOKUP(A43,'SegEnds_NonXtal_Prot#'!A:AL,22,FALSE)</f>
        <v>47</v>
      </c>
      <c r="AH43" s="1">
        <f>VLOOKUP(A43,'SegEnds_NonXtal_Prot#'!A:AL,31,FALSE)-VLOOKUP(A43,'SegEnds_NonXtal_Prot#'!A:AL,28,FALSE)</f>
        <v>100</v>
      </c>
      <c r="AI43" s="1">
        <f>VLOOKUP(A43,'SegEnds_NonXtal_Prot#'!A:AL,34,FALSE)-VLOOKUP(A43,'SegEnds_NonXtal_Prot#'!A:AL,31,FALSE)</f>
        <v>39</v>
      </c>
      <c r="AJ43" s="1" t="str">
        <f>IF(ISERROR(MATCH(A43,'SegEnds_Xtal_Prot#'!B:B, 0)), "NoXtal", "Xtal")</f>
        <v>NoXtal</v>
      </c>
    </row>
    <row r="44" spans="1:36" x14ac:dyDescent="0.2">
      <c r="A44" s="1" t="s">
        <v>134</v>
      </c>
      <c r="B44" s="1" t="str">
        <f>VLOOKUP(A44,Xtal_Templ!A:B,2,FALSE)</f>
        <v>adrb2_human</v>
      </c>
      <c r="C44" s="5">
        <f>VLOOKUP($B44&amp;"__wt",'SegEnds_Xtal_BW#'!$A:$Z,3,FALSE)</f>
        <v>25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67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18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9">
        <v>38</v>
      </c>
      <c r="P44" s="1">
        <f>VLOOKUP($B44&amp;"__wt",'SegEnds_Xtal_BW#'!$A:$Z,16,FALSE)</f>
        <v>64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v>35</v>
      </c>
      <c r="T44" s="1">
        <f t="array" ref="T44">INDEX('ICL3'!$G$2:$G$40,MATCH(MIN(ABS(AH44-'ICL3'!$F$2:$F$40)),ABS(AH44-'ICL3'!$F$2:$F$40),0))</f>
        <v>76</v>
      </c>
      <c r="U44" s="1">
        <f t="array" ref="U44">INDEX('ICL3'!$H$2:$H$40,MATCH(MIN(ABS(AH44-'ICL3'!$F$2:$F$40)),ABS(AH44-'ICL3'!$F$2:$F$40),0))</f>
        <v>24</v>
      </c>
      <c r="V44" s="1">
        <v>61</v>
      </c>
      <c r="W44" s="1">
        <v>31</v>
      </c>
      <c r="X44" s="34">
        <f>VLOOKUP($B44&amp;"__wt",'SegEnds_Xtal_BW#'!$A:$Z,24,FALSE)</f>
        <v>55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VLOOKUP(A44,'SegEnds_NonXtal_Prot#'!A:AL,10,FALSE)-VLOOKUP(A44,'SegEnds_NonXtal_Prot#'!A:AL,7,FALSE)</f>
        <v>16</v>
      </c>
      <c r="AC44" s="1">
        <f>VLOOKUP(A44,'SegEnds_NonXtal_Prot#'!A:AL,13,FALSE)-VLOOKUP(A44,'SegEnds_NonXtal_Prot#'!A:AL,10,FALSE)</f>
        <v>20</v>
      </c>
      <c r="AD44" s="1">
        <f>VLOOKUP(A44,'SegEnds_NonXtal_Prot#'!A:AL,16,FALSE)-VLOOKUP(A44,'SegEnds_NonXtal_Prot#'!A:AL,10,FALSE)</f>
        <v>52</v>
      </c>
      <c r="AE44" s="1">
        <f>VLOOKUP(A44,'SegEnds_NonXtal_Prot#'!A:AL,22,FALSE)-VLOOKUP(A44,'SegEnds_NonXtal_Prot#'!A:AL,19,FALSE)</f>
        <v>20</v>
      </c>
      <c r="AF44" s="1">
        <f>VLOOKUP(A44,'SegEnds_NonXtal_Prot#'!A:AL,28,FALSE)-VLOOKUP(A44,'SegEnds_NonXtal_Prot#'!A:AL,25,FALSE)</f>
        <v>20</v>
      </c>
      <c r="AG44" s="1">
        <f>VLOOKUP(A44,'SegEnds_NonXtal_Prot#'!A:AL,28,FALSE)-VLOOKUP(A44,'SegEnds_NonXtal_Prot#'!A:AL,22,FALSE)</f>
        <v>58</v>
      </c>
      <c r="AH44" s="1">
        <f>VLOOKUP(A44,'SegEnds_NonXtal_Prot#'!A:AL,31,FALSE)-VLOOKUP(A44,'SegEnds_NonXtal_Prot#'!A:AL,28,FALSE)</f>
        <v>70</v>
      </c>
      <c r="AI44" s="1">
        <f>VLOOKUP(A44,'SegEnds_NonXtal_Prot#'!A:AL,34,FALSE)-VLOOKUP(A44,'SegEnds_NonXtal_Prot#'!A:AL,31,FALSE)</f>
        <v>35</v>
      </c>
      <c r="AJ44" s="1" t="str">
        <f>IF(ISERROR(MATCH(A44,'SegEnds_Xtal_Prot#'!B:B, 0)), "NoXtal", "Xtal")</f>
        <v>NoXtal</v>
      </c>
    </row>
    <row r="45" spans="1:36" x14ac:dyDescent="0.2">
      <c r="A45" s="1" t="s">
        <v>135</v>
      </c>
      <c r="B45" s="1" t="str">
        <f>VLOOKUP(A45,Xtal_Templ!A:B,2,FALSE)</f>
        <v>5ht1b_human</v>
      </c>
      <c r="C45" s="5">
        <f>VLOOKUP($B45&amp;"__wt",'SegEnds_Xtal_BW#'!$A:$Z,3,FALSE)</f>
        <v>29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67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57</v>
      </c>
      <c r="O45" s="89">
        <f>VLOOKUP($B45&amp;"__wt",'SegEnds_Xtal_BW#'!$A:$Z,15,FALSE)</f>
        <v>38</v>
      </c>
      <c r="P45" s="1">
        <f>VLOOKUP($B45&amp;"__wt",'SegEnds_Xtal_BW#'!$A:$Z,16,FALSE)</f>
        <v>63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v>35</v>
      </c>
      <c r="T45" s="1">
        <f t="array" ref="T45">INDEX('ICL3'!$G$2:$G$40,MATCH(MIN(ABS(AH45-'ICL3'!$F$2:$F$40)),ABS(AH45-'ICL3'!$F$2:$F$40),0))</f>
        <v>76</v>
      </c>
      <c r="U45" s="1">
        <f t="array" ref="U45">INDEX('ICL3'!$H$2:$H$40,MATCH(MIN(ABS(AH45-'ICL3'!$F$2:$F$40)),ABS(AH45-'ICL3'!$F$2:$F$40),0))</f>
        <v>24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VLOOKUP(A45,'SegEnds_NonXtal_Prot#'!A:AL,10,FALSE)-VLOOKUP(A45,'SegEnds_NonXtal_Prot#'!A:AL,7,FALSE)</f>
        <v>15</v>
      </c>
      <c r="AC45" s="1">
        <f>VLOOKUP(A45,'SegEnds_NonXtal_Prot#'!A:AL,13,FALSE)-VLOOKUP(A45,'SegEnds_NonXtal_Prot#'!A:AL,10,FALSE)</f>
        <v>21</v>
      </c>
      <c r="AD45" s="1">
        <f>VLOOKUP(A45,'SegEnds_NonXtal_Prot#'!A:AL,16,FALSE)-VLOOKUP(A45,'SegEnds_NonXtal_Prot#'!A:AL,10,FALSE)</f>
        <v>53</v>
      </c>
      <c r="AE45" s="1">
        <f>VLOOKUP(A45,'SegEnds_NonXtal_Prot#'!A:AL,22,FALSE)-VLOOKUP(A45,'SegEnds_NonXtal_Prot#'!A:AL,19,FALSE)</f>
        <v>20</v>
      </c>
      <c r="AF45" s="1">
        <f>VLOOKUP(A45,'SegEnds_NonXtal_Prot#'!A:AL,28,FALSE)-VLOOKUP(A45,'SegEnds_NonXtal_Prot#'!A:AL,25,FALSE)</f>
        <v>20</v>
      </c>
      <c r="AG45" s="1">
        <f>VLOOKUP(A45,'SegEnds_NonXtal_Prot#'!A:AL,28,FALSE)-VLOOKUP(A45,'SegEnds_NonXtal_Prot#'!A:AL,22,FALSE)</f>
        <v>46</v>
      </c>
      <c r="AH45" s="1">
        <f>VLOOKUP(A45,'SegEnds_NonXtal_Prot#'!A:AL,31,FALSE)-VLOOKUP(A45,'SegEnds_NonXtal_Prot#'!A:AL,28,FALSE)</f>
        <v>88</v>
      </c>
      <c r="AI45" s="1">
        <f>VLOOKUP(A45,'SegEnds_NonXtal_Prot#'!A:AL,34,FALSE)-VLOOKUP(A45,'SegEnds_NonXtal_Prot#'!A:AL,31,FALSE)</f>
        <v>35</v>
      </c>
      <c r="AJ45" s="1" t="str">
        <f>IF(ISERROR(MATCH(A45,'SegEnds_Xtal_Prot#'!B:B, 0)), "NoXtal", "Xtal")</f>
        <v>NoXtal</v>
      </c>
    </row>
    <row r="46" spans="1:36" x14ac:dyDescent="0.2">
      <c r="A46" s="1" t="s">
        <v>136</v>
      </c>
      <c r="B46" s="1" t="str">
        <f>VLOOKUP(A46,Xtal_Templ!A:B,2,FALSE)</f>
        <v>5ht2b_human</v>
      </c>
      <c r="C46" s="5">
        <f>VLOOKUP($B46&amp;"__wt",'SegEnds_Xtal_BW#'!$A:$Z,3,FALSE)</f>
        <v>32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v>57</v>
      </c>
      <c r="O46" s="89">
        <v>38</v>
      </c>
      <c r="P46" s="1">
        <f>VLOOKUP($B46&amp;"__wt",'SegEnds_Xtal_BW#'!$A:$Z,16,FALSE)</f>
        <v>64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INDEX('ICL3'!$G$2:$G$40,MATCH(MIN(ABS(AH46-'ICL3'!$F$2:$F$40)),ABS(AH46-'ICL3'!$F$2:$F$40),0))</f>
        <v>76</v>
      </c>
      <c r="U46" s="1">
        <f t="array" ref="U46">INDEX('ICL3'!$H$2:$H$40,MATCH(MIN(ABS(AH46-'ICL3'!$F$2:$F$40)),ABS(AH46-'ICL3'!$F$2:$F$40),0))</f>
        <v>24</v>
      </c>
      <c r="V46" s="1">
        <v>61</v>
      </c>
      <c r="W46" s="1">
        <v>32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58</v>
      </c>
      <c r="AA46" s="27" t="str">
        <f>VLOOKUP(A46,Classification!A:B,2,FALSE)</f>
        <v>A</v>
      </c>
      <c r="AB46" s="1">
        <f>VLOOKUP(A46,'SegEnds_NonXtal_Prot#'!A:AL,10,FALSE)-VLOOKUP(A46,'SegEnds_NonXtal_Prot#'!A:AL,7,FALSE)</f>
        <v>15</v>
      </c>
      <c r="AC46" s="1">
        <f>VLOOKUP(A46,'SegEnds_NonXtal_Prot#'!A:AL,13,FALSE)-VLOOKUP(A46,'SegEnds_NonXtal_Prot#'!A:AL,10,FALSE)</f>
        <v>20</v>
      </c>
      <c r="AD46" s="1">
        <f>VLOOKUP(A46,'SegEnds_NonXtal_Prot#'!A:AL,16,FALSE)-VLOOKUP(A46,'SegEnds_NonXtal_Prot#'!A:AL,10,FALSE)</f>
        <v>52</v>
      </c>
      <c r="AE46" s="1">
        <f>VLOOKUP(A46,'SegEnds_NonXtal_Prot#'!A:AL,22,FALSE)-VLOOKUP(A46,'SegEnds_NonXtal_Prot#'!A:AL,19,FALSE)</f>
        <v>20</v>
      </c>
      <c r="AF46" s="1">
        <f>VLOOKUP(A46,'SegEnds_NonXtal_Prot#'!A:AL,28,FALSE)-VLOOKUP(A46,'SegEnds_NonXtal_Prot#'!A:AL,25,FALSE)</f>
        <v>20</v>
      </c>
      <c r="AG46" s="1">
        <f>VLOOKUP(A46,'SegEnds_NonXtal_Prot#'!A:AL,28,FALSE)-VLOOKUP(A46,'SegEnds_NonXtal_Prot#'!A:AL,22,FALSE)</f>
        <v>49</v>
      </c>
      <c r="AH46" s="1">
        <f>VLOOKUP(A46,'SegEnds_NonXtal_Prot#'!A:AL,31,FALSE)-VLOOKUP(A46,'SegEnds_NonXtal_Prot#'!A:AL,28,FALSE)</f>
        <v>83</v>
      </c>
      <c r="AI46" s="1">
        <f>VLOOKUP(A46,'SegEnds_NonXtal_Prot#'!A:AL,34,FALSE)-VLOOKUP(A46,'SegEnds_NonXtal_Prot#'!A:AL,31,FALSE)</f>
        <v>34</v>
      </c>
      <c r="AJ46" s="1" t="str">
        <f>IF(ISERROR(MATCH(A46,'SegEnds_Xtal_Prot#'!B:B, 0)), "NoXtal", "Xtal")</f>
        <v>NoXtal</v>
      </c>
    </row>
    <row r="47" spans="1:36" x14ac:dyDescent="0.2">
      <c r="A47" s="1" t="s">
        <v>137</v>
      </c>
      <c r="B47" s="1" t="str">
        <f>VLOOKUP(A47,Xtal_Templ!A:B,2,FALSE)</f>
        <v>5ht1b_human</v>
      </c>
      <c r="C47" s="5">
        <f>VLOOKUP($B47&amp;"__wt",'SegEnds_Xtal_BW#'!$A:$Z,3,FALSE)</f>
        <v>29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f>VLOOKUP($B47&amp;"__wt",'SegEnds_Xtal_BW#'!$A:$Z,8,FALSE)</f>
        <v>67</v>
      </c>
      <c r="I47" s="1">
        <f>VLOOKUP($B47&amp;"__wt",'SegEnds_Xtal_BW#'!$A:$Z,9,FALSE)</f>
        <v>49</v>
      </c>
      <c r="J47" s="1">
        <f>VLOOKUP($B47&amp;"__wt",'SegEnds_Xtal_BW#'!$A:$Z,10,FALSE)</f>
        <v>52</v>
      </c>
      <c r="K47" s="12">
        <v>18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v>57</v>
      </c>
      <c r="O47" s="89">
        <f>VLOOKUP($B47&amp;"__wt",'SegEnds_Xtal_BW#'!$A:$Z,15,FALSE)</f>
        <v>38</v>
      </c>
      <c r="P47" s="1">
        <f>VLOOKUP($B47&amp;"__wt",'SegEnds_Xtal_BW#'!$A:$Z,16,FALSE)</f>
        <v>63</v>
      </c>
      <c r="Q47" s="1">
        <f>VLOOKUP($B47&amp;"__wt",'SegEnds_Xtal_BW#'!$A:$Z,17,FALSE)</f>
        <v>50</v>
      </c>
      <c r="R47" s="1">
        <f>VLOOKUP($B47&amp;"__wt",'SegEnds_Xtal_BW#'!$A:$Z,18,FALSE)</f>
        <v>52</v>
      </c>
      <c r="S47" s="1">
        <v>35</v>
      </c>
      <c r="T47" s="1">
        <f t="array" ref="T47">INDEX('ICL3'!$G$2:$G$40,MATCH(MIN(ABS(AH47-'ICL3'!$F$2:$F$40)),ABS(AH47-'ICL3'!$F$2:$F$40),0))</f>
        <v>76</v>
      </c>
      <c r="U47" s="1">
        <f t="array" ref="U47">INDEX('ICL3'!$H$2:$H$40,MATCH(MIN(ABS(AH47-'ICL3'!$F$2:$F$40)),ABS(AH47-'ICL3'!$F$2:$F$40),0))</f>
        <v>24</v>
      </c>
      <c r="V47" s="1">
        <v>61</v>
      </c>
      <c r="W47" s="1">
        <v>28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58</v>
      </c>
      <c r="AA47" s="27" t="str">
        <f>VLOOKUP(A47,Classification!A:B,2,FALSE)</f>
        <v>A</v>
      </c>
      <c r="AB47" s="1">
        <f>VLOOKUP(A47,'SegEnds_NonXtal_Prot#'!A:AL,10,FALSE)-VLOOKUP(A47,'SegEnds_NonXtal_Prot#'!A:AL,7,FALSE)</f>
        <v>15</v>
      </c>
      <c r="AC47" s="1">
        <f>VLOOKUP(A47,'SegEnds_NonXtal_Prot#'!A:AL,13,FALSE)-VLOOKUP(A47,'SegEnds_NonXtal_Prot#'!A:AL,10,FALSE)</f>
        <v>21</v>
      </c>
      <c r="AD47" s="1">
        <f>VLOOKUP(A47,'SegEnds_NonXtal_Prot#'!A:AL,16,FALSE)-VLOOKUP(A47,'SegEnds_NonXtal_Prot#'!A:AL,10,FALSE)</f>
        <v>53</v>
      </c>
      <c r="AE47" s="1">
        <f>VLOOKUP(A47,'SegEnds_NonXtal_Prot#'!A:AL,22,FALSE)-VLOOKUP(A47,'SegEnds_NonXtal_Prot#'!A:AL,19,FALSE)</f>
        <v>20</v>
      </c>
      <c r="AF47" s="1">
        <f>VLOOKUP(A47,'SegEnds_NonXtal_Prot#'!A:AL,28,FALSE)-VLOOKUP(A47,'SegEnds_NonXtal_Prot#'!A:AL,25,FALSE)</f>
        <v>20</v>
      </c>
      <c r="AG47" s="1">
        <f>VLOOKUP(A47,'SegEnds_NonXtal_Prot#'!A:AL,28,FALSE)-VLOOKUP(A47,'SegEnds_NonXtal_Prot#'!A:AL,22,FALSE)</f>
        <v>44</v>
      </c>
      <c r="AH47" s="1">
        <f>VLOOKUP(A47,'SegEnds_NonXtal_Prot#'!A:AL,31,FALSE)-VLOOKUP(A47,'SegEnds_NonXtal_Prot#'!A:AL,28,FALSE)</f>
        <v>91</v>
      </c>
      <c r="AI47" s="1">
        <f>VLOOKUP(A47,'SegEnds_NonXtal_Prot#'!A:AL,34,FALSE)-VLOOKUP(A47,'SegEnds_NonXtal_Prot#'!A:AL,31,FALSE)</f>
        <v>39</v>
      </c>
      <c r="AJ47" s="1" t="str">
        <f>IF(ISERROR(MATCH(A47,'SegEnds_Xtal_Prot#'!B:B, 0)), "NoXtal", "Xtal")</f>
        <v>NoXtal</v>
      </c>
    </row>
    <row r="48" spans="1:36" x14ac:dyDescent="0.2">
      <c r="A48" s="1" t="s">
        <v>138</v>
      </c>
      <c r="B48" s="1" t="str">
        <f>VLOOKUP(A48,Xtal_Templ!A:B,2,FALSE)</f>
        <v>aa1r_human</v>
      </c>
      <c r="C48" s="5">
        <f>VLOOKUP($B48&amp;"__wt",'SegEnds_Xtal_BW#'!$A:$Z,3,FALSE)</f>
        <v>29</v>
      </c>
      <c r="D48" s="1">
        <f>VLOOKUP($B48&amp;"__wt",'SegEnds_Xtal_BW#'!$A:$Z,4,FALSE)</f>
        <v>60</v>
      </c>
      <c r="E48" s="1">
        <f>VLOOKUP($B48&amp;"__wt",'SegEnds_Xtal_BW#'!$A:$Z,5,FALSE)</f>
        <v>48</v>
      </c>
      <c r="F48" s="1">
        <f>VLOOKUP($B48&amp;"__wt",'SegEnds_Xtal_BW#'!$A:$Z,6,FALSE)</f>
        <v>51</v>
      </c>
      <c r="G48" s="1">
        <v>37</v>
      </c>
      <c r="H48" s="12">
        <v>66</v>
      </c>
      <c r="I48" s="1">
        <f>VLOOKUP($B48&amp;"__wt",'SegEnds_Xtal_BW#'!$A:$Z,9,FALSE)</f>
        <v>50</v>
      </c>
      <c r="J48" s="1">
        <f>VLOOKUP($B48&amp;"__wt",'SegEnds_Xtal_BW#'!$A:$Z,10,FALSE)</f>
        <v>52</v>
      </c>
      <c r="K48" s="12">
        <v>24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9"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34</v>
      </c>
      <c r="T48" s="1">
        <f t="array" ref="T48">INDEX('ICL3'!$G$2:$G$40,MATCH(MIN(ABS(AH48-'ICL3'!$F$2:$F$40)),ABS(AH48-'ICL3'!$F$2:$F$40),0))</f>
        <v>72</v>
      </c>
      <c r="U48" s="1">
        <f t="array" ref="U48">INDEX('ICL3'!$H$2:$H$40,MATCH(MIN(ABS(AH48-'ICL3'!$F$2:$F$40)),ABS(AH48-'ICL3'!$F$2:$F$40),0))</f>
        <v>24</v>
      </c>
      <c r="V48" s="1">
        <v>61</v>
      </c>
      <c r="W48" s="1">
        <v>31</v>
      </c>
      <c r="X48" s="1">
        <f>VLOOKUP($B48&amp;"__wt",'SegEnds_Xtal_BW#'!$A:$Z,24,FALSE)</f>
        <v>56</v>
      </c>
      <c r="Y48" s="1">
        <f>VLOOKUP($B48&amp;"__wt",'SegEnds_Xtal_BW#'!$A:$Z,25,FALSE)</f>
        <v>47</v>
      </c>
      <c r="Z48" s="1">
        <f>VLOOKUP($B48&amp;"__wt",'SegEnds_Xtal_BW#'!$A:$Z,26,FALSE)</f>
        <v>69</v>
      </c>
      <c r="AA48" s="27" t="str">
        <f>VLOOKUP(A48,Classification!A:B,2,FALSE)</f>
        <v>A</v>
      </c>
      <c r="AB48" s="1">
        <f>VLOOKUP(A48,'SegEnds_NonXtal_Prot#'!A:AL,10,FALSE)-VLOOKUP(A48,'SegEnds_NonXtal_Prot#'!A:AL,7,FALSE)</f>
        <v>15</v>
      </c>
      <c r="AC48" s="1">
        <f>VLOOKUP(A48,'SegEnds_NonXtal_Prot#'!A:AL,13,FALSE)-VLOOKUP(A48,'SegEnds_NonXtal_Prot#'!A:AL,10,FALSE)</f>
        <v>18</v>
      </c>
      <c r="AD48" s="1">
        <f>VLOOKUP(A48,'SegEnds_NonXtal_Prot#'!A:AL,16,FALSE)-VLOOKUP(A48,'SegEnds_NonXtal_Prot#'!A:AL,10,FALSE)</f>
        <v>50</v>
      </c>
      <c r="AE48" s="1">
        <f>VLOOKUP(A48,'SegEnds_NonXtal_Prot#'!A:AL,22,FALSE)-VLOOKUP(A48,'SegEnds_NonXtal_Prot#'!A:AL,19,FALSE)</f>
        <v>20</v>
      </c>
      <c r="AF48" s="1">
        <f>VLOOKUP(A48,'SegEnds_NonXtal_Prot#'!A:AL,28,FALSE)-VLOOKUP(A48,'SegEnds_NonXtal_Prot#'!A:AL,25,FALSE)</f>
        <v>23</v>
      </c>
      <c r="AG48" s="1">
        <f>VLOOKUP(A48,'SegEnds_NonXtal_Prot#'!A:AL,28,FALSE)-VLOOKUP(A48,'SegEnds_NonXtal_Prot#'!A:AL,22,FALSE)</f>
        <v>60</v>
      </c>
      <c r="AH48" s="1">
        <f>VLOOKUP(A48,'SegEnds_NonXtal_Prot#'!A:AL,31,FALSE)-VLOOKUP(A48,'SegEnds_NonXtal_Prot#'!A:AL,28,FALSE)</f>
        <v>57</v>
      </c>
      <c r="AI48" s="1">
        <f>VLOOKUP(A48,'SegEnds_NonXtal_Prot#'!A:AL,34,FALSE)-VLOOKUP(A48,'SegEnds_NonXtal_Prot#'!A:AL,31,FALSE)</f>
        <v>36</v>
      </c>
      <c r="AJ48" s="1" t="str">
        <f>IF(ISERROR(MATCH(A48,'SegEnds_Xtal_Prot#'!B:B, 0)), "NoXtal", "Xtal")</f>
        <v>Xtal</v>
      </c>
    </row>
    <row r="49" spans="1:36" x14ac:dyDescent="0.2">
      <c r="A49" s="1" t="s">
        <v>139</v>
      </c>
      <c r="B49" s="1" t="str">
        <f>VLOOKUP(A49,Xtal_Templ!A:B,2,FALSE)</f>
        <v>aa2ar_human</v>
      </c>
      <c r="C49" s="5">
        <f>VLOOKUP($B49&amp;"__wt",'SegEnds_Xtal_BW#'!$A:$Z,3,FALSE)</f>
        <v>27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v>66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24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2">
        <f>VLOOKUP($B49&amp;"__wt",'SegEnds_Xtal_BW#'!$A:$Z,14,FALSE)</f>
        <v>57</v>
      </c>
      <c r="O49" s="89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f>VLOOKUP($B49&amp;"__wt",'SegEnds_Xtal_BW#'!$A:$Z,19,FALSE)</f>
        <v>34</v>
      </c>
      <c r="T49" s="1">
        <f t="array" ref="T49">INDEX('ICL3'!$G$2:$G$40,MATCH(MIN(ABS(AH49-'ICL3'!$F$2:$F$40)),ABS(AH49-'ICL3'!$F$2:$F$40),0))</f>
        <v>74</v>
      </c>
      <c r="U49" s="1">
        <f t="array" ref="U49">INDEX('ICL3'!$H$2:$H$40,MATCH(MIN(ABS(AH49-'ICL3'!$F$2:$F$40)),ABS(AH49-'ICL3'!$F$2:$F$40),0))</f>
        <v>21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VLOOKUP(A49,'SegEnds_NonXtal_Prot#'!A:AL,10,FALSE)-VLOOKUP(A49,'SegEnds_NonXtal_Prot#'!A:AL,7,FALSE)</f>
        <v>15</v>
      </c>
      <c r="AC49" s="1">
        <f>VLOOKUP(A49,'SegEnds_NonXtal_Prot#'!A:AL,13,FALSE)-VLOOKUP(A49,'SegEnds_NonXtal_Prot#'!A:AL,10,FALSE)</f>
        <v>18</v>
      </c>
      <c r="AD49" s="1">
        <f>VLOOKUP(A49,'SegEnds_NonXtal_Prot#'!A:AL,16,FALSE)-VLOOKUP(A49,'SegEnds_NonXtal_Prot#'!A:AL,10,FALSE)</f>
        <v>50</v>
      </c>
      <c r="AE49" s="1">
        <f>VLOOKUP(A49,'SegEnds_NonXtal_Prot#'!A:AL,22,FALSE)-VLOOKUP(A49,'SegEnds_NonXtal_Prot#'!A:AL,19,FALSE)</f>
        <v>20</v>
      </c>
      <c r="AF49" s="1">
        <f>VLOOKUP(A49,'SegEnds_NonXtal_Prot#'!A:AL,28,FALSE)-VLOOKUP(A49,'SegEnds_NonXtal_Prot#'!A:AL,25,FALSE)</f>
        <v>23</v>
      </c>
      <c r="AG49" s="1">
        <f>VLOOKUP(A49,'SegEnds_NonXtal_Prot#'!A:AL,28,FALSE)-VLOOKUP(A49,'SegEnds_NonXtal_Prot#'!A:AL,22,FALSE)</f>
        <v>60</v>
      </c>
      <c r="AH49" s="1">
        <f>VLOOKUP(A49,'SegEnds_NonXtal_Prot#'!A:AL,31,FALSE)-VLOOKUP(A49,'SegEnds_NonXtal_Prot#'!A:AL,28,FALSE)</f>
        <v>59</v>
      </c>
      <c r="AI49" s="1">
        <f>VLOOKUP(A49,'SegEnds_NonXtal_Prot#'!A:AL,34,FALSE)-VLOOKUP(A49,'SegEnds_NonXtal_Prot#'!A:AL,31,FALSE)</f>
        <v>37</v>
      </c>
      <c r="AJ49" s="1" t="str">
        <f>IF(ISERROR(MATCH(A49,'SegEnds_Xtal_Prot#'!B:B, 0)), "NoXtal", "Xtal")</f>
        <v>Xtal</v>
      </c>
    </row>
    <row r="50" spans="1:36" x14ac:dyDescent="0.2">
      <c r="A50" s="1" t="s">
        <v>140</v>
      </c>
      <c r="B50" s="1" t="str">
        <f>VLOOKUP(A50,Xtal_Templ!A:B,2,FALSE)</f>
        <v>aa2ar_human</v>
      </c>
      <c r="C50" s="5">
        <f>VLOOKUP($B50&amp;"__wt",'SegEnds_Xtal_BW#'!$A:$Z,3,FALSE)</f>
        <v>27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v>66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24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2">
        <v>57</v>
      </c>
      <c r="O50" s="89"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f>VLOOKUP($B50&amp;"__wt",'SegEnds_Xtal_BW#'!$A:$Z,19,FALSE)</f>
        <v>34</v>
      </c>
      <c r="T50" s="1">
        <f t="array" ref="T50">INDEX('ICL3'!$G$2:$G$40,MATCH(MIN(ABS(AH50-'ICL3'!$F$2:$F$40)),ABS(AH50-'ICL3'!$F$2:$F$40),0))</f>
        <v>73</v>
      </c>
      <c r="U50" s="1">
        <f t="array" ref="U50">INDEX('ICL3'!$H$2:$H$40,MATCH(MIN(ABS(AH50-'ICL3'!$F$2:$F$40)),ABS(AH50-'ICL3'!$F$2:$F$40),0))</f>
        <v>22</v>
      </c>
      <c r="V50" s="1">
        <v>61</v>
      </c>
      <c r="W50" s="1">
        <v>28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VLOOKUP(A50,'SegEnds_NonXtal_Prot#'!A:AL,10,FALSE)-VLOOKUP(A50,'SegEnds_NonXtal_Prot#'!A:AL,7,FALSE)</f>
        <v>15</v>
      </c>
      <c r="AC50" s="1">
        <f>VLOOKUP(A50,'SegEnds_NonXtal_Prot#'!A:AL,13,FALSE)-VLOOKUP(A50,'SegEnds_NonXtal_Prot#'!A:AL,10,FALSE)</f>
        <v>18</v>
      </c>
      <c r="AD50" s="1">
        <f>VLOOKUP(A50,'SegEnds_NonXtal_Prot#'!A:AL,16,FALSE)-VLOOKUP(A50,'SegEnds_NonXtal_Prot#'!A:AL,10,FALSE)</f>
        <v>50</v>
      </c>
      <c r="AE50" s="1">
        <f>VLOOKUP(A50,'SegEnds_NonXtal_Prot#'!A:AL,22,FALSE)-VLOOKUP(A50,'SegEnds_NonXtal_Prot#'!A:AL,19,FALSE)</f>
        <v>20</v>
      </c>
      <c r="AF50" s="1">
        <f>VLOOKUP(A50,'SegEnds_NonXtal_Prot#'!A:AL,28,FALSE)-VLOOKUP(A50,'SegEnds_NonXtal_Prot#'!A:AL,25,FALSE)</f>
        <v>23</v>
      </c>
      <c r="AG50" s="1">
        <f>VLOOKUP(A50,'SegEnds_NonXtal_Prot#'!A:AL,28,FALSE)-VLOOKUP(A50,'SegEnds_NonXtal_Prot#'!A:AL,22,FALSE)</f>
        <v>64</v>
      </c>
      <c r="AH50" s="1">
        <f>VLOOKUP(A50,'SegEnds_NonXtal_Prot#'!A:AL,31,FALSE)-VLOOKUP(A50,'SegEnds_NonXtal_Prot#'!A:AL,28,FALSE)</f>
        <v>55</v>
      </c>
      <c r="AI50" s="1">
        <f>VLOOKUP(A50,'SegEnds_NonXtal_Prot#'!A:AL,34,FALSE)-VLOOKUP(A50,'SegEnds_NonXtal_Prot#'!A:AL,31,FALSE)</f>
        <v>38</v>
      </c>
      <c r="AJ50" s="1" t="str">
        <f>IF(ISERROR(MATCH(A50,'SegEnds_Xtal_Prot#'!B:B, 0)), "NoXtal", "Xtal")</f>
        <v>NoXtal</v>
      </c>
    </row>
    <row r="51" spans="1:36" x14ac:dyDescent="0.2">
      <c r="A51" s="1" t="s">
        <v>141</v>
      </c>
      <c r="B51" s="1" t="str">
        <f>VLOOKUP(A51,Xtal_Templ!A:B,2,FALSE)</f>
        <v>aa1r_human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11">
        <v>66</v>
      </c>
      <c r="I51" s="1">
        <f>VLOOKUP($B51&amp;"__wt",'SegEnds_Xtal_BW#'!$A:$Z,9,FALSE)</f>
        <v>50</v>
      </c>
      <c r="J51" s="1">
        <f>VLOOKUP($B51&amp;"__wt",'SegEnds_Xtal_BW#'!$A:$Z,10,FALSE)</f>
        <v>52</v>
      </c>
      <c r="K51" s="12">
        <v>24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9">
        <v>38</v>
      </c>
      <c r="P51" s="1">
        <f>VLOOKUP($B51&amp;"__wt",'SegEnds_Xtal_BW#'!$A:$Z,16,FALSE)</f>
        <v>63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f>VLOOKUP($B51&amp;"__wt",'SegEnds_Xtal_BW#'!$A:$Z,19,FALSE)</f>
        <v>34</v>
      </c>
      <c r="T51" s="1">
        <f t="array" ref="T51">INDEX('ICL3'!$G$2:$G$40,MATCH(MIN(ABS(AH51-'ICL3'!$F$2:$F$40)),ABS(AH51-'ICL3'!$F$2:$F$40),0))</f>
        <v>73</v>
      </c>
      <c r="U51" s="1">
        <f t="array" ref="U51">INDEX('ICL3'!$H$2:$H$40,MATCH(MIN(ABS(AH51-'ICL3'!$F$2:$F$40)),ABS(AH51-'ICL3'!$F$2:$F$40),0))</f>
        <v>22</v>
      </c>
      <c r="V51" s="1">
        <v>61</v>
      </c>
      <c r="W51" s="1">
        <v>32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69</v>
      </c>
      <c r="AA51" s="27" t="str">
        <f>VLOOKUP(A51,Classification!A:B,2,FALSE)</f>
        <v>A</v>
      </c>
      <c r="AB51" s="1">
        <f>VLOOKUP(A51,'SegEnds_NonXtal_Prot#'!A:AL,10,FALSE)-VLOOKUP(A51,'SegEnds_NonXtal_Prot#'!A:AL,7,FALSE)</f>
        <v>15</v>
      </c>
      <c r="AC51" s="1">
        <f>VLOOKUP(A51,'SegEnds_NonXtal_Prot#'!A:AL,13,FALSE)-VLOOKUP(A51,'SegEnds_NonXtal_Prot#'!A:AL,10,FALSE)</f>
        <v>18</v>
      </c>
      <c r="AD51" s="1">
        <f>VLOOKUP(A51,'SegEnds_NonXtal_Prot#'!A:AL,16,FALSE)-VLOOKUP(A51,'SegEnds_NonXtal_Prot#'!A:AL,10,FALSE)</f>
        <v>50</v>
      </c>
      <c r="AE51" s="1">
        <f>VLOOKUP(A51,'SegEnds_NonXtal_Prot#'!A:AL,22,FALSE)-VLOOKUP(A51,'SegEnds_NonXtal_Prot#'!A:AL,19,FALSE)</f>
        <v>20</v>
      </c>
      <c r="AF51" s="1">
        <f>VLOOKUP(A51,'SegEnds_NonXtal_Prot#'!A:AL,28,FALSE)-VLOOKUP(A51,'SegEnds_NonXtal_Prot#'!A:AL,25,FALSE)</f>
        <v>23</v>
      </c>
      <c r="AG51" s="1">
        <f>VLOOKUP(A51,'SegEnds_NonXtal_Prot#'!A:AL,28,FALSE)-VLOOKUP(A51,'SegEnds_NonXtal_Prot#'!A:AL,22,FALSE)</f>
        <v>54</v>
      </c>
      <c r="AH51" s="1">
        <f>VLOOKUP(A51,'SegEnds_NonXtal_Prot#'!A:AL,31,FALSE)-VLOOKUP(A51,'SegEnds_NonXtal_Prot#'!A:AL,28,FALSE)</f>
        <v>56</v>
      </c>
      <c r="AI51" s="1">
        <f>VLOOKUP(A51,'SegEnds_NonXtal_Prot#'!A:AL,34,FALSE)-VLOOKUP(A51,'SegEnds_NonXtal_Prot#'!A:AL,31,FALSE)</f>
        <v>34</v>
      </c>
      <c r="AJ51" s="1" t="str">
        <f>IF(ISERROR(MATCH(A51,'SegEnds_Xtal_Prot#'!B:B, 0)), "NoXtal", "Xtal")</f>
        <v>NoXtal</v>
      </c>
    </row>
    <row r="52" spans="1:36" x14ac:dyDescent="0.2">
      <c r="A52" s="1" t="s">
        <v>143</v>
      </c>
      <c r="B52" s="1" t="str">
        <f>VLOOKUP(A52,Xtal_Templ!A:B,2,FALSE)</f>
        <v>ccr5_human</v>
      </c>
      <c r="C52" s="5">
        <f>VLOOKUP($B52&amp;"__wt",'SegEnds_Xtal_BW#'!$A:$Z,3,FALSE)</f>
        <v>24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v>66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11">
        <v>21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9">
        <v>38</v>
      </c>
      <c r="P52" s="1">
        <f>VLOOKUP($B52&amp;"__wt",'SegEnds_Xtal_BW#'!$A:$Z,16,FALSE)</f>
        <v>64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f>VLOOKUP($B52&amp;"__wt",'SegEnds_Xtal_BW#'!$A:$Z,19,FALSE)</f>
        <v>30</v>
      </c>
      <c r="T52" s="1">
        <f t="array" ref="T52">INDEX('ICL3'!$G$2:$G$40,MATCH(MIN(ABS(AH52-'ICL3'!$F$2:$F$40)),ABS(AH52-'ICL3'!$F$2:$F$40),0))</f>
        <v>68</v>
      </c>
      <c r="U52" s="1">
        <f t="array" ref="U52">INDEX('ICL3'!$H$2:$H$40,MATCH(MIN(ABS(AH52-'ICL3'!$F$2:$F$40)),ABS(AH52-'ICL3'!$F$2:$F$40),0))</f>
        <v>30</v>
      </c>
      <c r="V52" s="1">
        <v>64</v>
      </c>
      <c r="W52" s="1">
        <v>24</v>
      </c>
      <c r="X52" s="1">
        <f>VLOOKUP($B52&amp;"__wt",'SegEnds_Xtal_BW#'!$A:$Z,24,FALSE)</f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VLOOKUP(A52,'SegEnds_NonXtal_Prot#'!A:AL,10,FALSE)-VLOOKUP(A52,'SegEnds_NonXtal_Prot#'!A:AL,7,FALSE)</f>
        <v>15</v>
      </c>
      <c r="AC52" s="1">
        <f>VLOOKUP(A52,'SegEnds_NonXtal_Prot#'!A:AL,13,FALSE)-VLOOKUP(A52,'SegEnds_NonXtal_Prot#'!A:AL,10,FALSE)</f>
        <v>18</v>
      </c>
      <c r="AD52" s="1">
        <f>VLOOKUP(A52,'SegEnds_NonXtal_Prot#'!A:AL,16,FALSE)-VLOOKUP(A52,'SegEnds_NonXtal_Prot#'!A:AL,10,FALSE)</f>
        <v>50</v>
      </c>
      <c r="AE52" s="1">
        <f>VLOOKUP(A52,'SegEnds_NonXtal_Prot#'!A:AL,22,FALSE)-VLOOKUP(A52,'SegEnds_NonXtal_Prot#'!A:AL,19,FALSE)</f>
        <v>20</v>
      </c>
      <c r="AF52" s="1">
        <f>VLOOKUP(A52,'SegEnds_NonXtal_Prot#'!A:AL,28,FALSE)-VLOOKUP(A52,'SegEnds_NonXtal_Prot#'!A:AL,25,FALSE)</f>
        <v>27</v>
      </c>
      <c r="AG52" s="1">
        <f>VLOOKUP(A52,'SegEnds_NonXtal_Prot#'!A:AL,28,FALSE)-VLOOKUP(A52,'SegEnds_NonXtal_Prot#'!A:AL,22,FALSE)</f>
        <v>53</v>
      </c>
      <c r="AH52" s="1">
        <f>VLOOKUP(A52,'SegEnds_NonXtal_Prot#'!A:AL,31,FALSE)-VLOOKUP(A52,'SegEnds_NonXtal_Prot#'!A:AL,28,FALSE)</f>
        <v>43</v>
      </c>
      <c r="AI52" s="1">
        <f>VLOOKUP(A52,'SegEnds_NonXtal_Prot#'!A:AL,34,FALSE)-VLOOKUP(A52,'SegEnds_NonXtal_Prot#'!A:AL,31,FALSE)</f>
        <v>44</v>
      </c>
      <c r="AJ52" s="1" t="str">
        <f>IF(ISERROR(MATCH(A52,'SegEnds_Xtal_Prot#'!B:B, 0)), "NoXtal", "Xtal")</f>
        <v>NoXtal</v>
      </c>
    </row>
    <row r="53" spans="1:36" x14ac:dyDescent="0.2">
      <c r="A53" s="1" t="s">
        <v>146</v>
      </c>
      <c r="B53" s="1" t="str">
        <f>VLOOKUP(A53,Xtal_Templ!A:B,2,FALSE)</f>
        <v>acm1_human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67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f>VLOOKUP($B53&amp;"__wt",'SegEnds_Xtal_BW#'!$A:$Z,14,FALSE)</f>
        <v>57</v>
      </c>
      <c r="O53" s="89">
        <f>VLOOKUP($B53&amp;"__wt",'SegEnds_Xtal_BW#'!$A:$Z,15,FALSE)</f>
        <v>38</v>
      </c>
      <c r="P53" s="1">
        <f>VLOOKUP($B53&amp;"__wt",'SegEnds_Xtal_BW#'!$A:$Z,16,FALSE)</f>
        <v>69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INDEX('ICL3'!$G$2:$G$40,MATCH(MIN(ABS(AH53-'ICL3'!$F$2:$F$40)),ABS(AH53-'ICL3'!$F$2:$F$40),0))</f>
        <v>75</v>
      </c>
      <c r="U53" s="1">
        <f t="array" ref="U53">INDEX('ICL3'!$H$2:$H$40,MATCH(MIN(ABS(AH53-'ICL3'!$F$2:$F$40)),ABS(AH53-'ICL3'!$F$2:$F$40),0))</f>
        <v>24</v>
      </c>
      <c r="V53" s="1">
        <v>61</v>
      </c>
      <c r="W53" s="1">
        <v>31</v>
      </c>
      <c r="X53" s="1">
        <f>VLOOKUP($B53&amp;"__wt",'SegEnds_Xtal_BW#'!$A:$Z,24,FALSE)</f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VLOOKUP(A53,'SegEnds_NonXtal_Prot#'!A:AL,10,FALSE)-VLOOKUP(A53,'SegEnds_NonXtal_Prot#'!A:AL,7,FALSE)</f>
        <v>15</v>
      </c>
      <c r="AC53" s="1">
        <f>VLOOKUP(A53,'SegEnds_NonXtal_Prot#'!A:AL,13,FALSE)-VLOOKUP(A53,'SegEnds_NonXtal_Prot#'!A:AL,10,FALSE)</f>
        <v>20</v>
      </c>
      <c r="AD53" s="1">
        <f>VLOOKUP(A53,'SegEnds_NonXtal_Prot#'!A:AL,16,FALSE)-VLOOKUP(A53,'SegEnds_NonXtal_Prot#'!A:AL,10,FALSE)</f>
        <v>52</v>
      </c>
      <c r="AE53" s="1">
        <f>VLOOKUP(A53,'SegEnds_NonXtal_Prot#'!A:AL,22,FALSE)-VLOOKUP(A53,'SegEnds_NonXtal_Prot#'!A:AL,19,FALSE)</f>
        <v>20</v>
      </c>
      <c r="AF53" s="1">
        <f>VLOOKUP(A53,'SegEnds_NonXtal_Prot#'!A:AL,28,FALSE)-VLOOKUP(A53,'SegEnds_NonXtal_Prot#'!A:AL,25,FALSE)</f>
        <v>22</v>
      </c>
      <c r="AG53" s="1">
        <f>VLOOKUP(A53,'SegEnds_NonXtal_Prot#'!A:AL,28,FALSE)-VLOOKUP(A53,'SegEnds_NonXtal_Prot#'!A:AL,22,FALSE)</f>
        <v>50</v>
      </c>
      <c r="AH53" s="1">
        <f>VLOOKUP(A53,'SegEnds_NonXtal_Prot#'!A:AL,31,FALSE)-VLOOKUP(A53,'SegEnds_NonXtal_Prot#'!A:AL,28,FALSE)</f>
        <v>180</v>
      </c>
      <c r="AI53" s="1">
        <f>VLOOKUP(A53,'SegEnds_NonXtal_Prot#'!A:AL,34,FALSE)-VLOOKUP(A53,'SegEnds_NonXtal_Prot#'!A:AL,31,FALSE)</f>
        <v>35</v>
      </c>
      <c r="AJ53" s="1" t="str">
        <f>IF(ISERROR(MATCH(A53,'SegEnds_Xtal_Prot#'!B:B, 0)), "NoXtal", "Xtal")</f>
        <v>Xtal</v>
      </c>
    </row>
    <row r="54" spans="1:36" x14ac:dyDescent="0.2">
      <c r="A54" s="1" t="s">
        <v>147</v>
      </c>
      <c r="B54" s="1" t="str">
        <f>VLOOKUP(A54,Xtal_Templ!A:B,2,FALSE)</f>
        <v>acm2_human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67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f>VLOOKUP($B54&amp;"__wt",'SegEnds_Xtal_BW#'!$A:$Z,14,FALSE)</f>
        <v>57</v>
      </c>
      <c r="O54" s="89">
        <f>VLOOKUP($B54&amp;"__wt",'SegEnds_Xtal_BW#'!$A:$Z,15,FALSE)</f>
        <v>38</v>
      </c>
      <c r="P54" s="1">
        <f>VLOOKUP($B54&amp;"__wt",'SegEnds_Xtal_BW#'!$A:$Z,16,FALSE)</f>
        <v>69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INDEX('ICL3'!$G$2:$G$40,MATCH(MIN(ABS(AH54-'ICL3'!$F$2:$F$40)),ABS(AH54-'ICL3'!$F$2:$F$40),0))</f>
        <v>75</v>
      </c>
      <c r="U54" s="1">
        <f t="array" ref="U54">INDEX('ICL3'!$H$2:$H$40,MATCH(MIN(ABS(AH54-'ICL3'!$F$2:$F$40)),ABS(AH54-'ICL3'!$F$2:$F$40),0))</f>
        <v>24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59</v>
      </c>
      <c r="AA54" s="27" t="str">
        <f>VLOOKUP(A54,Classification!A:B,2,FALSE)</f>
        <v>A</v>
      </c>
      <c r="AB54" s="1">
        <f>VLOOKUP(A54,'SegEnds_NonXtal_Prot#'!A:AL,10,FALSE)-VLOOKUP(A54,'SegEnds_NonXtal_Prot#'!A:AL,7,FALSE)</f>
        <v>15</v>
      </c>
      <c r="AC54" s="1">
        <f>VLOOKUP(A54,'SegEnds_NonXtal_Prot#'!A:AL,13,FALSE)-VLOOKUP(A54,'SegEnds_NonXtal_Prot#'!A:AL,10,FALSE)</f>
        <v>20</v>
      </c>
      <c r="AD54" s="1">
        <f>VLOOKUP(A54,'SegEnds_NonXtal_Prot#'!A:AL,16,FALSE)-VLOOKUP(A54,'SegEnds_NonXtal_Prot#'!A:AL,10,FALSE)</f>
        <v>52</v>
      </c>
      <c r="AE54" s="1">
        <f>VLOOKUP(A54,'SegEnds_NonXtal_Prot#'!A:AL,22,FALSE)-VLOOKUP(A54,'SegEnds_NonXtal_Prot#'!A:AL,19,FALSE)</f>
        <v>20</v>
      </c>
      <c r="AF54" s="1">
        <f>VLOOKUP(A54,'SegEnds_NonXtal_Prot#'!A:AL,28,FALSE)-VLOOKUP(A54,'SegEnds_NonXtal_Prot#'!A:AL,25,FALSE)</f>
        <v>22</v>
      </c>
      <c r="AG54" s="1">
        <f>VLOOKUP(A54,'SegEnds_NonXtal_Prot#'!A:AL,28,FALSE)-VLOOKUP(A54,'SegEnds_NonXtal_Prot#'!A:AL,22,FALSE)</f>
        <v>50</v>
      </c>
      <c r="AH54" s="1">
        <f>VLOOKUP(A54,'SegEnds_NonXtal_Prot#'!A:AL,31,FALSE)-VLOOKUP(A54,'SegEnds_NonXtal_Prot#'!A:AL,28,FALSE)</f>
        <v>204</v>
      </c>
      <c r="AI54" s="1">
        <f>VLOOKUP(A54,'SegEnds_NonXtal_Prot#'!A:AL,34,FALSE)-VLOOKUP(A54,'SegEnds_NonXtal_Prot#'!A:AL,31,FALSE)</f>
        <v>35</v>
      </c>
      <c r="AJ54" s="1" t="str">
        <f>IF(ISERROR(MATCH(A54,'SegEnds_Xtal_Prot#'!B:B, 0)), "NoXtal", "Xtal")</f>
        <v>Xtal</v>
      </c>
    </row>
    <row r="55" spans="1:36" x14ac:dyDescent="0.2">
      <c r="A55" s="1" t="s">
        <v>148</v>
      </c>
      <c r="B55" s="1" t="str">
        <f>VLOOKUP(A55,Xtal_Templ!A:B,2,FALSE)</f>
        <v>acm3_rat</v>
      </c>
      <c r="C55" s="5">
        <f>VLOOKUP($B55&amp;"__wt",'SegEnds_Xtal_BW#'!$A:$Z,3,FALSE)</f>
        <v>29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67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9">
        <v>38</v>
      </c>
      <c r="P55" s="1">
        <f>VLOOKUP($B55&amp;"__wt",'SegEnds_Xtal_BW#'!$A:$Z,16,FALSE)</f>
        <v>69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INDEX('ICL3'!$G$2:$G$40,MATCH(MIN(ABS(AH55-'ICL3'!$F$2:$F$40)),ABS(AH55-'ICL3'!$F$2:$F$40),0))</f>
        <v>75</v>
      </c>
      <c r="U55" s="1">
        <f t="array" ref="U55">INDEX('ICL3'!$H$2:$H$40,MATCH(MIN(ABS(AH55-'ICL3'!$F$2:$F$40)),ABS(AH55-'ICL3'!$F$2:$F$40),0))</f>
        <v>24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VLOOKUP(A55,'SegEnds_NonXtal_Prot#'!A:AL,10,FALSE)-VLOOKUP(A55,'SegEnds_NonXtal_Prot#'!A:AL,7,FALSE)</f>
        <v>15</v>
      </c>
      <c r="AC55" s="1">
        <f>VLOOKUP(A55,'SegEnds_NonXtal_Prot#'!A:AL,13,FALSE)-VLOOKUP(A55,'SegEnds_NonXtal_Prot#'!A:AL,10,FALSE)</f>
        <v>20</v>
      </c>
      <c r="AD55" s="1">
        <f>VLOOKUP(A55,'SegEnds_NonXtal_Prot#'!A:AL,16,FALSE)-VLOOKUP(A55,'SegEnds_NonXtal_Prot#'!A:AL,10,FALSE)</f>
        <v>52</v>
      </c>
      <c r="AE55" s="1">
        <f>VLOOKUP(A55,'SegEnds_NonXtal_Prot#'!A:AL,22,FALSE)-VLOOKUP(A55,'SegEnds_NonXtal_Prot#'!A:AL,19,FALSE)</f>
        <v>20</v>
      </c>
      <c r="AF55" s="1">
        <f>VLOOKUP(A55,'SegEnds_NonXtal_Prot#'!A:AL,28,FALSE)-VLOOKUP(A55,'SegEnds_NonXtal_Prot#'!A:AL,25,FALSE)</f>
        <v>22</v>
      </c>
      <c r="AG55" s="1">
        <f>VLOOKUP(A55,'SegEnds_NonXtal_Prot#'!A:AL,28,FALSE)-VLOOKUP(A55,'SegEnds_NonXtal_Prot#'!A:AL,22,FALSE)</f>
        <v>50</v>
      </c>
      <c r="AH55" s="1">
        <f>VLOOKUP(A55,'SegEnds_NonXtal_Prot#'!A:AL,31,FALSE)-VLOOKUP(A55,'SegEnds_NonXtal_Prot#'!A:AL,28,FALSE)</f>
        <v>263</v>
      </c>
      <c r="AI55" s="1">
        <f>VLOOKUP(A55,'SegEnds_NonXtal_Prot#'!A:AL,34,FALSE)-VLOOKUP(A55,'SegEnds_NonXtal_Prot#'!A:AL,31,FALSE)</f>
        <v>35</v>
      </c>
      <c r="AJ55" s="1" t="str">
        <f>IF(ISERROR(MATCH(A55,'SegEnds_Xtal_Prot#'!B:B, 0)), "NoXtal", "Xtal")</f>
        <v>NoXtal</v>
      </c>
    </row>
    <row r="56" spans="1:36" x14ac:dyDescent="0.2">
      <c r="A56" s="4" t="s">
        <v>910</v>
      </c>
      <c r="B56" s="4" t="str">
        <f>VLOOKUP(A56,Xtal_Templ!A:B,2,FALSE)</f>
        <v>acm3_rat</v>
      </c>
      <c r="C56" s="5">
        <f>VLOOKUP($B56&amp;"__wt",'SegEnds_Xtal_BW#'!$A:$Z,3,FALSE)</f>
        <v>29</v>
      </c>
      <c r="D56" s="4">
        <f>VLOOKUP($B56&amp;"__wt",'SegEnds_Xtal_BW#'!$A:$Z,4,FALSE)</f>
        <v>60</v>
      </c>
      <c r="E56" s="4">
        <f>VLOOKUP($B56&amp;"__wt",'SegEnds_Xtal_BW#'!$A:$Z,5,FALSE)</f>
        <v>48</v>
      </c>
      <c r="F56" s="4">
        <f>VLOOKUP($B56&amp;"__wt",'SegEnds_Xtal_BW#'!$A:$Z,6,FALSE)</f>
        <v>51</v>
      </c>
      <c r="G56" s="4">
        <v>37</v>
      </c>
      <c r="H56" s="11">
        <f>VLOOKUP($B56&amp;"__wt",'SegEnds_Xtal_BW#'!$A:$Z,8,FALSE)</f>
        <v>67</v>
      </c>
      <c r="I56" s="4">
        <f>VLOOKUP($B56&amp;"__wt",'SegEnds_Xtal_BW#'!$A:$Z,9,FALSE)</f>
        <v>49</v>
      </c>
      <c r="J56" s="4">
        <f>VLOOKUP($B56&amp;"__wt",'SegEnds_Xtal_BW#'!$A:$Z,10,FALSE)</f>
        <v>52</v>
      </c>
      <c r="K56" s="11">
        <v>18</v>
      </c>
      <c r="L56" s="4">
        <f>VLOOKUP($B56&amp;"__wt",'SegEnds_Xtal_BW#'!$A:$Z,12,FALSE)</f>
        <v>56</v>
      </c>
      <c r="M56" s="4">
        <f>VLOOKUP($B56&amp;"__wt",'SegEnds_Xtal_BW#'!$A:$Z,13,FALSE)</f>
        <v>50</v>
      </c>
      <c r="N56" s="12">
        <f>VLOOKUP($B56&amp;"__wt",'SegEnds_Xtal_BW#'!$A:$Z,14,FALSE)</f>
        <v>57</v>
      </c>
      <c r="O56" s="89">
        <f>VLOOKUP($B56&amp;"__wt",'SegEnds_Xtal_BW#'!$A:$Z,15,FALSE)</f>
        <v>38</v>
      </c>
      <c r="P56" s="4">
        <f>VLOOKUP($B56&amp;"__wt",'SegEnds_Xtal_BW#'!$A:$Z,16,FALSE)</f>
        <v>69</v>
      </c>
      <c r="Q56" s="4">
        <f>VLOOKUP($B56&amp;"__wt",'SegEnds_Xtal_BW#'!$A:$Z,17,FALSE)</f>
        <v>50</v>
      </c>
      <c r="R56" s="4">
        <f>VLOOKUP($B56&amp;"__wt",'SegEnds_Xtal_BW#'!$A:$Z,18,FALSE)</f>
        <v>52</v>
      </c>
      <c r="S56" s="4">
        <v>35</v>
      </c>
      <c r="T56" s="4">
        <f t="array" ref="T56">INDEX('ICL3'!$G$2:$G$40,MATCH(MIN(ABS(AH56-'ICL3'!$F$2:$F$40)),ABS(AH56-'ICL3'!$F$2:$F$40),0))</f>
        <v>75</v>
      </c>
      <c r="U56" s="4">
        <f t="array" ref="U56">INDEX('ICL3'!$H$2:$H$40,MATCH(MIN(ABS(AH56-'ICL3'!$F$2:$F$40)),ABS(AH56-'ICL3'!$F$2:$F$40),0))</f>
        <v>24</v>
      </c>
      <c r="V56" s="4">
        <v>61</v>
      </c>
      <c r="W56" s="4">
        <v>31</v>
      </c>
      <c r="X56" s="4">
        <f>VLOOKUP($B56&amp;"__wt",'SegEnds_Xtal_BW#'!$A:$Z,24,FALSE)</f>
        <v>56</v>
      </c>
      <c r="Y56" s="4">
        <f>VLOOKUP($B56&amp;"__wt",'SegEnds_Xtal_BW#'!$A:$Z,25,FALSE)</f>
        <v>47</v>
      </c>
      <c r="Z56" s="4">
        <f>VLOOKUP($B56&amp;"__wt",'SegEnds_Xtal_BW#'!$A:$Z,26,FALSE)</f>
        <v>58</v>
      </c>
      <c r="AA56" s="27" t="str">
        <f>VLOOKUP(A56,Classification!A:B,2,FALSE)</f>
        <v>A</v>
      </c>
      <c r="AB56" s="4">
        <f>VLOOKUP(A56,'SegEnds_NonXtal_Prot#'!A:AL,10,FALSE)-VLOOKUP(A56,'SegEnds_NonXtal_Prot#'!A:AL,7,FALSE)</f>
        <v>15</v>
      </c>
      <c r="AC56" s="4">
        <f>VLOOKUP(A56,'SegEnds_NonXtal_Prot#'!A:AL,13,FALSE)-VLOOKUP(A56,'SegEnds_NonXtal_Prot#'!A:AL,10,FALSE)</f>
        <v>20</v>
      </c>
      <c r="AD56" s="4">
        <f>VLOOKUP(A56,'SegEnds_NonXtal_Prot#'!A:AL,16,FALSE)-VLOOKUP(A56,'SegEnds_NonXtal_Prot#'!A:AL,10,FALSE)</f>
        <v>52</v>
      </c>
      <c r="AE56" s="1">
        <f>VLOOKUP(A56,'SegEnds_NonXtal_Prot#'!A:AL,22,FALSE)-VLOOKUP(A56,'SegEnds_NonXtal_Prot#'!A:AL,19,FALSE)</f>
        <v>20</v>
      </c>
      <c r="AF56" s="4">
        <f>VLOOKUP(A56,'SegEnds_NonXtal_Prot#'!A:AL,28,FALSE)-VLOOKUP(A56,'SegEnds_NonXtal_Prot#'!A:AL,25,FALSE)</f>
        <v>22</v>
      </c>
      <c r="AG56" s="1">
        <f>VLOOKUP(A56,'SegEnds_NonXtal_Prot#'!A:AL,28,FALSE)-VLOOKUP(A56,'SegEnds_NonXtal_Prot#'!A:AL,22,FALSE)</f>
        <v>50</v>
      </c>
      <c r="AH56" s="4">
        <f>VLOOKUP(A56,'SegEnds_NonXtal_Prot#'!A:AL,31,FALSE)-VLOOKUP(A56,'SegEnds_NonXtal_Prot#'!A:AL,28,FALSE)</f>
        <v>263</v>
      </c>
      <c r="AI56" s="4">
        <f>VLOOKUP(A56,'SegEnds_NonXtal_Prot#'!A:AL,34,FALSE)-VLOOKUP(A56,'SegEnds_NonXtal_Prot#'!A:AL,31,FALSE)</f>
        <v>35</v>
      </c>
      <c r="AJ56" s="1" t="str">
        <f>IF(ISERROR(MATCH(A56,'SegEnds_Xtal_Prot#'!B:B, 0)), "NoXtal", "Xtal")</f>
        <v>Xtal</v>
      </c>
    </row>
    <row r="57" spans="1:36" x14ac:dyDescent="0.2">
      <c r="A57" s="1" t="s">
        <v>149</v>
      </c>
      <c r="B57" s="1" t="str">
        <f>VLOOKUP(A57,Xtal_Templ!A:B,2,FALSE)</f>
        <v>acm4_human</v>
      </c>
      <c r="C57" s="5">
        <f>VLOOKUP($B57&amp;"__wt",'SegEnds_Xtal_BW#'!$A:$Z,3,FALSE)</f>
        <v>26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67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f>VLOOKUP($B57&amp;"__wt",'SegEnds_Xtal_BW#'!$A:$Z,14,FALSE)</f>
        <v>57</v>
      </c>
      <c r="O57" s="89">
        <f>VLOOKUP($B57&amp;"__wt",'SegEnds_Xtal_BW#'!$A:$Z,15,FALSE)</f>
        <v>38</v>
      </c>
      <c r="P57" s="1">
        <f>VLOOKUP($B57&amp;"__wt",'SegEnds_Xtal_BW#'!$A:$Z,16,FALSE)</f>
        <v>69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INDEX('ICL3'!$G$2:$G$40,MATCH(MIN(ABS(AH57-'ICL3'!$F$2:$F$40)),ABS(AH57-'ICL3'!$F$2:$F$40),0))</f>
        <v>75</v>
      </c>
      <c r="U57" s="1">
        <f t="array" ref="U57">INDEX('ICL3'!$H$2:$H$40,MATCH(MIN(ABS(AH57-'ICL3'!$F$2:$F$40)),ABS(AH57-'ICL3'!$F$2:$F$40),0))</f>
        <v>24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59</v>
      </c>
      <c r="AA57" s="27" t="str">
        <f>VLOOKUP(A57,Classification!A:B,2,FALSE)</f>
        <v>A</v>
      </c>
      <c r="AB57" s="1">
        <f>VLOOKUP(A57,'SegEnds_NonXtal_Prot#'!A:AL,10,FALSE)-VLOOKUP(A57,'SegEnds_NonXtal_Prot#'!A:AL,7,FALSE)</f>
        <v>15</v>
      </c>
      <c r="AC57" s="1">
        <f>VLOOKUP(A57,'SegEnds_NonXtal_Prot#'!A:AL,13,FALSE)-VLOOKUP(A57,'SegEnds_NonXtal_Prot#'!A:AL,10,FALSE)</f>
        <v>20</v>
      </c>
      <c r="AD57" s="1">
        <f>VLOOKUP(A57,'SegEnds_NonXtal_Prot#'!A:AL,16,FALSE)-VLOOKUP(A57,'SegEnds_NonXtal_Prot#'!A:AL,10,FALSE)</f>
        <v>52</v>
      </c>
      <c r="AE57" s="1">
        <f>VLOOKUP(A57,'SegEnds_NonXtal_Prot#'!A:AL,22,FALSE)-VLOOKUP(A57,'SegEnds_NonXtal_Prot#'!A:AL,19,FALSE)</f>
        <v>20</v>
      </c>
      <c r="AF57" s="1">
        <f>VLOOKUP(A57,'SegEnds_NonXtal_Prot#'!A:AL,28,FALSE)-VLOOKUP(A57,'SegEnds_NonXtal_Prot#'!A:AL,25,FALSE)</f>
        <v>22</v>
      </c>
      <c r="AG57" s="1">
        <f>VLOOKUP(A57,'SegEnds_NonXtal_Prot#'!A:AL,28,FALSE)-VLOOKUP(A57,'SegEnds_NonXtal_Prot#'!A:AL,22,FALSE)</f>
        <v>50</v>
      </c>
      <c r="AH57" s="1">
        <f>VLOOKUP(A57,'SegEnds_NonXtal_Prot#'!A:AL,31,FALSE)-VLOOKUP(A57,'SegEnds_NonXtal_Prot#'!A:AL,28,FALSE)</f>
        <v>208</v>
      </c>
      <c r="AI57" s="1">
        <f>VLOOKUP(A57,'SegEnds_NonXtal_Prot#'!A:AL,34,FALSE)-VLOOKUP(A57,'SegEnds_NonXtal_Prot#'!A:AL,31,FALSE)</f>
        <v>35</v>
      </c>
      <c r="AJ57" s="1" t="str">
        <f>IF(ISERROR(MATCH(A57,'SegEnds_Xtal_Prot#'!B:B, 0)), "NoXtal", "Xtal")</f>
        <v>Xtal</v>
      </c>
    </row>
    <row r="58" spans="1:36" x14ac:dyDescent="0.2">
      <c r="A58" s="1" t="s">
        <v>150</v>
      </c>
      <c r="B58" s="1" t="str">
        <f>VLOOKUP(A58,Xtal_Templ!A:B,2,FALSE)</f>
        <v>acm3_rat</v>
      </c>
      <c r="C58" s="5">
        <f>VLOOKUP($B58&amp;"__wt",'SegEnds_Xtal_BW#'!$A:$Z,3,FALSE)</f>
        <v>29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67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9">
        <v>38</v>
      </c>
      <c r="P58" s="1">
        <f>VLOOKUP($B58&amp;"__wt",'SegEnds_Xtal_BW#'!$A:$Z,16,FALSE)</f>
        <v>69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INDEX('ICL3'!$G$2:$G$40,MATCH(MIN(ABS(AH58-'ICL3'!$F$2:$F$40)),ABS(AH58-'ICL3'!$F$2:$F$40),0))</f>
        <v>75</v>
      </c>
      <c r="U58" s="1">
        <f t="array" ref="U58">INDEX('ICL3'!$H$2:$H$40,MATCH(MIN(ABS(AH58-'ICL3'!$F$2:$F$40)),ABS(AH58-'ICL3'!$F$2:$F$40),0))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VLOOKUP(A58,'SegEnds_NonXtal_Prot#'!A:AL,10,FALSE)-VLOOKUP(A58,'SegEnds_NonXtal_Prot#'!A:AL,7,FALSE)</f>
        <v>15</v>
      </c>
      <c r="AC58" s="1">
        <f>VLOOKUP(A58,'SegEnds_NonXtal_Prot#'!A:AL,13,FALSE)-VLOOKUP(A58,'SegEnds_NonXtal_Prot#'!A:AL,10,FALSE)</f>
        <v>20</v>
      </c>
      <c r="AD58" s="1">
        <f>VLOOKUP(A58,'SegEnds_NonXtal_Prot#'!A:AL,16,FALSE)-VLOOKUP(A58,'SegEnds_NonXtal_Prot#'!A:AL,10,FALSE)</f>
        <v>52</v>
      </c>
      <c r="AE58" s="1">
        <f>VLOOKUP(A58,'SegEnds_NonXtal_Prot#'!A:AL,22,FALSE)-VLOOKUP(A58,'SegEnds_NonXtal_Prot#'!A:AL,19,FALSE)</f>
        <v>20</v>
      </c>
      <c r="AF58" s="1">
        <f>VLOOKUP(A58,'SegEnds_NonXtal_Prot#'!A:AL,28,FALSE)-VLOOKUP(A58,'SegEnds_NonXtal_Prot#'!A:AL,25,FALSE)</f>
        <v>22</v>
      </c>
      <c r="AG58" s="1">
        <f>VLOOKUP(A58,'SegEnds_NonXtal_Prot#'!A:AL,28,FALSE)-VLOOKUP(A58,'SegEnds_NonXtal_Prot#'!A:AL,22,FALSE)</f>
        <v>50</v>
      </c>
      <c r="AH58" s="1">
        <f>VLOOKUP(A58,'SegEnds_NonXtal_Prot#'!A:AL,31,FALSE)-VLOOKUP(A58,'SegEnds_NonXtal_Prot#'!A:AL,28,FALSE)</f>
        <v>252</v>
      </c>
      <c r="AI58" s="1">
        <f>VLOOKUP(A58,'SegEnds_NonXtal_Prot#'!A:AL,34,FALSE)-VLOOKUP(A58,'SegEnds_NonXtal_Prot#'!A:AL,31,FALSE)</f>
        <v>35</v>
      </c>
      <c r="AJ58" s="1" t="str">
        <f>IF(ISERROR(MATCH(A58,'SegEnds_Xtal_Prot#'!B:B, 0)), "NoXtal", "Xtal")</f>
        <v>NoXtal</v>
      </c>
    </row>
    <row r="59" spans="1:36" x14ac:dyDescent="0.2">
      <c r="A59" s="1" t="s">
        <v>151</v>
      </c>
      <c r="B59" s="1" t="str">
        <f>VLOOKUP(A59,Xtal_Templ!A:B,2,FALSE)</f>
        <v>s1pr1_human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67</v>
      </c>
      <c r="I59" s="1" t="s">
        <v>23</v>
      </c>
      <c r="J59" s="1" t="s">
        <v>23</v>
      </c>
      <c r="K59" s="12">
        <v>18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9">
        <f>VLOOKUP($B59&amp;"__wt",'SegEnds_Xtal_BW#'!$A:$Z,15,FALSE)</f>
        <v>38</v>
      </c>
      <c r="P59" s="1">
        <f>VLOOKUP($B59&amp;"__wt",'SegEnds_Xtal_BW#'!$A:$Z,16,FALSE)</f>
        <v>63</v>
      </c>
      <c r="Q59" s="1" t="str">
        <f>VLOOKUP($B59&amp;"__wt",'SegEnds_Xtal_BW#'!$A:$Z,17,FALSE)</f>
        <v>-</v>
      </c>
      <c r="R59" s="1" t="str">
        <f>VLOOKUP($B59&amp;"__wt",'SegEnds_Xtal_BW#'!$A:$Z,18,FALSE)</f>
        <v>-</v>
      </c>
      <c r="S59" s="111">
        <v>33</v>
      </c>
      <c r="T59" s="1">
        <f t="array" ref="T59">INDEX('ICL3'!$G$2:$G$40,MATCH(MIN(ABS(AH59-'ICL3'!$F$2:$F$40)),ABS(AH59-'ICL3'!$F$2:$F$40),0))</f>
        <v>66</v>
      </c>
      <c r="U59" s="1">
        <f t="array" ref="U59">INDEX('ICL3'!$H$2:$H$40,MATCH(MIN(ABS(AH59-'ICL3'!$F$2:$F$40)),ABS(AH59-'ICL3'!$F$2:$F$40),0))</f>
        <v>30</v>
      </c>
      <c r="V59" s="1">
        <v>61</v>
      </c>
      <c r="W59" s="1">
        <v>28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59</v>
      </c>
      <c r="AA59" s="27" t="str">
        <f>VLOOKUP(A59,Classification!A:B,2,FALSE)</f>
        <v>A</v>
      </c>
      <c r="AB59" s="1">
        <f>VLOOKUP(A59,'SegEnds_NonXtal_Prot#'!A:AL,10,FALSE)-VLOOKUP(A59,'SegEnds_NonXtal_Prot#'!A:AL,7,FALSE)</f>
        <v>15</v>
      </c>
      <c r="AC59" s="1" t="e">
        <f>VLOOKUP(A59,'SegEnds_NonXtal_Prot#'!A:AL,13,FALSE)-VLOOKUP(A59,'SegEnds_NonXtal_Prot#'!A:AL,10,FALSE)</f>
        <v>#VALUE!</v>
      </c>
      <c r="AD59" s="1">
        <f>VLOOKUP(A59,'SegEnds_NonXtal_Prot#'!A:AL,16,FALSE)-VLOOKUP(A59,'SegEnds_NonXtal_Prot#'!A:AL,10,FALSE)</f>
        <v>58</v>
      </c>
      <c r="AE59" s="1">
        <f>VLOOKUP(A59,'SegEnds_NonXtal_Prot#'!A:AL,22,FALSE)-VLOOKUP(A59,'SegEnds_NonXtal_Prot#'!A:AL,19,FALSE)</f>
        <v>20</v>
      </c>
      <c r="AF59" s="1" t="e">
        <f>VLOOKUP(A59,'SegEnds_NonXtal_Prot#'!A:AL,28,FALSE)-VLOOKUP(A59,'SegEnds_NonXtal_Prot#'!A:AL,25,FALSE)</f>
        <v>#VALUE!</v>
      </c>
      <c r="AG59" s="1">
        <f>VLOOKUP(A59,'SegEnds_NonXtal_Prot#'!A:AL,28,FALSE)-VLOOKUP(A59,'SegEnds_NonXtal_Prot#'!A:AL,22,FALSE)</f>
        <v>40</v>
      </c>
      <c r="AH59" s="1">
        <f>VLOOKUP(A59,'SegEnds_NonXtal_Prot#'!A:AL,31,FALSE)-VLOOKUP(A59,'SegEnds_NonXtal_Prot#'!A:AL,28,FALSE)</f>
        <v>39</v>
      </c>
      <c r="AI59" s="1">
        <f>VLOOKUP(A59,'SegEnds_NonXtal_Prot#'!A:AL,34,FALSE)-VLOOKUP(A59,'SegEnds_NonXtal_Prot#'!A:AL,31,FALSE)</f>
        <v>39</v>
      </c>
      <c r="AJ59" s="1" t="str">
        <f>IF(ISERROR(MATCH(A59,'SegEnds_Xtal_Prot#'!B:B, 0)), "NoXtal", "Xtal")</f>
        <v>NoXtal</v>
      </c>
    </row>
    <row r="60" spans="1:36" x14ac:dyDescent="0.2">
      <c r="A60" s="1" t="s">
        <v>152</v>
      </c>
      <c r="B60" s="1" t="str">
        <f>VLOOKUP(A60,Xtal_Templ!A:B,2,FALSE)</f>
        <v>5ht1b_human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67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9">
        <v>38</v>
      </c>
      <c r="P60" s="1">
        <f>VLOOKUP($B60&amp;"__wt",'SegEnds_Xtal_BW#'!$A:$Z,16,FALSE)</f>
        <v>63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INDEX('ICL3'!$G$2:$G$40,MATCH(MIN(ABS(AH60-'ICL3'!$F$2:$F$40)),ABS(AH60-'ICL3'!$F$2:$F$40),0))</f>
        <v>76</v>
      </c>
      <c r="U60" s="1">
        <f t="array" ref="U60">INDEX('ICL3'!$H$2:$H$40,MATCH(MIN(ABS(AH60-'ICL3'!$F$2:$F$40)),ABS(AH60-'ICL3'!$F$2:$F$40),0))</f>
        <v>24</v>
      </c>
      <c r="V60" s="1">
        <v>61</v>
      </c>
      <c r="W60" s="1">
        <v>31</v>
      </c>
      <c r="X60" s="1">
        <f>VLOOKUP($B60&amp;"__wt",'SegEnds_Xtal_BW#'!$A:$Z,24,FALSE)</f>
        <v>56</v>
      </c>
      <c r="Y60" s="1">
        <f>VLOOKUP($B60&amp;"__wt",'SegEnds_Xtal_BW#'!$A:$Z,25,FALSE)</f>
        <v>47</v>
      </c>
      <c r="Z60" s="1">
        <f>VLOOKUP($B60&amp;"__wt",'SegEnds_Xtal_BW#'!$A:$Z,26,FALSE)</f>
        <v>58</v>
      </c>
      <c r="AA60" s="27" t="str">
        <f>VLOOKUP(A60,Classification!A:B,2,FALSE)</f>
        <v>A</v>
      </c>
      <c r="AB60" s="1">
        <f>VLOOKUP(A60,'SegEnds_NonXtal_Prot#'!A:AL,10,FALSE)-VLOOKUP(A60,'SegEnds_NonXtal_Prot#'!A:AL,7,FALSE)</f>
        <v>15</v>
      </c>
      <c r="AC60" s="1">
        <f>VLOOKUP(A60,'SegEnds_NonXtal_Prot#'!A:AL,13,FALSE)-VLOOKUP(A60,'SegEnds_NonXtal_Prot#'!A:AL,10,FALSE)</f>
        <v>20</v>
      </c>
      <c r="AD60" s="1">
        <f>VLOOKUP(A60,'SegEnds_NonXtal_Prot#'!A:AL,16,FALSE)-VLOOKUP(A60,'SegEnds_NonXtal_Prot#'!A:AL,10,FALSE)</f>
        <v>52</v>
      </c>
      <c r="AE60" s="1">
        <f>VLOOKUP(A60,'SegEnds_NonXtal_Prot#'!A:AL,22,FALSE)-VLOOKUP(A60,'SegEnds_NonXtal_Prot#'!A:AL,19,FALSE)</f>
        <v>20</v>
      </c>
      <c r="AF60" s="1">
        <f>VLOOKUP(A60,'SegEnds_NonXtal_Prot#'!A:AL,28,FALSE)-VLOOKUP(A60,'SegEnds_NonXtal_Prot#'!A:AL,25,FALSE)</f>
        <v>20</v>
      </c>
      <c r="AG60" s="1">
        <f>VLOOKUP(A60,'SegEnds_NonXtal_Prot#'!A:AL,28,FALSE)-VLOOKUP(A60,'SegEnds_NonXtal_Prot#'!A:AL,22,FALSE)</f>
        <v>45</v>
      </c>
      <c r="AH60" s="1">
        <f>VLOOKUP(A60,'SegEnds_NonXtal_Prot#'!A:AL,31,FALSE)-VLOOKUP(A60,'SegEnds_NonXtal_Prot#'!A:AL,28,FALSE)</f>
        <v>91</v>
      </c>
      <c r="AI60" s="1">
        <f>VLOOKUP(A60,'SegEnds_NonXtal_Prot#'!A:AL,34,FALSE)-VLOOKUP(A60,'SegEnds_NonXtal_Prot#'!A:AL,31,FALSE)</f>
        <v>36</v>
      </c>
      <c r="AJ60" s="1" t="str">
        <f>IF(ISERROR(MATCH(A60,'SegEnds_Xtal_Prot#'!B:B, 0)), "NoXtal", "Xtal")</f>
        <v>NoXtal</v>
      </c>
    </row>
    <row r="61" spans="1:36" x14ac:dyDescent="0.2">
      <c r="A61" s="1" t="s">
        <v>153</v>
      </c>
      <c r="B61" s="1" t="str">
        <f>VLOOKUP(A61,Xtal_Templ!A:B,2,FALSE)</f>
        <v>drd3_human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67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9">
        <v>38</v>
      </c>
      <c r="P61" s="1">
        <f>VLOOKUP($B61&amp;"__wt",'SegEnds_Xtal_BW#'!$A:$Z,16,FALSE)</f>
        <v>63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INDEX('ICL3'!$G$2:$G$40,MATCH(MIN(ABS(AH61-'ICL3'!$F$2:$F$40)),ABS(AH61-'ICL3'!$F$2:$F$40),0))</f>
        <v>74</v>
      </c>
      <c r="U61" s="1">
        <f t="array" ref="U61">INDEX('ICL3'!$H$2:$H$40,MATCH(MIN(ABS(AH61-'ICL3'!$F$2:$F$40)),ABS(AH61-'ICL3'!$F$2:$F$40),0))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VLOOKUP(A61,'SegEnds_NonXtal_Prot#'!A:AL,10,FALSE)-VLOOKUP(A61,'SegEnds_NonXtal_Prot#'!A:AL,7,FALSE)</f>
        <v>15</v>
      </c>
      <c r="AC61" s="1">
        <f>VLOOKUP(A61,'SegEnds_NonXtal_Prot#'!A:AL,13,FALSE)-VLOOKUP(A61,'SegEnds_NonXtal_Prot#'!A:AL,10,FALSE)</f>
        <v>20</v>
      </c>
      <c r="AD61" s="1">
        <f>VLOOKUP(A61,'SegEnds_NonXtal_Prot#'!A:AL,16,FALSE)-VLOOKUP(A61,'SegEnds_NonXtal_Prot#'!A:AL,10,FALSE)</f>
        <v>52</v>
      </c>
      <c r="AE61" s="1">
        <f>VLOOKUP(A61,'SegEnds_NonXtal_Prot#'!A:AL,22,FALSE)-VLOOKUP(A61,'SegEnds_NonXtal_Prot#'!A:AL,19,FALSE)</f>
        <v>20</v>
      </c>
      <c r="AF61" s="1">
        <f>VLOOKUP(A61,'SegEnds_NonXtal_Prot#'!A:AL,28,FALSE)-VLOOKUP(A61,'SegEnds_NonXtal_Prot#'!A:AL,25,FALSE)</f>
        <v>20</v>
      </c>
      <c r="AG61" s="1">
        <f>VLOOKUP(A61,'SegEnds_NonXtal_Prot#'!A:AL,28,FALSE)-VLOOKUP(A61,'SegEnds_NonXtal_Prot#'!A:AL,22,FALSE)</f>
        <v>45</v>
      </c>
      <c r="AH61" s="1">
        <f>VLOOKUP(A61,'SegEnds_NonXtal_Prot#'!A:AL,31,FALSE)-VLOOKUP(A61,'SegEnds_NonXtal_Prot#'!A:AL,28,FALSE)</f>
        <v>94</v>
      </c>
      <c r="AI61" s="1">
        <f>VLOOKUP(A61,'SegEnds_NonXtal_Prot#'!A:AL,34,FALSE)-VLOOKUP(A61,'SegEnds_NonXtal_Prot#'!A:AL,31,FALSE)</f>
        <v>36</v>
      </c>
      <c r="AJ61" s="1" t="str">
        <f>IF(ISERROR(MATCH(A61,'SegEnds_Xtal_Prot#'!B:B, 0)), "NoXtal", "Xtal")</f>
        <v>NoXtal</v>
      </c>
    </row>
    <row r="62" spans="1:36" x14ac:dyDescent="0.2">
      <c r="A62" s="1" t="s">
        <v>154</v>
      </c>
      <c r="B62" s="1" t="str">
        <f>VLOOKUP(A62,Xtal_Templ!A:B,2,FALSE)</f>
        <v>adrb2_human</v>
      </c>
      <c r="C62" s="5">
        <f>VLOOKUP($B62&amp;"__wt",'SegEnds_Xtal_BW#'!$A:$Z,3,FALSE)</f>
        <v>25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67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9">
        <v>38</v>
      </c>
      <c r="P62" s="1">
        <f>VLOOKUP($B62&amp;"__wt",'SegEnds_Xtal_BW#'!$A:$Z,16,FALSE)</f>
        <v>64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INDEX('ICL3'!$G$2:$G$40,MATCH(MIN(ABS(AH62-'ICL3'!$F$2:$F$40)),ABS(AH62-'ICL3'!$F$2:$F$40),0))</f>
        <v>74</v>
      </c>
      <c r="U62" s="1">
        <f t="array" ref="U62">INDEX('ICL3'!$H$2:$H$40,MATCH(MIN(ABS(AH62-'ICL3'!$F$2:$F$40)),ABS(AH62-'ICL3'!$F$2:$F$40),0))</f>
        <v>24</v>
      </c>
      <c r="V62" s="1">
        <v>61</v>
      </c>
      <c r="W62" s="1">
        <v>31</v>
      </c>
      <c r="X62" s="1">
        <f>VLOOKUP($B62&amp;"__wt",'SegEnds_Xtal_BW#'!$A:$Z,24,FALSE)</f>
        <v>55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VLOOKUP(A62,'SegEnds_NonXtal_Prot#'!A:AL,10,FALSE)-VLOOKUP(A62,'SegEnds_NonXtal_Prot#'!A:AL,7,FALSE)</f>
        <v>15</v>
      </c>
      <c r="AC62" s="1">
        <f>VLOOKUP(A62,'SegEnds_NonXtal_Prot#'!A:AL,13,FALSE)-VLOOKUP(A62,'SegEnds_NonXtal_Prot#'!A:AL,10,FALSE)</f>
        <v>20</v>
      </c>
      <c r="AD62" s="1">
        <f>VLOOKUP(A62,'SegEnds_NonXtal_Prot#'!A:AL,16,FALSE)-VLOOKUP(A62,'SegEnds_NonXtal_Prot#'!A:AL,10,FALSE)</f>
        <v>52</v>
      </c>
      <c r="AE62" s="1">
        <f>VLOOKUP(A62,'SegEnds_NonXtal_Prot#'!A:AL,22,FALSE)-VLOOKUP(A62,'SegEnds_NonXtal_Prot#'!A:AL,19,FALSE)</f>
        <v>20</v>
      </c>
      <c r="AF62" s="1">
        <f>VLOOKUP(A62,'SegEnds_NonXtal_Prot#'!A:AL,28,FALSE)-VLOOKUP(A62,'SegEnds_NonXtal_Prot#'!A:AL,25,FALSE)</f>
        <v>20</v>
      </c>
      <c r="AG62" s="1">
        <f>VLOOKUP(A62,'SegEnds_NonXtal_Prot#'!A:AL,28,FALSE)-VLOOKUP(A62,'SegEnds_NonXtal_Prot#'!A:AL,22,FALSE)</f>
        <v>45</v>
      </c>
      <c r="AH62" s="1">
        <f>VLOOKUP(A62,'SegEnds_NonXtal_Prot#'!A:AL,31,FALSE)-VLOOKUP(A62,'SegEnds_NonXtal_Prot#'!A:AL,28,FALSE)</f>
        <v>97</v>
      </c>
      <c r="AI62" s="1">
        <f>VLOOKUP(A62,'SegEnds_NonXtal_Prot#'!A:AL,34,FALSE)-VLOOKUP(A62,'SegEnds_NonXtal_Prot#'!A:AL,31,FALSE)</f>
        <v>36</v>
      </c>
      <c r="AJ62" s="1" t="str">
        <f>IF(ISERROR(MATCH(A62,'SegEnds_Xtal_Prot#'!B:B, 0)), "NoXtal", "Xtal")</f>
        <v>NoXtal</v>
      </c>
    </row>
    <row r="63" spans="1:36" x14ac:dyDescent="0.2">
      <c r="A63" s="1" t="s">
        <v>155</v>
      </c>
      <c r="B63" s="1" t="str">
        <f>VLOOKUP(A63,Xtal_Templ!A:B,2,FALSE)</f>
        <v>drd3_human</v>
      </c>
      <c r="C63" s="5">
        <f>VLOOKUP($B63&amp;"__wt",'SegEnds_Xtal_BW#'!$A:$Z,3,FALSE)</f>
        <v>29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9">
        <v>38</v>
      </c>
      <c r="P63" s="1">
        <f>VLOOKUP($B63&amp;"__wt",'SegEnds_Xtal_BW#'!$A:$Z,16,FALSE)</f>
        <v>63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INDEX('ICL3'!$G$2:$G$40,MATCH(MIN(ABS(AH63-'ICL3'!$F$2:$F$40)),ABS(AH63-'ICL3'!$F$2:$F$40),0))</f>
        <v>75</v>
      </c>
      <c r="U63" s="1">
        <f t="array" ref="U63">INDEX('ICL3'!$H$2:$H$40,MATCH(MIN(ABS(AH63-'ICL3'!$F$2:$F$40)),ABS(AH63-'ICL3'!$F$2:$F$40),0))</f>
        <v>24</v>
      </c>
      <c r="V63" s="1">
        <v>61</v>
      </c>
      <c r="W63" s="1">
        <v>32</v>
      </c>
      <c r="X63" s="1">
        <f>VLOOKUP($B63&amp;"__wt",'SegEnds_Xtal_BW#'!$A:$Z,24,FALSE)</f>
        <v>56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VLOOKUP(A63,'SegEnds_NonXtal_Prot#'!A:AL,10,FALSE)-VLOOKUP(A63,'SegEnds_NonXtal_Prot#'!A:AL,7,FALSE)</f>
        <v>15</v>
      </c>
      <c r="AC63" s="1">
        <f>VLOOKUP(A63,'SegEnds_NonXtal_Prot#'!A:AL,13,FALSE)-VLOOKUP(A63,'SegEnds_NonXtal_Prot#'!A:AL,10,FALSE)</f>
        <v>20</v>
      </c>
      <c r="AD63" s="1">
        <f>VLOOKUP(A63,'SegEnds_NonXtal_Prot#'!A:AL,16,FALSE)-VLOOKUP(A63,'SegEnds_NonXtal_Prot#'!A:AL,10,FALSE)</f>
        <v>52</v>
      </c>
      <c r="AE63" s="1">
        <f>VLOOKUP(A63,'SegEnds_NonXtal_Prot#'!A:AL,22,FALSE)-VLOOKUP(A63,'SegEnds_NonXtal_Prot#'!A:AL,19,FALSE)</f>
        <v>20</v>
      </c>
      <c r="AF63" s="1">
        <f>VLOOKUP(A63,'SegEnds_NonXtal_Prot#'!A:AL,28,FALSE)-VLOOKUP(A63,'SegEnds_NonXtal_Prot#'!A:AL,25,FALSE)</f>
        <v>20</v>
      </c>
      <c r="AG63" s="1">
        <f>VLOOKUP(A63,'SegEnds_NonXtal_Prot#'!A:AL,28,FALSE)-VLOOKUP(A63,'SegEnds_NonXtal_Prot#'!A:AL,22,FALSE)</f>
        <v>50</v>
      </c>
      <c r="AH63" s="1">
        <f>VLOOKUP(A63,'SegEnds_NonXtal_Prot#'!A:AL,31,FALSE)-VLOOKUP(A63,'SegEnds_NonXtal_Prot#'!A:AL,28,FALSE)</f>
        <v>181</v>
      </c>
      <c r="AI63" s="1">
        <f>VLOOKUP(A63,'SegEnds_NonXtal_Prot#'!A:AL,34,FALSE)-VLOOKUP(A63,'SegEnds_NonXtal_Prot#'!A:AL,31,FALSE)</f>
        <v>34</v>
      </c>
      <c r="AJ63" s="1" t="str">
        <f>IF(ISERROR(MATCH(A63,'SegEnds_Xtal_Prot#'!B:B, 0)), "NoXtal", "Xtal")</f>
        <v>NoXtal</v>
      </c>
    </row>
    <row r="64" spans="1:36" x14ac:dyDescent="0.2">
      <c r="A64" s="1" t="s">
        <v>156</v>
      </c>
      <c r="B64" s="1" t="str">
        <f>VLOOKUP(A64,Xtal_Templ!A:B,2,FALSE)</f>
        <v>drd3_human</v>
      </c>
      <c r="C64" s="5">
        <f>VLOOKUP($B64&amp;"__wt",'SegEnds_Xtal_BW#'!$A:$Z,3,FALSE)</f>
        <v>29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v>37</v>
      </c>
      <c r="H64" s="12">
        <f>VLOOKUP($B64&amp;"__wt",'SegEnds_Xtal_BW#'!$A:$Z,8,FALSE)</f>
        <v>67</v>
      </c>
      <c r="I64" s="1">
        <f>VLOOKUP($B64&amp;"__wt",'SegEnds_Xtal_BW#'!$A:$Z,9,FALSE)</f>
        <v>49</v>
      </c>
      <c r="J64" s="1">
        <f>VLOOKUP($B64&amp;"__wt",'SegEnds_Xtal_BW#'!$A:$Z,10,FALSE)</f>
        <v>52</v>
      </c>
      <c r="K64" s="12">
        <v>18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v>57</v>
      </c>
      <c r="O64" s="89">
        <v>38</v>
      </c>
      <c r="P64" s="1">
        <f>VLOOKUP($B64&amp;"__wt",'SegEnds_Xtal_BW#'!$A:$Z,16,FALSE)</f>
        <v>63</v>
      </c>
      <c r="Q64" s="1">
        <f>VLOOKUP($B64&amp;"__wt",'SegEnds_Xtal_BW#'!$A:$Z,17,FALSE)</f>
        <v>50</v>
      </c>
      <c r="R64" s="1">
        <f>VLOOKUP($B64&amp;"__wt",'SegEnds_Xtal_BW#'!$A:$Z,18,FALSE)</f>
        <v>52</v>
      </c>
      <c r="S64" s="1">
        <v>35</v>
      </c>
      <c r="T64" s="1">
        <f t="array" ref="T64">INDEX('ICL3'!$G$2:$G$40,MATCH(MIN(ABS(AH64-'ICL3'!$F$2:$F$40)),ABS(AH64-'ICL3'!$F$2:$F$40),0))</f>
        <v>75</v>
      </c>
      <c r="U64" s="1">
        <f t="array" ref="U64">INDEX('ICL3'!$H$2:$H$40,MATCH(MIN(ABS(AH64-'ICL3'!$F$2:$F$40)),ABS(AH64-'ICL3'!$F$2:$F$40),0))</f>
        <v>24</v>
      </c>
      <c r="V64" s="1">
        <v>61</v>
      </c>
      <c r="W64" s="1">
        <v>31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VLOOKUP(A64,'SegEnds_NonXtal_Prot#'!A:AL,10,FALSE)-VLOOKUP(A64,'SegEnds_NonXtal_Prot#'!A:AL,7,FALSE)</f>
        <v>15</v>
      </c>
      <c r="AC64" s="1">
        <f>VLOOKUP(A64,'SegEnds_NonXtal_Prot#'!A:AL,13,FALSE)-VLOOKUP(A64,'SegEnds_NonXtal_Prot#'!A:AL,10,FALSE)</f>
        <v>20</v>
      </c>
      <c r="AD64" s="1">
        <f>VLOOKUP(A64,'SegEnds_NonXtal_Prot#'!A:AL,16,FALSE)-VLOOKUP(A64,'SegEnds_NonXtal_Prot#'!A:AL,10,FALSE)</f>
        <v>52</v>
      </c>
      <c r="AE64" s="1">
        <f>VLOOKUP(A64,'SegEnds_NonXtal_Prot#'!A:AL,22,FALSE)-VLOOKUP(A64,'SegEnds_NonXtal_Prot#'!A:AL,19,FALSE)</f>
        <v>20</v>
      </c>
      <c r="AF64" s="1">
        <f>VLOOKUP(A64,'SegEnds_NonXtal_Prot#'!A:AL,28,FALSE)-VLOOKUP(A64,'SegEnds_NonXtal_Prot#'!A:AL,25,FALSE)</f>
        <v>20</v>
      </c>
      <c r="AG64" s="1">
        <f>VLOOKUP(A64,'SegEnds_NonXtal_Prot#'!A:AL,28,FALSE)-VLOOKUP(A64,'SegEnds_NonXtal_Prot#'!A:AL,22,FALSE)</f>
        <v>47</v>
      </c>
      <c r="AH64" s="1">
        <f>VLOOKUP(A64,'SegEnds_NonXtal_Prot#'!A:AL,31,FALSE)-VLOOKUP(A64,'SegEnds_NonXtal_Prot#'!A:AL,28,FALSE)</f>
        <v>199</v>
      </c>
      <c r="AI64" s="1">
        <f>VLOOKUP(A64,'SegEnds_NonXtal_Prot#'!A:AL,34,FALSE)-VLOOKUP(A64,'SegEnds_NonXtal_Prot#'!A:AL,31,FALSE)</f>
        <v>37</v>
      </c>
      <c r="AJ64" s="1" t="str">
        <f>IF(ISERROR(MATCH(A64,'SegEnds_Xtal_Prot#'!B:B, 0)), "NoXtal", "Xtal")</f>
        <v>NoXtal</v>
      </c>
    </row>
    <row r="65" spans="1:36" x14ac:dyDescent="0.2">
      <c r="A65" s="1" t="s">
        <v>157</v>
      </c>
      <c r="B65" s="1" t="str">
        <f>VLOOKUP(A65,Xtal_Templ!A:B,2,FALSE)</f>
        <v>drd3_human</v>
      </c>
      <c r="C65" s="5">
        <f>VLOOKUP($B65&amp;"__wt",'SegEnds_Xtal_BW#'!$A:$Z,3,FALSE)</f>
        <v>29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f>VLOOKUP($B65&amp;"__wt",'SegEnds_Xtal_BW#'!$A:$Z,8,FALSE)</f>
        <v>67</v>
      </c>
      <c r="I65" s="1">
        <f>VLOOKUP($B65&amp;"__wt",'SegEnds_Xtal_BW#'!$A:$Z,9,FALSE)</f>
        <v>49</v>
      </c>
      <c r="J65" s="1">
        <f>VLOOKUP($B65&amp;"__wt",'SegEnds_Xtal_BW#'!$A:$Z,10,FALSE)</f>
        <v>52</v>
      </c>
      <c r="K65" s="12">
        <v>18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9">
        <v>38</v>
      </c>
      <c r="P65" s="1">
        <f>VLOOKUP($B65&amp;"__wt",'SegEnds_Xtal_BW#'!$A:$Z,16,FALSE)</f>
        <v>63</v>
      </c>
      <c r="Q65" s="1">
        <f>VLOOKUP($B65&amp;"__wt",'SegEnds_Xtal_BW#'!$A:$Z,17,FALSE)</f>
        <v>50</v>
      </c>
      <c r="R65" s="1">
        <f>VLOOKUP($B65&amp;"__wt",'SegEnds_Xtal_BW#'!$A:$Z,18,FALSE)</f>
        <v>52</v>
      </c>
      <c r="S65" s="1">
        <v>35</v>
      </c>
      <c r="T65" s="1">
        <f t="array" ref="T65">INDEX('ICL3'!$G$2:$G$40,MATCH(MIN(ABS(AH65-'ICL3'!$F$2:$F$40)),ABS(AH65-'ICL3'!$F$2:$F$40),0))</f>
        <v>75</v>
      </c>
      <c r="U65" s="1">
        <f t="array" ref="U65">INDEX('ICL3'!$H$2:$H$40,MATCH(MIN(ABS(AH65-'ICL3'!$F$2:$F$40)),ABS(AH65-'ICL3'!$F$2:$F$40),0))</f>
        <v>24</v>
      </c>
      <c r="V65" s="1">
        <v>61</v>
      </c>
      <c r="W65" s="1">
        <v>31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59</v>
      </c>
      <c r="AA65" s="27" t="str">
        <f>VLOOKUP(A65,Classification!A:B,2,FALSE)</f>
        <v>A</v>
      </c>
      <c r="AB65" s="1">
        <f>VLOOKUP(A65,'SegEnds_NonXtal_Prot#'!A:AL,10,FALSE)-VLOOKUP(A65,'SegEnds_NonXtal_Prot#'!A:AL,7,FALSE)</f>
        <v>15</v>
      </c>
      <c r="AC65" s="1">
        <f>VLOOKUP(A65,'SegEnds_NonXtal_Prot#'!A:AL,13,FALSE)-VLOOKUP(A65,'SegEnds_NonXtal_Prot#'!A:AL,10,FALSE)</f>
        <v>20</v>
      </c>
      <c r="AD65" s="1">
        <f>VLOOKUP(A65,'SegEnds_NonXtal_Prot#'!A:AL,16,FALSE)-VLOOKUP(A65,'SegEnds_NonXtal_Prot#'!A:AL,10,FALSE)</f>
        <v>52</v>
      </c>
      <c r="AE65" s="1">
        <f>VLOOKUP(A65,'SegEnds_NonXtal_Prot#'!A:AL,22,FALSE)-VLOOKUP(A65,'SegEnds_NonXtal_Prot#'!A:AL,19,FALSE)</f>
        <v>20</v>
      </c>
      <c r="AF65" s="1">
        <f>VLOOKUP(A65,'SegEnds_NonXtal_Prot#'!A:AL,28,FALSE)-VLOOKUP(A65,'SegEnds_NonXtal_Prot#'!A:AL,25,FALSE)</f>
        <v>20</v>
      </c>
      <c r="AG65" s="1">
        <f>VLOOKUP(A65,'SegEnds_NonXtal_Prot#'!A:AL,28,FALSE)-VLOOKUP(A65,'SegEnds_NonXtal_Prot#'!A:AL,22,FALSE)</f>
        <v>46</v>
      </c>
      <c r="AH65" s="1">
        <f>VLOOKUP(A65,'SegEnds_NonXtal_Prot#'!A:AL,31,FALSE)-VLOOKUP(A65,'SegEnds_NonXtal_Prot#'!A:AL,28,FALSE)</f>
        <v>175</v>
      </c>
      <c r="AI65" s="1">
        <f>VLOOKUP(A65,'SegEnds_NonXtal_Prot#'!A:AL,34,FALSE)-VLOOKUP(A65,'SegEnds_NonXtal_Prot#'!A:AL,31,FALSE)</f>
        <v>37</v>
      </c>
      <c r="AJ65" s="1" t="str">
        <f>IF(ISERROR(MATCH(A65,'SegEnds_Xtal_Prot#'!B:B, 0)), "NoXtal", "Xtal")</f>
        <v>NoXtal</v>
      </c>
    </row>
    <row r="66" spans="1:36" x14ac:dyDescent="0.2">
      <c r="A66" s="1" t="s">
        <v>125</v>
      </c>
      <c r="B66" s="1" t="str">
        <f>VLOOKUP(A66,Xtal_Templ!A:B,2,FALSE)</f>
        <v>adrb2_human</v>
      </c>
      <c r="C66" s="5">
        <f>VLOOKUP($B66&amp;"__wt",'SegEnds_Xtal_BW#'!$A:$Z,3,FALSE)</f>
        <v>25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v>57</v>
      </c>
      <c r="O66" s="89">
        <v>38</v>
      </c>
      <c r="P66" s="1">
        <f>VLOOKUP($B66&amp;"__wt",'SegEnds_Xtal_BW#'!$A:$Z,16,FALSE)</f>
        <v>64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INDEX('ICL3'!$G$2:$G$40,MATCH(MIN(ABS(AH66-'ICL3'!$F$2:$F$40)),ABS(AH66-'ICL3'!$F$2:$F$40),0))</f>
        <v>74</v>
      </c>
      <c r="U66" s="1">
        <f t="array" ref="U66">INDEX('ICL3'!$H$2:$H$40,MATCH(MIN(ABS(AH66-'ICL3'!$F$2:$F$40)),ABS(AH66-'ICL3'!$F$2:$F$40),0))</f>
        <v>24</v>
      </c>
      <c r="V66" s="1">
        <v>61</v>
      </c>
      <c r="W66" s="1">
        <v>31</v>
      </c>
      <c r="X66" s="1">
        <f>VLOOKUP($B66&amp;"__wt",'SegEnds_Xtal_BW#'!$A:$Z,24,FALSE)</f>
        <v>55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VLOOKUP(A66,'SegEnds_NonXtal_Prot#'!A:AL,10,FALSE)-VLOOKUP(A66,'SegEnds_NonXtal_Prot#'!A:AL,7,FALSE)</f>
        <v>15</v>
      </c>
      <c r="AC66" s="1">
        <f>VLOOKUP(A66,'SegEnds_NonXtal_Prot#'!A:AL,13,FALSE)-VLOOKUP(A66,'SegEnds_NonXtal_Prot#'!A:AL,10,FALSE)</f>
        <v>20</v>
      </c>
      <c r="AD66" s="1">
        <f>VLOOKUP(A66,'SegEnds_NonXtal_Prot#'!A:AL,16,FALSE)-VLOOKUP(A66,'SegEnds_NonXtal_Prot#'!A:AL,10,FALSE)</f>
        <v>52</v>
      </c>
      <c r="AE66" s="1">
        <f>VLOOKUP(A66,'SegEnds_NonXtal_Prot#'!A:AL,22,FALSE)-VLOOKUP(A66,'SegEnds_NonXtal_Prot#'!A:AL,19,FALSE)</f>
        <v>20</v>
      </c>
      <c r="AF66" s="1">
        <f>VLOOKUP(A66,'SegEnds_NonXtal_Prot#'!A:AL,28,FALSE)-VLOOKUP(A66,'SegEnds_NonXtal_Prot#'!A:AL,25,FALSE)</f>
        <v>20</v>
      </c>
      <c r="AG66" s="1">
        <f>VLOOKUP(A66,'SegEnds_NonXtal_Prot#'!A:AL,28,FALSE)-VLOOKUP(A66,'SegEnds_NonXtal_Prot#'!A:AL,22,FALSE)</f>
        <v>53</v>
      </c>
      <c r="AH66" s="1">
        <f>VLOOKUP(A66,'SegEnds_NonXtal_Prot#'!A:AL,31,FALSE)-VLOOKUP(A66,'SegEnds_NonXtal_Prot#'!A:AL,28,FALSE)</f>
        <v>103</v>
      </c>
      <c r="AI66" s="1">
        <f>VLOOKUP(A66,'SegEnds_NonXtal_Prot#'!A:AL,34,FALSE)-VLOOKUP(A66,'SegEnds_NonXtal_Prot#'!A:AL,31,FALSE)</f>
        <v>35</v>
      </c>
      <c r="AJ66" s="1" t="str">
        <f>IF(ISERROR(MATCH(A66,'SegEnds_Xtal_Prot#'!B:B, 0)), "NoXtal", "Xtal")</f>
        <v>NoXtal</v>
      </c>
    </row>
    <row r="67" spans="1:36" x14ac:dyDescent="0.2">
      <c r="A67" s="1" t="s">
        <v>912</v>
      </c>
      <c r="B67" s="1" t="str">
        <f>VLOOKUP(A67,Xtal_Templ!A:B,2,FALSE)</f>
        <v>adrb1_melga</v>
      </c>
      <c r="C67" s="5">
        <f>VLOOKUP($B67&amp;"__wt",'SegEnds_Xtal_BW#'!$A:$Z,3,FALSE)</f>
        <v>24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37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18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9">
        <f>VLOOKUP($B67&amp;"__wt",'SegEnds_Xtal_BW#'!$A:$Z,15,FALSE)</f>
        <v>38</v>
      </c>
      <c r="P67" s="1">
        <f>VLOOKUP($B67&amp;"__wt",'SegEnds_Xtal_BW#'!$A:$Z,16,FALSE)</f>
        <v>64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INDEX('ICL3'!$G$2:$G$40,MATCH(MIN(ABS(AH67-'ICL3'!$F$2:$F$40)),ABS(AH67-'ICL3'!$F$2:$F$40),0))</f>
        <v>76</v>
      </c>
      <c r="U67" s="1">
        <v>20</v>
      </c>
      <c r="V67" s="1">
        <v>61</v>
      </c>
      <c r="W67" s="1">
        <v>31</v>
      </c>
      <c r="X67" s="1">
        <f>VLOOKUP($B67&amp;"__wt",'SegEnds_Xtal_BW#'!$A:$Z,24,FALSE)</f>
        <v>55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VLOOKUP(A67,'SegEnds_NonXtal_Prot#'!A:AL,10,FALSE)-VLOOKUP(A67,'SegEnds_NonXtal_Prot#'!A:AL,7,FALSE)</f>
        <v>15</v>
      </c>
      <c r="AC67" s="1">
        <f>VLOOKUP(A67,'SegEnds_NonXtal_Prot#'!A:AL,13,FALSE)-VLOOKUP(A67,'SegEnds_NonXtal_Prot#'!A:AL,10,FALSE)</f>
        <v>20</v>
      </c>
      <c r="AD67" s="1">
        <f>VLOOKUP(A67,'SegEnds_NonXtal_Prot#'!A:AL,16,FALSE)-VLOOKUP(A67,'SegEnds_NonXtal_Prot#'!A:AL,10,FALSE)</f>
        <v>52</v>
      </c>
      <c r="AE67" s="1">
        <f>VLOOKUP(A67,'SegEnds_NonXtal_Prot#'!A:AL,22,FALSE)-VLOOKUP(A67,'SegEnds_NonXtal_Prot#'!A:AL,19,FALSE)</f>
        <v>20</v>
      </c>
      <c r="AF67" s="1">
        <f>VLOOKUP(A67,'SegEnds_NonXtal_Prot#'!A:AL,28,FALSE)-VLOOKUP(A67,'SegEnds_NonXtal_Prot#'!A:AL,25,FALSE)</f>
        <v>20</v>
      </c>
      <c r="AG67" s="1">
        <f>VLOOKUP(A67,'SegEnds_NonXtal_Prot#'!A:AL,28,FALSE)-VLOOKUP(A67,'SegEnds_NonXtal_Prot#'!A:AL,22,FALSE)</f>
        <v>53</v>
      </c>
      <c r="AH67" s="1">
        <f>VLOOKUP(A67,'SegEnds_NonXtal_Prot#'!A:AL,31,FALSE)-VLOOKUP(A67,'SegEnds_NonXtal_Prot#'!A:AL,28,FALSE)</f>
        <v>86</v>
      </c>
      <c r="AI67" s="1">
        <f>VLOOKUP(A67,'SegEnds_NonXtal_Prot#'!A:AL,34,FALSE)-VLOOKUP(A67,'SegEnds_NonXtal_Prot#'!A:AL,31,FALSE)</f>
        <v>35</v>
      </c>
      <c r="AJ67" s="1" t="str">
        <f>IF(ISERROR(MATCH(A67,'SegEnds_Xtal_Prot#'!B:B, 0)), "NoXtal", "Xtal")</f>
        <v>Xtal</v>
      </c>
    </row>
    <row r="68" spans="1:36" x14ac:dyDescent="0.2">
      <c r="A68" s="1" t="s">
        <v>126</v>
      </c>
      <c r="B68" s="1" t="str">
        <f>VLOOKUP(A68,Xtal_Templ!A:B,2,FALSE)</f>
        <v>adrb2_human</v>
      </c>
      <c r="C68" s="5">
        <f>VLOOKUP($B68&amp;"__wt",'SegEnds_Xtal_BW#'!$A:$Z,3,FALSE)</f>
        <v>25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f>VLOOKUP($B68&amp;"__wt",'SegEnds_Xtal_BW#'!$A:$Z,9,FALSE)</f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f>VLOOKUP($B68&amp;"__wt",'SegEnds_Xtal_BW#'!$A:$Z,14,FALSE)</f>
        <v>57</v>
      </c>
      <c r="O68" s="89">
        <f>VLOOKUP($B68&amp;"__wt",'SegEnds_Xtal_BW#'!$A:$Z,15,FALSE)</f>
        <v>38</v>
      </c>
      <c r="P68" s="1">
        <f>VLOOKUP($B68&amp;"__wt",'SegEnds_Xtal_BW#'!$A:$Z,16,FALSE)</f>
        <v>64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v>35</v>
      </c>
      <c r="T68" s="1">
        <f t="array" ref="T68">INDEX('ICL3'!$G$2:$G$40,MATCH(MIN(ABS(AH68-'ICL3'!$F$2:$F$40)),ABS(AH68-'ICL3'!$F$2:$F$40),0))</f>
        <v>76</v>
      </c>
      <c r="U68" s="1">
        <f t="array" ref="U68">INDEX('ICL3'!$H$2:$H$40,MATCH(MIN(ABS(AH68-'ICL3'!$F$2:$F$40)),ABS(AH68-'ICL3'!$F$2:$F$40),0))</f>
        <v>24</v>
      </c>
      <c r="V68" s="1">
        <v>61</v>
      </c>
      <c r="W68" s="1">
        <v>31</v>
      </c>
      <c r="X68" s="1">
        <f>VLOOKUP($B68&amp;"__wt",'SegEnds_Xtal_BW#'!$A:$Z,24,FALSE)</f>
        <v>55</v>
      </c>
      <c r="Y68" s="1">
        <f>VLOOKUP($B68&amp;"__wt",'SegEnds_Xtal_BW#'!$A:$Z,25,FALSE)</f>
        <v>47</v>
      </c>
      <c r="Z68" s="1">
        <f>VLOOKUP($B68&amp;"__wt",'SegEnds_Xtal_BW#'!$A:$Z,26,FALSE)</f>
        <v>59</v>
      </c>
      <c r="AA68" s="27" t="str">
        <f>VLOOKUP(A68,Classification!A:B,2,FALSE)</f>
        <v>A</v>
      </c>
      <c r="AB68" s="1">
        <f>VLOOKUP(A68,'SegEnds_NonXtal_Prot#'!A:AL,10,FALSE)-VLOOKUP(A68,'SegEnds_NonXtal_Prot#'!A:AL,7,FALSE)</f>
        <v>15</v>
      </c>
      <c r="AC68" s="1">
        <f>VLOOKUP(A68,'SegEnds_NonXtal_Prot#'!A:AL,13,FALSE)-VLOOKUP(A68,'SegEnds_NonXtal_Prot#'!A:AL,10,FALSE)</f>
        <v>20</v>
      </c>
      <c r="AD68" s="1">
        <f>VLOOKUP(A68,'SegEnds_NonXtal_Prot#'!A:AL,16,FALSE)-VLOOKUP(A68,'SegEnds_NonXtal_Prot#'!A:AL,10,FALSE)</f>
        <v>52</v>
      </c>
      <c r="AE68" s="1">
        <f>VLOOKUP(A68,'SegEnds_NonXtal_Prot#'!A:AL,22,FALSE)-VLOOKUP(A68,'SegEnds_NonXtal_Prot#'!A:AL,19,FALSE)</f>
        <v>20</v>
      </c>
      <c r="AF68" s="1">
        <f>VLOOKUP(A68,'SegEnds_NonXtal_Prot#'!A:AL,28,FALSE)-VLOOKUP(A68,'SegEnds_NonXtal_Prot#'!A:AL,25,FALSE)</f>
        <v>20</v>
      </c>
      <c r="AG68" s="1">
        <f>VLOOKUP(A68,'SegEnds_NonXtal_Prot#'!A:AL,28,FALSE)-VLOOKUP(A68,'SegEnds_NonXtal_Prot#'!A:AL,22,FALSE)</f>
        <v>53</v>
      </c>
      <c r="AH68" s="1">
        <f>VLOOKUP(A68,'SegEnds_NonXtal_Prot#'!A:AL,31,FALSE)-VLOOKUP(A68,'SegEnds_NonXtal_Prot#'!A:AL,28,FALSE)</f>
        <v>77</v>
      </c>
      <c r="AI68" s="1">
        <f>VLOOKUP(A68,'SegEnds_NonXtal_Prot#'!A:AL,34,FALSE)-VLOOKUP(A68,'SegEnds_NonXtal_Prot#'!A:AL,31,FALSE)</f>
        <v>35</v>
      </c>
      <c r="AJ68" s="1" t="str">
        <f>IF(ISERROR(MATCH(A68,'SegEnds_Xtal_Prot#'!B:B, 0)), "NoXtal", "Xtal")</f>
        <v>Xtal</v>
      </c>
    </row>
    <row r="69" spans="1:36" x14ac:dyDescent="0.2">
      <c r="A69" s="1" t="s">
        <v>102</v>
      </c>
      <c r="B69" s="1" t="str">
        <f>VLOOKUP(A69,Xtal_Templ!A:B,2,FALSE)</f>
        <v>adrb2_human</v>
      </c>
      <c r="C69" s="5">
        <f>VLOOKUP($B69&amp;"__wt",'SegEnds_Xtal_BW#'!$A:$Z,3,FALSE)</f>
        <v>25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2">
        <f>VLOOKUP($B69&amp;"__wt",'SegEnds_Xtal_BW#'!$A:$Z,8,FALSE)</f>
        <v>67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9">
        <v>38</v>
      </c>
      <c r="P69" s="1">
        <f>VLOOKUP($B69&amp;"__wt",'SegEnds_Xtal_BW#'!$A:$Z,16,FALSE)</f>
        <v>64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INDEX('ICL3'!$G$2:$G$40,MATCH(MIN(ABS(AH69-'ICL3'!$F$2:$F$40)),ABS(AH69-'ICL3'!$F$2:$F$40),0))</f>
        <v>76</v>
      </c>
      <c r="U69" s="1">
        <f t="array" ref="U69">INDEX('ICL3'!$H$2:$H$40,MATCH(MIN(ABS(AH69-'ICL3'!$F$2:$F$40)),ABS(AH69-'ICL3'!$F$2:$F$40),0))</f>
        <v>24</v>
      </c>
      <c r="V69" s="1">
        <v>61</v>
      </c>
      <c r="W69" s="1">
        <v>31</v>
      </c>
      <c r="X69" s="6">
        <f>VLOOKUP($B69&amp;"__wt",'SegEnds_Xtal_BW#'!$A:$Z,24,FALSE)</f>
        <v>55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VLOOKUP(A69,'SegEnds_NonXtal_Prot#'!A:AL,10,FALSE)-VLOOKUP(A69,'SegEnds_NonXtal_Prot#'!A:AL,7,FALSE)</f>
        <v>15</v>
      </c>
      <c r="AC69" s="1">
        <f>VLOOKUP(A69,'SegEnds_NonXtal_Prot#'!A:AL,13,FALSE)-VLOOKUP(A69,'SegEnds_NonXtal_Prot#'!A:AL,10,FALSE)</f>
        <v>20</v>
      </c>
      <c r="AD69" s="1">
        <f>VLOOKUP(A69,'SegEnds_NonXtal_Prot#'!A:AL,16,FALSE)-VLOOKUP(A69,'SegEnds_NonXtal_Prot#'!A:AL,10,FALSE)</f>
        <v>52</v>
      </c>
      <c r="AE69" s="1">
        <f>VLOOKUP(A69,'SegEnds_NonXtal_Prot#'!A:AL,22,FALSE)-VLOOKUP(A69,'SegEnds_NonXtal_Prot#'!A:AL,19,FALSE)</f>
        <v>20</v>
      </c>
      <c r="AF69" s="1">
        <f>VLOOKUP(A69,'SegEnds_NonXtal_Prot#'!A:AL,28,FALSE)-VLOOKUP(A69,'SegEnds_NonXtal_Prot#'!A:AL,25,FALSE)</f>
        <v>20</v>
      </c>
      <c r="AG69" s="1">
        <f>VLOOKUP(A69,'SegEnds_NonXtal_Prot#'!A:AL,28,FALSE)-VLOOKUP(A69,'SegEnds_NonXtal_Prot#'!A:AL,22,FALSE)</f>
        <v>54</v>
      </c>
      <c r="AH69" s="1">
        <f>VLOOKUP(A69,'SegEnds_NonXtal_Prot#'!A:AL,31,FALSE)-VLOOKUP(A69,'SegEnds_NonXtal_Prot#'!A:AL,28,FALSE)</f>
        <v>91</v>
      </c>
      <c r="AI69" s="1">
        <f>VLOOKUP(A69,'SegEnds_NonXtal_Prot#'!A:AL,34,FALSE)-VLOOKUP(A69,'SegEnds_NonXtal_Prot#'!A:AL,31,FALSE)</f>
        <v>36</v>
      </c>
      <c r="AJ69" s="1" t="str">
        <f>IF(ISERROR(MATCH(A69,'SegEnds_Xtal_Prot#'!B:B, 0)), "NoXtal", "Xtal")</f>
        <v>NoXtal</v>
      </c>
    </row>
    <row r="70" spans="1:36" x14ac:dyDescent="0.2">
      <c r="A70" s="1" t="s">
        <v>158</v>
      </c>
      <c r="B70" s="1" t="str">
        <f>VLOOKUP(A70,Xtal_Templ!A:B,2,FALSE)</f>
        <v>agtr1_human</v>
      </c>
      <c r="C70" s="5">
        <f>VLOOKUP($B70&amp;"__wt",'SegEnds_Xtal_BW#'!$A:$Z,3,FALSE)</f>
        <v>30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66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9">
        <f>VLOOKUP($B70&amp;"__wt",'SegEnds_Xtal_BW#'!$A:$Z,15,FALSE)</f>
        <v>38</v>
      </c>
      <c r="P70" s="1">
        <f>VLOOKUP($B70&amp;"__wt",'SegEnds_Xtal_BW#'!$A:$Z,16,FALSE)</f>
        <v>64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f>VLOOKUP($B70&amp;"__wt",'SegEnds_Xtal_BW#'!$A:$Z,19,FALSE)</f>
        <v>34</v>
      </c>
      <c r="T70" s="1">
        <f t="array" ref="T70">INDEX('ICL3'!$G$2:$G$40,MATCH(MIN(ABS(AH70-'ICL3'!$F$2:$F$40)),ABS(AH70-'ICL3'!$F$2:$F$40),0))</f>
        <v>68</v>
      </c>
      <c r="U70" s="1">
        <f t="array" ref="U70">INDEX('ICL3'!$H$2:$H$40,MATCH(MIN(ABS(AH70-'ICL3'!$F$2:$F$40)),ABS(AH70-'ICL3'!$F$2:$F$40),0))</f>
        <v>24</v>
      </c>
      <c r="V70" s="1">
        <v>64</v>
      </c>
      <c r="W70" s="1">
        <v>24</v>
      </c>
      <c r="X70" s="6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61</v>
      </c>
      <c r="AA70" s="27" t="str">
        <f>VLOOKUP(A70,Classification!A:B,2,FALSE)</f>
        <v>A</v>
      </c>
      <c r="AB70" s="1">
        <f>VLOOKUP(A70,'SegEnds_NonXtal_Prot#'!A:AL,10,FALSE)-VLOOKUP(A70,'SegEnds_NonXtal_Prot#'!A:AL,7,FALSE)</f>
        <v>15</v>
      </c>
      <c r="AC70" s="1">
        <f>VLOOKUP(A70,'SegEnds_NonXtal_Prot#'!A:AL,13,FALSE)-VLOOKUP(A70,'SegEnds_NonXtal_Prot#'!A:AL,10,FALSE)</f>
        <v>20</v>
      </c>
      <c r="AD70" s="1">
        <f>VLOOKUP(A70,'SegEnds_NonXtal_Prot#'!A:AL,16,FALSE)-VLOOKUP(A70,'SegEnds_NonXtal_Prot#'!A:AL,10,FALSE)</f>
        <v>52</v>
      </c>
      <c r="AE70" s="1">
        <f>VLOOKUP(A70,'SegEnds_NonXtal_Prot#'!A:AL,22,FALSE)-VLOOKUP(A70,'SegEnds_NonXtal_Prot#'!A:AL,19,FALSE)</f>
        <v>20</v>
      </c>
      <c r="AF70" s="1">
        <f>VLOOKUP(A70,'SegEnds_NonXtal_Prot#'!A:AL,28,FALSE)-VLOOKUP(A70,'SegEnds_NonXtal_Prot#'!A:AL,25,FALSE)</f>
        <v>27</v>
      </c>
      <c r="AG70" s="1">
        <f>VLOOKUP(A70,'SegEnds_NonXtal_Prot#'!A:AL,28,FALSE)-VLOOKUP(A70,'SegEnds_NonXtal_Prot#'!A:AL,22,FALSE)</f>
        <v>54</v>
      </c>
      <c r="AH70" s="1">
        <f>VLOOKUP(A70,'SegEnds_NonXtal_Prot#'!A:AL,31,FALSE)-VLOOKUP(A70,'SegEnds_NonXtal_Prot#'!A:AL,28,FALSE)</f>
        <v>48</v>
      </c>
      <c r="AI70" s="1">
        <f>VLOOKUP(A70,'SegEnds_NonXtal_Prot#'!A:AL,34,FALSE)-VLOOKUP(A70,'SegEnds_NonXtal_Prot#'!A:AL,31,FALSE)</f>
        <v>44</v>
      </c>
      <c r="AJ70" s="1" t="str">
        <f>IF(ISERROR(MATCH(A70,'SegEnds_Xtal_Prot#'!B:B, 0)), "NoXtal", "Xtal")</f>
        <v>Xtal</v>
      </c>
    </row>
    <row r="71" spans="1:36" x14ac:dyDescent="0.2">
      <c r="A71" s="1" t="s">
        <v>160</v>
      </c>
      <c r="B71" s="1" t="str">
        <f>VLOOKUP(A71,Xtal_Templ!A:B,2,FALSE)</f>
        <v>apj_human</v>
      </c>
      <c r="C71" s="5">
        <f>VLOOKUP($B71&amp;"__wt",'SegEnds_Xtal_BW#'!$A:$Z,3,FALSE)</f>
        <v>33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52</v>
      </c>
      <c r="G71" s="1">
        <v>37</v>
      </c>
      <c r="H71" s="12">
        <f>VLOOKUP($B71&amp;"__wt",'SegEnds_Xtal_BW#'!$A:$Z,8,FALSE)</f>
        <v>67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9">
        <v>38</v>
      </c>
      <c r="P71" s="1">
        <f>VLOOKUP($B71&amp;"__wt",'SegEnds_Xtal_BW#'!$A:$Z,16,FALSE)</f>
        <v>64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f>VLOOKUP($B71&amp;"__wt",'SegEnds_Xtal_BW#'!$A:$Z,19,FALSE)</f>
        <v>30</v>
      </c>
      <c r="T71" s="1">
        <f t="array" ref="T71">INDEX('ICL3'!$G$2:$G$40,MATCH(MIN(ABS(AH71-'ICL3'!$F$2:$F$40)),ABS(AH71-'ICL3'!$F$2:$F$40),0))</f>
        <v>72</v>
      </c>
      <c r="U71" s="1">
        <f t="array" ref="U71">INDEX('ICL3'!$H$2:$H$40,MATCH(MIN(ABS(AH71-'ICL3'!$F$2:$F$40)),ABS(AH71-'ICL3'!$F$2:$F$40),0))</f>
        <v>29</v>
      </c>
      <c r="V71" s="111">
        <v>63</v>
      </c>
      <c r="W71" s="1">
        <v>24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61</v>
      </c>
      <c r="AA71" s="27" t="str">
        <f>VLOOKUP(A71,Classification!A:B,2,FALSE)</f>
        <v>A</v>
      </c>
      <c r="AB71" s="1">
        <f>VLOOKUP(A71,'SegEnds_NonXtal_Prot#'!A:AL,10,FALSE)-VLOOKUP(A71,'SegEnds_NonXtal_Prot#'!A:AL,7,FALSE)</f>
        <v>16</v>
      </c>
      <c r="AC71" s="1">
        <f>VLOOKUP(A71,'SegEnds_NonXtal_Prot#'!A:AL,13,FALSE)-VLOOKUP(A71,'SegEnds_NonXtal_Prot#'!A:AL,10,FALSE)</f>
        <v>20</v>
      </c>
      <c r="AD71" s="1">
        <f>VLOOKUP(A71,'SegEnds_NonXtal_Prot#'!A:AL,16,FALSE)-VLOOKUP(A71,'SegEnds_NonXtal_Prot#'!A:AL,10,FALSE)</f>
        <v>52</v>
      </c>
      <c r="AE71" s="1">
        <f>VLOOKUP(A71,'SegEnds_NonXtal_Prot#'!A:AL,22,FALSE)-VLOOKUP(A71,'SegEnds_NonXtal_Prot#'!A:AL,19,FALSE)</f>
        <v>20</v>
      </c>
      <c r="AF71" s="1">
        <f>VLOOKUP(A71,'SegEnds_NonXtal_Prot#'!A:AL,28,FALSE)-VLOOKUP(A71,'SegEnds_NonXtal_Prot#'!A:AL,25,FALSE)</f>
        <v>32</v>
      </c>
      <c r="AG71" s="1">
        <f>VLOOKUP(A71,'SegEnds_NonXtal_Prot#'!A:AL,28,FALSE)-VLOOKUP(A71,'SegEnds_NonXtal_Prot#'!A:AL,22,FALSE)</f>
        <v>59</v>
      </c>
      <c r="AH71" s="1">
        <f>VLOOKUP(A71,'SegEnds_NonXtal_Prot#'!A:AL,31,FALSE)-VLOOKUP(A71,'SegEnds_NonXtal_Prot#'!A:AL,28,FALSE)</f>
        <v>50</v>
      </c>
      <c r="AI71" s="1">
        <f>VLOOKUP(A71,'SegEnds_NonXtal_Prot#'!A:AL,34,FALSE)-VLOOKUP(A71,'SegEnds_NonXtal_Prot#'!A:AL,31,FALSE)</f>
        <v>43</v>
      </c>
      <c r="AJ71" s="1" t="str">
        <f>IF(ISERROR(MATCH(A71,'SegEnds_Xtal_Prot#'!B:B, 0)), "NoXtal", "Xtal")</f>
        <v>Xtal</v>
      </c>
    </row>
    <row r="72" spans="1:36" x14ac:dyDescent="0.2">
      <c r="A72" s="1" t="s">
        <v>161</v>
      </c>
      <c r="B72" s="1" t="str">
        <f>VLOOKUP(A72,Xtal_Templ!A:B,2,FALSE)</f>
        <v>agtr1_human</v>
      </c>
      <c r="C72" s="5">
        <f>VLOOKUP($B72&amp;"__wt",'SegEnds_Xtal_BW#'!$A:$Z,3,FALSE)</f>
        <v>30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66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57</v>
      </c>
      <c r="O72" s="89"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34</v>
      </c>
      <c r="T72" s="1">
        <f t="array" ref="T72">INDEX('ICL3'!$G$2:$G$40,MATCH(MIN(ABS(AH72-'ICL3'!$F$2:$F$40)),ABS(AH72-'ICL3'!$F$2:$F$40),0))</f>
        <v>68</v>
      </c>
      <c r="U72" s="1">
        <f t="array" ref="U72">INDEX('ICL3'!$H$2:$H$40,MATCH(MIN(ABS(AH72-'ICL3'!$F$2:$F$40)),ABS(AH72-'ICL3'!$F$2:$F$40),0))</f>
        <v>23</v>
      </c>
      <c r="V72" s="1">
        <v>64</v>
      </c>
      <c r="W72" s="1">
        <v>24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61</v>
      </c>
      <c r="AA72" s="27" t="str">
        <f>VLOOKUP(A72,Classification!A:B,2,FALSE)</f>
        <v>A</v>
      </c>
      <c r="AB72" s="1">
        <f>VLOOKUP(A72,'SegEnds_NonXtal_Prot#'!A:AL,10,FALSE)-VLOOKUP(A72,'SegEnds_NonXtal_Prot#'!A:AL,7,FALSE)</f>
        <v>15</v>
      </c>
      <c r="AC72" s="1">
        <f>VLOOKUP(A72,'SegEnds_NonXtal_Prot#'!A:AL,13,FALSE)-VLOOKUP(A72,'SegEnds_NonXtal_Prot#'!A:AL,10,FALSE)</f>
        <v>20</v>
      </c>
      <c r="AD72" s="1">
        <f>VLOOKUP(A72,'SegEnds_NonXtal_Prot#'!A:AL,16,FALSE)-VLOOKUP(A72,'SegEnds_NonXtal_Prot#'!A:AL,10,FALSE)</f>
        <v>52</v>
      </c>
      <c r="AE72" s="1">
        <f>VLOOKUP(A72,'SegEnds_NonXtal_Prot#'!A:AL,22,FALSE)-VLOOKUP(A72,'SegEnds_NonXtal_Prot#'!A:AL,19,FALSE)</f>
        <v>20</v>
      </c>
      <c r="AF72" s="1">
        <f>VLOOKUP(A72,'SegEnds_NonXtal_Prot#'!A:AL,28,FALSE)-VLOOKUP(A72,'SegEnds_NonXtal_Prot#'!A:AL,25,FALSE)</f>
        <v>25</v>
      </c>
      <c r="AG72" s="1">
        <f>VLOOKUP(A72,'SegEnds_NonXtal_Prot#'!A:AL,28,FALSE)-VLOOKUP(A72,'SegEnds_NonXtal_Prot#'!A:AL,22,FALSE)</f>
        <v>52</v>
      </c>
      <c r="AH72" s="1">
        <f>VLOOKUP(A72,'SegEnds_NonXtal_Prot#'!A:AL,31,FALSE)-VLOOKUP(A72,'SegEnds_NonXtal_Prot#'!A:AL,28,FALSE)</f>
        <v>51</v>
      </c>
      <c r="AI72" s="1">
        <f>VLOOKUP(A72,'SegEnds_NonXtal_Prot#'!A:AL,34,FALSE)-VLOOKUP(A72,'SegEnds_NonXtal_Prot#'!A:AL,31,FALSE)</f>
        <v>44</v>
      </c>
      <c r="AJ72" s="1" t="str">
        <f>IF(ISERROR(MATCH(A72,'SegEnds_Xtal_Prot#'!B:B, 0)), "NoXtal", "Xtal")</f>
        <v>NoXtal</v>
      </c>
    </row>
    <row r="73" spans="1:36" x14ac:dyDescent="0.2">
      <c r="A73" s="1" t="s">
        <v>162</v>
      </c>
      <c r="B73" s="1" t="str">
        <f>VLOOKUP(A73,Xtal_Templ!A:B,2,FALSE)</f>
        <v>agtr2_human</v>
      </c>
      <c r="C73" s="5">
        <f>VLOOKUP($B73&amp;"__wt",'SegEnds_Xtal_BW#'!$A:$Z,3,FALSE)</f>
        <v>33</v>
      </c>
      <c r="D73" s="1">
        <f>VLOOKUP($B73&amp;"__wt",'SegEnds_Xtal_BW#'!$A:$Z,4,FALSE)</f>
        <v>60</v>
      </c>
      <c r="E73" s="1" t="str">
        <f>VLOOKUP($B73&amp;"__wt",'SegEnds_Xtal_BW#'!$A:$Z,5,FALSE)</f>
        <v>-</v>
      </c>
      <c r="F73" s="1" t="str">
        <f>VLOOKUP($B73&amp;"__wt",'SegEnds_Xtal_BW#'!$A:$Z,6,FALSE)</f>
        <v>-</v>
      </c>
      <c r="G73" s="1">
        <v>37</v>
      </c>
      <c r="H73" s="12">
        <f>VLOOKUP($B73&amp;"__wt",'SegEnds_Xtal_BW#'!$A:$Z,8,FALSE)</f>
        <v>66</v>
      </c>
      <c r="I73" s="1">
        <f>VLOOKUP($B73&amp;"__wt",'SegEnds_Xtal_BW#'!$A:$Z,9,FALSE)</f>
        <v>47</v>
      </c>
      <c r="J73" s="1">
        <f>VLOOKUP($B73&amp;"__wt",'SegEnds_Xtal_BW#'!$A:$Z,10,FALSE)</f>
        <v>52</v>
      </c>
      <c r="K73" s="12">
        <v>18</v>
      </c>
      <c r="L73" s="1">
        <f>VLOOKUP($B73&amp;"__wt",'SegEnds_Xtal_BW#'!$A:$Z,12,FALSE)</f>
        <v>56</v>
      </c>
      <c r="M73" s="111">
        <v>50</v>
      </c>
      <c r="N73" s="12">
        <v>57</v>
      </c>
      <c r="O73" s="89">
        <f>VLOOKUP($B73&amp;"__wt",'SegEnds_Xtal_BW#'!$A:$Z,15,FALSE)</f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INDEX('ICL3'!$G$2:$G$40,MATCH(MIN(ABS(AH73-'ICL3'!$F$2:$F$40)),ABS(AH73-'ICL3'!$F$2:$F$40),0))</f>
        <v>68</v>
      </c>
      <c r="U73" s="1">
        <f t="array" ref="U73">INDEX('ICL3'!$H$2:$H$40,MATCH(MIN(ABS(AH73-'ICL3'!$F$2:$F$40)),ABS(AH73-'ICL3'!$F$2:$F$40),0))</f>
        <v>24</v>
      </c>
      <c r="V73" s="1">
        <v>64</v>
      </c>
      <c r="W73" s="1">
        <v>24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61</v>
      </c>
      <c r="AA73" s="27" t="str">
        <f>VLOOKUP(A73,Classification!A:B,2,FALSE)</f>
        <v>A</v>
      </c>
      <c r="AB73" s="1">
        <f>VLOOKUP(A73,'SegEnds_NonXtal_Prot#'!A:AL,10,FALSE)-VLOOKUP(A73,'SegEnds_NonXtal_Prot#'!A:AL,7,FALSE)</f>
        <v>15</v>
      </c>
      <c r="AC73" s="1">
        <f>VLOOKUP(A73,'SegEnds_NonXtal_Prot#'!A:AL,13,FALSE)-VLOOKUP(A73,'SegEnds_NonXtal_Prot#'!A:AL,10,FALSE)</f>
        <v>20</v>
      </c>
      <c r="AD73" s="1">
        <f>VLOOKUP(A73,'SegEnds_NonXtal_Prot#'!A:AL,16,FALSE)-VLOOKUP(A73,'SegEnds_NonXtal_Prot#'!A:AL,10,FALSE)</f>
        <v>52</v>
      </c>
      <c r="AE73" s="1">
        <f>VLOOKUP(A73,'SegEnds_NonXtal_Prot#'!A:AL,22,FALSE)-VLOOKUP(A73,'SegEnds_NonXtal_Prot#'!A:AL,19,FALSE)</f>
        <v>20</v>
      </c>
      <c r="AF73" s="1">
        <f>VLOOKUP(A73,'SegEnds_NonXtal_Prot#'!A:AL,28,FALSE)-VLOOKUP(A73,'SegEnds_NonXtal_Prot#'!A:AL,25,FALSE)</f>
        <v>25</v>
      </c>
      <c r="AG73" s="1">
        <f>VLOOKUP(A73,'SegEnds_NonXtal_Prot#'!A:AL,28,FALSE)-VLOOKUP(A73,'SegEnds_NonXtal_Prot#'!A:AL,22,FALSE)</f>
        <v>54</v>
      </c>
      <c r="AH73" s="1">
        <f>VLOOKUP(A73,'SegEnds_NonXtal_Prot#'!A:AL,31,FALSE)-VLOOKUP(A73,'SegEnds_NonXtal_Prot#'!A:AL,28,FALSE)</f>
        <v>49</v>
      </c>
      <c r="AI73" s="1">
        <f>VLOOKUP(A73,'SegEnds_NonXtal_Prot#'!A:AL,34,FALSE)-VLOOKUP(A73,'SegEnds_NonXtal_Prot#'!A:AL,31,FALSE)</f>
        <v>44</v>
      </c>
      <c r="AJ73" s="1" t="str">
        <f>IF(ISERROR(MATCH(A73,'SegEnds_Xtal_Prot#'!B:B, 0)), "NoXtal", "Xtal")</f>
        <v>NoXtal</v>
      </c>
    </row>
    <row r="74" spans="1:36" x14ac:dyDescent="0.2">
      <c r="A74" s="1" t="s">
        <v>163</v>
      </c>
      <c r="B74" s="1" t="str">
        <f>VLOOKUP(A74,Xtal_Templ!A:B,2,FALSE)</f>
        <v>ednrb_human</v>
      </c>
      <c r="C74" s="5">
        <f>VLOOKUP($B74&amp;"__wt",'SegEnds_Xtal_BW#'!$A:$Z,3,FALSE)</f>
        <v>22</v>
      </c>
      <c r="D74" s="1">
        <f>VLOOKUP($B74&amp;"__wt",'SegEnds_Xtal_BW#'!$A:$Z,4,FALSE)</f>
        <v>60</v>
      </c>
      <c r="E74" s="1">
        <f>VLOOKUP($B74&amp;"__wt",'SegEnds_Xtal_BW#'!$A:$Z,5,FALSE)</f>
        <v>48</v>
      </c>
      <c r="F74" s="1">
        <f>VLOOKUP($B74&amp;"__wt",'SegEnds_Xtal_BW#'!$A:$Z,6,FALSE)</f>
        <v>52</v>
      </c>
      <c r="G74" s="1">
        <v>37</v>
      </c>
      <c r="H74" s="12">
        <f>VLOOKUP($B74&amp;"__wt",'SegEnds_Xtal_BW#'!$A:$Z,8,FALSE)</f>
        <v>67</v>
      </c>
      <c r="I74" s="1">
        <f>VLOOKUP($B74&amp;"__wt",'SegEnds_Xtal_BW#'!$A:$Z,9,FALSE)</f>
        <v>49</v>
      </c>
      <c r="J74" s="1">
        <f>VLOOKUP($B74&amp;"__wt",'SegEnds_Xtal_BW#'!$A:$Z,10,FALSE)</f>
        <v>52</v>
      </c>
      <c r="K74" s="12">
        <v>18</v>
      </c>
      <c r="L74" s="1">
        <f>VLOOKUP($B74&amp;"__wt",'SegEnds_Xtal_BW#'!$A:$Z,12,FALSE)</f>
        <v>56</v>
      </c>
      <c r="M74" s="1">
        <f>VLOOKUP($B74&amp;"__wt",'SegEnds_Xtal_BW#'!$A:$Z,13,FALSE)</f>
        <v>50</v>
      </c>
      <c r="N74" s="12">
        <v>57</v>
      </c>
      <c r="O74" s="89">
        <v>38</v>
      </c>
      <c r="P74" s="1">
        <f>VLOOKUP($B74&amp;"__wt",'SegEnds_Xtal_BW#'!$A:$Z,16,FALSE)</f>
        <v>64</v>
      </c>
      <c r="Q74" s="1">
        <f>VLOOKUP($B74&amp;"__wt",'SegEnds_Xtal_BW#'!$A:$Z,17,FALSE)</f>
        <v>50</v>
      </c>
      <c r="R74" s="1">
        <f>VLOOKUP($B74&amp;"__wt",'SegEnds_Xtal_BW#'!$A:$Z,18,FALSE)</f>
        <v>52</v>
      </c>
      <c r="S74" s="1">
        <f>VLOOKUP($B74&amp;"__wt",'SegEnds_Xtal_BW#'!$A:$Z,19,FALSE)</f>
        <v>29</v>
      </c>
      <c r="T74" s="1">
        <f t="array" ref="T74">INDEX('ICL3'!$G$2:$G$40,MATCH(MIN(ABS(AH74-'ICL3'!$F$2:$F$40)),ABS(AH74-'ICL3'!$F$2:$F$40),0))</f>
        <v>72</v>
      </c>
      <c r="U74" s="1">
        <f t="array" ref="U74">INDEX('ICL3'!$H$2:$H$40,MATCH(MIN(ABS(AH74-'ICL3'!$F$2:$F$40)),ABS(AH74-'ICL3'!$F$2:$F$40),0))</f>
        <v>24</v>
      </c>
      <c r="V74" s="1">
        <v>61</v>
      </c>
      <c r="W74" s="1">
        <v>28</v>
      </c>
      <c r="X74" s="1">
        <f>VLOOKUP($B74&amp;"__wt",'SegEnds_Xtal_BW#'!$A:$Z,24,FALSE)</f>
        <v>56</v>
      </c>
      <c r="Y74" s="1">
        <f>VLOOKUP($B74&amp;"__wt",'SegEnds_Xtal_BW#'!$A:$Z,25,FALSE)</f>
        <v>47</v>
      </c>
      <c r="Z74" s="1">
        <f>VLOOKUP($B74&amp;"__wt",'SegEnds_Xtal_BW#'!$A:$Z,26,FALSE)</f>
        <v>60</v>
      </c>
      <c r="AA74" s="27" t="str">
        <f>VLOOKUP(A74,Classification!A:B,2,FALSE)</f>
        <v>A</v>
      </c>
      <c r="AB74" s="1">
        <f>VLOOKUP(A74,'SegEnds_NonXtal_Prot#'!A:AL,10,FALSE)-VLOOKUP(A74,'SegEnds_NonXtal_Prot#'!A:AL,7,FALSE)</f>
        <v>15</v>
      </c>
      <c r="AC74" s="1">
        <f>VLOOKUP(A74,'SegEnds_NonXtal_Prot#'!A:AL,13,FALSE)-VLOOKUP(A74,'SegEnds_NonXtal_Prot#'!A:AL,10,FALSE)</f>
        <v>20</v>
      </c>
      <c r="AD74" s="1">
        <f>VLOOKUP(A74,'SegEnds_NonXtal_Prot#'!A:AL,16,FALSE)-VLOOKUP(A74,'SegEnds_NonXtal_Prot#'!A:AL,10,FALSE)</f>
        <v>52</v>
      </c>
      <c r="AE74" s="1">
        <f>VLOOKUP(A74,'SegEnds_NonXtal_Prot#'!A:AL,22,FALSE)-VLOOKUP(A74,'SegEnds_NonXtal_Prot#'!A:AL,19,FALSE)</f>
        <v>20</v>
      </c>
      <c r="AF74" s="1">
        <f>VLOOKUP(A74,'SegEnds_NonXtal_Prot#'!A:AL,28,FALSE)-VLOOKUP(A74,'SegEnds_NonXtal_Prot#'!A:AL,25,FALSE)</f>
        <v>26</v>
      </c>
      <c r="AG74" s="1">
        <f>VLOOKUP(A74,'SegEnds_NonXtal_Prot#'!A:AL,28,FALSE)-VLOOKUP(A74,'SegEnds_NonXtal_Prot#'!A:AL,22,FALSE)</f>
        <v>57</v>
      </c>
      <c r="AH74" s="1">
        <f>VLOOKUP(A74,'SegEnds_NonXtal_Prot#'!A:AL,31,FALSE)-VLOOKUP(A74,'SegEnds_NonXtal_Prot#'!A:AL,28,FALSE)</f>
        <v>57</v>
      </c>
      <c r="AI74" s="1">
        <f>VLOOKUP(A74,'SegEnds_NonXtal_Prot#'!A:AL,34,FALSE)-VLOOKUP(A74,'SegEnds_NonXtal_Prot#'!A:AL,31,FALSE)</f>
        <v>41</v>
      </c>
      <c r="AJ74" s="1" t="str">
        <f>IF(ISERROR(MATCH(A74,'SegEnds_Xtal_Prot#'!B:B, 0)), "NoXtal", "Xtal")</f>
        <v>NoXtal</v>
      </c>
    </row>
    <row r="75" spans="1:36" x14ac:dyDescent="0.2">
      <c r="A75" s="1" t="s">
        <v>164</v>
      </c>
      <c r="B75" s="1" t="str">
        <f>VLOOKUP(A75,Xtal_Templ!A:B,2,FALSE)</f>
        <v>agtr1_human</v>
      </c>
      <c r="C75" s="5">
        <f>VLOOKUP($B75&amp;"__wt",'SegEnds_Xtal_BW#'!$A:$Z,3,FALSE)</f>
        <v>30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66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18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57</v>
      </c>
      <c r="O75" s="89">
        <v>38</v>
      </c>
      <c r="P75" s="1">
        <f>VLOOKUP($B75&amp;"__wt",'SegEnds_Xtal_BW#'!$A:$Z,16,FALSE)</f>
        <v>64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f>VLOOKUP($B75&amp;"__wt",'SegEnds_Xtal_BW#'!$A:$Z,19,FALSE)</f>
        <v>34</v>
      </c>
      <c r="T75" s="1">
        <f t="array" ref="T75">INDEX('ICL3'!$G$2:$G$40,MATCH(MIN(ABS(AH75-'ICL3'!$F$2:$F$40)),ABS(AH75-'ICL3'!$F$2:$F$40),0))</f>
        <v>68</v>
      </c>
      <c r="U75" s="1">
        <f t="array" ref="U75">INDEX('ICL3'!$H$2:$H$40,MATCH(MIN(ABS(AH75-'ICL3'!$F$2:$F$40)),ABS(AH75-'ICL3'!$F$2:$F$40),0))</f>
        <v>28</v>
      </c>
      <c r="V75" s="1">
        <v>61</v>
      </c>
      <c r="W75" s="1">
        <v>28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61</v>
      </c>
      <c r="AA75" s="27" t="str">
        <f>VLOOKUP(A75,Classification!A:B,2,FALSE)</f>
        <v>A</v>
      </c>
      <c r="AB75" s="1" t="e">
        <f>VLOOKUP(A75,'SegEnds_NonXtal_Prot#'!A:AL,10,FALSE)-VLOOKUP(A75,'SegEnds_NonXtal_Prot#'!A:AL,7,FALSE)</f>
        <v>#VALUE!</v>
      </c>
      <c r="AC75" s="1">
        <f>VLOOKUP(A75,'SegEnds_NonXtal_Prot#'!A:AL,13,FALSE)-VLOOKUP(A75,'SegEnds_NonXtal_Prot#'!A:AL,10,FALSE)</f>
        <v>20</v>
      </c>
      <c r="AD75" s="1">
        <f>VLOOKUP(A75,'SegEnds_NonXtal_Prot#'!A:AL,16,FALSE)-VLOOKUP(A75,'SegEnds_NonXtal_Prot#'!A:AL,10,FALSE)</f>
        <v>52</v>
      </c>
      <c r="AE75" s="1">
        <f>VLOOKUP(A75,'SegEnds_NonXtal_Prot#'!A:AL,22,FALSE)-VLOOKUP(A75,'SegEnds_NonXtal_Prot#'!A:AL,19,FALSE)</f>
        <v>20</v>
      </c>
      <c r="AF75" s="1">
        <f>VLOOKUP(A75,'SegEnds_NonXtal_Prot#'!A:AL,28,FALSE)-VLOOKUP(A75,'SegEnds_NonXtal_Prot#'!A:AL,25,FALSE)</f>
        <v>176</v>
      </c>
      <c r="AG75" s="1">
        <f>VLOOKUP(A75,'SegEnds_NonXtal_Prot#'!A:AL,28,FALSE)-VLOOKUP(A75,'SegEnds_NonXtal_Prot#'!A:AL,22,FALSE)</f>
        <v>201</v>
      </c>
      <c r="AH75" s="1">
        <f>VLOOKUP(A75,'SegEnds_NonXtal_Prot#'!A:AL,31,FALSE)-VLOOKUP(A75,'SegEnds_NonXtal_Prot#'!A:AL,28,FALSE)</f>
        <v>44</v>
      </c>
      <c r="AI75" s="1">
        <f>VLOOKUP(A75,'SegEnds_NonXtal_Prot#'!A:AL,34,FALSE)-VLOOKUP(A75,'SegEnds_NonXtal_Prot#'!A:AL,31,FALSE)</f>
        <v>40</v>
      </c>
      <c r="AJ75" s="1" t="str">
        <f>IF(ISERROR(MATCH(A75,'SegEnds_Xtal_Prot#'!B:B, 0)), "NoXtal", "Xtal")</f>
        <v>NoXtal</v>
      </c>
    </row>
    <row r="76" spans="1:36" x14ac:dyDescent="0.2">
      <c r="A76" s="1" t="s">
        <v>165</v>
      </c>
      <c r="B76" s="1" t="str">
        <f>VLOOKUP(A76,Xtal_Templ!A:B,2,FALSE)</f>
        <v>agtr1_human</v>
      </c>
      <c r="C76" s="5">
        <f>VLOOKUP($B76&amp;"__wt",'SegEnds_Xtal_BW#'!$A:$Z,3,FALSE)</f>
        <v>30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66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57</v>
      </c>
      <c r="O76" s="89"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f>VLOOKUP($B76&amp;"__wt",'SegEnds_Xtal_BW#'!$A:$Z,19,FALSE)</f>
        <v>34</v>
      </c>
      <c r="T76" s="1">
        <f t="array" ref="T76">INDEX('ICL3'!$G$2:$G$40,MATCH(MIN(ABS(AH76-'ICL3'!$F$2:$F$40)),ABS(AH76-'ICL3'!$F$2:$F$40),0))</f>
        <v>68</v>
      </c>
      <c r="U76" s="1">
        <f t="array" ref="U76">INDEX('ICL3'!$H$2:$H$40,MATCH(MIN(ABS(AH76-'ICL3'!$F$2:$F$40)),ABS(AH76-'ICL3'!$F$2:$F$40),0))</f>
        <v>30</v>
      </c>
      <c r="V76" s="1">
        <v>61</v>
      </c>
      <c r="W76" s="1">
        <v>28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61</v>
      </c>
      <c r="AA76" s="27" t="str">
        <f>VLOOKUP(A76,Classification!A:B,2,FALSE)</f>
        <v>A</v>
      </c>
      <c r="AB76" s="1" t="e">
        <f>VLOOKUP(A76,'SegEnds_NonXtal_Prot#'!A:AL,10,FALSE)-VLOOKUP(A76,'SegEnds_NonXtal_Prot#'!A:AL,7,FALSE)</f>
        <v>#VALUE!</v>
      </c>
      <c r="AC76" s="1">
        <f>VLOOKUP(A76,'SegEnds_NonXtal_Prot#'!A:AL,13,FALSE)-VLOOKUP(A76,'SegEnds_NonXtal_Prot#'!A:AL,10,FALSE)</f>
        <v>20</v>
      </c>
      <c r="AD76" s="1">
        <f>VLOOKUP(A76,'SegEnds_NonXtal_Prot#'!A:AL,16,FALSE)-VLOOKUP(A76,'SegEnds_NonXtal_Prot#'!A:AL,10,FALSE)</f>
        <v>52</v>
      </c>
      <c r="AE76" s="1">
        <f>VLOOKUP(A76,'SegEnds_NonXtal_Prot#'!A:AL,22,FALSE)-VLOOKUP(A76,'SegEnds_NonXtal_Prot#'!A:AL,19,FALSE)</f>
        <v>20</v>
      </c>
      <c r="AF76" s="1">
        <f>VLOOKUP(A76,'SegEnds_NonXtal_Prot#'!A:AL,28,FALSE)-VLOOKUP(A76,'SegEnds_NonXtal_Prot#'!A:AL,25,FALSE)</f>
        <v>26</v>
      </c>
      <c r="AG76" s="1">
        <f>VLOOKUP(A76,'SegEnds_NonXtal_Prot#'!A:AL,28,FALSE)-VLOOKUP(A76,'SegEnds_NonXtal_Prot#'!A:AL,22,FALSE)</f>
        <v>53</v>
      </c>
      <c r="AH76" s="1">
        <f>VLOOKUP(A76,'SegEnds_NonXtal_Prot#'!A:AL,31,FALSE)-VLOOKUP(A76,'SegEnds_NonXtal_Prot#'!A:AL,28,FALSE)</f>
        <v>43</v>
      </c>
      <c r="AI76" s="1">
        <f>VLOOKUP(A76,'SegEnds_NonXtal_Prot#'!A:AL,34,FALSE)-VLOOKUP(A76,'SegEnds_NonXtal_Prot#'!A:AL,31,FALSE)</f>
        <v>40</v>
      </c>
      <c r="AJ76" s="1" t="str">
        <f>IF(ISERROR(MATCH(A76,'SegEnds_Xtal_Prot#'!B:B, 0)), "NoXtal", "Xtal")</f>
        <v>NoXtal</v>
      </c>
    </row>
    <row r="77" spans="1:36" x14ac:dyDescent="0.2">
      <c r="A77" s="1" t="s">
        <v>166</v>
      </c>
      <c r="B77" s="1" t="str">
        <f>VLOOKUP(A77,Xtal_Templ!A:B,2,FALSE)</f>
        <v>agtr1_human</v>
      </c>
      <c r="C77" s="5">
        <f>VLOOKUP($B77&amp;"__wt",'SegEnds_Xtal_BW#'!$A:$Z,3,FALSE)</f>
        <v>30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9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INDEX('ICL3'!$G$2:$G$40,MATCH(MIN(ABS(AH77-'ICL3'!$F$2:$F$40)),ABS(AH77-'ICL3'!$F$2:$F$40),0))</f>
        <v>64</v>
      </c>
      <c r="U77" s="1">
        <f t="array" ref="U77">INDEX('ICL3'!$H$2:$H$31,MATCH(MIN(ABS(AH77-'ICL3'!$F$2:$F$31)),ABS(AH77-'ICL3'!$F$2:$F$31),0))</f>
        <v>34</v>
      </c>
      <c r="V77" s="1">
        <v>61</v>
      </c>
      <c r="W77" s="1">
        <v>28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 t="e">
        <f>VLOOKUP(A77,'SegEnds_NonXtal_Prot#'!A:AL,10,FALSE)-VLOOKUP(A77,'SegEnds_NonXtal_Prot#'!A:AL,7,FALSE)</f>
        <v>#VALUE!</v>
      </c>
      <c r="AC77" s="1">
        <f>VLOOKUP(A77,'SegEnds_NonXtal_Prot#'!A:AL,13,FALSE)-VLOOKUP(A77,'SegEnds_NonXtal_Prot#'!A:AL,10,FALSE)</f>
        <v>20</v>
      </c>
      <c r="AD77" s="1">
        <f>VLOOKUP(A77,'SegEnds_NonXtal_Prot#'!A:AL,16,FALSE)-VLOOKUP(A77,'SegEnds_NonXtal_Prot#'!A:AL,10,FALSE)</f>
        <v>52</v>
      </c>
      <c r="AE77" s="1">
        <f>VLOOKUP(A77,'SegEnds_NonXtal_Prot#'!A:AL,22,FALSE)-VLOOKUP(A77,'SegEnds_NonXtal_Prot#'!A:AL,19,FALSE)</f>
        <v>20</v>
      </c>
      <c r="AF77" s="1">
        <f>VLOOKUP(A77,'SegEnds_NonXtal_Prot#'!A:AL,28,FALSE)-VLOOKUP(A77,'SegEnds_NonXtal_Prot#'!A:AL,25,FALSE)</f>
        <v>26</v>
      </c>
      <c r="AG77" s="1">
        <f>VLOOKUP(A77,'SegEnds_NonXtal_Prot#'!A:AL,28,FALSE)-VLOOKUP(A77,'SegEnds_NonXtal_Prot#'!A:AL,22,FALSE)</f>
        <v>53</v>
      </c>
      <c r="AH77" s="1">
        <f>VLOOKUP(A77,'SegEnds_NonXtal_Prot#'!A:AL,31,FALSE)-VLOOKUP(A77,'SegEnds_NonXtal_Prot#'!A:AL,28,FALSE)</f>
        <v>36</v>
      </c>
      <c r="AI77" s="1">
        <f>VLOOKUP(A77,'SegEnds_NonXtal_Prot#'!A:AL,34,FALSE)-VLOOKUP(A77,'SegEnds_NonXtal_Prot#'!A:AL,31,FALSE)</f>
        <v>40</v>
      </c>
      <c r="AJ77" s="1" t="str">
        <f>IF(ISERROR(MATCH(A77,'SegEnds_Xtal_Prot#'!B:B, 0)), "NoXtal", "Xtal")</f>
        <v>NoXtal</v>
      </c>
    </row>
    <row r="78" spans="1:36" x14ac:dyDescent="0.2">
      <c r="A78" s="1" t="s">
        <v>167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67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9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f>VLOOKUP($B78&amp;"__wt",'SegEnds_Xtal_BW#'!$A:$Z,19,FALSE)</f>
        <v>32</v>
      </c>
      <c r="T78" s="1">
        <f t="array" ref="T78">INDEX('ICL3'!$G$2:$G$40,MATCH(MIN(ABS(AH78-'ICL3'!$F$2:$F$40)),ABS(AH78-'ICL3'!$F$2:$F$40),0))</f>
        <v>74</v>
      </c>
      <c r="U78" s="1">
        <f t="array" ref="U78">INDEX('ICL3'!$H$2:$H$40,MATCH(MIN(ABS(AH78-'ICL3'!$F$2:$F$40)),ABS(AH78-'ICL3'!$F$2:$F$40),0))</f>
        <v>24</v>
      </c>
      <c r="V78" s="1">
        <v>61</v>
      </c>
      <c r="W78" s="1">
        <v>28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VLOOKUP(A78,'SegEnds_NonXtal_Prot#'!A:AL,10,FALSE)-VLOOKUP(A78,'SegEnds_NonXtal_Prot#'!A:AL,7,FALSE)</f>
        <v>15</v>
      </c>
      <c r="AC78" s="1">
        <f>VLOOKUP(A78,'SegEnds_NonXtal_Prot#'!A:AL,13,FALSE)-VLOOKUP(A78,'SegEnds_NonXtal_Prot#'!A:AL,10,FALSE)</f>
        <v>20</v>
      </c>
      <c r="AD78" s="1">
        <f>VLOOKUP(A78,'SegEnds_NonXtal_Prot#'!A:AL,16,FALSE)-VLOOKUP(A78,'SegEnds_NonXtal_Prot#'!A:AL,10,FALSE)</f>
        <v>52</v>
      </c>
      <c r="AE78" s="1">
        <f>VLOOKUP(A78,'SegEnds_NonXtal_Prot#'!A:AL,22,FALSE)-VLOOKUP(A78,'SegEnds_NonXtal_Prot#'!A:AL,19,FALSE)</f>
        <v>20</v>
      </c>
      <c r="AF78" s="1">
        <f>VLOOKUP(A78,'SegEnds_NonXtal_Prot#'!A:AL,28,FALSE)-VLOOKUP(A78,'SegEnds_NonXtal_Prot#'!A:AL,25,FALSE)</f>
        <v>25</v>
      </c>
      <c r="AG78" s="1">
        <f>VLOOKUP(A78,'SegEnds_NonXtal_Prot#'!A:AL,28,FALSE)-VLOOKUP(A78,'SegEnds_NonXtal_Prot#'!A:AL,22,FALSE)</f>
        <v>55</v>
      </c>
      <c r="AH78" s="1">
        <f>VLOOKUP(A78,'SegEnds_NonXtal_Prot#'!A:AL,31,FALSE)-VLOOKUP(A78,'SegEnds_NonXtal_Prot#'!A:AL,28,FALSE)</f>
        <v>107</v>
      </c>
      <c r="AI78" s="1">
        <f>VLOOKUP(A78,'SegEnds_NonXtal_Prot#'!A:AL,34,FALSE)-VLOOKUP(A78,'SegEnds_NonXtal_Prot#'!A:AL,31,FALSE)</f>
        <v>39</v>
      </c>
      <c r="AJ78" s="1" t="str">
        <f>IF(ISERROR(MATCH(A78,'SegEnds_Xtal_Prot#'!B:B, 0)), "NoXtal", "Xtal")</f>
        <v>NoXtal</v>
      </c>
    </row>
    <row r="79" spans="1:36" x14ac:dyDescent="0.2">
      <c r="A79" s="1" t="s">
        <v>168</v>
      </c>
      <c r="B79" s="1" t="str">
        <f>VLOOKUP(A79,Xtal_Templ!A:B,2,FALSE)</f>
        <v>ccr5_human</v>
      </c>
      <c r="C79" s="5">
        <f>VLOOKUP($B79&amp;"__wt",'SegEnds_Xtal_BW#'!$A:$Z,3,FALSE)</f>
        <v>24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v>66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21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9">
        <f>VLOOKUP($B79&amp;"__wt",'SegEnds_Xtal_BW#'!$A:$Z,15,FALSE)</f>
        <v>38</v>
      </c>
      <c r="P79" s="1">
        <f>VLOOKUP($B79&amp;"__wt",'SegEnds_Xtal_BW#'!$A:$Z,16,FALSE)</f>
        <v>64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f>VLOOKUP($B79&amp;"__wt",'SegEnds_Xtal_BW#'!$A:$Z,19,FALSE)</f>
        <v>30</v>
      </c>
      <c r="T79" s="1">
        <f t="array" ref="T79">INDEX('ICL3'!$G$2:$G$40,MATCH(MIN(ABS(AH79-'ICL3'!$F$2:$F$40)),ABS(AH79-'ICL3'!$F$2:$F$40),0))</f>
        <v>68</v>
      </c>
      <c r="U79" s="1">
        <f t="array" ref="U79">INDEX('ICL3'!$H$2:$H$40,MATCH(MIN(ABS(AH79-'ICL3'!$F$2:$F$40)),ABS(AH79-'ICL3'!$F$2:$F$40),0))</f>
        <v>30</v>
      </c>
      <c r="V79" s="1">
        <v>65</v>
      </c>
      <c r="W79" s="1">
        <v>24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59</v>
      </c>
      <c r="AA79" s="27" t="str">
        <f>VLOOKUP(A79,Classification!A:B,2,FALSE)</f>
        <v>A</v>
      </c>
      <c r="AB79" s="1">
        <f>VLOOKUP(A79,'SegEnds_NonXtal_Prot#'!A:AL,10,FALSE)-VLOOKUP(A79,'SegEnds_NonXtal_Prot#'!A:AL,7,FALSE)</f>
        <v>15</v>
      </c>
      <c r="AC79" s="1">
        <f>VLOOKUP(A79,'SegEnds_NonXtal_Prot#'!A:AL,13,FALSE)-VLOOKUP(A79,'SegEnds_NonXtal_Prot#'!A:AL,10,FALSE)</f>
        <v>19</v>
      </c>
      <c r="AD79" s="1">
        <f>VLOOKUP(A79,'SegEnds_NonXtal_Prot#'!A:AL,16,FALSE)-VLOOKUP(A79,'SegEnds_NonXtal_Prot#'!A:AL,10,FALSE)</f>
        <v>51</v>
      </c>
      <c r="AE79" s="1">
        <f>VLOOKUP(A79,'SegEnds_NonXtal_Prot#'!A:AL,22,FALSE)-VLOOKUP(A79,'SegEnds_NonXtal_Prot#'!A:AL,19,FALSE)</f>
        <v>20</v>
      </c>
      <c r="AF79" s="1">
        <f>VLOOKUP(A79,'SegEnds_NonXtal_Prot#'!A:AL,28,FALSE)-VLOOKUP(A79,'SegEnds_NonXtal_Prot#'!A:AL,25,FALSE)</f>
        <v>28</v>
      </c>
      <c r="AG79" s="1">
        <f>VLOOKUP(A79,'SegEnds_NonXtal_Prot#'!A:AL,28,FALSE)-VLOOKUP(A79,'SegEnds_NonXtal_Prot#'!A:AL,22,FALSE)</f>
        <v>53</v>
      </c>
      <c r="AH79" s="1">
        <f>VLOOKUP(A79,'SegEnds_NonXtal_Prot#'!A:AL,31,FALSE)-VLOOKUP(A79,'SegEnds_NonXtal_Prot#'!A:AL,28,FALSE)</f>
        <v>43</v>
      </c>
      <c r="AI79" s="1">
        <f>VLOOKUP(A79,'SegEnds_NonXtal_Prot#'!A:AL,34,FALSE)-VLOOKUP(A79,'SegEnds_NonXtal_Prot#'!A:AL,31,FALSE)</f>
        <v>44</v>
      </c>
      <c r="AJ79" s="1" t="str">
        <f>IF(ISERROR(MATCH(A79,'SegEnds_Xtal_Prot#'!B:B, 0)), "NoXtal", "Xtal")</f>
        <v>NoXtal</v>
      </c>
    </row>
    <row r="80" spans="1:36" x14ac:dyDescent="0.2">
      <c r="A80" s="1" t="s">
        <v>170</v>
      </c>
      <c r="B80" s="1" t="str">
        <f>VLOOKUP(A80,Xtal_Templ!A:B,2,FALSE)</f>
        <v>ccr2_human</v>
      </c>
      <c r="C80" s="5">
        <f>VLOOKUP($B80&amp;"__wt",'SegEnds_Xtal_BW#'!$A:$Z,3,FALSE)</f>
        <v>27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v>66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24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f>VLOOKUP($B80&amp;"__wt",'SegEnds_Xtal_BW#'!$A:$Z,14,FALSE)</f>
        <v>57</v>
      </c>
      <c r="O80" s="89">
        <f>VLOOKUP($B80&amp;"__wt",'SegEnds_Xtal_BW#'!$A:$Z,15,FALSE)</f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f>VLOOKUP($B80&amp;"__wt",'SegEnds_Xtal_BW#'!$A:$Z,19,FALSE)</f>
        <v>31</v>
      </c>
      <c r="T80" s="1">
        <f t="array" ref="T80">INDEX('ICL3'!$G$2:$G$40,MATCH(MIN(ABS(AH80-'ICL3'!$F$2:$F$40)),ABS(AH80-'ICL3'!$F$2:$F$40),0))</f>
        <v>68</v>
      </c>
      <c r="U80" s="1">
        <f t="array" ref="U80">INDEX('ICL3'!$H$2:$H$40,MATCH(MIN(ABS(AH80-'ICL3'!$F$2:$F$40)),ABS(AH80-'ICL3'!$F$2:$F$40),0))</f>
        <v>28</v>
      </c>
      <c r="V80" s="1">
        <v>65</v>
      </c>
      <c r="W80" s="1">
        <v>24</v>
      </c>
      <c r="X80" s="1">
        <f>VLOOKUP($B80&amp;"__wt",'SegEnds_Xtal_BW#'!$A:$Z,24,FALSE)</f>
        <v>56</v>
      </c>
      <c r="Y80" s="1">
        <f>VLOOKUP($B80&amp;"__wt",'SegEnds_Xtal_BW#'!$A:$Z,25,FALSE)</f>
        <v>47</v>
      </c>
      <c r="Z80" s="1">
        <f>VLOOKUP($B80&amp;"__wt",'SegEnds_Xtal_BW#'!$A:$Z,26,FALSE)</f>
        <v>58</v>
      </c>
      <c r="AA80" s="27" t="str">
        <f>VLOOKUP(A80,Classification!A:B,2,FALSE)</f>
        <v>A</v>
      </c>
      <c r="AB80" s="1">
        <f>VLOOKUP(A80,'SegEnds_NonXtal_Prot#'!A:AL,10,FALSE)-VLOOKUP(A80,'SegEnds_NonXtal_Prot#'!A:AL,7,FALSE)</f>
        <v>15</v>
      </c>
      <c r="AC80" s="1">
        <f>VLOOKUP(A80,'SegEnds_NonXtal_Prot#'!A:AL,13,FALSE)-VLOOKUP(A80,'SegEnds_NonXtal_Prot#'!A:AL,10,FALSE)</f>
        <v>18</v>
      </c>
      <c r="AD80" s="1">
        <f>VLOOKUP(A80,'SegEnds_NonXtal_Prot#'!A:AL,16,FALSE)-VLOOKUP(A80,'SegEnds_NonXtal_Prot#'!A:AL,10,FALSE)</f>
        <v>50</v>
      </c>
      <c r="AE80" s="1">
        <f>VLOOKUP(A80,'SegEnds_NonXtal_Prot#'!A:AL,22,FALSE)-VLOOKUP(A80,'SegEnds_NonXtal_Prot#'!A:AL,19,FALSE)</f>
        <v>20</v>
      </c>
      <c r="AF80" s="1">
        <f>VLOOKUP(A80,'SegEnds_NonXtal_Prot#'!A:AL,28,FALSE)-VLOOKUP(A80,'SegEnds_NonXtal_Prot#'!A:AL,25,FALSE)</f>
        <v>24</v>
      </c>
      <c r="AG80" s="1">
        <f>VLOOKUP(A80,'SegEnds_NonXtal_Prot#'!A:AL,28,FALSE)-VLOOKUP(A80,'SegEnds_NonXtal_Prot#'!A:AL,22,FALSE)</f>
        <v>49</v>
      </c>
      <c r="AH80" s="1">
        <f>VLOOKUP(A80,'SegEnds_NonXtal_Prot#'!A:AL,31,FALSE)-VLOOKUP(A80,'SegEnds_NonXtal_Prot#'!A:AL,28,FALSE)</f>
        <v>44</v>
      </c>
      <c r="AI80" s="1">
        <f>VLOOKUP(A80,'SegEnds_NonXtal_Prot#'!A:AL,34,FALSE)-VLOOKUP(A80,'SegEnds_NonXtal_Prot#'!A:AL,31,FALSE)</f>
        <v>44</v>
      </c>
      <c r="AJ80" s="1" t="str">
        <f>IF(ISERROR(MATCH(A80,'SegEnds_Xtal_Prot#'!B:B, 0)), "NoXtal", "Xtal")</f>
        <v>Xtal</v>
      </c>
    </row>
    <row r="81" spans="1:36" x14ac:dyDescent="0.2">
      <c r="A81" s="1" t="s">
        <v>171</v>
      </c>
      <c r="B81" s="1" t="str">
        <f>VLOOKUP(A81,Xtal_Templ!A:B,2,FALSE)</f>
        <v>ccr5_human</v>
      </c>
      <c r="C81" s="5">
        <f>VLOOKUP($B81&amp;"__wt",'SegEnds_Xtal_BW#'!$A:$Z,3,FALSE)</f>
        <v>24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v>66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21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57</v>
      </c>
      <c r="O81" s="89">
        <f>VLOOKUP($B81&amp;"__wt",'SegEnds_Xtal_BW#'!$A:$Z,15,FALSE)</f>
        <v>38</v>
      </c>
      <c r="P81" s="1">
        <f>VLOOKUP($B81&amp;"__wt",'SegEnds_Xtal_BW#'!$A:$Z,16,FALSE)</f>
        <v>64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f>VLOOKUP($B81&amp;"__wt",'SegEnds_Xtal_BW#'!$A:$Z,19,FALSE)</f>
        <v>30</v>
      </c>
      <c r="T81" s="1">
        <f t="array" ref="T81">INDEX('ICL3'!$G$2:$G$40,MATCH(MIN(ABS(AH81-'ICL3'!$F$2:$F$40)),ABS(AH81-'ICL3'!$F$2:$F$40),0))</f>
        <v>68</v>
      </c>
      <c r="U81" s="1">
        <f t="array" ref="U81">INDEX('ICL3'!$H$2:$H$40,MATCH(MIN(ABS(AH81-'ICL3'!$F$2:$F$40)),ABS(AH81-'ICL3'!$F$2:$F$40),0))</f>
        <v>30</v>
      </c>
      <c r="V81" s="1">
        <v>65</v>
      </c>
      <c r="W81" s="1">
        <v>24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VLOOKUP(A81,'SegEnds_NonXtal_Prot#'!A:AL,10,FALSE)-VLOOKUP(A81,'SegEnds_NonXtal_Prot#'!A:AL,7,FALSE)</f>
        <v>15</v>
      </c>
      <c r="AC81" s="1">
        <f>VLOOKUP(A81,'SegEnds_NonXtal_Prot#'!A:AL,13,FALSE)-VLOOKUP(A81,'SegEnds_NonXtal_Prot#'!A:AL,10,FALSE)</f>
        <v>19</v>
      </c>
      <c r="AD81" s="1">
        <f>VLOOKUP(A81,'SegEnds_NonXtal_Prot#'!A:AL,16,FALSE)-VLOOKUP(A81,'SegEnds_NonXtal_Prot#'!A:AL,10,FALSE)</f>
        <v>51</v>
      </c>
      <c r="AE81" s="1">
        <f>VLOOKUP(A81,'SegEnds_NonXtal_Prot#'!A:AL,22,FALSE)-VLOOKUP(A81,'SegEnds_NonXtal_Prot#'!A:AL,19,FALSE)</f>
        <v>20</v>
      </c>
      <c r="AF81" s="1">
        <f>VLOOKUP(A81,'SegEnds_NonXtal_Prot#'!A:AL,28,FALSE)-VLOOKUP(A81,'SegEnds_NonXtal_Prot#'!A:AL,25,FALSE)</f>
        <v>28</v>
      </c>
      <c r="AG81" s="1">
        <f>VLOOKUP(A81,'SegEnds_NonXtal_Prot#'!A:AL,28,FALSE)-VLOOKUP(A81,'SegEnds_NonXtal_Prot#'!A:AL,22,FALSE)</f>
        <v>53</v>
      </c>
      <c r="AH81" s="1">
        <f>VLOOKUP(A81,'SegEnds_NonXtal_Prot#'!A:AL,31,FALSE)-VLOOKUP(A81,'SegEnds_NonXtal_Prot#'!A:AL,28,FALSE)</f>
        <v>43</v>
      </c>
      <c r="AI81" s="1">
        <f>VLOOKUP(A81,'SegEnds_NonXtal_Prot#'!A:AL,34,FALSE)-VLOOKUP(A81,'SegEnds_NonXtal_Prot#'!A:AL,31,FALSE)</f>
        <v>44</v>
      </c>
      <c r="AJ81" s="1" t="str">
        <f>IF(ISERROR(MATCH(A81,'SegEnds_Xtal_Prot#'!B:B, 0)), "NoXtal", "Xtal")</f>
        <v>NoXtal</v>
      </c>
    </row>
    <row r="82" spans="1:36" x14ac:dyDescent="0.2">
      <c r="A82" s="1" t="s">
        <v>172</v>
      </c>
      <c r="B82" s="1" t="str">
        <f>VLOOKUP(A82,Xtal_Templ!A:B,2,FALSE)</f>
        <v>ccr5_human</v>
      </c>
      <c r="C82" s="5">
        <f>VLOOKUP($B82&amp;"__wt",'SegEnds_Xtal_BW#'!$A:$Z,3,FALSE)</f>
        <v>24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66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24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9"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30</v>
      </c>
      <c r="T82" s="1">
        <f t="array" ref="T82">INDEX('ICL3'!$G$2:$G$40,MATCH(MIN(ABS(AH82-'ICL3'!$F$2:$F$40)),ABS(AH82-'ICL3'!$F$2:$F$40),0))</f>
        <v>68</v>
      </c>
      <c r="U82" s="1">
        <f t="array" ref="U82">INDEX('ICL3'!$H$2:$H$40,MATCH(MIN(ABS(AH82-'ICL3'!$F$2:$F$40)),ABS(AH82-'ICL3'!$F$2:$F$40),0))</f>
        <v>30</v>
      </c>
      <c r="V82" s="1">
        <v>65</v>
      </c>
      <c r="W82" s="1">
        <v>24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59</v>
      </c>
      <c r="AA82" s="27" t="str">
        <f>VLOOKUP(A82,Classification!A:B,2,FALSE)</f>
        <v>A</v>
      </c>
      <c r="AB82" s="1">
        <f>VLOOKUP(A82,'SegEnds_NonXtal_Prot#'!A:AL,10,FALSE)-VLOOKUP(A82,'SegEnds_NonXtal_Prot#'!A:AL,7,FALSE)</f>
        <v>15</v>
      </c>
      <c r="AC82" s="1">
        <f>VLOOKUP(A82,'SegEnds_NonXtal_Prot#'!A:AL,13,FALSE)-VLOOKUP(A82,'SegEnds_NonXtal_Prot#'!A:AL,10,FALSE)</f>
        <v>18</v>
      </c>
      <c r="AD82" s="1">
        <f>VLOOKUP(A82,'SegEnds_NonXtal_Prot#'!A:AL,16,FALSE)-VLOOKUP(A82,'SegEnds_NonXtal_Prot#'!A:AL,10,FALSE)</f>
        <v>50</v>
      </c>
      <c r="AE82" s="1">
        <f>VLOOKUP(A82,'SegEnds_NonXtal_Prot#'!A:AL,22,FALSE)-VLOOKUP(A82,'SegEnds_NonXtal_Prot#'!A:AL,19,FALSE)</f>
        <v>20</v>
      </c>
      <c r="AF82" s="1">
        <f>VLOOKUP(A82,'SegEnds_NonXtal_Prot#'!A:AL,28,FALSE)-VLOOKUP(A82,'SegEnds_NonXtal_Prot#'!A:AL,25,FALSE)</f>
        <v>27</v>
      </c>
      <c r="AG82" s="1">
        <f>VLOOKUP(A82,'SegEnds_NonXtal_Prot#'!A:AL,28,FALSE)-VLOOKUP(A82,'SegEnds_NonXtal_Prot#'!A:AL,22,FALSE)</f>
        <v>52</v>
      </c>
      <c r="AH82" s="1">
        <f>VLOOKUP(A82,'SegEnds_NonXtal_Prot#'!A:AL,31,FALSE)-VLOOKUP(A82,'SegEnds_NonXtal_Prot#'!A:AL,28,FALSE)</f>
        <v>43</v>
      </c>
      <c r="AI82" s="1">
        <f>VLOOKUP(A82,'SegEnds_NonXtal_Prot#'!A:AL,34,FALSE)-VLOOKUP(A82,'SegEnds_NonXtal_Prot#'!A:AL,31,FALSE)</f>
        <v>44</v>
      </c>
      <c r="AJ82" s="1" t="str">
        <f>IF(ISERROR(MATCH(A82,'SegEnds_Xtal_Prot#'!B:B, 0)), "NoXtal", "Xtal")</f>
        <v>NoXtal</v>
      </c>
    </row>
    <row r="83" spans="1:36" x14ac:dyDescent="0.2">
      <c r="A83" s="1" t="s">
        <v>173</v>
      </c>
      <c r="B83" s="1" t="str">
        <f>VLOOKUP(A83,Xtal_Templ!A:B,2,FALSE)</f>
        <v>ccr5_human</v>
      </c>
      <c r="C83" s="5">
        <f>VLOOKUP($B83&amp;"__wt",'SegEnds_Xtal_BW#'!$A:$Z,3,FALSE)</f>
        <v>24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v>66</v>
      </c>
      <c r="I83" s="1">
        <f>VLOOKUP($B83&amp;"__wt",'SegEnds_Xtal_BW#'!$A:$Z,9,FALSE)</f>
        <v>49</v>
      </c>
      <c r="J83" s="1">
        <f>VLOOKUP($B83&amp;"__wt",'SegEnds_Xtal_BW#'!$A:$Z,10,FALSE)</f>
        <v>52</v>
      </c>
      <c r="K83" s="12">
        <v>24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f>VLOOKUP($B83&amp;"__wt",'SegEnds_Xtal_BW#'!$A:$Z,14,FALSE)</f>
        <v>57</v>
      </c>
      <c r="O83" s="89">
        <f>VLOOKUP($B83&amp;"__wt",'SegEnds_Xtal_BW#'!$A:$Z,15,FALSE)</f>
        <v>38</v>
      </c>
      <c r="P83" s="1">
        <f>VLOOKUP($B83&amp;"__wt",'SegEnds_Xtal_BW#'!$A:$Z,16,FALSE)</f>
        <v>64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30</v>
      </c>
      <c r="T83" s="1">
        <f t="array" ref="T83">INDEX('ICL3'!$G$2:$G$40,MATCH(MIN(ABS(AH83-'ICL3'!$F$2:$F$40)),ABS(AH83-'ICL3'!$F$2:$F$40),0))</f>
        <v>68</v>
      </c>
      <c r="U83" s="1">
        <f t="array" ref="U83">INDEX('ICL3'!$H$2:$H$40,MATCH(MIN(ABS(AH83-'ICL3'!$F$2:$F$40)),ABS(AH83-'ICL3'!$F$2:$F$40),0))</f>
        <v>28</v>
      </c>
      <c r="V83" s="1">
        <v>65</v>
      </c>
      <c r="W83" s="1">
        <v>24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59</v>
      </c>
      <c r="AA83" s="27" t="str">
        <f>VLOOKUP(A83,Classification!A:B,2,FALSE)</f>
        <v>A</v>
      </c>
      <c r="AB83" s="1">
        <f>VLOOKUP(A83,'SegEnds_NonXtal_Prot#'!A:AL,10,FALSE)-VLOOKUP(A83,'SegEnds_NonXtal_Prot#'!A:AL,7,FALSE)</f>
        <v>15</v>
      </c>
      <c r="AC83" s="1">
        <f>VLOOKUP(A83,'SegEnds_NonXtal_Prot#'!A:AL,13,FALSE)-VLOOKUP(A83,'SegEnds_NonXtal_Prot#'!A:AL,10,FALSE)</f>
        <v>18</v>
      </c>
      <c r="AD83" s="1">
        <f>VLOOKUP(A83,'SegEnds_NonXtal_Prot#'!A:AL,16,FALSE)-VLOOKUP(A83,'SegEnds_NonXtal_Prot#'!A:AL,10,FALSE)</f>
        <v>50</v>
      </c>
      <c r="AE83" s="1">
        <f>VLOOKUP(A83,'SegEnds_NonXtal_Prot#'!A:AL,22,FALSE)-VLOOKUP(A83,'SegEnds_NonXtal_Prot#'!A:AL,19,FALSE)</f>
        <v>20</v>
      </c>
      <c r="AF83" s="1">
        <f>VLOOKUP(A83,'SegEnds_NonXtal_Prot#'!A:AL,28,FALSE)-VLOOKUP(A83,'SegEnds_NonXtal_Prot#'!A:AL,25,FALSE)</f>
        <v>28</v>
      </c>
      <c r="AG83" s="1">
        <f>VLOOKUP(A83,'SegEnds_NonXtal_Prot#'!A:AL,28,FALSE)-VLOOKUP(A83,'SegEnds_NonXtal_Prot#'!A:AL,22,FALSE)</f>
        <v>53</v>
      </c>
      <c r="AH83" s="1">
        <f>VLOOKUP(A83,'SegEnds_NonXtal_Prot#'!A:AL,31,FALSE)-VLOOKUP(A83,'SegEnds_NonXtal_Prot#'!A:AL,28,FALSE)</f>
        <v>44</v>
      </c>
      <c r="AI83" s="1">
        <f>VLOOKUP(A83,'SegEnds_NonXtal_Prot#'!A:AL,34,FALSE)-VLOOKUP(A83,'SegEnds_NonXtal_Prot#'!A:AL,31,FALSE)</f>
        <v>44</v>
      </c>
      <c r="AJ83" s="1" t="str">
        <f>IF(ISERROR(MATCH(A83,'SegEnds_Xtal_Prot#'!B:B, 0)), "NoXtal", "Xtal")</f>
        <v>Xtal</v>
      </c>
    </row>
    <row r="84" spans="1:36" x14ac:dyDescent="0.2">
      <c r="A84" s="1" t="s">
        <v>176</v>
      </c>
      <c r="B84" s="1" t="str">
        <f>VLOOKUP(A84,Xtal_Templ!A:B,2,FALSE)</f>
        <v>ccr5_human</v>
      </c>
      <c r="C84" s="5">
        <f>VLOOKUP($B84&amp;"__wt",'SegEnds_Xtal_BW#'!$A:$Z,3,FALSE)</f>
        <v>24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v>66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24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9"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f>VLOOKUP($B84&amp;"__wt",'SegEnds_Xtal_BW#'!$A:$Z,19,FALSE)</f>
        <v>30</v>
      </c>
      <c r="T84" s="1">
        <f t="array" ref="T84">INDEX('ICL3'!$G$2:$G$40,MATCH(MIN(ABS(AH84-'ICL3'!$F$2:$F$40)),ABS(AH84-'ICL3'!$F$2:$F$40),0))</f>
        <v>68</v>
      </c>
      <c r="U84" s="1">
        <f t="array" ref="U84">INDEX('ICL3'!$H$2:$H$40,MATCH(MIN(ABS(AH84-'ICL3'!$F$2:$F$40)),ABS(AH84-'ICL3'!$F$2:$F$40),0))</f>
        <v>30</v>
      </c>
      <c r="V84" s="1">
        <v>65</v>
      </c>
      <c r="W84" s="1">
        <v>24</v>
      </c>
      <c r="X84" s="1">
        <f>VLOOKUP($B84&amp;"__wt",'SegEnds_Xtal_BW#'!$A:$Z,24,FALSE)</f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VLOOKUP(A84,'SegEnds_NonXtal_Prot#'!A:AL,10,FALSE)-VLOOKUP(A84,'SegEnds_NonXtal_Prot#'!A:AL,7,FALSE)</f>
        <v>15</v>
      </c>
      <c r="AC84" s="1">
        <f>VLOOKUP(A84,'SegEnds_NonXtal_Prot#'!A:AL,13,FALSE)-VLOOKUP(A84,'SegEnds_NonXtal_Prot#'!A:AL,10,FALSE)</f>
        <v>18</v>
      </c>
      <c r="AD84" s="1">
        <f>VLOOKUP(A84,'SegEnds_NonXtal_Prot#'!A:AL,16,FALSE)-VLOOKUP(A84,'SegEnds_NonXtal_Prot#'!A:AL,10,FALSE)</f>
        <v>50</v>
      </c>
      <c r="AE84" s="1">
        <f>VLOOKUP(A84,'SegEnds_NonXtal_Prot#'!A:AL,22,FALSE)-VLOOKUP(A84,'SegEnds_NonXtal_Prot#'!A:AL,19,FALSE)</f>
        <v>20</v>
      </c>
      <c r="AF84" s="1">
        <f>VLOOKUP(A84,'SegEnds_NonXtal_Prot#'!A:AL,28,FALSE)-VLOOKUP(A84,'SegEnds_NonXtal_Prot#'!A:AL,25,FALSE)</f>
        <v>27</v>
      </c>
      <c r="AG84" s="1">
        <f>VLOOKUP(A84,'SegEnds_NonXtal_Prot#'!A:AL,28,FALSE)-VLOOKUP(A84,'SegEnds_NonXtal_Prot#'!A:AL,22,FALSE)</f>
        <v>52</v>
      </c>
      <c r="AH84" s="1">
        <f>VLOOKUP(A84,'SegEnds_NonXtal_Prot#'!A:AL,31,FALSE)-VLOOKUP(A84,'SegEnds_NonXtal_Prot#'!A:AL,28,FALSE)</f>
        <v>43</v>
      </c>
      <c r="AI84" s="1">
        <f>VLOOKUP(A84,'SegEnds_NonXtal_Prot#'!A:AL,34,FALSE)-VLOOKUP(A84,'SegEnds_NonXtal_Prot#'!A:AL,31,FALSE)</f>
        <v>44</v>
      </c>
      <c r="AJ84" s="1" t="str">
        <f>IF(ISERROR(MATCH(A84,'SegEnds_Xtal_Prot#'!B:B, 0)), "NoXtal", "Xtal")</f>
        <v>NoXtal</v>
      </c>
    </row>
    <row r="85" spans="1:36" x14ac:dyDescent="0.2">
      <c r="A85" s="1" t="s">
        <v>179</v>
      </c>
      <c r="B85" s="1" t="str">
        <f>VLOOKUP(A85,Xtal_Templ!A:B,2,FALSE)</f>
        <v>p2ry1_human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 t="str">
        <f>VLOOKUP($B85&amp;"__wt",'SegEnds_Xtal_BW#'!$A:$Z,5,FALSE)</f>
        <v>-</v>
      </c>
      <c r="F85" s="1" t="str">
        <f>VLOOKUP($B85&amp;"__wt",'SegEnds_Xtal_BW#'!$A:$Z,6,FALSE)</f>
        <v>-</v>
      </c>
      <c r="G85" s="1">
        <v>37</v>
      </c>
      <c r="H85" s="12">
        <f>VLOOKUP($B85&amp;"__wt",'SegEnds_Xtal_BW#'!$A:$Z,8,FALSE)</f>
        <v>66</v>
      </c>
      <c r="I85" s="1">
        <f>VLOOKUP($B85&amp;"__wt",'SegEnds_Xtal_BW#'!$A:$Z,9,FALSE)</f>
        <v>49</v>
      </c>
      <c r="J85" s="1">
        <f>VLOOKUP($B85&amp;"__wt",'SegEnds_Xtal_BW#'!$A:$Z,10,FALSE)</f>
        <v>52</v>
      </c>
      <c r="K85" s="12">
        <v>18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2">
        <v>57</v>
      </c>
      <c r="O85" s="89">
        <f>VLOOKUP($B85&amp;"__wt",'SegEnds_Xtal_BW#'!$A:$Z,15,FALSE)</f>
        <v>38</v>
      </c>
      <c r="P85" s="1">
        <f>VLOOKUP($B85&amp;"__wt",'SegEnds_Xtal_BW#'!$A:$Z,16,FALSE)</f>
        <v>64</v>
      </c>
      <c r="Q85" s="1">
        <f>VLOOKUP($B85&amp;"__wt",'SegEnds_Xtal_BW#'!$A:$Z,17,FALSE)</f>
        <v>50</v>
      </c>
      <c r="R85" s="1">
        <f>VLOOKUP($B85&amp;"__wt",'SegEnds_Xtal_BW#'!$A:$Z,18,FALSE)</f>
        <v>52</v>
      </c>
      <c r="S85" s="1">
        <f>VLOOKUP($B85&amp;"__wt",'SegEnds_Xtal_BW#'!$A:$Z,19,FALSE)</f>
        <v>32</v>
      </c>
      <c r="T85" s="1">
        <f t="array" ref="T85">INDEX('ICL3'!$G$2:$G$40,MATCH(MIN(ABS(AH85-'ICL3'!$F$2:$F$40)),ABS(AH85-'ICL3'!$F$2:$F$40),0))</f>
        <v>67</v>
      </c>
      <c r="U85" s="1">
        <f t="array" ref="U85">INDEX('ICL3'!$H$2:$H$40,MATCH(MIN(ABS(AH85-'ICL3'!$F$2:$F$40)),ABS(AH85-'ICL3'!$F$2:$F$40),0))</f>
        <v>26</v>
      </c>
      <c r="V85" s="1">
        <v>64</v>
      </c>
      <c r="W85" s="1">
        <v>24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 t="e">
        <f>VLOOKUP(A85,'SegEnds_NonXtal_Prot#'!A:AL,10,FALSE)-VLOOKUP(A85,'SegEnds_NonXtal_Prot#'!A:AL,7,FALSE)</f>
        <v>#VALUE!</v>
      </c>
      <c r="AC85" s="1">
        <f>VLOOKUP(A85,'SegEnds_NonXtal_Prot#'!A:AL,13,FALSE)-VLOOKUP(A85,'SegEnds_NonXtal_Prot#'!A:AL,10,FALSE)</f>
        <v>20</v>
      </c>
      <c r="AD85" s="1">
        <f>VLOOKUP(A85,'SegEnds_NonXtal_Prot#'!A:AL,16,FALSE)-VLOOKUP(A85,'SegEnds_NonXtal_Prot#'!A:AL,10,FALSE)</f>
        <v>52</v>
      </c>
      <c r="AE85" s="1">
        <f>VLOOKUP(A85,'SegEnds_NonXtal_Prot#'!A:AL,22,FALSE)-VLOOKUP(A85,'SegEnds_NonXtal_Prot#'!A:AL,19,FALSE)</f>
        <v>20</v>
      </c>
      <c r="AF85" s="1">
        <f>VLOOKUP(A85,'SegEnds_NonXtal_Prot#'!A:AL,28,FALSE)-VLOOKUP(A85,'SegEnds_NonXtal_Prot#'!A:AL,25,FALSE)</f>
        <v>28</v>
      </c>
      <c r="AG85" s="1">
        <f>VLOOKUP(A85,'SegEnds_NonXtal_Prot#'!A:AL,28,FALSE)-VLOOKUP(A85,'SegEnds_NonXtal_Prot#'!A:AL,22,FALSE)</f>
        <v>53</v>
      </c>
      <c r="AH85" s="1">
        <f>VLOOKUP(A85,'SegEnds_NonXtal_Prot#'!A:AL,31,FALSE)-VLOOKUP(A85,'SegEnds_NonXtal_Prot#'!A:AL,28,FALSE)</f>
        <v>47</v>
      </c>
      <c r="AI85" s="1">
        <f>VLOOKUP(A85,'SegEnds_NonXtal_Prot#'!A:AL,34,FALSE)-VLOOKUP(A85,'SegEnds_NonXtal_Prot#'!A:AL,31,FALSE)</f>
        <v>44</v>
      </c>
      <c r="AJ85" s="1" t="str">
        <f>IF(ISERROR(MATCH(A85,'SegEnds_Xtal_Prot#'!B:B, 0)), "NoXtal", "Xtal")</f>
        <v>NoXtal</v>
      </c>
    </row>
    <row r="86" spans="1:36" x14ac:dyDescent="0.2">
      <c r="A86" s="1" t="s">
        <v>180</v>
      </c>
      <c r="B86" s="1" t="str">
        <f>VLOOKUP(A86,Xtal_Templ!A:B,2,FALSE)</f>
        <v>p2ry1_human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 t="str">
        <f>VLOOKUP($B86&amp;"__wt",'SegEnds_Xtal_BW#'!$A:$Z,5,FALSE)</f>
        <v>-</v>
      </c>
      <c r="F86" s="1" t="str">
        <f>VLOOKUP($B86&amp;"__wt",'SegEnds_Xtal_BW#'!$A:$Z,6,FALSE)</f>
        <v>-</v>
      </c>
      <c r="G86" s="1">
        <v>37</v>
      </c>
      <c r="H86" s="12">
        <f>VLOOKUP($B86&amp;"__wt",'SegEnds_Xtal_BW#'!$A:$Z,8,FALSE)</f>
        <v>66</v>
      </c>
      <c r="I86" s="1">
        <f>VLOOKUP($B86&amp;"__wt",'SegEnds_Xtal_BW#'!$A:$Z,9,FALSE)</f>
        <v>49</v>
      </c>
      <c r="J86" s="1">
        <f>VLOOKUP($B86&amp;"__wt",'SegEnds_Xtal_BW#'!$A:$Z,10,FALSE)</f>
        <v>52</v>
      </c>
      <c r="K86" s="12">
        <v>18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2">
        <v>57</v>
      </c>
      <c r="O86" s="89">
        <f>VLOOKUP($B86&amp;"__wt",'SegEnds_Xtal_BW#'!$A:$Z,15,FALSE)</f>
        <v>38</v>
      </c>
      <c r="P86" s="1">
        <f>VLOOKUP($B86&amp;"__wt",'SegEnds_Xtal_BW#'!$A:$Z,16,FALSE)</f>
        <v>64</v>
      </c>
      <c r="Q86" s="1">
        <f>VLOOKUP($B86&amp;"__wt",'SegEnds_Xtal_BW#'!$A:$Z,17,FALSE)</f>
        <v>50</v>
      </c>
      <c r="R86" s="1">
        <f>VLOOKUP($B86&amp;"__wt",'SegEnds_Xtal_BW#'!$A:$Z,18,FALSE)</f>
        <v>52</v>
      </c>
      <c r="S86" s="1">
        <f>VLOOKUP($B86&amp;"__wt",'SegEnds_Xtal_BW#'!$A:$Z,19,FALSE)</f>
        <v>32</v>
      </c>
      <c r="T86" s="1">
        <f t="array" ref="T86">INDEX('ICL3'!$G$2:$G$40,MATCH(MIN(ABS(AH86-'ICL3'!$F$2:$F$40)),ABS(AH86-'ICL3'!$F$2:$F$40),0))</f>
        <v>68</v>
      </c>
      <c r="U86" s="1">
        <f t="array" ref="U86">INDEX('ICL3'!$H$2:$H$40,MATCH(MIN(ABS(AH86-'ICL3'!$F$2:$F$40)),ABS(AH86-'ICL3'!$F$2:$F$40),0))</f>
        <v>24</v>
      </c>
      <c r="V86" s="1">
        <v>61</v>
      </c>
      <c r="W86" s="1">
        <v>28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 t="e">
        <f>VLOOKUP(A86,'SegEnds_NonXtal_Prot#'!A:AL,10,FALSE)-VLOOKUP(A86,'SegEnds_NonXtal_Prot#'!A:AL,7,FALSE)</f>
        <v>#VALUE!</v>
      </c>
      <c r="AC86" s="1">
        <f>VLOOKUP(A86,'SegEnds_NonXtal_Prot#'!A:AL,13,FALSE)-VLOOKUP(A86,'SegEnds_NonXtal_Prot#'!A:AL,10,FALSE)</f>
        <v>20</v>
      </c>
      <c r="AD86" s="1">
        <f>VLOOKUP(A86,'SegEnds_NonXtal_Prot#'!A:AL,16,FALSE)-VLOOKUP(A86,'SegEnds_NonXtal_Prot#'!A:AL,10,FALSE)</f>
        <v>52</v>
      </c>
      <c r="AE86" s="1">
        <f>VLOOKUP(A86,'SegEnds_NonXtal_Prot#'!A:AL,22,FALSE)-VLOOKUP(A86,'SegEnds_NonXtal_Prot#'!A:AL,19,FALSE)</f>
        <v>20</v>
      </c>
      <c r="AF86" s="1">
        <f>VLOOKUP(A86,'SegEnds_NonXtal_Prot#'!A:AL,28,FALSE)-VLOOKUP(A86,'SegEnds_NonXtal_Prot#'!A:AL,25,FALSE)</f>
        <v>26</v>
      </c>
      <c r="AG86" s="1">
        <f>VLOOKUP(A86,'SegEnds_NonXtal_Prot#'!A:AL,28,FALSE)-VLOOKUP(A86,'SegEnds_NonXtal_Prot#'!A:AL,22,FALSE)</f>
        <v>50</v>
      </c>
      <c r="AH86" s="1">
        <f>VLOOKUP(A86,'SegEnds_NonXtal_Prot#'!A:AL,31,FALSE)-VLOOKUP(A86,'SegEnds_NonXtal_Prot#'!A:AL,28,FALSE)</f>
        <v>49</v>
      </c>
      <c r="AI86" s="1">
        <f>VLOOKUP(A86,'SegEnds_NonXtal_Prot#'!A:AL,34,FALSE)-VLOOKUP(A86,'SegEnds_NonXtal_Prot#'!A:AL,31,FALSE)</f>
        <v>40</v>
      </c>
      <c r="AJ86" s="1" t="str">
        <f>IF(ISERROR(MATCH(A86,'SegEnds_Xtal_Prot#'!B:B, 0)), "NoXtal", "Xtal")</f>
        <v>NoXtal</v>
      </c>
    </row>
    <row r="87" spans="1:36" x14ac:dyDescent="0.2">
      <c r="A87" s="1" t="s">
        <v>181</v>
      </c>
      <c r="B87" s="1" t="str">
        <f>VLOOKUP(A87,Xtal_Templ!A:B,2,FALSE)</f>
        <v>agtr1_human</v>
      </c>
      <c r="C87" s="5">
        <f>VLOOKUP($B87&amp;"__wt",'SegEnds_Xtal_BW#'!$A:$Z,3,FALSE)</f>
        <v>30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66</v>
      </c>
      <c r="I87" s="1">
        <f>VLOOKUP($B87&amp;"__wt",'SegEnds_Xtal_BW#'!$A:$Z,9,FALSE)</f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9">
        <v>38</v>
      </c>
      <c r="P87" s="1">
        <f>VLOOKUP($B87&amp;"__wt",'SegEnds_Xtal_BW#'!$A:$Z,16,FALSE)</f>
        <v>64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34</v>
      </c>
      <c r="T87" s="1">
        <f t="array" ref="T87">INDEX('ICL3'!$G$2:$G$40,MATCH(MIN(ABS(AH87-'ICL3'!$F$2:$F$40)),ABS(AH87-'ICL3'!$F$2:$F$40),0))</f>
        <v>68</v>
      </c>
      <c r="U87" s="1">
        <f t="array" ref="U87">INDEX('ICL3'!$H$2:$H$40,MATCH(MIN(ABS(AH87-'ICL3'!$F$2:$F$40)),ABS(AH87-'ICL3'!$F$2:$F$40),0))</f>
        <v>30</v>
      </c>
      <c r="V87" s="1">
        <v>61</v>
      </c>
      <c r="W87" s="1">
        <v>28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61</v>
      </c>
      <c r="AA87" s="27" t="str">
        <f>VLOOKUP(A87,Classification!A:B,2,FALSE)</f>
        <v>A</v>
      </c>
      <c r="AB87" s="1" t="e">
        <f>VLOOKUP(A87,'SegEnds_NonXtal_Prot#'!A:AL,10,FALSE)-VLOOKUP(A87,'SegEnds_NonXtal_Prot#'!A:AL,7,FALSE)</f>
        <v>#VALUE!</v>
      </c>
      <c r="AC87" s="1">
        <f>VLOOKUP(A87,'SegEnds_NonXtal_Prot#'!A:AL,13,FALSE)-VLOOKUP(A87,'SegEnds_NonXtal_Prot#'!A:AL,10,FALSE)</f>
        <v>20</v>
      </c>
      <c r="AD87" s="1">
        <f>VLOOKUP(A87,'SegEnds_NonXtal_Prot#'!A:AL,16,FALSE)-VLOOKUP(A87,'SegEnds_NonXtal_Prot#'!A:AL,10,FALSE)</f>
        <v>52</v>
      </c>
      <c r="AE87" s="1">
        <f>VLOOKUP(A87,'SegEnds_NonXtal_Prot#'!A:AL,22,FALSE)-VLOOKUP(A87,'SegEnds_NonXtal_Prot#'!A:AL,19,FALSE)</f>
        <v>20</v>
      </c>
      <c r="AF87" s="1">
        <f>VLOOKUP(A87,'SegEnds_NonXtal_Prot#'!A:AL,28,FALSE)-VLOOKUP(A87,'SegEnds_NonXtal_Prot#'!A:AL,25,FALSE)</f>
        <v>43</v>
      </c>
      <c r="AG87" s="1">
        <f>VLOOKUP(A87,'SegEnds_NonXtal_Prot#'!A:AL,28,FALSE)-VLOOKUP(A87,'SegEnds_NonXtal_Prot#'!A:AL,22,FALSE)</f>
        <v>68</v>
      </c>
      <c r="AH87" s="1">
        <f>VLOOKUP(A87,'SegEnds_NonXtal_Prot#'!A:AL,31,FALSE)-VLOOKUP(A87,'SegEnds_NonXtal_Prot#'!A:AL,28,FALSE)</f>
        <v>43</v>
      </c>
      <c r="AI87" s="1">
        <f>VLOOKUP(A87,'SegEnds_NonXtal_Prot#'!A:AL,34,FALSE)-VLOOKUP(A87,'SegEnds_NonXtal_Prot#'!A:AL,31,FALSE)</f>
        <v>38</v>
      </c>
      <c r="AJ87" s="1" t="str">
        <f>IF(ISERROR(MATCH(A87,'SegEnds_Xtal_Prot#'!B:B, 0)), "NoXtal", "Xtal")</f>
        <v>NoXtal</v>
      </c>
    </row>
    <row r="88" spans="1:36" x14ac:dyDescent="0.2">
      <c r="A88" s="1" t="s">
        <v>182</v>
      </c>
      <c r="B88" s="1" t="str">
        <f>VLOOKUP(A88,Xtal_Templ!A:B,2,FALSE)</f>
        <v>cnr1_human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f>VLOOKUP($B88&amp;"__wt",'SegEnds_Xtal_BW#'!$A:$Z,7,FALSE)</f>
        <v>37</v>
      </c>
      <c r="H88" s="12">
        <f>VLOOKUP($B88&amp;"__wt",'SegEnds_Xtal_BW#'!$A:$Z,8,FALSE)</f>
        <v>66</v>
      </c>
      <c r="I88" s="1" t="str">
        <f>VLOOKUP($B88&amp;"__wt",'SegEnds_Xtal_BW#'!$A:$Z,9,FALSE)</f>
        <v>-</v>
      </c>
      <c r="J88" s="1" t="str">
        <f>VLOOKUP($B88&amp;"__wt",'SegEnds_Xtal_BW#'!$A:$Z,10,FALSE)</f>
        <v>-</v>
      </c>
      <c r="K88" s="12">
        <f>VLOOKUP($B88&amp;"__wt",'SegEnds_Xtal_BW#'!$A:$Z,11,FALSE)</f>
        <v>21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57</v>
      </c>
      <c r="O88" s="89">
        <f>VLOOKUP($B88&amp;"__wt",'SegEnds_Xtal_BW#'!$A:$Z,15,FALSE)</f>
        <v>38</v>
      </c>
      <c r="P88" s="1">
        <f>VLOOKUP($B88&amp;"__wt",'SegEnds_Xtal_BW#'!$A:$Z,16,FALSE)</f>
        <v>63</v>
      </c>
      <c r="Q88" s="1" t="str">
        <f>VLOOKUP($B88&amp;"__wt",'SegEnds_Xtal_BW#'!$A:$Z,17,FALSE)</f>
        <v>-</v>
      </c>
      <c r="R88" s="1" t="str">
        <f>VLOOKUP($B88&amp;"__wt",'SegEnds_Xtal_BW#'!$A:$Z,18,FALSE)</f>
        <v>-</v>
      </c>
      <c r="S88" s="1">
        <f>VLOOKUP($B88&amp;"__wt",'SegEnds_Xtal_BW#'!$A:$Z,19,FALSE)</f>
        <v>36</v>
      </c>
      <c r="T88" s="1">
        <f t="array" ref="T88">INDEX('ICL3'!$G$2:$G$40,MATCH(MIN(ABS(AH88-'ICL3'!$F$2:$F$40)),ABS(AH88-'ICL3'!$F$2:$F$40),0))</f>
        <v>76</v>
      </c>
      <c r="U88" s="1">
        <f t="array" ref="U88">INDEX('ICL3'!$H$2:$H$40,MATCH(MIN(ABS(AH88-'ICL3'!$F$2:$F$40)),ABS(AH88-'ICL3'!$F$2:$F$40),0))</f>
        <v>24</v>
      </c>
      <c r="V88" s="1">
        <f>VLOOKUP($B88&amp;"__wt",'SegEnds_Xtal_BW#'!$A:$Z,22,FALSE)</f>
        <v>61</v>
      </c>
      <c r="W88" s="1">
        <f>VLOOKUP($B88&amp;"__wt",'SegEnds_Xtal_BW#'!$A:$Z,23,FALSE)</f>
        <v>28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VLOOKUP(A88,'SegEnds_NonXtal_Prot#'!A:AL,10,FALSE)-VLOOKUP(A88,'SegEnds_NonXtal_Prot#'!A:AL,7,FALSE)</f>
        <v>16</v>
      </c>
      <c r="AC88" s="1" t="e">
        <f>VLOOKUP(A88,'SegEnds_NonXtal_Prot#'!A:AL,13,FALSE)-VLOOKUP(A88,'SegEnds_NonXtal_Prot#'!A:AL,10,FALSE)</f>
        <v>#VALUE!</v>
      </c>
      <c r="AD88" s="1">
        <f>VLOOKUP(A88,'SegEnds_NonXtal_Prot#'!A:AL,16,FALSE)-VLOOKUP(A88,'SegEnds_NonXtal_Prot#'!A:AL,10,FALSE)</f>
        <v>51</v>
      </c>
      <c r="AE88" s="1">
        <f>VLOOKUP(A88,'SegEnds_NonXtal_Prot#'!A:AL,22,FALSE)-VLOOKUP(A88,'SegEnds_NonXtal_Prot#'!A:AL,19,FALSE)</f>
        <v>20</v>
      </c>
      <c r="AF88" s="1" t="e">
        <f>VLOOKUP(A88,'SegEnds_NonXtal_Prot#'!A:AL,28,FALSE)-VLOOKUP(A88,'SegEnds_NonXtal_Prot#'!A:AL,25,FALSE)</f>
        <v>#VALUE!</v>
      </c>
      <c r="AG88" s="1">
        <f>VLOOKUP(A88,'SegEnds_NonXtal_Prot#'!A:AL,28,FALSE)-VLOOKUP(A88,'SegEnds_NonXtal_Prot#'!A:AL,22,FALSE)</f>
        <v>45</v>
      </c>
      <c r="AH88" s="1">
        <f>VLOOKUP(A88,'SegEnds_NonXtal_Prot#'!A:AL,31,FALSE)-VLOOKUP(A88,'SegEnds_NonXtal_Prot#'!A:AL,28,FALSE)</f>
        <v>72</v>
      </c>
      <c r="AI88" s="1">
        <f>VLOOKUP(A88,'SegEnds_NonXtal_Prot#'!A:AL,34,FALSE)-VLOOKUP(A88,'SegEnds_NonXtal_Prot#'!A:AL,31,FALSE)</f>
        <v>36</v>
      </c>
      <c r="AJ88" s="1" t="str">
        <f>IF(ISERROR(MATCH(A88,'SegEnds_Xtal_Prot#'!B:B, 0)), "NoXtal", "Xtal")</f>
        <v>Xtal</v>
      </c>
    </row>
    <row r="89" spans="1:36" x14ac:dyDescent="0.2">
      <c r="A89" s="1" t="s">
        <v>183</v>
      </c>
      <c r="B89" s="1" t="str">
        <f>VLOOKUP(A89,Xtal_Templ!A:B,2,FALSE)</f>
        <v>cnr1_human</v>
      </c>
      <c r="C89" s="5">
        <f>VLOOKUP($B89&amp;"__wt",'SegEnds_Xtal_BW#'!$A:$Z,3,FALSE)</f>
        <v>28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v>66</v>
      </c>
      <c r="I89" s="1">
        <v>48</v>
      </c>
      <c r="J89" s="1">
        <v>52</v>
      </c>
      <c r="K89" s="12">
        <v>21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9">
        <f>VLOOKUP($B89&amp;"__wt",'SegEnds_Xtal_BW#'!$A:$Z,15,FALSE)</f>
        <v>38</v>
      </c>
      <c r="P89" s="1">
        <f>VLOOKUP($B89&amp;"__wt",'SegEnds_Xtal_BW#'!$A:$Z,16,FALSE)</f>
        <v>63</v>
      </c>
      <c r="Q89" s="1" t="str">
        <f>VLOOKUP($B89&amp;"__wt",'SegEnds_Xtal_BW#'!$A:$Z,17,FALSE)</f>
        <v>-</v>
      </c>
      <c r="R89" s="1" t="str">
        <f>VLOOKUP($B89&amp;"__wt",'SegEnds_Xtal_BW#'!$A:$Z,18,FALSE)</f>
        <v>-</v>
      </c>
      <c r="S89" s="1">
        <f>VLOOKUP($B89&amp;"__wt",'SegEnds_Xtal_BW#'!$A:$Z,19,FALSE)</f>
        <v>36</v>
      </c>
      <c r="T89" s="1">
        <f t="array" ref="T89">INDEX('ICL3'!$G$2:$G$40,MATCH(MIN(ABS(AH89-'ICL3'!$F$2:$F$40)),ABS(AH89-'ICL3'!$F$2:$F$40),0))</f>
        <v>74</v>
      </c>
      <c r="U89" s="1">
        <f t="array" ref="U89">INDEX('ICL3'!$H$2:$H$40,MATCH(MIN(ABS(AH89-'ICL3'!$F$2:$F$40)),ABS(AH89-'ICL3'!$F$2:$F$40),0))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VLOOKUP(A89,'SegEnds_NonXtal_Prot#'!A:AL,10,FALSE)-VLOOKUP(A89,'SegEnds_NonXtal_Prot#'!A:AL,7,FALSE)</f>
        <v>16</v>
      </c>
      <c r="AC89" s="1" t="e">
        <f>VLOOKUP(A89,'SegEnds_NonXtal_Prot#'!A:AL,13,FALSE)-VLOOKUP(A89,'SegEnds_NonXtal_Prot#'!A:AL,10,FALSE)</f>
        <v>#VALUE!</v>
      </c>
      <c r="AD89" s="1">
        <f>VLOOKUP(A89,'SegEnds_NonXtal_Prot#'!A:AL,16,FALSE)-VLOOKUP(A89,'SegEnds_NonXtal_Prot#'!A:AL,10,FALSE)</f>
        <v>51</v>
      </c>
      <c r="AE89" s="1">
        <f>VLOOKUP(A89,'SegEnds_NonXtal_Prot#'!A:AL,22,FALSE)-VLOOKUP(A89,'SegEnds_NonXtal_Prot#'!A:AL,19,FALSE)</f>
        <v>20</v>
      </c>
      <c r="AF89" s="1" t="e">
        <f>VLOOKUP(A89,'SegEnds_NonXtal_Prot#'!A:AL,28,FALSE)-VLOOKUP(A89,'SegEnds_NonXtal_Prot#'!A:AL,25,FALSE)</f>
        <v>#VALUE!</v>
      </c>
      <c r="AG89" s="1">
        <f>VLOOKUP(A89,'SegEnds_NonXtal_Prot#'!A:AL,28,FALSE)-VLOOKUP(A89,'SegEnds_NonXtal_Prot#'!A:AL,22,FALSE)</f>
        <v>43</v>
      </c>
      <c r="AH89" s="1">
        <f>VLOOKUP(A89,'SegEnds_NonXtal_Prot#'!A:AL,31,FALSE)-VLOOKUP(A89,'SegEnds_NonXtal_Prot#'!A:AL,28,FALSE)</f>
        <v>59</v>
      </c>
      <c r="AI89" s="1">
        <f>VLOOKUP(A89,'SegEnds_NonXtal_Prot#'!A:AL,34,FALSE)-VLOOKUP(A89,'SegEnds_NonXtal_Prot#'!A:AL,31,FALSE)</f>
        <v>36</v>
      </c>
      <c r="AJ89" s="1" t="str">
        <f>IF(ISERROR(MATCH(A89,'SegEnds_Xtal_Prot#'!B:B, 0)), "NoXtal", "Xtal")</f>
        <v>NoXtal</v>
      </c>
    </row>
    <row r="90" spans="1:36" x14ac:dyDescent="0.2">
      <c r="A90" s="1" t="s">
        <v>184</v>
      </c>
      <c r="B90" s="1" t="str">
        <f>VLOOKUP(A90,Xtal_Templ!A:B,2,FALSE)</f>
        <v>ccr5_human</v>
      </c>
      <c r="C90" s="5">
        <f>VLOOKUP($B90&amp;"__wt",'SegEnds_Xtal_BW#'!$A:$Z,3,FALSE)</f>
        <v>24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v>66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24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2">
        <v>57</v>
      </c>
      <c r="O90" s="89">
        <v>38</v>
      </c>
      <c r="P90" s="1">
        <f>VLOOKUP($B90&amp;"__wt",'SegEnds_Xtal_BW#'!$A:$Z,16,FALSE)</f>
        <v>64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30</v>
      </c>
      <c r="T90" s="1">
        <f t="array" ref="T90">INDEX('ICL3'!$G$2:$G$40,MATCH(MIN(ABS(AH90-'ICL3'!$F$2:$F$40)),ABS(AH90-'ICL3'!$F$2:$F$40),0))</f>
        <v>68</v>
      </c>
      <c r="U90" s="1">
        <f t="array" ref="U90">INDEX('ICL3'!$H$2:$H$40,MATCH(MIN(ABS(AH90-'ICL3'!$F$2:$F$40)),ABS(AH90-'ICL3'!$F$2:$F$40),0))</f>
        <v>30</v>
      </c>
      <c r="V90" s="1">
        <v>64</v>
      </c>
      <c r="W90" s="1">
        <v>24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VLOOKUP(A90,'SegEnds_NonXtal_Prot#'!A:AL,10,FALSE)-VLOOKUP(A90,'SegEnds_NonXtal_Prot#'!A:AL,7,FALSE)</f>
        <v>15</v>
      </c>
      <c r="AC90" s="1" t="e">
        <f>VLOOKUP(A90,'SegEnds_NonXtal_Prot#'!A:AL,13,FALSE)-VLOOKUP(A90,'SegEnds_NonXtal_Prot#'!A:AL,10,FALSE)</f>
        <v>#VALUE!</v>
      </c>
      <c r="AD90" s="1">
        <f>VLOOKUP(A90,'SegEnds_NonXtal_Prot#'!A:AL,16,FALSE)-VLOOKUP(A90,'SegEnds_NonXtal_Prot#'!A:AL,10,FALSE)</f>
        <v>50</v>
      </c>
      <c r="AE90" s="1">
        <f>VLOOKUP(A90,'SegEnds_NonXtal_Prot#'!A:AL,22,FALSE)-VLOOKUP(A90,'SegEnds_NonXtal_Prot#'!A:AL,19,FALSE)</f>
        <v>20</v>
      </c>
      <c r="AF90" s="1">
        <f>VLOOKUP(A90,'SegEnds_NonXtal_Prot#'!A:AL,28,FALSE)-VLOOKUP(A90,'SegEnds_NonXtal_Prot#'!A:AL,25,FALSE)</f>
        <v>28</v>
      </c>
      <c r="AG90" s="1">
        <f>VLOOKUP(A90,'SegEnds_NonXtal_Prot#'!A:AL,28,FALSE)-VLOOKUP(A90,'SegEnds_NonXtal_Prot#'!A:AL,22,FALSE)</f>
        <v>49</v>
      </c>
      <c r="AH90" s="1">
        <f>VLOOKUP(A90,'SegEnds_NonXtal_Prot#'!A:AL,31,FALSE)-VLOOKUP(A90,'SegEnds_NonXtal_Prot#'!A:AL,28,FALSE)</f>
        <v>43</v>
      </c>
      <c r="AI90" s="1">
        <f>VLOOKUP(A90,'SegEnds_NonXtal_Prot#'!A:AL,34,FALSE)-VLOOKUP(A90,'SegEnds_NonXtal_Prot#'!A:AL,31,FALSE)</f>
        <v>44</v>
      </c>
      <c r="AJ90" s="1" t="str">
        <f>IF(ISERROR(MATCH(A90,'SegEnds_Xtal_Prot#'!B:B, 0)), "NoXtal", "Xtal")</f>
        <v>NoXtal</v>
      </c>
    </row>
    <row r="91" spans="1:36" x14ac:dyDescent="0.2">
      <c r="A91" s="1" t="s">
        <v>187</v>
      </c>
      <c r="B91" s="1" t="str">
        <f>VLOOKUP(A91,Xtal_Templ!A:B,2,FALSE)</f>
        <v>cxcr4_human</v>
      </c>
      <c r="C91" s="5">
        <f>VLOOKUP($B91&amp;"__wt",'SegEnds_Xtal_BW#'!$A:$Z,3,FALSE)</f>
        <v>24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v>66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24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2">
        <v>57</v>
      </c>
      <c r="O91" s="89">
        <v>38</v>
      </c>
      <c r="P91" s="1">
        <f>VLOOKUP($B91&amp;"__wt",'SegEnds_Xtal_BW#'!$A:$Z,16,FALSE)</f>
        <v>64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32</v>
      </c>
      <c r="T91" s="1">
        <f t="array" ref="T91">INDEX('ICL3'!$G$2:$G$40,MATCH(MIN(ABS(AH91-'ICL3'!$F$2:$F$40)),ABS(AH91-'ICL3'!$F$2:$F$40),0))</f>
        <v>68</v>
      </c>
      <c r="U91" s="1">
        <f t="array" ref="U91">INDEX('ICL3'!$H$2:$H$40,MATCH(MIN(ABS(AH91-'ICL3'!$F$2:$F$40)),ABS(AH91-'ICL3'!$F$2:$F$40),0))</f>
        <v>30</v>
      </c>
      <c r="V91" s="1">
        <v>64</v>
      </c>
      <c r="W91" s="1">
        <v>24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VLOOKUP(A91,'SegEnds_NonXtal_Prot#'!A:AL,10,FALSE)-VLOOKUP(A91,'SegEnds_NonXtal_Prot#'!A:AL,7,FALSE)</f>
        <v>15</v>
      </c>
      <c r="AC91" s="1">
        <f>VLOOKUP(A91,'SegEnds_NonXtal_Prot#'!A:AL,13,FALSE)-VLOOKUP(A91,'SegEnds_NonXtal_Prot#'!A:AL,10,FALSE)</f>
        <v>18</v>
      </c>
      <c r="AD91" s="1">
        <f>VLOOKUP(A91,'SegEnds_NonXtal_Prot#'!A:AL,16,FALSE)-VLOOKUP(A91,'SegEnds_NonXtal_Prot#'!A:AL,10,FALSE)</f>
        <v>50</v>
      </c>
      <c r="AE91" s="1">
        <f>VLOOKUP(A91,'SegEnds_NonXtal_Prot#'!A:AL,22,FALSE)-VLOOKUP(A91,'SegEnds_NonXtal_Prot#'!A:AL,19,FALSE)</f>
        <v>20</v>
      </c>
      <c r="AF91" s="1">
        <f>VLOOKUP(A91,'SegEnds_NonXtal_Prot#'!A:AL,28,FALSE)-VLOOKUP(A91,'SegEnds_NonXtal_Prot#'!A:AL,25,FALSE)</f>
        <v>24</v>
      </c>
      <c r="AG91" s="1">
        <f>VLOOKUP(A91,'SegEnds_NonXtal_Prot#'!A:AL,28,FALSE)-VLOOKUP(A91,'SegEnds_NonXtal_Prot#'!A:AL,22,FALSE)</f>
        <v>51</v>
      </c>
      <c r="AH91" s="1">
        <f>VLOOKUP(A91,'SegEnds_NonXtal_Prot#'!A:AL,31,FALSE)-VLOOKUP(A91,'SegEnds_NonXtal_Prot#'!A:AL,28,FALSE)</f>
        <v>43</v>
      </c>
      <c r="AI91" s="1">
        <f>VLOOKUP(A91,'SegEnds_NonXtal_Prot#'!A:AL,34,FALSE)-VLOOKUP(A91,'SegEnds_NonXtal_Prot#'!A:AL,31,FALSE)</f>
        <v>45</v>
      </c>
      <c r="AJ91" s="1" t="str">
        <f>IF(ISERROR(MATCH(A91,'SegEnds_Xtal_Prot#'!B:B, 0)), "NoXtal", "Xtal")</f>
        <v>NoXtal</v>
      </c>
    </row>
    <row r="92" spans="1:36" x14ac:dyDescent="0.2">
      <c r="A92" s="1" t="s">
        <v>1172</v>
      </c>
      <c r="B92" s="1" t="str">
        <f>VLOOKUP(A92,Xtal_Templ!A:B,2,FALSE)</f>
        <v>cxcr4_human</v>
      </c>
      <c r="C92" s="5">
        <f>VLOOKUP($B92&amp;"__wt",'SegEnds_Xtal_BW#'!$A:$Z,3,FALSE)</f>
        <v>24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v>66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24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2">
        <f>VLOOKUP($B92&amp;"__wt",'SegEnds_Xtal_BW#'!$A:$Z,14,FALSE)</f>
        <v>57</v>
      </c>
      <c r="O92" s="89">
        <f>VLOOKUP($B92&amp;"__wt",'SegEnds_Xtal_BW#'!$A:$Z,15,FALSE)</f>
        <v>38</v>
      </c>
      <c r="P92" s="1">
        <f>VLOOKUP($B92&amp;"__wt",'SegEnds_Xtal_BW#'!$A:$Z,16,FALSE)</f>
        <v>64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32</v>
      </c>
      <c r="T92" s="1">
        <f t="array" ref="T92">INDEX('ICL3'!$G$2:$G$40,MATCH(MIN(ABS(AH92-'ICL3'!$F$2:$F$40)),ABS(AH92-'ICL3'!$F$2:$F$40),0))</f>
        <v>68</v>
      </c>
      <c r="U92" s="1">
        <f t="array" ref="U92">INDEX('ICL3'!$H$2:$H$40,MATCH(MIN(ABS(AH92-'ICL3'!$F$2:$F$40)),ABS(AH92-'ICL3'!$F$2:$F$40),0))</f>
        <v>30</v>
      </c>
      <c r="V92" s="1">
        <v>64</v>
      </c>
      <c r="W92" s="1">
        <v>24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VLOOKUP(A92,'SegEnds_NonXtal_Prot#'!A:AL,10,FALSE)-VLOOKUP(A92,'SegEnds_NonXtal_Prot#'!A:AL,7,FALSE)</f>
        <v>15</v>
      </c>
      <c r="AC92" s="1">
        <f>VLOOKUP(A92,'SegEnds_NonXtal_Prot#'!A:AL,13,FALSE)-VLOOKUP(A92,'SegEnds_NonXtal_Prot#'!A:AL,10,FALSE)</f>
        <v>18</v>
      </c>
      <c r="AD92" s="1">
        <f>VLOOKUP(A92,'SegEnds_NonXtal_Prot#'!A:AL,16,FALSE)-VLOOKUP(A92,'SegEnds_NonXtal_Prot#'!A:AL,10,FALSE)</f>
        <v>50</v>
      </c>
      <c r="AE92" s="1">
        <f>VLOOKUP(A92,'SegEnds_NonXtal_Prot#'!A:AL,22,FALSE)-VLOOKUP(A92,'SegEnds_NonXtal_Prot#'!A:AL,19,FALSE)</f>
        <v>20</v>
      </c>
      <c r="AF92" s="1">
        <f>VLOOKUP(A92,'SegEnds_NonXtal_Prot#'!A:AL,28,FALSE)-VLOOKUP(A92,'SegEnds_NonXtal_Prot#'!A:AL,25,FALSE)</f>
        <v>25</v>
      </c>
      <c r="AG92" s="1">
        <f>VLOOKUP(A92,'SegEnds_NonXtal_Prot#'!A:AL,28,FALSE)-VLOOKUP(A92,'SegEnds_NonXtal_Prot#'!A:AL,22,FALSE)</f>
        <v>50</v>
      </c>
      <c r="AH92" s="1">
        <f>VLOOKUP(A92,'SegEnds_NonXtal_Prot#'!A:AL,31,FALSE)-VLOOKUP(A92,'SegEnds_NonXtal_Prot#'!A:AL,28,FALSE)</f>
        <v>43</v>
      </c>
      <c r="AI92" s="1">
        <f>VLOOKUP(A92,'SegEnds_NonXtal_Prot#'!A:AL,34,FALSE)-VLOOKUP(A92,'SegEnds_NonXtal_Prot#'!A:AL,31,FALSE)</f>
        <v>45</v>
      </c>
      <c r="AJ92" s="1" t="str">
        <f>IF(ISERROR(MATCH(A92,'SegEnds_Xtal_Prot#'!B:B, 0)), "NoXtal", "Xtal")</f>
        <v>Xtal</v>
      </c>
    </row>
    <row r="93" spans="1:36" x14ac:dyDescent="0.2">
      <c r="A93" s="1" t="s">
        <v>188</v>
      </c>
      <c r="B93" s="1" t="str">
        <f>VLOOKUP(A93,Xtal_Templ!A:B,2,FALSE)</f>
        <v>cxcr4_human</v>
      </c>
      <c r="C93" s="5">
        <f>VLOOKUP($B93&amp;"__wt",'SegEnds_Xtal_BW#'!$A:$Z,3,FALSE)</f>
        <v>24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v>66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24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2">
        <v>57</v>
      </c>
      <c r="O93" s="89">
        <v>38</v>
      </c>
      <c r="P93" s="1">
        <f>VLOOKUP($B93&amp;"__wt",'SegEnds_Xtal_BW#'!$A:$Z,16,FALSE)</f>
        <v>64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32</v>
      </c>
      <c r="T93" s="1">
        <f t="array" ref="T93">INDEX('ICL3'!$G$2:$G$40,MATCH(MIN(ABS(AH93-'ICL3'!$F$2:$F$40)),ABS(AH93-'ICL3'!$F$2:$F$40),0))</f>
        <v>68</v>
      </c>
      <c r="U93" s="1">
        <f t="array" ref="U93">INDEX('ICL3'!$H$2:$H$40,MATCH(MIN(ABS(AH93-'ICL3'!$F$2:$F$40)),ABS(AH93-'ICL3'!$F$2:$F$40),0))</f>
        <v>28</v>
      </c>
      <c r="V93" s="1">
        <v>64</v>
      </c>
      <c r="W93" s="1">
        <v>24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VLOOKUP(A93,'SegEnds_NonXtal_Prot#'!A:AL,10,FALSE)-VLOOKUP(A93,'SegEnds_NonXtal_Prot#'!A:AL,7,FALSE)</f>
        <v>15</v>
      </c>
      <c r="AC93" s="1">
        <f>VLOOKUP(A93,'SegEnds_NonXtal_Prot#'!A:AL,13,FALSE)-VLOOKUP(A93,'SegEnds_NonXtal_Prot#'!A:AL,10,FALSE)</f>
        <v>18</v>
      </c>
      <c r="AD93" s="1">
        <f>VLOOKUP(A93,'SegEnds_NonXtal_Prot#'!A:AL,16,FALSE)-VLOOKUP(A93,'SegEnds_NonXtal_Prot#'!A:AL,10,FALSE)</f>
        <v>50</v>
      </c>
      <c r="AE93" s="1">
        <f>VLOOKUP(A93,'SegEnds_NonXtal_Prot#'!A:AL,22,FALSE)-VLOOKUP(A93,'SegEnds_NonXtal_Prot#'!A:AL,19,FALSE)</f>
        <v>20</v>
      </c>
      <c r="AF93" s="1">
        <f>VLOOKUP(A93,'SegEnds_NonXtal_Prot#'!A:AL,28,FALSE)-VLOOKUP(A93,'SegEnds_NonXtal_Prot#'!A:AL,25,FALSE)</f>
        <v>28</v>
      </c>
      <c r="AG93" s="1">
        <f>VLOOKUP(A93,'SegEnds_NonXtal_Prot#'!A:AL,28,FALSE)-VLOOKUP(A93,'SegEnds_NonXtal_Prot#'!A:AL,22,FALSE)</f>
        <v>56</v>
      </c>
      <c r="AH93" s="1">
        <f>VLOOKUP(A93,'SegEnds_NonXtal_Prot#'!A:AL,31,FALSE)-VLOOKUP(A93,'SegEnds_NonXtal_Prot#'!A:AL,28,FALSE)</f>
        <v>44</v>
      </c>
      <c r="AI93" s="1">
        <f>VLOOKUP(A93,'SegEnds_NonXtal_Prot#'!A:AL,34,FALSE)-VLOOKUP(A93,'SegEnds_NonXtal_Prot#'!A:AL,31,FALSE)</f>
        <v>45</v>
      </c>
      <c r="AJ93" s="1" t="str">
        <f>IF(ISERROR(MATCH(A93,'SegEnds_Xtal_Prot#'!B:B, 0)), "NoXtal", "Xtal")</f>
        <v>NoXtal</v>
      </c>
    </row>
    <row r="94" spans="1:36" x14ac:dyDescent="0.2">
      <c r="A94" s="1" t="s">
        <v>190</v>
      </c>
      <c r="B94" s="1" t="str">
        <f>VLOOKUP(A94,Xtal_Templ!A:B,2,FALSE)</f>
        <v>adrb2_human</v>
      </c>
      <c r="C94" s="5">
        <f>VLOOKUP($B94&amp;"__wt",'SegEnds_Xtal_BW#'!$A:$Z,3,FALSE)</f>
        <v>25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v>66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21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v>57</v>
      </c>
      <c r="O94" s="89">
        <v>38</v>
      </c>
      <c r="P94" s="1">
        <f>VLOOKUP($B94&amp;"__wt",'SegEnds_Xtal_BW#'!$A:$Z,16,FALSE)</f>
        <v>64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v>35</v>
      </c>
      <c r="T94" s="1">
        <f t="array" ref="T94">INDEX('ICL3'!$G$2:$G$40,MATCH(MIN(ABS(AH94-'ICL3'!$F$2:$F$40)),ABS(AH94-'ICL3'!$F$2:$F$40),0))</f>
        <v>76</v>
      </c>
      <c r="U94" s="1">
        <f t="array" ref="U94">INDEX('ICL3'!$H$2:$H$40,MATCH(MIN(ABS(AH94-'ICL3'!$F$2:$F$40)),ABS(AH94-'ICL3'!$F$2:$F$40),0))</f>
        <v>24</v>
      </c>
      <c r="V94" s="1">
        <v>61</v>
      </c>
      <c r="W94" s="1">
        <v>28</v>
      </c>
      <c r="X94" s="1">
        <f>VLOOKUP($B94&amp;"__wt",'SegEnds_Xtal_BW#'!$A:$Z,24,FALSE)</f>
        <v>55</v>
      </c>
      <c r="Y94" s="1">
        <f>VLOOKUP($B94&amp;"__wt",'SegEnds_Xtal_BW#'!$A:$Z,25,FALSE)</f>
        <v>47</v>
      </c>
      <c r="Z94" s="1">
        <f>VLOOKUP($B94&amp;"__wt",'SegEnds_Xtal_BW#'!$A:$Z,26,FALSE)</f>
        <v>59</v>
      </c>
      <c r="AA94" s="27" t="str">
        <f>VLOOKUP(A94,Classification!A:B,2,FALSE)</f>
        <v>A</v>
      </c>
      <c r="AB94" s="1">
        <f>VLOOKUP(A94,'SegEnds_NonXtal_Prot#'!A:AL,10,FALSE)-VLOOKUP(A94,'SegEnds_NonXtal_Prot#'!A:AL,7,FALSE)</f>
        <v>16</v>
      </c>
      <c r="AC94" s="1">
        <f>VLOOKUP(A94,'SegEnds_NonXtal_Prot#'!A:AL,13,FALSE)-VLOOKUP(A94,'SegEnds_NonXtal_Prot#'!A:AL,10,FALSE)</f>
        <v>20</v>
      </c>
      <c r="AD94" s="1">
        <f>VLOOKUP(A94,'SegEnds_NonXtal_Prot#'!A:AL,16,FALSE)-VLOOKUP(A94,'SegEnds_NonXtal_Prot#'!A:AL,10,FALSE)</f>
        <v>51</v>
      </c>
      <c r="AE94" s="1">
        <f>VLOOKUP(A94,'SegEnds_NonXtal_Prot#'!A:AL,22,FALSE)-VLOOKUP(A94,'SegEnds_NonXtal_Prot#'!A:AL,19,FALSE)</f>
        <v>20</v>
      </c>
      <c r="AF94" s="1">
        <f>VLOOKUP(A94,'SegEnds_NonXtal_Prot#'!A:AL,28,FALSE)-VLOOKUP(A94,'SegEnds_NonXtal_Prot#'!A:AL,25,FALSE)</f>
        <v>20</v>
      </c>
      <c r="AG94" s="1">
        <f>VLOOKUP(A94,'SegEnds_NonXtal_Prot#'!A:AL,28,FALSE)-VLOOKUP(A94,'SegEnds_NonXtal_Prot#'!A:AL,22,FALSE)</f>
        <v>58</v>
      </c>
      <c r="AH94" s="1">
        <f>VLOOKUP(A94,'SegEnds_NonXtal_Prot#'!A:AL,31,FALSE)-VLOOKUP(A94,'SegEnds_NonXtal_Prot#'!A:AL,28,FALSE)</f>
        <v>81</v>
      </c>
      <c r="AI94" s="1">
        <f>VLOOKUP(A94,'SegEnds_NonXtal_Prot#'!A:AL,34,FALSE)-VLOOKUP(A94,'SegEnds_NonXtal_Prot#'!A:AL,31,FALSE)</f>
        <v>41</v>
      </c>
      <c r="AJ94" s="1" t="str">
        <f>IF(ISERROR(MATCH(A94,'SegEnds_Xtal_Prot#'!B:B, 0)), "NoXtal", "Xtal")</f>
        <v>NoXtal</v>
      </c>
    </row>
    <row r="95" spans="1:36" x14ac:dyDescent="0.2">
      <c r="A95" s="1" t="s">
        <v>193</v>
      </c>
      <c r="B95" s="1" t="str">
        <f>VLOOKUP(A95,Xtal_Templ!A:B,2,FALSE)</f>
        <v>drd3_human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v>57</v>
      </c>
      <c r="O95" s="89">
        <f>VLOOKUP($B95&amp;"__wt",'SegEnds_Xtal_BW#'!$A:$Z,15,FALSE)</f>
        <v>38</v>
      </c>
      <c r="P95" s="1">
        <f>VLOOKUP($B95&amp;"__wt",'SegEnds_Xtal_BW#'!$A:$Z,16,FALSE)</f>
        <v>63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v>35</v>
      </c>
      <c r="T95" s="1">
        <f t="array" ref="T95">INDEX('ICL3'!$G$2:$G$40,MATCH(MIN(ABS(AH95-'ICL3'!$F$2:$F$40)),ABS(AH95-'ICL3'!$F$2:$F$40),0))</f>
        <v>75</v>
      </c>
      <c r="U95" s="1">
        <f t="array" ref="U95">INDEX('ICL3'!$H$2:$H$40,MATCH(MIN(ABS(AH95-'ICL3'!$F$2:$F$40)),ABS(AH95-'ICL3'!$F$2:$F$40),0))</f>
        <v>24</v>
      </c>
      <c r="V95" s="1">
        <v>60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VLOOKUP(A95,'SegEnds_NonXtal_Prot#'!A:AL,10,FALSE)-VLOOKUP(A95,'SegEnds_NonXtal_Prot#'!A:AL,7,FALSE)</f>
        <v>15</v>
      </c>
      <c r="AC95" s="1">
        <f>VLOOKUP(A95,'SegEnds_NonXtal_Prot#'!A:AL,13,FALSE)-VLOOKUP(A95,'SegEnds_NonXtal_Prot#'!A:AL,10,FALSE)</f>
        <v>21</v>
      </c>
      <c r="AD95" s="1">
        <f>VLOOKUP(A95,'SegEnds_NonXtal_Prot#'!A:AL,16,FALSE)-VLOOKUP(A95,'SegEnds_NonXtal_Prot#'!A:AL,10,FALSE)</f>
        <v>53</v>
      </c>
      <c r="AE95" s="1">
        <f>VLOOKUP(A95,'SegEnds_NonXtal_Prot#'!A:AL,22,FALSE)-VLOOKUP(A95,'SegEnds_NonXtal_Prot#'!A:AL,19,FALSE)</f>
        <v>20</v>
      </c>
      <c r="AF95" s="1">
        <f>VLOOKUP(A95,'SegEnds_NonXtal_Prot#'!A:AL,28,FALSE)-VLOOKUP(A95,'SegEnds_NonXtal_Prot#'!A:AL,25,FALSE)</f>
        <v>19</v>
      </c>
      <c r="AG95" s="1">
        <f>VLOOKUP(A95,'SegEnds_NonXtal_Prot#'!A:AL,28,FALSE)-VLOOKUP(A95,'SegEnds_NonXtal_Prot#'!A:AL,22,FALSE)</f>
        <v>44</v>
      </c>
      <c r="AH95" s="1">
        <f>VLOOKUP(A95,'SegEnds_NonXtal_Prot#'!A:AL,31,FALSE)-VLOOKUP(A95,'SegEnds_NonXtal_Prot#'!A:AL,28,FALSE)</f>
        <v>205</v>
      </c>
      <c r="AI95" s="1">
        <f>VLOOKUP(A95,'SegEnds_NonXtal_Prot#'!A:AL,34,FALSE)-VLOOKUP(A95,'SegEnds_NonXtal_Prot#'!A:AL,31,FALSE)</f>
        <v>36</v>
      </c>
      <c r="AJ95" s="1" t="str">
        <f>IF(ISERROR(MATCH(A95,'SegEnds_Xtal_Prot#'!B:B, 0)), "NoXtal", "Xtal")</f>
        <v>NoXtal</v>
      </c>
    </row>
    <row r="96" spans="1:36" x14ac:dyDescent="0.2">
      <c r="A96" s="1" t="s">
        <v>194</v>
      </c>
      <c r="B96" s="1" t="str">
        <f>VLOOKUP(A96,Xtal_Templ!A:B,2,FALSE)</f>
        <v>adrb2_human</v>
      </c>
      <c r="C96" s="5">
        <f>VLOOKUP($B96&amp;"__wt",'SegEnds_Xtal_BW#'!$A:$Z,3,FALSE)</f>
        <v>25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v>66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21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v>57</v>
      </c>
      <c r="O96" s="89">
        <v>38</v>
      </c>
      <c r="P96" s="1">
        <f>VLOOKUP($B96&amp;"__wt",'SegEnds_Xtal_BW#'!$A:$Z,16,FALSE)</f>
        <v>64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v>35</v>
      </c>
      <c r="T96" s="1">
        <f t="array" ref="T96">INDEX('ICL3'!$G$2:$G$40,MATCH(MIN(ABS(AH96-'ICL3'!$F$2:$F$40)),ABS(AH96-'ICL3'!$F$2:$F$40),0))</f>
        <v>76</v>
      </c>
      <c r="U96" s="1">
        <f t="array" ref="U96">INDEX('ICL3'!$H$2:$H$40,MATCH(MIN(ABS(AH96-'ICL3'!$F$2:$F$40)),ABS(AH96-'ICL3'!$F$2:$F$40),0))</f>
        <v>24</v>
      </c>
      <c r="V96" s="1">
        <v>64</v>
      </c>
      <c r="W96" s="1">
        <v>24</v>
      </c>
      <c r="X96" s="6">
        <f>VLOOKUP($B96&amp;"__wt",'SegEnds_Xtal_BW#'!$A:$Z,24,FALSE)</f>
        <v>55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VLOOKUP(A96,'SegEnds_NonXtal_Prot#'!A:AL,10,FALSE)-VLOOKUP(A96,'SegEnds_NonXtal_Prot#'!A:AL,7,FALSE)</f>
        <v>16</v>
      </c>
      <c r="AC96" s="1">
        <f>VLOOKUP(A96,'SegEnds_NonXtal_Prot#'!A:AL,13,FALSE)-VLOOKUP(A96,'SegEnds_NonXtal_Prot#'!A:AL,10,FALSE)</f>
        <v>20</v>
      </c>
      <c r="AD96" s="1">
        <f>VLOOKUP(A96,'SegEnds_NonXtal_Prot#'!A:AL,16,FALSE)-VLOOKUP(A96,'SegEnds_NonXtal_Prot#'!A:AL,10,FALSE)</f>
        <v>51</v>
      </c>
      <c r="AE96" s="1">
        <f>VLOOKUP(A96,'SegEnds_NonXtal_Prot#'!A:AL,22,FALSE)-VLOOKUP(A96,'SegEnds_NonXtal_Prot#'!A:AL,19,FALSE)</f>
        <v>20</v>
      </c>
      <c r="AF96" s="1">
        <f>VLOOKUP(A96,'SegEnds_NonXtal_Prot#'!A:AL,28,FALSE)-VLOOKUP(A96,'SegEnds_NonXtal_Prot#'!A:AL,25,FALSE)</f>
        <v>20</v>
      </c>
      <c r="AG96" s="1">
        <f>VLOOKUP(A96,'SegEnds_NonXtal_Prot#'!A:AL,28,FALSE)-VLOOKUP(A96,'SegEnds_NonXtal_Prot#'!A:AL,22,FALSE)</f>
        <v>72</v>
      </c>
      <c r="AH96" s="1">
        <f>VLOOKUP(A96,'SegEnds_NonXtal_Prot#'!A:AL,31,FALSE)-VLOOKUP(A96,'SegEnds_NonXtal_Prot#'!A:AL,28,FALSE)</f>
        <v>74</v>
      </c>
      <c r="AI96" s="1">
        <f>VLOOKUP(A96,'SegEnds_NonXtal_Prot#'!A:AL,34,FALSE)-VLOOKUP(A96,'SegEnds_NonXtal_Prot#'!A:AL,31,FALSE)</f>
        <v>45</v>
      </c>
      <c r="AJ96" s="1" t="str">
        <f>IF(ISERROR(MATCH(A96,'SegEnds_Xtal_Prot#'!B:B, 0)), "NoXtal", "Xtal")</f>
        <v>NoXtal</v>
      </c>
    </row>
    <row r="97" spans="1:36" x14ac:dyDescent="0.2">
      <c r="A97" s="1" t="s">
        <v>195</v>
      </c>
      <c r="B97" s="1" t="str">
        <f>VLOOKUP(A97,Xtal_Templ!A:B,2,FALSE)</f>
        <v>ednrb_human</v>
      </c>
      <c r="C97" s="5">
        <f>VLOOKUP($B97&amp;"__wt",'SegEnds_Xtal_BW#'!$A:$Z,3,FALSE)</f>
        <v>22</v>
      </c>
      <c r="D97" s="1">
        <f>VLOOKUP($B97&amp;"__wt",'SegEnds_Xtal_BW#'!$A:$Z,4,FALSE)</f>
        <v>60</v>
      </c>
      <c r="E97" s="1">
        <f>VLOOKUP($B97&amp;"__wt",'SegEnds_Xtal_BW#'!$A:$Z,5,FALSE)</f>
        <v>48</v>
      </c>
      <c r="F97" s="1">
        <f>VLOOKUP($B97&amp;"__wt",'SegEnds_Xtal_BW#'!$A:$Z,6,FALSE)</f>
        <v>52</v>
      </c>
      <c r="G97" s="1">
        <v>38</v>
      </c>
      <c r="H97" s="12">
        <v>67</v>
      </c>
      <c r="I97" s="1">
        <f>VLOOKUP($B97&amp;"__wt",'SegEnds_Xtal_BW#'!$A:$Z,9,FALSE)</f>
        <v>49</v>
      </c>
      <c r="J97" s="1">
        <f>VLOOKUP($B97&amp;"__wt",'SegEnds_Xtal_BW#'!$A:$Z,10,FALSE)</f>
        <v>52</v>
      </c>
      <c r="K97" s="9">
        <v>21</v>
      </c>
      <c r="L97" s="1">
        <f>VLOOKUP($B97&amp;"__wt",'SegEnds_Xtal_BW#'!$A:$Z,12,FALSE)</f>
        <v>56</v>
      </c>
      <c r="M97" s="1">
        <f>VLOOKUP($B97&amp;"__wt",'SegEnds_Xtal_BW#'!$A:$Z,13,FALSE)</f>
        <v>50</v>
      </c>
      <c r="N97" s="12">
        <v>57</v>
      </c>
      <c r="O97" s="89">
        <f>VLOOKUP($B97&amp;"__wt",'SegEnds_Xtal_BW#'!$A:$Z,15,FALSE)</f>
        <v>38</v>
      </c>
      <c r="P97" s="1">
        <f>VLOOKUP($B97&amp;"__wt",'SegEnds_Xtal_BW#'!$A:$Z,16,FALSE)</f>
        <v>64</v>
      </c>
      <c r="Q97" s="1">
        <f>VLOOKUP($B97&amp;"__wt",'SegEnds_Xtal_BW#'!$A:$Z,17,FALSE)</f>
        <v>50</v>
      </c>
      <c r="R97" s="1">
        <f>VLOOKUP($B97&amp;"__wt",'SegEnds_Xtal_BW#'!$A:$Z,18,FALSE)</f>
        <v>52</v>
      </c>
      <c r="S97" s="1">
        <f>VLOOKUP($B97&amp;"__wt",'SegEnds_Xtal_BW#'!$A:$Z,19,FALSE)</f>
        <v>29</v>
      </c>
      <c r="T97" s="1">
        <f t="array" ref="T97">INDEX('ICL3'!$G$2:$G$40,MATCH(MIN(ABS(AH97-'ICL3'!$F$2:$F$40)),ABS(AH97-'ICL3'!$F$2:$F$40),0))</f>
        <v>72</v>
      </c>
      <c r="U97" s="1">
        <f t="array" ref="U97">INDEX('ICL3'!$H$2:$H$40,MATCH(MIN(ABS(AH97-'ICL3'!$F$2:$F$40)),ABS(AH97-'ICL3'!$F$2:$F$40),0))</f>
        <v>24</v>
      </c>
      <c r="V97" s="1">
        <v>62</v>
      </c>
      <c r="W97" s="1">
        <v>24</v>
      </c>
      <c r="X97" s="1">
        <f>VLOOKUP($B97&amp;"__wt",'SegEnds_Xtal_BW#'!$A:$Z,24,FALSE)</f>
        <v>56</v>
      </c>
      <c r="Y97" s="1">
        <f>VLOOKUP($B97&amp;"__wt",'SegEnds_Xtal_BW#'!$A:$Z,25,FALSE)</f>
        <v>47</v>
      </c>
      <c r="Z97" s="1">
        <f>VLOOKUP($B97&amp;"__wt",'SegEnds_Xtal_BW#'!$A:$Z,26,FALSE)</f>
        <v>60</v>
      </c>
      <c r="AA97" s="27" t="str">
        <f>VLOOKUP(A97,Classification!A:B,2,FALSE)</f>
        <v>A</v>
      </c>
      <c r="AB97" s="1">
        <f>VLOOKUP(A97,'SegEnds_NonXtal_Prot#'!A:AL,10,FALSE)-VLOOKUP(A97,'SegEnds_NonXtal_Prot#'!A:AL,7,FALSE)</f>
        <v>15</v>
      </c>
      <c r="AC97" s="1">
        <f>VLOOKUP(A97,'SegEnds_NonXtal_Prot#'!A:AL,13,FALSE)-VLOOKUP(A97,'SegEnds_NonXtal_Prot#'!A:AL,10,FALSE)</f>
        <v>20</v>
      </c>
      <c r="AD97" s="1">
        <f>VLOOKUP(A97,'SegEnds_NonXtal_Prot#'!A:AL,16,FALSE)-VLOOKUP(A97,'SegEnds_NonXtal_Prot#'!A:AL,10,FALSE)</f>
        <v>57</v>
      </c>
      <c r="AE97" s="1">
        <f>VLOOKUP(A97,'SegEnds_NonXtal_Prot#'!A:AL,22,FALSE)-VLOOKUP(A97,'SegEnds_NonXtal_Prot#'!A:AL,19,FALSE)</f>
        <v>20</v>
      </c>
      <c r="AF97" s="1">
        <f>VLOOKUP(A97,'SegEnds_NonXtal_Prot#'!A:AL,28,FALSE)-VLOOKUP(A97,'SegEnds_NonXtal_Prot#'!A:AL,25,FALSE)</f>
        <v>28</v>
      </c>
      <c r="AG97" s="1">
        <f>VLOOKUP(A97,'SegEnds_NonXtal_Prot#'!A:AL,28,FALSE)-VLOOKUP(A97,'SegEnds_NonXtal_Prot#'!A:AL,22,FALSE)</f>
        <v>57</v>
      </c>
      <c r="AH97" s="1">
        <f>VLOOKUP(A97,'SegEnds_NonXtal_Prot#'!A:AL,31,FALSE)-VLOOKUP(A97,'SegEnds_NonXtal_Prot#'!A:AL,28,FALSE)</f>
        <v>54</v>
      </c>
      <c r="AI97" s="1">
        <f>VLOOKUP(A97,'SegEnds_NonXtal_Prot#'!A:AL,34,FALSE)-VLOOKUP(A97,'SegEnds_NonXtal_Prot#'!A:AL,31,FALSE)</f>
        <v>45</v>
      </c>
      <c r="AJ97" s="1" t="str">
        <f>IF(ISERROR(MATCH(A97,'SegEnds_Xtal_Prot#'!B:B, 0)), "NoXtal", "Xtal")</f>
        <v>NoXtal</v>
      </c>
    </row>
    <row r="98" spans="1:36" x14ac:dyDescent="0.2">
      <c r="A98" s="1" t="s">
        <v>196</v>
      </c>
      <c r="B98" s="1" t="str">
        <f>VLOOKUP(A98,Xtal_Templ!A:B,2,FALSE)</f>
        <v>ednrb_human</v>
      </c>
      <c r="C98" s="5">
        <f>VLOOKUP($B98&amp;"__wt",'SegEnds_Xtal_BW#'!$A:$Z,3,FALSE)</f>
        <v>22</v>
      </c>
      <c r="D98" s="1">
        <f>VLOOKUP($B98&amp;"__wt",'SegEnds_Xtal_BW#'!$A:$Z,4,FALSE)</f>
        <v>60</v>
      </c>
      <c r="E98" s="1">
        <f>VLOOKUP($B98&amp;"__wt",'SegEnds_Xtal_BW#'!$A:$Z,5,FALSE)</f>
        <v>48</v>
      </c>
      <c r="F98" s="1">
        <f>VLOOKUP($B98&amp;"__wt",'SegEnds_Xtal_BW#'!$A:$Z,6,FALSE)</f>
        <v>52</v>
      </c>
      <c r="G98" s="1">
        <v>38</v>
      </c>
      <c r="H98" s="12">
        <f>VLOOKUP($B98&amp;"__wt",'SegEnds_Xtal_BW#'!$A:$Z,8,FALSE)</f>
        <v>67</v>
      </c>
      <c r="I98" s="1">
        <f>VLOOKUP($B98&amp;"__wt",'SegEnds_Xtal_BW#'!$A:$Z,9,FALSE)</f>
        <v>49</v>
      </c>
      <c r="J98" s="1">
        <f>VLOOKUP($B98&amp;"__wt",'SegEnds_Xtal_BW#'!$A:$Z,10,FALSE)</f>
        <v>52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f>VLOOKUP($B98&amp;"__wt",'SegEnds_Xtal_BW#'!$A:$Z,14,FALSE)</f>
        <v>57</v>
      </c>
      <c r="O98" s="89">
        <f>VLOOKUP($B98&amp;"__wt",'SegEnds_Xtal_BW#'!$A:$Z,15,FALSE)</f>
        <v>38</v>
      </c>
      <c r="P98" s="1">
        <f>VLOOKUP($B98&amp;"__wt",'SegEnds_Xtal_BW#'!$A:$Z,16,FALSE)</f>
        <v>64</v>
      </c>
      <c r="Q98" s="1">
        <f>VLOOKUP($B98&amp;"__wt",'SegEnds_Xtal_BW#'!$A:$Z,17,FALSE)</f>
        <v>50</v>
      </c>
      <c r="R98" s="1">
        <f>VLOOKUP($B98&amp;"__wt",'SegEnds_Xtal_BW#'!$A:$Z,18,FALSE)</f>
        <v>52</v>
      </c>
      <c r="S98" s="1">
        <f>VLOOKUP($B98&amp;"__wt",'SegEnds_Xtal_BW#'!$A:$Z,19,FALSE)</f>
        <v>29</v>
      </c>
      <c r="T98" s="1">
        <f t="array" ref="T98">INDEX('ICL3'!$G$2:$G$40,MATCH(MIN(ABS(AH98-'ICL3'!$F$2:$F$40)),ABS(AH98-'ICL3'!$F$2:$F$40),0))</f>
        <v>72</v>
      </c>
      <c r="U98" s="1">
        <f t="array" ref="U98">INDEX('ICL3'!$H$2:$H$40,MATCH(MIN(ABS(AH98-'ICL3'!$F$2:$F$40)),ABS(AH98-'ICL3'!$F$2:$F$40),0))</f>
        <v>24</v>
      </c>
      <c r="V98" s="1">
        <v>62</v>
      </c>
      <c r="W98" s="1">
        <v>24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60</v>
      </c>
      <c r="AA98" s="27" t="str">
        <f>VLOOKUP(A98,Classification!A:B,2,FALSE)</f>
        <v>A</v>
      </c>
      <c r="AB98" s="1">
        <f>VLOOKUP(A98,'SegEnds_NonXtal_Prot#'!A:AL,10,FALSE)-VLOOKUP(A98,'SegEnds_NonXtal_Prot#'!A:AL,7,FALSE)</f>
        <v>15</v>
      </c>
      <c r="AC98" s="1">
        <f>VLOOKUP(A98,'SegEnds_NonXtal_Prot#'!A:AL,13,FALSE)-VLOOKUP(A98,'SegEnds_NonXtal_Prot#'!A:AL,10,FALSE)</f>
        <v>20</v>
      </c>
      <c r="AD98" s="1">
        <f>VLOOKUP(A98,'SegEnds_NonXtal_Prot#'!A:AL,16,FALSE)-VLOOKUP(A98,'SegEnds_NonXtal_Prot#'!A:AL,10,FALSE)</f>
        <v>52</v>
      </c>
      <c r="AE98" s="1">
        <f>VLOOKUP(A98,'SegEnds_NonXtal_Prot#'!A:AL,22,FALSE)-VLOOKUP(A98,'SegEnds_NonXtal_Prot#'!A:AL,19,FALSE)</f>
        <v>20</v>
      </c>
      <c r="AF98" s="1">
        <f>VLOOKUP(A98,'SegEnds_NonXtal_Prot#'!A:AL,28,FALSE)-VLOOKUP(A98,'SegEnds_NonXtal_Prot#'!A:AL,25,FALSE)</f>
        <v>30</v>
      </c>
      <c r="AG98" s="1">
        <f>VLOOKUP(A98,'SegEnds_NonXtal_Prot#'!A:AL,28,FALSE)-VLOOKUP(A98,'SegEnds_NonXtal_Prot#'!A:AL,22,FALSE)</f>
        <v>59</v>
      </c>
      <c r="AH98" s="1">
        <f>VLOOKUP(A98,'SegEnds_NonXtal_Prot#'!A:AL,31,FALSE)-VLOOKUP(A98,'SegEnds_NonXtal_Prot#'!A:AL,28,FALSE)</f>
        <v>53</v>
      </c>
      <c r="AI98" s="1">
        <f>VLOOKUP(A98,'SegEnds_NonXtal_Prot#'!A:AL,34,FALSE)-VLOOKUP(A98,'SegEnds_NonXtal_Prot#'!A:AL,31,FALSE)</f>
        <v>45</v>
      </c>
      <c r="AJ98" s="1" t="str">
        <f>IF(ISERROR(MATCH(A98,'SegEnds_Xtal_Prot#'!B:B, 0)), "NoXtal", "Xtal")</f>
        <v>Xtal</v>
      </c>
    </row>
    <row r="99" spans="1:36" x14ac:dyDescent="0.2">
      <c r="A99" s="1" t="s">
        <v>197</v>
      </c>
      <c r="B99" s="1" t="str">
        <f>VLOOKUP(A99,Xtal_Templ!A:B,2,FALSE)</f>
        <v>ednrb_human</v>
      </c>
      <c r="C99" s="5">
        <f>VLOOKUP($B99&amp;"__wt",'SegEnds_Xtal_BW#'!$A:$Z,3,FALSE)</f>
        <v>22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52</v>
      </c>
      <c r="G99" s="1">
        <v>37</v>
      </c>
      <c r="H99" s="12">
        <f>VLOOKUP($B99&amp;"__wt",'SegEnds_Xtal_BW#'!$A:$Z,8,FALSE)</f>
        <v>67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21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9"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29</v>
      </c>
      <c r="T99" s="1">
        <f t="array" ref="T99">INDEX('ICL3'!$G$2:$G$40,MATCH(MIN(ABS(AH99-'ICL3'!$F$2:$F$40)),ABS(AH99-'ICL3'!$F$2:$F$40),0))</f>
        <v>72</v>
      </c>
      <c r="U99" s="1">
        <f t="array" ref="U99">INDEX('ICL3'!$H$2:$H$40,MATCH(MIN(ABS(AH99-'ICL3'!$F$2:$F$40)),ABS(AH99-'ICL3'!$F$2:$F$40),0))</f>
        <v>24</v>
      </c>
      <c r="V99" s="1">
        <v>61</v>
      </c>
      <c r="W99" s="1">
        <v>28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60</v>
      </c>
      <c r="AA99" s="27" t="str">
        <f>VLOOKUP(A99,Classification!A:B,2,FALSE)</f>
        <v>A</v>
      </c>
      <c r="AB99" s="1">
        <f>VLOOKUP(A99,'SegEnds_NonXtal_Prot#'!A:AL,10,FALSE)-VLOOKUP(A99,'SegEnds_NonXtal_Prot#'!A:AL,7,FALSE)</f>
        <v>15</v>
      </c>
      <c r="AC99" s="1" t="e">
        <f>VLOOKUP(A99,'SegEnds_NonXtal_Prot#'!A:AL,13,FALSE)-VLOOKUP(A99,'SegEnds_NonXtal_Prot#'!A:AL,10,FALSE)</f>
        <v>#VALUE!</v>
      </c>
      <c r="AD99" s="1">
        <f>VLOOKUP(A99,'SegEnds_NonXtal_Prot#'!A:AL,16,FALSE)-VLOOKUP(A99,'SegEnds_NonXtal_Prot#'!A:AL,10,FALSE)</f>
        <v>52</v>
      </c>
      <c r="AE99" s="1">
        <f>VLOOKUP(A99,'SegEnds_NonXtal_Prot#'!A:AL,22,FALSE)-VLOOKUP(A99,'SegEnds_NonXtal_Prot#'!A:AL,19,FALSE)</f>
        <v>20</v>
      </c>
      <c r="AF99" s="1">
        <f>VLOOKUP(A99,'SegEnds_NonXtal_Prot#'!A:AL,28,FALSE)-VLOOKUP(A99,'SegEnds_NonXtal_Prot#'!A:AL,25,FALSE)</f>
        <v>35</v>
      </c>
      <c r="AG99" s="1">
        <f>VLOOKUP(A99,'SegEnds_NonXtal_Prot#'!A:AL,28,FALSE)-VLOOKUP(A99,'SegEnds_NonXtal_Prot#'!A:AL,22,FALSE)</f>
        <v>65</v>
      </c>
      <c r="AH99" s="1">
        <f>VLOOKUP(A99,'SegEnds_NonXtal_Prot#'!A:AL,31,FALSE)-VLOOKUP(A99,'SegEnds_NonXtal_Prot#'!A:AL,28,FALSE)</f>
        <v>53</v>
      </c>
      <c r="AI99" s="1">
        <f>VLOOKUP(A99,'SegEnds_NonXtal_Prot#'!A:AL,34,FALSE)-VLOOKUP(A99,'SegEnds_NonXtal_Prot#'!A:AL,31,FALSE)</f>
        <v>39</v>
      </c>
      <c r="AJ99" s="1" t="str">
        <f>IF(ISERROR(MATCH(A99,'SegEnds_Xtal_Prot#'!B:B, 0)), "NoXtal", "Xtal")</f>
        <v>NoXtal</v>
      </c>
    </row>
    <row r="100" spans="1:36" x14ac:dyDescent="0.2">
      <c r="A100" s="1" t="s">
        <v>1173</v>
      </c>
      <c r="B100" s="1" t="str">
        <f>VLOOKUP(A100,Xtal_Templ!A:B,2,FALSE)</f>
        <v>ffar1_human</v>
      </c>
      <c r="C100" s="5">
        <f>VLOOKUP($B100&amp;"__wt",'SegEnds_Xtal_BW#'!$A:$Z,3,FALSE)</f>
        <v>31</v>
      </c>
      <c r="D100" s="1">
        <f>VLOOKUP($B100&amp;"__wt",'SegEnds_Xtal_BW#'!$A:$Z,4,FALSE)</f>
        <v>64</v>
      </c>
      <c r="E100" s="1" t="str">
        <f>VLOOKUP($B100&amp;"__wt",'SegEnds_Xtal_BW#'!$A:$Z,5,FALSE)</f>
        <v>-</v>
      </c>
      <c r="F100" s="1" t="str">
        <f>VLOOKUP($B100&amp;"__wt",'SegEnds_Xtal_BW#'!$A:$Z,6,FALSE)</f>
        <v>-</v>
      </c>
      <c r="G100" s="1">
        <v>37</v>
      </c>
      <c r="H100" s="12">
        <f>VLOOKUP($B100&amp;"__wt",'SegEnds_Xtal_BW#'!$A:$Z,8,FALSE)</f>
        <v>67</v>
      </c>
      <c r="I100" s="1">
        <f>VLOOKUP($B100&amp;"__wt",'SegEnds_Xtal_BW#'!$A:$Z,9,FALSE)</f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f>VLOOKUP($B100&amp;"__wt",'SegEnds_Xtal_BW#'!$A:$Z,14,FALSE)</f>
        <v>57</v>
      </c>
      <c r="O100" s="89">
        <f>VLOOKUP($B100&amp;"__wt",'SegEnds_Xtal_BW#'!$A:$Z,15,FALSE)</f>
        <v>38</v>
      </c>
      <c r="P100" s="1">
        <f>VLOOKUP($B100&amp;"__wt",'SegEnds_Xtal_BW#'!$A:$Z,16,FALSE)</f>
        <v>65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31</v>
      </c>
      <c r="T100" s="1">
        <f t="array" ref="T100">INDEX('ICL3'!$G$2:$G$40,MATCH(MIN(ABS(AH100-'ICL3'!$F$2:$F$40)),ABS(AH100-'ICL3'!$F$2:$F$40),0))</f>
        <v>67</v>
      </c>
      <c r="U100" s="1">
        <f t="array" ref="U100">INDEX('ICL3'!$H$2:$H$40,MATCH(MIN(ABS(AH100-'ICL3'!$F$2:$F$40)),ABS(AH100-'ICL3'!$F$2:$F$40),0))</f>
        <v>28</v>
      </c>
      <c r="V100" s="1">
        <v>61</v>
      </c>
      <c r="W100" s="1">
        <v>32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61</v>
      </c>
      <c r="AA100" s="27" t="str">
        <f>VLOOKUP(A100,Classification!A:B,2,FALSE)</f>
        <v>A</v>
      </c>
      <c r="AB100" s="1" t="e">
        <f>VLOOKUP(A100,'SegEnds_NonXtal_Prot#'!A:AL,10,FALSE)-VLOOKUP(A100,'SegEnds_NonXtal_Prot#'!A:AL,7,FALSE)</f>
        <v>#VALUE!</v>
      </c>
      <c r="AC100" s="1">
        <f>VLOOKUP(A100,'SegEnds_NonXtal_Prot#'!A:AL,13,FALSE)-VLOOKUP(A100,'SegEnds_NonXtal_Prot#'!A:AL,10,FALSE)</f>
        <v>20</v>
      </c>
      <c r="AD100" s="1">
        <f>VLOOKUP(A100,'SegEnds_NonXtal_Prot#'!A:AL,16,FALSE)-VLOOKUP(A100,'SegEnds_NonXtal_Prot#'!A:AL,10,FALSE)</f>
        <v>52</v>
      </c>
      <c r="AE100" s="1">
        <f>VLOOKUP(A100,'SegEnds_NonXtal_Prot#'!A:AL,22,FALSE)-VLOOKUP(A100,'SegEnds_NonXtal_Prot#'!A:AL,19,FALSE)</f>
        <v>20</v>
      </c>
      <c r="AF100" s="1">
        <f>VLOOKUP(A100,'SegEnds_NonXtal_Prot#'!A:AL,28,FALSE)-VLOOKUP(A100,'SegEnds_NonXtal_Prot#'!A:AL,25,FALSE)</f>
        <v>24</v>
      </c>
      <c r="AG100" s="1">
        <f>VLOOKUP(A100,'SegEnds_NonXtal_Prot#'!A:AL,28,FALSE)-VLOOKUP(A100,'SegEnds_NonXtal_Prot#'!A:AL,22,FALSE)</f>
        <v>63</v>
      </c>
      <c r="AH100" s="1">
        <f>VLOOKUP(A100,'SegEnds_NonXtal_Prot#'!A:AL,31,FALSE)-VLOOKUP(A100,'SegEnds_NonXtal_Prot#'!A:AL,28,FALSE)</f>
        <v>45</v>
      </c>
      <c r="AI100" s="1">
        <f>VLOOKUP(A100,'SegEnds_NonXtal_Prot#'!A:AL,34,FALSE)-VLOOKUP(A100,'SegEnds_NonXtal_Prot#'!A:AL,31,FALSE)</f>
        <v>34</v>
      </c>
      <c r="AJ100" s="1" t="str">
        <f>IF(ISERROR(MATCH(A100,'SegEnds_Xtal_Prot#'!B:B, 0)), "NoXtal", "Xtal")</f>
        <v>Xtal</v>
      </c>
    </row>
    <row r="101" spans="1:36" x14ac:dyDescent="0.2">
      <c r="A101" s="1" t="s">
        <v>198</v>
      </c>
      <c r="B101" s="1" t="str">
        <f>VLOOKUP(A101,Xtal_Templ!A:B,2,FALSE)</f>
        <v>par2_human</v>
      </c>
      <c r="C101" s="5">
        <f>VLOOKUP($B101&amp;"__wt",'SegEnds_Xtal_BW#'!$A:$Z,3,FALSE)</f>
        <v>28</v>
      </c>
      <c r="D101" s="1">
        <f>VLOOKUP($B101&amp;"__wt",'SegEnds_Xtal_BW#'!$A:$Z,4,FALSE)</f>
        <v>60</v>
      </c>
      <c r="E101" s="1" t="str">
        <f>VLOOKUP($B101&amp;"__wt",'SegEnds_Xtal_BW#'!$A:$Z,5,FALSE)</f>
        <v>-</v>
      </c>
      <c r="F101" s="1" t="str">
        <f>VLOOKUP($B101&amp;"__wt",'SegEnds_Xtal_BW#'!$A:$Z,6,FALSE)</f>
        <v>-</v>
      </c>
      <c r="G101" s="1">
        <v>37</v>
      </c>
      <c r="H101" s="12">
        <f>VLOOKUP($B101&amp;"__wt",'SegEnds_Xtal_BW#'!$A:$Z,8,FALSE)</f>
        <v>66</v>
      </c>
      <c r="I101" s="1">
        <f>VLOOKUP($B101&amp;"__wt",'SegEnds_Xtal_BW#'!$A:$Z,9,FALSE)</f>
        <v>47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9">
        <f>VLOOKUP($B101&amp;"__wt",'SegEnds_Xtal_BW#'!$A:$Z,15,FALSE)</f>
        <v>38</v>
      </c>
      <c r="P101" s="1">
        <f>VLOOKUP($B101&amp;"__wt",'SegEnds_Xtal_BW#'!$A:$Z,16,FALSE)</f>
        <v>62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31</v>
      </c>
      <c r="T101" s="1">
        <f t="array" ref="T101">INDEX('ICL3'!$G$2:$G$40,MATCH(MIN(ABS(AH101-'ICL3'!$F$2:$F$40)),ABS(AH101-'ICL3'!$F$2:$F$40),0))</f>
        <v>67</v>
      </c>
      <c r="U101" s="1">
        <f t="array" ref="U101">INDEX('ICL3'!$H$2:$H$40,MATCH(MIN(ABS(AH101-'ICL3'!$F$2:$F$40)),ABS(AH101-'ICL3'!$F$2:$F$40),0))</f>
        <v>26</v>
      </c>
      <c r="V101" s="1">
        <v>61</v>
      </c>
      <c r="W101" s="1">
        <v>33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61</v>
      </c>
      <c r="AA101" s="27" t="str">
        <f>VLOOKUP(A101,Classification!A:B,2,FALSE)</f>
        <v>A</v>
      </c>
      <c r="AB101" s="1" t="e">
        <f>VLOOKUP(A101,'SegEnds_NonXtal_Prot#'!A:AL,10,FALSE)-VLOOKUP(A101,'SegEnds_NonXtal_Prot#'!A:AL,7,FALSE)</f>
        <v>#VALUE!</v>
      </c>
      <c r="AC101" s="1">
        <f>VLOOKUP(A101,'SegEnds_NonXtal_Prot#'!A:AL,13,FALSE)-VLOOKUP(A101,'SegEnds_NonXtal_Prot#'!A:AL,10,FALSE)</f>
        <v>20</v>
      </c>
      <c r="AD101" s="1">
        <f>VLOOKUP(A101,'SegEnds_NonXtal_Prot#'!A:AL,16,FALSE)-VLOOKUP(A101,'SegEnds_NonXtal_Prot#'!A:AL,10,FALSE)</f>
        <v>52</v>
      </c>
      <c r="AE101" s="1">
        <f>VLOOKUP(A101,'SegEnds_NonXtal_Prot#'!A:AL,22,FALSE)-VLOOKUP(A101,'SegEnds_NonXtal_Prot#'!A:AL,19,FALSE)</f>
        <v>20</v>
      </c>
      <c r="AF101" s="1">
        <f>VLOOKUP(A101,'SegEnds_NonXtal_Prot#'!A:AL,28,FALSE)-VLOOKUP(A101,'SegEnds_NonXtal_Prot#'!A:AL,25,FALSE)</f>
        <v>27</v>
      </c>
      <c r="AG101" s="1">
        <f>VLOOKUP(A101,'SegEnds_NonXtal_Prot#'!A:AL,28,FALSE)-VLOOKUP(A101,'SegEnds_NonXtal_Prot#'!A:AL,22,FALSE)</f>
        <v>57</v>
      </c>
      <c r="AH101" s="1">
        <f>VLOOKUP(A101,'SegEnds_NonXtal_Prot#'!A:AL,31,FALSE)-VLOOKUP(A101,'SegEnds_NonXtal_Prot#'!A:AL,28,FALSE)</f>
        <v>46</v>
      </c>
      <c r="AI101" s="1">
        <f>VLOOKUP(A101,'SegEnds_NonXtal_Prot#'!A:AL,34,FALSE)-VLOOKUP(A101,'SegEnds_NonXtal_Prot#'!A:AL,31,FALSE)</f>
        <v>33</v>
      </c>
      <c r="AJ101" s="1" t="str">
        <f>IF(ISERROR(MATCH(A101,'SegEnds_Xtal_Prot#'!B:B, 0)), "NoXtal", "Xtal")</f>
        <v>NoXtal</v>
      </c>
    </row>
    <row r="102" spans="1:36" x14ac:dyDescent="0.2">
      <c r="A102" s="1" t="s">
        <v>199</v>
      </c>
      <c r="B102" s="1" t="str">
        <f>VLOOKUP(A102,Xtal_Templ!A:B,2,FALSE)</f>
        <v>par1_human</v>
      </c>
      <c r="C102" s="5">
        <f>VLOOKUP($B102&amp;"__wt",'SegEnds_Xtal_BW#'!$A:$Z,3,FALSE)</f>
        <v>29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66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9">
        <f>VLOOKUP($B102&amp;"__wt",'SegEnds_Xtal_BW#'!$A:$Z,15,FALSE)</f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f>VLOOKUP($B102&amp;"__wt",'SegEnds_Xtal_BW#'!$A:$Z,19,FALSE)</f>
        <v>32</v>
      </c>
      <c r="T102" s="1">
        <f t="array" ref="T102">INDEX('ICL3'!$G$2:$G$40,MATCH(MIN(ABS(AH102-'ICL3'!$F$2:$F$40)),ABS(AH102-'ICL3'!$F$2:$F$40),0))</f>
        <v>68</v>
      </c>
      <c r="U102" s="1">
        <f t="array" ref="U102">INDEX('ICL3'!$H$2:$H$40,MATCH(MIN(ABS(AH102-'ICL3'!$F$2:$F$40)),ABS(AH102-'ICL3'!$F$2:$F$40),0))</f>
        <v>28</v>
      </c>
      <c r="V102" s="1">
        <v>61</v>
      </c>
      <c r="W102" s="1">
        <v>33</v>
      </c>
      <c r="X102" s="1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61</v>
      </c>
      <c r="AA102" s="27" t="str">
        <f>VLOOKUP(A102,Classification!A:B,2,FALSE)</f>
        <v>A</v>
      </c>
      <c r="AB102" s="1" t="e">
        <f>VLOOKUP(A102,'SegEnds_NonXtal_Prot#'!A:AL,10,FALSE)-VLOOKUP(A102,'SegEnds_NonXtal_Prot#'!A:AL,7,FALSE)</f>
        <v>#VALUE!</v>
      </c>
      <c r="AC102" s="1">
        <f>VLOOKUP(A102,'SegEnds_NonXtal_Prot#'!A:AL,13,FALSE)-VLOOKUP(A102,'SegEnds_NonXtal_Prot#'!A:AL,10,FALSE)</f>
        <v>20</v>
      </c>
      <c r="AD102" s="1">
        <f>VLOOKUP(A102,'SegEnds_NonXtal_Prot#'!A:AL,16,FALSE)-VLOOKUP(A102,'SegEnds_NonXtal_Prot#'!A:AL,10,FALSE)</f>
        <v>52</v>
      </c>
      <c r="AE102" s="1">
        <f>VLOOKUP(A102,'SegEnds_NonXtal_Prot#'!A:AL,22,FALSE)-VLOOKUP(A102,'SegEnds_NonXtal_Prot#'!A:AL,19,FALSE)</f>
        <v>20</v>
      </c>
      <c r="AF102" s="1">
        <f>VLOOKUP(A102,'SegEnds_NonXtal_Prot#'!A:AL,28,FALSE)-VLOOKUP(A102,'SegEnds_NonXtal_Prot#'!A:AL,25,FALSE)</f>
        <v>27</v>
      </c>
      <c r="AG102" s="1">
        <f>VLOOKUP(A102,'SegEnds_NonXtal_Prot#'!A:AL,28,FALSE)-VLOOKUP(A102,'SegEnds_NonXtal_Prot#'!A:AL,22,FALSE)</f>
        <v>56</v>
      </c>
      <c r="AH102" s="1">
        <f>VLOOKUP(A102,'SegEnds_NonXtal_Prot#'!A:AL,31,FALSE)-VLOOKUP(A102,'SegEnds_NonXtal_Prot#'!A:AL,28,FALSE)</f>
        <v>44</v>
      </c>
      <c r="AI102" s="1">
        <f>VLOOKUP(A102,'SegEnds_NonXtal_Prot#'!A:AL,34,FALSE)-VLOOKUP(A102,'SegEnds_NonXtal_Prot#'!A:AL,31,FALSE)</f>
        <v>33</v>
      </c>
      <c r="AJ102" s="1" t="str">
        <f>IF(ISERROR(MATCH(A102,'SegEnds_Xtal_Prot#'!B:B, 0)), "NoXtal", "Xtal")</f>
        <v>NoXtal</v>
      </c>
    </row>
    <row r="103" spans="1:36" x14ac:dyDescent="0.2">
      <c r="A103" s="4" t="s">
        <v>200</v>
      </c>
      <c r="B103" s="4" t="str">
        <f>VLOOKUP(A103,Xtal_Templ!A:B,2,FALSE)</f>
        <v>ox2r_human</v>
      </c>
      <c r="C103" s="5">
        <f>VLOOKUP($B103&amp;"__wt",'SegEnds_Xtal_BW#'!$A:$Z,3,FALSE)</f>
        <v>31</v>
      </c>
      <c r="D103" s="4">
        <f>VLOOKUP($B103&amp;"__wt",'SegEnds_Xtal_BW#'!$A:$Z,4,FALSE)</f>
        <v>60</v>
      </c>
      <c r="E103" s="4">
        <f>VLOOKUP($B103&amp;"__wt",'SegEnds_Xtal_BW#'!$A:$Z,5,FALSE)</f>
        <v>48</v>
      </c>
      <c r="F103" s="4">
        <f>VLOOKUP($B103&amp;"__wt",'SegEnds_Xtal_BW#'!$A:$Z,6,FALSE)</f>
        <v>51</v>
      </c>
      <c r="G103" s="4">
        <v>37</v>
      </c>
      <c r="H103" s="11">
        <v>66</v>
      </c>
      <c r="I103" s="4">
        <f>VLOOKUP($B103&amp;"__wt",'SegEnds_Xtal_BW#'!$A:$Z,9,FALSE)</f>
        <v>49</v>
      </c>
      <c r="J103" s="4">
        <f>VLOOKUP($B103&amp;"__wt",'SegEnds_Xtal_BW#'!$A:$Z,10,FALSE)</f>
        <v>52</v>
      </c>
      <c r="K103" s="11">
        <v>21</v>
      </c>
      <c r="L103" s="4">
        <f>VLOOKUP($B103&amp;"__wt",'SegEnds_Xtal_BW#'!$A:$Z,12,FALSE)</f>
        <v>56</v>
      </c>
      <c r="M103" s="4">
        <f>VLOOKUP($B103&amp;"__wt",'SegEnds_Xtal_BW#'!$A:$Z,13,FALSE)</f>
        <v>50</v>
      </c>
      <c r="N103" s="11">
        <v>57</v>
      </c>
      <c r="O103" s="89">
        <f>VLOOKUP($B103&amp;"__wt",'SegEnds_Xtal_BW#'!$A:$Z,15,FALSE)</f>
        <v>38</v>
      </c>
      <c r="P103" s="4">
        <f>VLOOKUP($B103&amp;"__wt",'SegEnds_Xtal_BW#'!$A:$Z,16,FALSE)</f>
        <v>64</v>
      </c>
      <c r="Q103" s="4">
        <f>VLOOKUP($B103&amp;"__wt",'SegEnds_Xtal_BW#'!$A:$Z,17,FALSE)</f>
        <v>50</v>
      </c>
      <c r="R103" s="4">
        <f>VLOOKUP($B103&amp;"__wt",'SegEnds_Xtal_BW#'!$A:$Z,18,FALSE)</f>
        <v>52</v>
      </c>
      <c r="S103" s="4">
        <f>VLOOKUP($B103&amp;"__wt",'SegEnds_Xtal_BW#'!$A:$Z,19,FALSE)</f>
        <v>32</v>
      </c>
      <c r="T103" s="4">
        <f t="array" ref="T103">INDEX('ICL3'!$G$2:$G$40,MATCH(MIN(ABS(AH103-'ICL3'!$F$2:$F$40)),ABS(AH103-'ICL3'!$F$2:$F$40),0))</f>
        <v>76</v>
      </c>
      <c r="U103" s="4">
        <f t="array" ref="U103">INDEX('ICL3'!$H$2:$H$40,MATCH(MIN(ABS(AH103-'ICL3'!$F$2:$F$40)),ABS(AH103-'ICL3'!$F$2:$F$40),0))</f>
        <v>24</v>
      </c>
      <c r="V103" s="4">
        <v>61</v>
      </c>
      <c r="W103" s="4">
        <v>28</v>
      </c>
      <c r="X103" s="4">
        <f>VLOOKUP($B103&amp;"__wt",'SegEnds_Xtal_BW#'!$A:$Z,24,FALSE)</f>
        <v>56</v>
      </c>
      <c r="Y103" s="4">
        <f>VLOOKUP($B103&amp;"__wt",'SegEnds_Xtal_BW#'!$A:$Z,25,FALSE)</f>
        <v>47</v>
      </c>
      <c r="Z103" s="4">
        <f>VLOOKUP($B103&amp;"__wt",'SegEnds_Xtal_BW#'!$A:$Z,26,FALSE)</f>
        <v>58</v>
      </c>
      <c r="AA103" s="27" t="str">
        <f>VLOOKUP(A103,Classification!A:B,2,FALSE)</f>
        <v>A</v>
      </c>
      <c r="AB103" s="4" t="e">
        <f>VLOOKUP(A103,'SegEnds_NonXtal_Prot#'!A:AL,10,FALSE)-VLOOKUP(A103,'SegEnds_NonXtal_Prot#'!A:AL,7,FALSE)</f>
        <v>#VALUE!</v>
      </c>
      <c r="AC103" s="4">
        <f>VLOOKUP(A103,'SegEnds_NonXtal_Prot#'!A:AL,13,FALSE)-VLOOKUP(A103,'SegEnds_NonXtal_Prot#'!A:AL,10,FALSE)</f>
        <v>19</v>
      </c>
      <c r="AD103" s="4">
        <f>VLOOKUP(A103,'SegEnds_NonXtal_Prot#'!A:AL,16,FALSE)-VLOOKUP(A103,'SegEnds_NonXtal_Prot#'!A:AL,10,FALSE)</f>
        <v>51</v>
      </c>
      <c r="AE103" s="1">
        <f>VLOOKUP(A103,'SegEnds_NonXtal_Prot#'!A:AL,22,FALSE)-VLOOKUP(A103,'SegEnds_NonXtal_Prot#'!A:AL,19,FALSE)</f>
        <v>20</v>
      </c>
      <c r="AF103" s="4">
        <f>VLOOKUP(A103,'SegEnds_NonXtal_Prot#'!A:AL,28,FALSE)-VLOOKUP(A103,'SegEnds_NonXtal_Prot#'!A:AL,25,FALSE)</f>
        <v>25</v>
      </c>
      <c r="AG103" s="1">
        <f>VLOOKUP(A103,'SegEnds_NonXtal_Prot#'!A:AL,28,FALSE)-VLOOKUP(A103,'SegEnds_NonXtal_Prot#'!A:AL,22,FALSE)</f>
        <v>56</v>
      </c>
      <c r="AH103" s="4">
        <f>VLOOKUP(A103,'SegEnds_NonXtal_Prot#'!A:AL,31,FALSE)-VLOOKUP(A103,'SegEnds_NonXtal_Prot#'!A:AL,28,FALSE)</f>
        <v>76</v>
      </c>
      <c r="AI103" s="4">
        <f>VLOOKUP(A103,'SegEnds_NonXtal_Prot#'!A:AL,34,FALSE)-VLOOKUP(A103,'SegEnds_NonXtal_Prot#'!A:AL,31,FALSE)</f>
        <v>39</v>
      </c>
      <c r="AJ103" s="1" t="str">
        <f>IF(ISERROR(MATCH(A103,'SegEnds_Xtal_Prot#'!B:B, 0)), "NoXtal", "Xtal")</f>
        <v>NoXtal</v>
      </c>
    </row>
    <row r="104" spans="1:36" x14ac:dyDescent="0.2">
      <c r="A104" s="1" t="s">
        <v>201</v>
      </c>
      <c r="B104" s="1" t="str">
        <f>VLOOKUP(A104,Xtal_Templ!A:B,2,FALSE)</f>
        <v>agtr1_human</v>
      </c>
      <c r="C104" s="5">
        <f>VLOOKUP($B104&amp;"__wt",'SegEnds_Xtal_BW#'!$A:$Z,3,FALSE)</f>
        <v>30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66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9">
        <v>38</v>
      </c>
      <c r="P104" s="1">
        <f>VLOOKUP($B104&amp;"__wt",'SegEnds_Xtal_BW#'!$A:$Z,16,FALSE)</f>
        <v>64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f>VLOOKUP($B104&amp;"__wt",'SegEnds_Xtal_BW#'!$A:$Z,19,FALSE)</f>
        <v>34</v>
      </c>
      <c r="T104" s="1">
        <f t="array" ref="T104">INDEX('ICL3'!$G$2:$G$40,MATCH(MIN(ABS(AH104-'ICL3'!$F$2:$F$40)),ABS(AH104-'ICL3'!$F$2:$F$40),0))</f>
        <v>68</v>
      </c>
      <c r="U104" s="1">
        <f t="array" ref="U104">INDEX('ICL3'!$H$2:$H$40,MATCH(MIN(ABS(AH104-'ICL3'!$F$2:$F$40)),ABS(AH104-'ICL3'!$F$2:$F$40),0))</f>
        <v>30</v>
      </c>
      <c r="V104" s="1">
        <v>61</v>
      </c>
      <c r="W104" s="1">
        <v>28</v>
      </c>
      <c r="X104" s="1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61</v>
      </c>
      <c r="AA104" s="27" t="str">
        <f>VLOOKUP(A104,Classification!A:B,2,FALSE)</f>
        <v>A</v>
      </c>
      <c r="AB104" s="1" t="e">
        <f>VLOOKUP(A104,'SegEnds_NonXtal_Prot#'!A:AL,10,FALSE)-VLOOKUP(A104,'SegEnds_NonXtal_Prot#'!A:AL,7,FALSE)</f>
        <v>#VALUE!</v>
      </c>
      <c r="AC104" s="1">
        <f>VLOOKUP(A104,'SegEnds_NonXtal_Prot#'!A:AL,13,FALSE)-VLOOKUP(A104,'SegEnds_NonXtal_Prot#'!A:AL,10,FALSE)</f>
        <v>20</v>
      </c>
      <c r="AD104" s="1">
        <f>VLOOKUP(A104,'SegEnds_NonXtal_Prot#'!A:AL,16,FALSE)-VLOOKUP(A104,'SegEnds_NonXtal_Prot#'!A:AL,10,FALSE)</f>
        <v>52</v>
      </c>
      <c r="AE104" s="1">
        <f>VLOOKUP(A104,'SegEnds_NonXtal_Prot#'!A:AL,22,FALSE)-VLOOKUP(A104,'SegEnds_NonXtal_Prot#'!A:AL,19,FALSE)</f>
        <v>20</v>
      </c>
      <c r="AF104" s="1">
        <f>VLOOKUP(A104,'SegEnds_NonXtal_Prot#'!A:AL,28,FALSE)-VLOOKUP(A104,'SegEnds_NonXtal_Prot#'!A:AL,25,FALSE)</f>
        <v>37</v>
      </c>
      <c r="AG104" s="1">
        <f>VLOOKUP(A104,'SegEnds_NonXtal_Prot#'!A:AL,28,FALSE)-VLOOKUP(A104,'SegEnds_NonXtal_Prot#'!A:AL,22,FALSE)</f>
        <v>63</v>
      </c>
      <c r="AH104" s="1">
        <f>VLOOKUP(A104,'SegEnds_NonXtal_Prot#'!A:AL,31,FALSE)-VLOOKUP(A104,'SegEnds_NonXtal_Prot#'!A:AL,28,FALSE)</f>
        <v>43</v>
      </c>
      <c r="AI104" s="1">
        <f>VLOOKUP(A104,'SegEnds_NonXtal_Prot#'!A:AL,34,FALSE)-VLOOKUP(A104,'SegEnds_NonXtal_Prot#'!A:AL,31,FALSE)</f>
        <v>42</v>
      </c>
      <c r="AJ104" s="1" t="str">
        <f>IF(ISERROR(MATCH(A104,'SegEnds_Xtal_Prot#'!B:B, 0)), "NoXtal", "Xtal")</f>
        <v>NoXtal</v>
      </c>
    </row>
    <row r="105" spans="1:36" x14ac:dyDescent="0.2">
      <c r="A105" s="1" t="s">
        <v>202</v>
      </c>
      <c r="B105" s="1" t="str">
        <f>VLOOKUP(A105,Xtal_Templ!A:B,2,FALSE)</f>
        <v>cxcr4_human</v>
      </c>
      <c r="C105" s="5">
        <f>VLOOKUP($B105&amp;"__wt",'SegEnds_Xtal_BW#'!$A:$Z,3,FALSE)</f>
        <v>24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f>VLOOKUP($B105&amp;"__wt",'SegEnds_Xtal_BW#'!$A:$Z,8,FALSE)</f>
        <v>66</v>
      </c>
      <c r="I105" s="1">
        <f>VLOOKUP($B105&amp;"__wt",'SegEnds_Xtal_BW#'!$A:$Z,9,FALSE)</f>
        <v>49</v>
      </c>
      <c r="J105" s="1">
        <f>VLOOKUP($B105&amp;"__wt",'SegEnds_Xtal_BW#'!$A:$Z,10,FALSE)</f>
        <v>52</v>
      </c>
      <c r="K105" s="12">
        <v>18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v>57</v>
      </c>
      <c r="O105" s="89">
        <v>38</v>
      </c>
      <c r="P105" s="1">
        <f>VLOOKUP($B105&amp;"__wt",'SegEnds_Xtal_BW#'!$A:$Z,16,FALSE)</f>
        <v>64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32</v>
      </c>
      <c r="T105" s="1">
        <f t="array" ref="T105">INDEX('ICL3'!$G$2:$G$40,MATCH(MIN(ABS(AH105-'ICL3'!$F$2:$F$40)),ABS(AH105-'ICL3'!$F$2:$F$40),0))</f>
        <v>68</v>
      </c>
      <c r="U105" s="1">
        <f t="array" ref="U105">INDEX('ICL3'!$H$2:$H$40,MATCH(MIN(ABS(AH105-'ICL3'!$F$2:$F$40)),ABS(AH105-'ICL3'!$F$2:$F$40),0))</f>
        <v>30</v>
      </c>
      <c r="V105" s="1">
        <v>61</v>
      </c>
      <c r="W105" s="1">
        <v>24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59</v>
      </c>
      <c r="AA105" s="27" t="str">
        <f>VLOOKUP(A105,Classification!A:B,2,FALSE)</f>
        <v>A</v>
      </c>
      <c r="AB105" s="1" t="e">
        <f>VLOOKUP(A105,'SegEnds_NonXtal_Prot#'!A:AL,10,FALSE)-VLOOKUP(A105,'SegEnds_NonXtal_Prot#'!A:AL,7,FALSE)</f>
        <v>#VALUE!</v>
      </c>
      <c r="AC105" s="1">
        <f>VLOOKUP(A105,'SegEnds_NonXtal_Prot#'!A:AL,13,FALSE)-VLOOKUP(A105,'SegEnds_NonXtal_Prot#'!A:AL,10,FALSE)</f>
        <v>20</v>
      </c>
      <c r="AD105" s="1">
        <f>VLOOKUP(A105,'SegEnds_NonXtal_Prot#'!A:AL,16,FALSE)-VLOOKUP(A105,'SegEnds_NonXtal_Prot#'!A:AL,10,FALSE)</f>
        <v>52</v>
      </c>
      <c r="AE105" s="1">
        <f>VLOOKUP(A105,'SegEnds_NonXtal_Prot#'!A:AL,22,FALSE)-VLOOKUP(A105,'SegEnds_NonXtal_Prot#'!A:AL,19,FALSE)</f>
        <v>20</v>
      </c>
      <c r="AF105" s="1">
        <f>VLOOKUP(A105,'SegEnds_NonXtal_Prot#'!A:AL,28,FALSE)-VLOOKUP(A105,'SegEnds_NonXtal_Prot#'!A:AL,25,FALSE)</f>
        <v>37</v>
      </c>
      <c r="AG105" s="1">
        <f>VLOOKUP(A105,'SegEnds_NonXtal_Prot#'!A:AL,28,FALSE)-VLOOKUP(A105,'SegEnds_NonXtal_Prot#'!A:AL,22,FALSE)</f>
        <v>63</v>
      </c>
      <c r="AH105" s="1">
        <f>VLOOKUP(A105,'SegEnds_NonXtal_Prot#'!A:AL,31,FALSE)-VLOOKUP(A105,'SegEnds_NonXtal_Prot#'!A:AL,28,FALSE)</f>
        <v>43</v>
      </c>
      <c r="AI105" s="1">
        <f>VLOOKUP(A105,'SegEnds_NonXtal_Prot#'!A:AL,34,FALSE)-VLOOKUP(A105,'SegEnds_NonXtal_Prot#'!A:AL,31,FALSE)</f>
        <v>43</v>
      </c>
      <c r="AJ105" s="1" t="str">
        <f>IF(ISERROR(MATCH(A105,'SegEnds_Xtal_Prot#'!B:B, 0)), "NoXtal", "Xtal")</f>
        <v>NoXtal</v>
      </c>
    </row>
    <row r="106" spans="1:36" x14ac:dyDescent="0.2">
      <c r="A106" s="1" t="s">
        <v>203</v>
      </c>
      <c r="B106" s="1" t="str">
        <f>VLOOKUP(A106,Xtal_Templ!A:B,2,FALSE)</f>
        <v>cxcr4_human</v>
      </c>
      <c r="C106" s="5">
        <f>VLOOKUP($B106&amp;"__wt",'SegEnds_Xtal_BW#'!$A:$Z,3,FALSE)</f>
        <v>24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66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9">
        <v>38</v>
      </c>
      <c r="P106" s="1">
        <f>VLOOKUP($B106&amp;"__wt",'SegEnds_Xtal_BW#'!$A:$Z,16,FALSE)</f>
        <v>64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f>VLOOKUP($B106&amp;"__wt",'SegEnds_Xtal_BW#'!$A:$Z,19,FALSE)</f>
        <v>32</v>
      </c>
      <c r="T106" s="1">
        <f t="array" ref="T106">INDEX('ICL3'!$G$2:$G$40,MATCH(MIN(ABS(AH106-'ICL3'!$F$2:$F$40)),ABS(AH106-'ICL3'!$F$2:$F$40),0))</f>
        <v>68</v>
      </c>
      <c r="U106" s="1">
        <f t="array" ref="U106">INDEX('ICL3'!$H$2:$H$40,MATCH(MIN(ABS(AH106-'ICL3'!$F$2:$F$40)),ABS(AH106-'ICL3'!$F$2:$F$40),0))</f>
        <v>30</v>
      </c>
      <c r="V106" s="1">
        <v>61</v>
      </c>
      <c r="W106" s="1">
        <v>24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 t="e">
        <f>VLOOKUP(A106,'SegEnds_NonXtal_Prot#'!A:AL,10,FALSE)-VLOOKUP(A106,'SegEnds_NonXtal_Prot#'!A:AL,7,FALSE)</f>
        <v>#VALUE!</v>
      </c>
      <c r="AC106" s="1">
        <f>VLOOKUP(A106,'SegEnds_NonXtal_Prot#'!A:AL,13,FALSE)-VLOOKUP(A106,'SegEnds_NonXtal_Prot#'!A:AL,10,FALSE)</f>
        <v>20</v>
      </c>
      <c r="AD106" s="1">
        <f>VLOOKUP(A106,'SegEnds_NonXtal_Prot#'!A:AL,16,FALSE)-VLOOKUP(A106,'SegEnds_NonXtal_Prot#'!A:AL,10,FALSE)</f>
        <v>52</v>
      </c>
      <c r="AE106" s="1">
        <f>VLOOKUP(A106,'SegEnds_NonXtal_Prot#'!A:AL,22,FALSE)-VLOOKUP(A106,'SegEnds_NonXtal_Prot#'!A:AL,19,FALSE)</f>
        <v>20</v>
      </c>
      <c r="AF106" s="1">
        <f>VLOOKUP(A106,'SegEnds_NonXtal_Prot#'!A:AL,28,FALSE)-VLOOKUP(A106,'SegEnds_NonXtal_Prot#'!A:AL,25,FALSE)</f>
        <v>37</v>
      </c>
      <c r="AG106" s="1">
        <f>VLOOKUP(A106,'SegEnds_NonXtal_Prot#'!A:AL,28,FALSE)-VLOOKUP(A106,'SegEnds_NonXtal_Prot#'!A:AL,22,FALSE)</f>
        <v>63</v>
      </c>
      <c r="AH106" s="1">
        <f>VLOOKUP(A106,'SegEnds_NonXtal_Prot#'!A:AL,31,FALSE)-VLOOKUP(A106,'SegEnds_NonXtal_Prot#'!A:AL,28,FALSE)</f>
        <v>43</v>
      </c>
      <c r="AI106" s="1">
        <f>VLOOKUP(A106,'SegEnds_NonXtal_Prot#'!A:AL,34,FALSE)-VLOOKUP(A106,'SegEnds_NonXtal_Prot#'!A:AL,31,FALSE)</f>
        <v>43</v>
      </c>
      <c r="AJ106" s="1" t="str">
        <f>IF(ISERROR(MATCH(A106,'SegEnds_Xtal_Prot#'!B:B, 0)), "NoXtal", "Xtal")</f>
        <v>NoXtal</v>
      </c>
    </row>
    <row r="107" spans="1:36" x14ac:dyDescent="0.2">
      <c r="A107" s="1" t="s">
        <v>204</v>
      </c>
      <c r="B107" s="1" t="str">
        <f>VLOOKUP(A107,Xtal_Templ!A:B,2,FALSE)</f>
        <v>aa2ar_human</v>
      </c>
      <c r="C107" s="5">
        <f>VLOOKUP($B107&amp;"__wt",'SegEnds_Xtal_BW#'!$A:$Z,3,FALSE)</f>
        <v>27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67</v>
      </c>
      <c r="I107" s="1"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9">
        <f>VLOOKUP($B107&amp;"__wt",'SegEnds_Xtal_BW#'!$A:$Z,15,FALSE)</f>
        <v>38</v>
      </c>
      <c r="P107" s="1">
        <f>VLOOKUP($B107&amp;"__wt",'SegEnds_Xtal_BW#'!$A:$Z,16,FALSE)</f>
        <v>63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f>VLOOKUP($B107&amp;"__wt",'SegEnds_Xtal_BW#'!$A:$Z,19,FALSE)</f>
        <v>34</v>
      </c>
      <c r="T107" s="1">
        <f t="array" ref="T107">INDEX('ICL3'!$G$2:$G$40,MATCH(MIN(ABS(AH107-'ICL3'!$F$2:$F$40)),ABS(AH107-'ICL3'!$F$2:$F$40),0))</f>
        <v>67</v>
      </c>
      <c r="U107" s="1">
        <f t="array" ref="U107">INDEX('ICL3'!$H$2:$H$40,MATCH(MIN(ABS(AH107-'ICL3'!$F$2:$F$40)),ABS(AH107-'ICL3'!$F$2:$F$40),0))</f>
        <v>26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69</v>
      </c>
      <c r="AA107" s="27" t="str">
        <f>VLOOKUP(A107,Classification!A:B,2,FALSE)</f>
        <v>A</v>
      </c>
      <c r="AB107" s="1">
        <f>VLOOKUP(A107,'SegEnds_NonXtal_Prot#'!A:AL,10,FALSE)-VLOOKUP(A107,'SegEnds_NonXtal_Prot#'!A:AL,7,FALSE)</f>
        <v>14</v>
      </c>
      <c r="AC107" s="1">
        <f>VLOOKUP(A107,'SegEnds_NonXtal_Prot#'!A:AL,13,FALSE)-VLOOKUP(A107,'SegEnds_NonXtal_Prot#'!A:AL,10,FALSE)</f>
        <v>28</v>
      </c>
      <c r="AD107" s="1">
        <f>VLOOKUP(A107,'SegEnds_NonXtal_Prot#'!A:AL,16,FALSE)-VLOOKUP(A107,'SegEnds_NonXtal_Prot#'!A:AL,10,FALSE)</f>
        <v>59</v>
      </c>
      <c r="AE107" s="1">
        <f>VLOOKUP(A107,'SegEnds_NonXtal_Prot#'!A:AL,22,FALSE)-VLOOKUP(A107,'SegEnds_NonXtal_Prot#'!A:AL,19,FALSE)</f>
        <v>20</v>
      </c>
      <c r="AF107" s="1">
        <f>VLOOKUP(A107,'SegEnds_NonXtal_Prot#'!A:AL,28,FALSE)-VLOOKUP(A107,'SegEnds_NonXtal_Prot#'!A:AL,25,FALSE)</f>
        <v>24</v>
      </c>
      <c r="AG107" s="1">
        <f>VLOOKUP(A107,'SegEnds_NonXtal_Prot#'!A:AL,28,FALSE)-VLOOKUP(A107,'SegEnds_NonXtal_Prot#'!A:AL,22,FALSE)</f>
        <v>47</v>
      </c>
      <c r="AH107" s="1">
        <f>VLOOKUP(A107,'SegEnds_NonXtal_Prot#'!A:AL,31,FALSE)-VLOOKUP(A107,'SegEnds_NonXtal_Prot#'!A:AL,28,FALSE)</f>
        <v>46</v>
      </c>
      <c r="AI107" s="1">
        <f>VLOOKUP(A107,'SegEnds_NonXtal_Prot#'!A:AL,34,FALSE)-VLOOKUP(A107,'SegEnds_NonXtal_Prot#'!A:AL,31,FALSE)</f>
        <v>36</v>
      </c>
      <c r="AJ107" s="1" t="str">
        <f>IF(ISERROR(MATCH(A107,'SegEnds_Xtal_Prot#'!B:B, 0)), "NoXtal", "Xtal")</f>
        <v>NoXtal</v>
      </c>
    </row>
    <row r="108" spans="1:36" x14ac:dyDescent="0.2">
      <c r="A108" s="1" t="s">
        <v>205</v>
      </c>
      <c r="B108" s="1" t="str">
        <f>VLOOKUP(A108,Xtal_Templ!A:B,2,FALSE)</f>
        <v>oprk_human</v>
      </c>
      <c r="C108" s="5">
        <f>VLOOKUP($B108&amp;"__wt",'SegEnds_Xtal_BW#'!$A:$Z,3,FALSE)</f>
        <v>30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66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9">
        <f>VLOOKUP($B108&amp;"__wt",'SegEnds_Xtal_BW#'!$A:$Z,15,FALSE)</f>
        <v>38</v>
      </c>
      <c r="P108" s="1">
        <f>VLOOKUP($B108&amp;"__wt",'SegEnds_Xtal_BW#'!$A:$Z,16,FALSE)</f>
        <v>64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f>VLOOKUP($B108&amp;"__wt",'SegEnds_Xtal_BW#'!$A:$Z,19,FALSE)</f>
        <v>31</v>
      </c>
      <c r="T108" s="1">
        <f t="array" ref="T108">INDEX('ICL3'!$G$2:$G$40,MATCH(MIN(ABS(AH108-'ICL3'!$F$2:$F$40)),ABS(AH108-'ICL3'!$F$2:$F$40),0))</f>
        <v>72</v>
      </c>
      <c r="U108" s="1">
        <f t="array" ref="U108">INDEX('ICL3'!$H$2:$H$40,MATCH(MIN(ABS(AH108-'ICL3'!$F$2:$F$40)),ABS(AH108-'ICL3'!$F$2:$F$40),0))</f>
        <v>29</v>
      </c>
      <c r="V108" s="1">
        <v>61</v>
      </c>
      <c r="W108" s="1">
        <v>28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59</v>
      </c>
      <c r="AA108" s="27" t="str">
        <f>VLOOKUP(A108,Classification!A:B,2,FALSE)</f>
        <v>A</v>
      </c>
      <c r="AB108" s="1" t="e">
        <f>VLOOKUP(A108,'SegEnds_NonXtal_Prot#'!A:AL,10,FALSE)-VLOOKUP(A108,'SegEnds_NonXtal_Prot#'!A:AL,7,FALSE)</f>
        <v>#VALUE!</v>
      </c>
      <c r="AC108" s="1">
        <f>VLOOKUP(A108,'SegEnds_NonXtal_Prot#'!A:AL,13,FALSE)-VLOOKUP(A108,'SegEnds_NonXtal_Prot#'!A:AL,10,FALSE)</f>
        <v>20</v>
      </c>
      <c r="AD108" s="1">
        <f>VLOOKUP(A108,'SegEnds_NonXtal_Prot#'!A:AL,16,FALSE)-VLOOKUP(A108,'SegEnds_NonXtal_Prot#'!A:AL,10,FALSE)</f>
        <v>52</v>
      </c>
      <c r="AE108" s="1">
        <f>VLOOKUP(A108,'SegEnds_NonXtal_Prot#'!A:AL,22,FALSE)-VLOOKUP(A108,'SegEnds_NonXtal_Prot#'!A:AL,19,FALSE)</f>
        <v>20</v>
      </c>
      <c r="AF108" s="1">
        <f>VLOOKUP(A108,'SegEnds_NonXtal_Prot#'!A:AL,28,FALSE)-VLOOKUP(A108,'SegEnds_NonXtal_Prot#'!A:AL,25,FALSE)</f>
        <v>25</v>
      </c>
      <c r="AG108" s="1">
        <f>VLOOKUP(A108,'SegEnds_NonXtal_Prot#'!A:AL,28,FALSE)-VLOOKUP(A108,'SegEnds_NonXtal_Prot#'!A:AL,22,FALSE)</f>
        <v>52</v>
      </c>
      <c r="AH108" s="1">
        <f>VLOOKUP(A108,'SegEnds_NonXtal_Prot#'!A:AL,31,FALSE)-VLOOKUP(A108,'SegEnds_NonXtal_Prot#'!A:AL,28,FALSE)</f>
        <v>50</v>
      </c>
      <c r="AI108" s="1">
        <f>VLOOKUP(A108,'SegEnds_NonXtal_Prot#'!A:AL,34,FALSE)-VLOOKUP(A108,'SegEnds_NonXtal_Prot#'!A:AL,31,FALSE)</f>
        <v>38</v>
      </c>
      <c r="AJ108" s="1" t="str">
        <f>IF(ISERROR(MATCH(A108,'SegEnds_Xtal_Prot#'!B:B, 0)), "NoXtal", "Xtal")</f>
        <v>NoXtal</v>
      </c>
    </row>
    <row r="109" spans="1:36" x14ac:dyDescent="0.2">
      <c r="A109" s="1" t="s">
        <v>206</v>
      </c>
      <c r="B109" s="1" t="str">
        <f>VLOOKUP(A109,Xtal_Templ!A:B,2,FALSE)</f>
        <v>oprk_human</v>
      </c>
      <c r="C109" s="5">
        <f>VLOOKUP($B109&amp;"__wt",'SegEnds_Xtal_BW#'!$A:$Z,3,FALSE)</f>
        <v>30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f>VLOOKUP($B109&amp;"__wt",'SegEnds_Xtal_BW#'!$A:$Z,8,FALSE)</f>
        <v>66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v>57</v>
      </c>
      <c r="O109" s="89">
        <f>VLOOKUP($B109&amp;"__wt",'SegEnds_Xtal_BW#'!$A:$Z,15,FALSE)</f>
        <v>38</v>
      </c>
      <c r="P109" s="1">
        <f>VLOOKUP($B109&amp;"__wt",'SegEnds_Xtal_BW#'!$A:$Z,16,FALSE)</f>
        <v>64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31</v>
      </c>
      <c r="T109" s="1">
        <f t="array" ref="T109">INDEX('ICL3'!$G$2:$G$40,MATCH(MIN(ABS(AH109-'ICL3'!$F$2:$F$40)),ABS(AH109-'ICL3'!$F$2:$F$40),0))</f>
        <v>72</v>
      </c>
      <c r="U109" s="1">
        <f t="array" ref="U109">INDEX('ICL3'!$H$2:$H$40,MATCH(MIN(ABS(AH109-'ICL3'!$F$2:$F$40)),ABS(AH109-'ICL3'!$F$2:$F$40),0))</f>
        <v>24</v>
      </c>
      <c r="V109" s="1">
        <v>61</v>
      </c>
      <c r="W109" s="1">
        <v>28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VLOOKUP(A109,'SegEnds_NonXtal_Prot#'!A:AL,10,FALSE)-VLOOKUP(A109,'SegEnds_NonXtal_Prot#'!A:AL,7,FALSE)</f>
        <v>15</v>
      </c>
      <c r="AC109" s="1">
        <f>VLOOKUP(A109,'SegEnds_NonXtal_Prot#'!A:AL,13,FALSE)-VLOOKUP(A109,'SegEnds_NonXtal_Prot#'!A:AL,10,FALSE)</f>
        <v>20</v>
      </c>
      <c r="AD109" s="1">
        <f>VLOOKUP(A109,'SegEnds_NonXtal_Prot#'!A:AL,16,FALSE)-VLOOKUP(A109,'SegEnds_NonXtal_Prot#'!A:AL,10,FALSE)</f>
        <v>52</v>
      </c>
      <c r="AE109" s="1">
        <f>VLOOKUP(A109,'SegEnds_NonXtal_Prot#'!A:AL,22,FALSE)-VLOOKUP(A109,'SegEnds_NonXtal_Prot#'!A:AL,19,FALSE)</f>
        <v>20</v>
      </c>
      <c r="AF109" s="1">
        <f>VLOOKUP(A109,'SegEnds_NonXtal_Prot#'!A:AL,28,FALSE)-VLOOKUP(A109,'SegEnds_NonXtal_Prot#'!A:AL,25,FALSE)</f>
        <v>24</v>
      </c>
      <c r="AG109" s="1">
        <f>VLOOKUP(A109,'SegEnds_NonXtal_Prot#'!A:AL,28,FALSE)-VLOOKUP(A109,'SegEnds_NonXtal_Prot#'!A:AL,22,FALSE)</f>
        <v>49</v>
      </c>
      <c r="AH109" s="1">
        <f>VLOOKUP(A109,'SegEnds_NonXtal_Prot#'!A:AL,31,FALSE)-VLOOKUP(A109,'SegEnds_NonXtal_Prot#'!A:AL,28,FALSE)</f>
        <v>52</v>
      </c>
      <c r="AI109" s="1">
        <f>VLOOKUP(A109,'SegEnds_NonXtal_Prot#'!A:AL,34,FALSE)-VLOOKUP(A109,'SegEnds_NonXtal_Prot#'!A:AL,31,FALSE)</f>
        <v>38</v>
      </c>
      <c r="AJ109" s="1" t="str">
        <f>IF(ISERROR(MATCH(A109,'SegEnds_Xtal_Prot#'!B:B, 0)), "NoXtal", "Xtal")</f>
        <v>NoXtal</v>
      </c>
    </row>
    <row r="110" spans="1:36" x14ac:dyDescent="0.2">
      <c r="A110" s="1" t="s">
        <v>207</v>
      </c>
      <c r="B110" s="1" t="str">
        <f>VLOOKUP(A110,Xtal_Templ!A:B,2,FALSE)</f>
        <v>oprk_human</v>
      </c>
      <c r="C110" s="5">
        <f>VLOOKUP($B110&amp;"__wt",'SegEnds_Xtal_BW#'!$A:$Z,3,FALSE)</f>
        <v>30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f>VLOOKUP($B110&amp;"__wt",'SegEnds_Xtal_BW#'!$A:$Z,8,FALSE)</f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18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57</v>
      </c>
      <c r="O110" s="89">
        <f>VLOOKUP($B110&amp;"__wt",'SegEnds_Xtal_BW#'!$A:$Z,15,FALSE)</f>
        <v>38</v>
      </c>
      <c r="P110" s="1">
        <f>VLOOKUP($B110&amp;"__wt",'SegEnds_Xtal_BW#'!$A:$Z,16,FALSE)</f>
        <v>64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f>VLOOKUP($B110&amp;"__wt",'SegEnds_Xtal_BW#'!$A:$Z,19,FALSE)</f>
        <v>31</v>
      </c>
      <c r="T110" s="1">
        <f t="array" ref="T110">INDEX('ICL3'!$G$2:$G$40,MATCH(MIN(ABS(AH110-'ICL3'!$F$2:$F$40)),ABS(AH110-'ICL3'!$F$2:$F$40),0))</f>
        <v>72</v>
      </c>
      <c r="U110" s="1">
        <f t="array" ref="U110">INDEX('ICL3'!$H$2:$H$40,MATCH(MIN(ABS(AH110-'ICL3'!$F$2:$F$40)),ABS(AH110-'ICL3'!$F$2:$F$40),0))</f>
        <v>24</v>
      </c>
      <c r="V110" s="1">
        <v>61</v>
      </c>
      <c r="W110" s="1">
        <v>28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59</v>
      </c>
      <c r="AA110" s="27" t="str">
        <f>VLOOKUP(A110,Classification!A:B,2,FALSE)</f>
        <v>A</v>
      </c>
      <c r="AB110" s="1">
        <f>VLOOKUP(A110,'SegEnds_NonXtal_Prot#'!A:AL,10,FALSE)-VLOOKUP(A110,'SegEnds_NonXtal_Prot#'!A:AL,7,FALSE)</f>
        <v>19</v>
      </c>
      <c r="AC110" s="1">
        <f>VLOOKUP(A110,'SegEnds_NonXtal_Prot#'!A:AL,13,FALSE)-VLOOKUP(A110,'SegEnds_NonXtal_Prot#'!A:AL,10,FALSE)</f>
        <v>20</v>
      </c>
      <c r="AD110" s="1">
        <f>VLOOKUP(A110,'SegEnds_NonXtal_Prot#'!A:AL,16,FALSE)-VLOOKUP(A110,'SegEnds_NonXtal_Prot#'!A:AL,10,FALSE)</f>
        <v>52</v>
      </c>
      <c r="AE110" s="1">
        <f>VLOOKUP(A110,'SegEnds_NonXtal_Prot#'!A:AL,22,FALSE)-VLOOKUP(A110,'SegEnds_NonXtal_Prot#'!A:AL,19,FALSE)</f>
        <v>20</v>
      </c>
      <c r="AF110" s="1">
        <f>VLOOKUP(A110,'SegEnds_NonXtal_Prot#'!A:AL,28,FALSE)-VLOOKUP(A110,'SegEnds_NonXtal_Prot#'!A:AL,25,FALSE)</f>
        <v>24</v>
      </c>
      <c r="AG110" s="1">
        <f>VLOOKUP(A110,'SegEnds_NonXtal_Prot#'!A:AL,28,FALSE)-VLOOKUP(A110,'SegEnds_NonXtal_Prot#'!A:AL,22,FALSE)</f>
        <v>49</v>
      </c>
      <c r="AH110" s="1">
        <f>VLOOKUP(A110,'SegEnds_NonXtal_Prot#'!A:AL,31,FALSE)-VLOOKUP(A110,'SegEnds_NonXtal_Prot#'!A:AL,28,FALSE)</f>
        <v>54</v>
      </c>
      <c r="AI110" s="1">
        <f>VLOOKUP(A110,'SegEnds_NonXtal_Prot#'!A:AL,34,FALSE)-VLOOKUP(A110,'SegEnds_NonXtal_Prot#'!A:AL,31,FALSE)</f>
        <v>38</v>
      </c>
      <c r="AJ110" s="1" t="str">
        <f>IF(ISERROR(MATCH(A110,'SegEnds_Xtal_Prot#'!B:B, 0)), "NoXtal", "Xtal")</f>
        <v>NoXtal</v>
      </c>
    </row>
    <row r="111" spans="1:36" x14ac:dyDescent="0.2">
      <c r="A111" s="1" t="s">
        <v>208</v>
      </c>
      <c r="B111" s="1" t="str">
        <f>VLOOKUP(A111,Xtal_Templ!A:B,2,FALSE)</f>
        <v>ox2r_human</v>
      </c>
      <c r="C111" s="5">
        <f>VLOOKUP($B111&amp;"__wt",'SegEnds_Xtal_BW#'!$A:$Z,3,FALSE)</f>
        <v>31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9">
        <f>VLOOKUP($B111&amp;"__wt",'SegEnds_Xtal_BW#'!$A:$Z,15,FALSE)</f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32</v>
      </c>
      <c r="T111" s="1">
        <f t="array" ref="T111">INDEX('ICL3'!$G$2:$G$40,MATCH(MIN(ABS(AH111-'ICL3'!$F$2:$F$40)),ABS(AH111-'ICL3'!$F$2:$F$40),0))</f>
        <v>76</v>
      </c>
      <c r="U111" s="1">
        <f t="array" ref="U111">INDEX('ICL3'!$H$2:$H$40,MATCH(MIN(ABS(AH111-'ICL3'!$F$2:$F$40)),ABS(AH111-'ICL3'!$F$2:$F$40),0))</f>
        <v>24</v>
      </c>
      <c r="V111" s="1">
        <v>61</v>
      </c>
      <c r="W111" s="1">
        <v>28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58</v>
      </c>
      <c r="AA111" s="27" t="str">
        <f>VLOOKUP(A111,Classification!A:B,2,FALSE)</f>
        <v>A</v>
      </c>
      <c r="AB111" s="1">
        <f>VLOOKUP(A111,'SegEnds_NonXtal_Prot#'!A:AL,10,FALSE)-VLOOKUP(A111,'SegEnds_NonXtal_Prot#'!A:AL,7,FALSE)</f>
        <v>15</v>
      </c>
      <c r="AC111" s="1">
        <f>VLOOKUP(A111,'SegEnds_NonXtal_Prot#'!A:AL,13,FALSE)-VLOOKUP(A111,'SegEnds_NonXtal_Prot#'!A:AL,10,FALSE)</f>
        <v>20</v>
      </c>
      <c r="AD111" s="1">
        <f>VLOOKUP(A111,'SegEnds_NonXtal_Prot#'!A:AL,16,FALSE)-VLOOKUP(A111,'SegEnds_NonXtal_Prot#'!A:AL,10,FALSE)</f>
        <v>52</v>
      </c>
      <c r="AE111" s="1">
        <f>VLOOKUP(A111,'SegEnds_NonXtal_Prot#'!A:AL,22,FALSE)-VLOOKUP(A111,'SegEnds_NonXtal_Prot#'!A:AL,19,FALSE)</f>
        <v>20</v>
      </c>
      <c r="AF111" s="1">
        <f>VLOOKUP(A111,'SegEnds_NonXtal_Prot#'!A:AL,28,FALSE)-VLOOKUP(A111,'SegEnds_NonXtal_Prot#'!A:AL,25,FALSE)</f>
        <v>25</v>
      </c>
      <c r="AG111" s="1">
        <f>VLOOKUP(A111,'SegEnds_NonXtal_Prot#'!A:AL,28,FALSE)-VLOOKUP(A111,'SegEnds_NonXtal_Prot#'!A:AL,22,FALSE)</f>
        <v>51</v>
      </c>
      <c r="AH111" s="1">
        <f>VLOOKUP(A111,'SegEnds_NonXtal_Prot#'!A:AL,31,FALSE)-VLOOKUP(A111,'SegEnds_NonXtal_Prot#'!A:AL,28,FALSE)</f>
        <v>118</v>
      </c>
      <c r="AI111" s="1">
        <f>VLOOKUP(A111,'SegEnds_NonXtal_Prot#'!A:AL,34,FALSE)-VLOOKUP(A111,'SegEnds_NonXtal_Prot#'!A:AL,31,FALSE)</f>
        <v>39</v>
      </c>
      <c r="AJ111" s="1" t="str">
        <f>IF(ISERROR(MATCH(A111,'SegEnds_Xtal_Prot#'!B:B, 0)), "NoXtal", "Xtal")</f>
        <v>NoXtal</v>
      </c>
    </row>
    <row r="112" spans="1:36" x14ac:dyDescent="0.2">
      <c r="A112" s="1" t="s">
        <v>209</v>
      </c>
      <c r="B112" s="1" t="str">
        <f>VLOOKUP(A112,Xtal_Templ!A:B,2,FALSE)</f>
        <v>ntr1_rat</v>
      </c>
      <c r="C112" s="5">
        <f>VLOOKUP($B112&amp;"__wt",'SegEnds_Xtal_BW#'!$A:$Z,3,FALSE)</f>
        <v>29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v>67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9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32</v>
      </c>
      <c r="T112" s="1">
        <f t="array" ref="T112">INDEX('ICL3'!$G$2:$G$40,MATCH(MIN(ABS(AH112-'ICL3'!$F$2:$F$40)),ABS(AH112-'ICL3'!$F$2:$F$40),0))</f>
        <v>72</v>
      </c>
      <c r="U112" s="1">
        <f t="array" ref="U112">INDEX('ICL3'!$H$2:$H$40,MATCH(MIN(ABS(AH112-'ICL3'!$F$2:$F$40)),ABS(AH112-'ICL3'!$F$2:$F$40),0))</f>
        <v>24</v>
      </c>
      <c r="V112" s="1">
        <v>61</v>
      </c>
      <c r="W112" s="1">
        <v>28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58</v>
      </c>
      <c r="AA112" s="27" t="str">
        <f>VLOOKUP(A112,Classification!A:B,2,FALSE)</f>
        <v>A</v>
      </c>
      <c r="AB112" s="1">
        <f>VLOOKUP(A112,'SegEnds_NonXtal_Prot#'!A:AL,10,FALSE)-VLOOKUP(A112,'SegEnds_NonXtal_Prot#'!A:AL,7,FALSE)</f>
        <v>15</v>
      </c>
      <c r="AC112" s="1">
        <f>VLOOKUP(A112,'SegEnds_NonXtal_Prot#'!A:AL,13,FALSE)-VLOOKUP(A112,'SegEnds_NonXtal_Prot#'!A:AL,10,FALSE)</f>
        <v>20</v>
      </c>
      <c r="AD112" s="1">
        <f>VLOOKUP(A112,'SegEnds_NonXtal_Prot#'!A:AL,16,FALSE)-VLOOKUP(A112,'SegEnds_NonXtal_Prot#'!A:AL,10,FALSE)</f>
        <v>52</v>
      </c>
      <c r="AE112" s="1">
        <f>VLOOKUP(A112,'SegEnds_NonXtal_Prot#'!A:AL,22,FALSE)-VLOOKUP(A112,'SegEnds_NonXtal_Prot#'!A:AL,19,FALSE)</f>
        <v>20</v>
      </c>
      <c r="AF112" s="1">
        <f>VLOOKUP(A112,'SegEnds_NonXtal_Prot#'!A:AL,28,FALSE)-VLOOKUP(A112,'SegEnds_NonXtal_Prot#'!A:AL,25,FALSE)</f>
        <v>26</v>
      </c>
      <c r="AG112" s="1">
        <f>VLOOKUP(A112,'SegEnds_NonXtal_Prot#'!A:AL,28,FALSE)-VLOOKUP(A112,'SegEnds_NonXtal_Prot#'!A:AL,22,FALSE)</f>
        <v>56</v>
      </c>
      <c r="AH112" s="1">
        <f>VLOOKUP(A112,'SegEnds_NonXtal_Prot#'!A:AL,31,FALSE)-VLOOKUP(A112,'SegEnds_NonXtal_Prot#'!A:AL,28,FALSE)</f>
        <v>54</v>
      </c>
      <c r="AI112" s="1">
        <f>VLOOKUP(A112,'SegEnds_NonXtal_Prot#'!A:AL,34,FALSE)-VLOOKUP(A112,'SegEnds_NonXtal_Prot#'!A:AL,31,FALSE)</f>
        <v>42</v>
      </c>
      <c r="AJ112" s="1" t="str">
        <f>IF(ISERROR(MATCH(A112,'SegEnds_Xtal_Prot#'!B:B, 0)), "NoXtal", "Xtal")</f>
        <v>NoXtal</v>
      </c>
    </row>
    <row r="113" spans="1:36" x14ac:dyDescent="0.2">
      <c r="A113" s="1" t="s">
        <v>212</v>
      </c>
      <c r="B113" s="1" t="str">
        <f>VLOOKUP(A113,Xtal_Templ!A:B,2,FALSE)</f>
        <v>ccr5_human</v>
      </c>
      <c r="C113" s="5">
        <f>VLOOKUP($B113&amp;"__wt",'SegEnds_Xtal_BW#'!$A:$Z,3,FALSE)</f>
        <v>24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f>VLOOKUP($B113&amp;"__wt",'SegEnds_Xtal_BW#'!$A:$Z,8,FALSE)</f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18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9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v>35</v>
      </c>
      <c r="T113" s="1">
        <f t="array" ref="T113">INDEX('ICL3'!$G$2:$G$40,MATCH(MIN(ABS(AH113-'ICL3'!$F$2:$F$40)),ABS(AH113-'ICL3'!$F$2:$F$40),0))</f>
        <v>75</v>
      </c>
      <c r="U113" s="1">
        <f t="array" ref="U113">INDEX('ICL3'!$H$2:$H$40,MATCH(MIN(ABS(AH113-'ICL3'!$F$2:$F$40)),ABS(AH113-'ICL3'!$F$2:$F$40),0))</f>
        <v>24</v>
      </c>
      <c r="V113" s="1">
        <v>61</v>
      </c>
      <c r="W113" s="1">
        <v>31</v>
      </c>
      <c r="X113" s="1">
        <f>VLOOKUP($B113&amp;"__wt",'SegEnds_Xtal_BW#'!$A:$Z,24,FALSE)</f>
        <v>56</v>
      </c>
      <c r="Y113" s="1">
        <f>VLOOKUP($B113&amp;"__wt",'SegEnds_Xtal_BW#'!$A:$Z,25,FALSE)</f>
        <v>47</v>
      </c>
      <c r="Z113" s="1">
        <f>VLOOKUP($B113&amp;"__wt",'SegEnds_Xtal_BW#'!$A:$Z,26,FALSE)</f>
        <v>59</v>
      </c>
      <c r="AA113" s="27" t="str">
        <f>VLOOKUP(A113,Classification!A:B,2,FALSE)</f>
        <v>A</v>
      </c>
      <c r="AB113" s="1">
        <f>VLOOKUP(A113,'SegEnds_NonXtal_Prot#'!A:AL,10,FALSE)-VLOOKUP(A113,'SegEnds_NonXtal_Prot#'!A:AL,7,FALSE)</f>
        <v>15</v>
      </c>
      <c r="AC113" s="1">
        <f>VLOOKUP(A113,'SegEnds_NonXtal_Prot#'!A:AL,13,FALSE)-VLOOKUP(A113,'SegEnds_NonXtal_Prot#'!A:AL,10,FALSE)</f>
        <v>20</v>
      </c>
      <c r="AD113" s="1">
        <f>VLOOKUP(A113,'SegEnds_NonXtal_Prot#'!A:AL,16,FALSE)-VLOOKUP(A113,'SegEnds_NonXtal_Prot#'!A:AL,10,FALSE)</f>
        <v>52</v>
      </c>
      <c r="AE113" s="1">
        <f>VLOOKUP(A113,'SegEnds_NonXtal_Prot#'!A:AL,22,FALSE)-VLOOKUP(A113,'SegEnds_NonXtal_Prot#'!A:AL,19,FALSE)</f>
        <v>20</v>
      </c>
      <c r="AF113" s="1">
        <f>VLOOKUP(A113,'SegEnds_NonXtal_Prot#'!A:AL,28,FALSE)-VLOOKUP(A113,'SegEnds_NonXtal_Prot#'!A:AL,25,FALSE)</f>
        <v>22</v>
      </c>
      <c r="AG113" s="1">
        <f>VLOOKUP(A113,'SegEnds_NonXtal_Prot#'!A:AL,28,FALSE)-VLOOKUP(A113,'SegEnds_NonXtal_Prot#'!A:AL,22,FALSE)</f>
        <v>48</v>
      </c>
      <c r="AH113" s="1">
        <f>VLOOKUP(A113,'SegEnds_NonXtal_Prot#'!A:AL,31,FALSE)-VLOOKUP(A113,'SegEnds_NonXtal_Prot#'!A:AL,28,FALSE)</f>
        <v>210</v>
      </c>
      <c r="AI113" s="1">
        <f>VLOOKUP(A113,'SegEnds_NonXtal_Prot#'!A:AL,34,FALSE)-VLOOKUP(A113,'SegEnds_NonXtal_Prot#'!A:AL,31,FALSE)</f>
        <v>37</v>
      </c>
      <c r="AJ113" s="1" t="str">
        <f>IF(ISERROR(MATCH(A113,'SegEnds_Xtal_Prot#'!B:B, 0)), "NoXtal", "Xtal")</f>
        <v>NoXtal</v>
      </c>
    </row>
    <row r="114" spans="1:36" x14ac:dyDescent="0.2">
      <c r="A114" s="1" t="s">
        <v>213</v>
      </c>
      <c r="B114" s="1" t="str">
        <f>VLOOKUP(A114,Xtal_Templ!A:B,2,FALSE)</f>
        <v>5ht2b_human</v>
      </c>
      <c r="C114" s="5">
        <f>VLOOKUP($B114&amp;"__wt",'SegEnds_Xtal_BW#'!$A:$Z,3,FALSE)</f>
        <v>32</v>
      </c>
      <c r="D114" s="1">
        <f>VLOOKUP($B114&amp;"__wt",'SegEnds_Xtal_BW#'!$A:$Z,4,FALSE)</f>
        <v>60</v>
      </c>
      <c r="E114" s="1">
        <f>VLOOKUP($B114&amp;"__wt",'SegEnds_Xtal_BW#'!$A:$Z,5,FALSE)</f>
        <v>48</v>
      </c>
      <c r="F114" s="1">
        <f>VLOOKUP($B114&amp;"__wt",'SegEnds_Xtal_BW#'!$A:$Z,6,FALSE)</f>
        <v>51</v>
      </c>
      <c r="G114" s="1">
        <v>37</v>
      </c>
      <c r="H114" s="111">
        <v>66</v>
      </c>
      <c r="I114" s="1">
        <f>VLOOKUP($B114&amp;"__wt",'SegEnds_Xtal_BW#'!$A:$Z,9,FALSE)</f>
        <v>49</v>
      </c>
      <c r="J114" s="1">
        <f>VLOOKUP($B114&amp;"__wt",'SegEnds_Xtal_BW#'!$A:$Z,10,FALSE)</f>
        <v>52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9">
        <v>38</v>
      </c>
      <c r="P114" s="1">
        <f>VLOOKUP($B114&amp;"__wt",'SegEnds_Xtal_BW#'!$A:$Z,16,FALSE)</f>
        <v>64</v>
      </c>
      <c r="Q114" s="1">
        <f>VLOOKUP($B114&amp;"__wt",'SegEnds_Xtal_BW#'!$A:$Z,17,FALSE)</f>
        <v>50</v>
      </c>
      <c r="R114" s="1">
        <f>VLOOKUP($B114&amp;"__wt",'SegEnds_Xtal_BW#'!$A:$Z,18,FALSE)</f>
        <v>52</v>
      </c>
      <c r="S114" s="1">
        <v>35</v>
      </c>
      <c r="T114" s="1">
        <f t="array" ref="T114">INDEX('ICL3'!$G$2:$G$40,MATCH(MIN(ABS(AH114-'ICL3'!$F$2:$F$40)),ABS(AH114-'ICL3'!$F$2:$F$40),0))</f>
        <v>74</v>
      </c>
      <c r="U114" s="1">
        <f t="array" ref="U114">INDEX('ICL3'!$H$2:$H$40,MATCH(MIN(ABS(AH114-'ICL3'!$F$2:$F$40)),ABS(AH114-'ICL3'!$F$2:$F$40),0))</f>
        <v>21</v>
      </c>
      <c r="V114" s="1">
        <v>61</v>
      </c>
      <c r="W114" s="1">
        <v>31</v>
      </c>
      <c r="X114" s="1">
        <f>VLOOKUP($B114&amp;"__wt",'SegEnds_Xtal_BW#'!$A:$Z,24,FALSE)</f>
        <v>56</v>
      </c>
      <c r="Y114" s="1">
        <f>VLOOKUP($B114&amp;"__wt",'SegEnds_Xtal_BW#'!$A:$Z,25,FALSE)</f>
        <v>47</v>
      </c>
      <c r="Z114" s="1">
        <f>VLOOKUP($B114&amp;"__wt",'SegEnds_Xtal_BW#'!$A:$Z,26,FALSE)</f>
        <v>58</v>
      </c>
      <c r="AA114" s="27" t="str">
        <f>VLOOKUP(A114,Classification!A:B,2,FALSE)</f>
        <v>A</v>
      </c>
      <c r="AB114" s="1" t="e">
        <f>VLOOKUP(A114,'SegEnds_NonXtal_Prot#'!A:AL,10,FALSE)-VLOOKUP(A114,'SegEnds_NonXtal_Prot#'!A:AL,7,FALSE)</f>
        <v>#VALUE!</v>
      </c>
      <c r="AC114" s="1" t="e">
        <f>VLOOKUP(A114,'SegEnds_NonXtal_Prot#'!A:AL,13,FALSE)-VLOOKUP(A114,'SegEnds_NonXtal_Prot#'!A:AL,10,FALSE)</f>
        <v>#VALUE!</v>
      </c>
      <c r="AD114" s="1">
        <f>VLOOKUP(A114,'SegEnds_NonXtal_Prot#'!A:AL,16,FALSE)-VLOOKUP(A114,'SegEnds_NonXtal_Prot#'!A:AL,10,FALSE)</f>
        <v>52</v>
      </c>
      <c r="AE114" s="1">
        <f>VLOOKUP(A114,'SegEnds_NonXtal_Prot#'!A:AL,22,FALSE)-VLOOKUP(A114,'SegEnds_NonXtal_Prot#'!A:AL,19,FALSE)</f>
        <v>20</v>
      </c>
      <c r="AF114" s="1">
        <f>VLOOKUP(A114,'SegEnds_NonXtal_Prot#'!A:AL,28,FALSE)-VLOOKUP(A114,'SegEnds_NonXtal_Prot#'!A:AL,25,FALSE)</f>
        <v>21</v>
      </c>
      <c r="AG114" s="1">
        <f>VLOOKUP(A114,'SegEnds_NonXtal_Prot#'!A:AL,28,FALSE)-VLOOKUP(A114,'SegEnds_NonXtal_Prot#'!A:AL,22,FALSE)</f>
        <v>46</v>
      </c>
      <c r="AH114" s="1">
        <f>VLOOKUP(A114,'SegEnds_NonXtal_Prot#'!A:AL,31,FALSE)-VLOOKUP(A114,'SegEnds_NonXtal_Prot#'!A:AL,28,FALSE)</f>
        <v>64</v>
      </c>
      <c r="AI114" s="1">
        <f>VLOOKUP(A114,'SegEnds_NonXtal_Prot#'!A:AL,34,FALSE)-VLOOKUP(A114,'SegEnds_NonXtal_Prot#'!A:AL,31,FALSE)</f>
        <v>36</v>
      </c>
      <c r="AJ114" s="1" t="str">
        <f>IF(ISERROR(MATCH(A114,'SegEnds_Xtal_Prot#'!B:B, 0)), "NoXtal", "Xtal")</f>
        <v>NoXtal</v>
      </c>
    </row>
    <row r="115" spans="1:36" x14ac:dyDescent="0.2">
      <c r="A115" s="1" t="s">
        <v>217</v>
      </c>
      <c r="B115" s="1" t="str">
        <f>VLOOKUP(A115,Xtal_Templ!A:B,2,FALSE)</f>
        <v>hrh1_human</v>
      </c>
      <c r="C115" s="5">
        <f>VLOOKUP($B115&amp;"__wt",'SegEnds_Xtal_BW#'!$A:$Z,3,FALSE)</f>
        <v>34</v>
      </c>
      <c r="D115" s="1">
        <f>VLOOKUP($B115&amp;"__wt",'SegEnds_Xtal_BW#'!$A:$Z,4,FALSE)</f>
        <v>60</v>
      </c>
      <c r="E115" s="1">
        <f>VLOOKUP($B115&amp;"__wt",'SegEnds_Xtal_BW#'!$A:$Z,5,FALSE)</f>
        <v>48</v>
      </c>
      <c r="F115" s="1">
        <f>VLOOKUP($B115&amp;"__wt",'SegEnds_Xtal_BW#'!$A:$Z,6,FALSE)</f>
        <v>51</v>
      </c>
      <c r="G115" s="1">
        <v>37</v>
      </c>
      <c r="H115" s="12">
        <v>66</v>
      </c>
      <c r="I115" s="1">
        <f>VLOOKUP($B115&amp;"__wt",'SegEnds_Xtal_BW#'!$A:$Z,9,FALSE)</f>
        <v>49</v>
      </c>
      <c r="J115" s="1">
        <f>VLOOKUP($B115&amp;"__wt",'SegEnds_Xtal_BW#'!$A:$Z,10,FALSE)</f>
        <v>52</v>
      </c>
      <c r="K115" s="12">
        <v>21</v>
      </c>
      <c r="L115" s="1">
        <f>VLOOKUP($B115&amp;"__wt",'SegEnds_Xtal_BW#'!$A:$Z,12,FALSE)</f>
        <v>56</v>
      </c>
      <c r="M115" s="1">
        <f>VLOOKUP($B115&amp;"__wt",'SegEnds_Xtal_BW#'!$A:$Z,13,FALSE)</f>
        <v>50</v>
      </c>
      <c r="N115" s="12">
        <v>57</v>
      </c>
      <c r="O115" s="89">
        <v>38</v>
      </c>
      <c r="P115" s="1">
        <f>VLOOKUP($B115&amp;"__wt",'SegEnds_Xtal_BW#'!$A:$Z,16,FALSE)</f>
        <v>62</v>
      </c>
      <c r="Q115" s="1">
        <f>VLOOKUP($B115&amp;"__wt",'SegEnds_Xtal_BW#'!$A:$Z,17,FALSE)</f>
        <v>50</v>
      </c>
      <c r="R115" s="1">
        <f>VLOOKUP($B115&amp;"__wt",'SegEnds_Xtal_BW#'!$A:$Z,18,FALSE)</f>
        <v>52</v>
      </c>
      <c r="S115" s="1">
        <f>VLOOKUP($B115&amp;"__wt",'SegEnds_Xtal_BW#'!$A:$Z,19,FALSE)</f>
        <v>35</v>
      </c>
      <c r="T115" s="1">
        <f t="array" ref="T115">INDEX('ICL3'!$G$2:$G$40,MATCH(MIN(ABS(AH115-'ICL3'!$F$2:$F$40)),ABS(AH115-'ICL3'!$F$2:$F$40),0))</f>
        <v>68</v>
      </c>
      <c r="U115" s="1">
        <f t="array" ref="U115">INDEX('ICL3'!$H$2:$H$40,MATCH(MIN(ABS(AH115-'ICL3'!$F$2:$F$40)),ABS(AH115-'ICL3'!$F$2:$F$40),0))</f>
        <v>28</v>
      </c>
      <c r="V115" s="1">
        <v>61</v>
      </c>
      <c r="W115" s="1">
        <v>28</v>
      </c>
      <c r="X115" s="1">
        <f>VLOOKUP($B115&amp;"__wt",'SegEnds_Xtal_BW#'!$A:$Z,24,FALSE)</f>
        <v>56</v>
      </c>
      <c r="Y115" s="1">
        <f>VLOOKUP($B115&amp;"__wt",'SegEnds_Xtal_BW#'!$A:$Z,25,FALSE)</f>
        <v>47</v>
      </c>
      <c r="Z115" s="1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VLOOKUP(A115,'SegEnds_NonXtal_Prot#'!A:AL,10,FALSE)-VLOOKUP(A115,'SegEnds_NonXtal_Prot#'!A:AL,7,FALSE)</f>
        <v>15</v>
      </c>
      <c r="AC115" s="1">
        <f>VLOOKUP(A115,'SegEnds_NonXtal_Prot#'!A:AL,13,FALSE)-VLOOKUP(A115,'SegEnds_NonXtal_Prot#'!A:AL,10,FALSE)</f>
        <v>19</v>
      </c>
      <c r="AD115" s="1">
        <f>VLOOKUP(A115,'SegEnds_NonXtal_Prot#'!A:AL,16,FALSE)-VLOOKUP(A115,'SegEnds_NonXtal_Prot#'!A:AL,10,FALSE)</f>
        <v>51</v>
      </c>
      <c r="AE115" s="1">
        <f>VLOOKUP(A115,'SegEnds_NonXtal_Prot#'!A:AL,22,FALSE)-VLOOKUP(A115,'SegEnds_NonXtal_Prot#'!A:AL,19,FALSE)</f>
        <v>20</v>
      </c>
      <c r="AF115" s="1">
        <f>VLOOKUP(A115,'SegEnds_NonXtal_Prot#'!A:AL,28,FALSE)-VLOOKUP(A115,'SegEnds_NonXtal_Prot#'!A:AL,25,FALSE)</f>
        <v>30</v>
      </c>
      <c r="AG115" s="1">
        <f>VLOOKUP(A115,'SegEnds_NonXtal_Prot#'!A:AL,28,FALSE)-VLOOKUP(A115,'SegEnds_NonXtal_Prot#'!A:AL,22,FALSE)</f>
        <v>56</v>
      </c>
      <c r="AH115" s="1">
        <f>VLOOKUP(A115,'SegEnds_NonXtal_Prot#'!A:AL,31,FALSE)-VLOOKUP(A115,'SegEnds_NonXtal_Prot#'!A:AL,28,FALSE)</f>
        <v>44</v>
      </c>
      <c r="AI115" s="1">
        <f>VLOOKUP(A115,'SegEnds_NonXtal_Prot#'!A:AL,34,FALSE)-VLOOKUP(A115,'SegEnds_NonXtal_Prot#'!A:AL,31,FALSE)</f>
        <v>40</v>
      </c>
      <c r="AJ115" s="1" t="str">
        <f>IF(ISERROR(MATCH(A115,'SegEnds_Xtal_Prot#'!B:B, 0)), "NoXtal", "Xtal")</f>
        <v>NoXtal</v>
      </c>
    </row>
    <row r="116" spans="1:36" x14ac:dyDescent="0.2">
      <c r="A116" s="1" t="s">
        <v>220</v>
      </c>
      <c r="B116" s="1" t="str">
        <f>VLOOKUP(A116,Xtal_Templ!A:B,2,FALSE)</f>
        <v>5ht1b_human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66</v>
      </c>
      <c r="I116" s="1">
        <f>VLOOKUP($B116&amp;"__wt",'SegEnds_Xtal_BW#'!$A:$Z,9,FALSE)</f>
        <v>49</v>
      </c>
      <c r="J116" s="1">
        <f>VLOOKUP($B116&amp;"__wt",'SegEnds_Xtal_BW#'!$A:$Z,10,FALSE)</f>
        <v>52</v>
      </c>
      <c r="K116" s="12">
        <v>24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2">
        <v>57</v>
      </c>
      <c r="O116" s="89">
        <v>38</v>
      </c>
      <c r="P116" s="1">
        <f>VLOOKUP($B116&amp;"__wt",'SegEnds_Xtal_BW#'!$A:$Z,16,FALSE)</f>
        <v>63</v>
      </c>
      <c r="Q116" s="1">
        <f>VLOOKUP($B116&amp;"__wt",'SegEnds_Xtal_BW#'!$A:$Z,17,FALSE)</f>
        <v>50</v>
      </c>
      <c r="R116" s="1">
        <f>VLOOKUP($B116&amp;"__wt",'SegEnds_Xtal_BW#'!$A:$Z,18,FALSE)</f>
        <v>52</v>
      </c>
      <c r="S116" s="1">
        <v>35</v>
      </c>
      <c r="T116" s="1">
        <f t="array" ref="T116">INDEX('ICL3'!$G$2:$G$40,MATCH(MIN(ABS(AH116-'ICL3'!$F$2:$F$40)),ABS(AH116-'ICL3'!$F$2:$F$40),0))</f>
        <v>76</v>
      </c>
      <c r="U116" s="1">
        <f t="array" ref="U116">INDEX('ICL3'!$H$2:$H$40,MATCH(MIN(ABS(AH116-'ICL3'!$F$2:$F$40)),ABS(AH116-'ICL3'!$F$2:$F$40),0))</f>
        <v>24</v>
      </c>
      <c r="V116" s="1">
        <v>58</v>
      </c>
      <c r="W116" s="1">
        <v>36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58</v>
      </c>
      <c r="AA116" s="27" t="str">
        <f>VLOOKUP(A116,Classification!A:B,2,FALSE)</f>
        <v>A</v>
      </c>
      <c r="AB116" s="1">
        <f>VLOOKUP(A116,'SegEnds_NonXtal_Prot#'!A:AL,10,FALSE)-VLOOKUP(A116,'SegEnds_NonXtal_Prot#'!A:AL,7,FALSE)</f>
        <v>16</v>
      </c>
      <c r="AC116" s="1">
        <f>VLOOKUP(A116,'SegEnds_NonXtal_Prot#'!A:AL,13,FALSE)-VLOOKUP(A116,'SegEnds_NonXtal_Prot#'!A:AL,10,FALSE)</f>
        <v>18</v>
      </c>
      <c r="AD116" s="1">
        <f>VLOOKUP(A116,'SegEnds_NonXtal_Prot#'!A:AL,16,FALSE)-VLOOKUP(A116,'SegEnds_NonXtal_Prot#'!A:AL,10,FALSE)</f>
        <v>50</v>
      </c>
      <c r="AE116" s="1">
        <f>VLOOKUP(A116,'SegEnds_NonXtal_Prot#'!A:AL,22,FALSE)-VLOOKUP(A116,'SegEnds_NonXtal_Prot#'!A:AL,19,FALSE)</f>
        <v>20</v>
      </c>
      <c r="AF116" s="1" t="e">
        <f>VLOOKUP(A116,'SegEnds_NonXtal_Prot#'!A:AL,28,FALSE)-VLOOKUP(A116,'SegEnds_NonXtal_Prot#'!A:AL,25,FALSE)</f>
        <v>#VALUE!</v>
      </c>
      <c r="AG116" s="1">
        <f>VLOOKUP(A116,'SegEnds_NonXtal_Prot#'!A:AL,28,FALSE)-VLOOKUP(A116,'SegEnds_NonXtal_Prot#'!A:AL,22,FALSE)</f>
        <v>38</v>
      </c>
      <c r="AH116" s="1">
        <f>VLOOKUP(A116,'SegEnds_NonXtal_Prot#'!A:AL,31,FALSE)-VLOOKUP(A116,'SegEnds_NonXtal_Prot#'!A:AL,28,FALSE)</f>
        <v>68</v>
      </c>
      <c r="AI116" s="1">
        <f>VLOOKUP(A116,'SegEnds_NonXtal_Prot#'!A:AL,34,FALSE)-VLOOKUP(A116,'SegEnds_NonXtal_Prot#'!A:AL,31,FALSE)</f>
        <v>30</v>
      </c>
      <c r="AJ116" s="1" t="str">
        <f>IF(ISERROR(MATCH(A116,'SegEnds_Xtal_Prot#'!B:B, 0)), "NoXtal", "Xtal")</f>
        <v>NoXtal</v>
      </c>
    </row>
    <row r="117" spans="1:36" x14ac:dyDescent="0.2">
      <c r="A117" s="1" t="s">
        <v>224</v>
      </c>
      <c r="B117" s="1" t="str">
        <f>VLOOKUP(A117,Xtal_Templ!A:B,2,FALSE)</f>
        <v>ntr1_rat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67</v>
      </c>
      <c r="I117" s="1">
        <f>VLOOKUP($B117&amp;"__wt",'SegEnds_Xtal_BW#'!$A:$Z,9,FALSE)</f>
        <v>49</v>
      </c>
      <c r="J117" s="1">
        <f>VLOOKUP($B117&amp;"__wt",'SegEnds_Xtal_BW#'!$A:$Z,10,FALSE)</f>
        <v>52</v>
      </c>
      <c r="K117" s="12">
        <v>18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2">
        <v>57</v>
      </c>
      <c r="O117" s="89">
        <f>VLOOKUP($B117&amp;"__wt",'SegEnds_Xtal_BW#'!$A:$Z,15,FALSE)</f>
        <v>38</v>
      </c>
      <c r="P117" s="1">
        <f>VLOOKUP($B117&amp;"__wt",'SegEnds_Xtal_BW#'!$A:$Z,16,FALSE)</f>
        <v>64</v>
      </c>
      <c r="Q117" s="1">
        <f>VLOOKUP($B117&amp;"__wt",'SegEnds_Xtal_BW#'!$A:$Z,17,FALSE)</f>
        <v>50</v>
      </c>
      <c r="R117" s="1">
        <f>VLOOKUP($B117&amp;"__wt",'SegEnds_Xtal_BW#'!$A:$Z,18,FALSE)</f>
        <v>52</v>
      </c>
      <c r="S117" s="1">
        <v>35</v>
      </c>
      <c r="T117" s="1">
        <f t="array" ref="T117">INDEX('ICL3'!$G$2:$G$40,MATCH(MIN(ABS(AH117-'ICL3'!$F$2:$F$40)),ABS(AH117-'ICL3'!$F$2:$F$40),0))</f>
        <v>68</v>
      </c>
      <c r="U117" s="1">
        <f t="array" ref="U117">INDEX('ICL3'!$H$2:$H$40,MATCH(MIN(ABS(AH117-'ICL3'!$F$2:$F$40)),ABS(AH117-'ICL3'!$F$2:$F$40),0))</f>
        <v>24</v>
      </c>
      <c r="V117" s="1">
        <v>61</v>
      </c>
      <c r="W117" s="1">
        <v>28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58</v>
      </c>
      <c r="AA117" s="27" t="str">
        <f>VLOOKUP(A117,Classification!A:B,2,FALSE)</f>
        <v>A</v>
      </c>
      <c r="AB117" s="1" t="e">
        <f>VLOOKUP(A117,'SegEnds_NonXtal_Prot#'!A:AL,10,FALSE)-VLOOKUP(A117,'SegEnds_NonXtal_Prot#'!A:AL,7,FALSE)</f>
        <v>#VALUE!</v>
      </c>
      <c r="AC117" s="1">
        <f>VLOOKUP(A117,'SegEnds_NonXtal_Prot#'!A:AL,13,FALSE)-VLOOKUP(A117,'SegEnds_NonXtal_Prot#'!A:AL,10,FALSE)</f>
        <v>20</v>
      </c>
      <c r="AD117" s="1">
        <f>VLOOKUP(A117,'SegEnds_NonXtal_Prot#'!A:AL,16,FALSE)-VLOOKUP(A117,'SegEnds_NonXtal_Prot#'!A:AL,10,FALSE)</f>
        <v>52</v>
      </c>
      <c r="AE117" s="1">
        <f>VLOOKUP(A117,'SegEnds_NonXtal_Prot#'!A:AL,22,FALSE)-VLOOKUP(A117,'SegEnds_NonXtal_Prot#'!A:AL,19,FALSE)</f>
        <v>20</v>
      </c>
      <c r="AF117" s="1">
        <f>VLOOKUP(A117,'SegEnds_NonXtal_Prot#'!A:AL,28,FALSE)-VLOOKUP(A117,'SegEnds_NonXtal_Prot#'!A:AL,25,FALSE)</f>
        <v>22</v>
      </c>
      <c r="AG117" s="1">
        <f>VLOOKUP(A117,'SegEnds_NonXtal_Prot#'!A:AL,28,FALSE)-VLOOKUP(A117,'SegEnds_NonXtal_Prot#'!A:AL,22,FALSE)</f>
        <v>48</v>
      </c>
      <c r="AH117" s="1">
        <f>VLOOKUP(A117,'SegEnds_NonXtal_Prot#'!A:AL,31,FALSE)-VLOOKUP(A117,'SegEnds_NonXtal_Prot#'!A:AL,28,FALSE)</f>
        <v>48</v>
      </c>
      <c r="AI117" s="1">
        <f>VLOOKUP(A117,'SegEnds_NonXtal_Prot#'!A:AL,34,FALSE)-VLOOKUP(A117,'SegEnds_NonXtal_Prot#'!A:AL,31,FALSE)</f>
        <v>40</v>
      </c>
      <c r="AJ117" s="1" t="str">
        <f>IF(ISERROR(MATCH(A117,'SegEnds_Xtal_Prot#'!B:B, 0)), "NoXtal", "Xtal")</f>
        <v>NoXtal</v>
      </c>
    </row>
    <row r="118" spans="1:36" x14ac:dyDescent="0.2">
      <c r="A118" s="1" t="s">
        <v>225</v>
      </c>
      <c r="B118" s="1" t="str">
        <f>VLOOKUP(A118,Xtal_Templ!A:B,2,FALSE)</f>
        <v>ox2r_human</v>
      </c>
      <c r="C118" s="5">
        <f>VLOOKUP($B118&amp;"__wt",'SegEnds_Xtal_BW#'!$A:$Z,3,FALSE)</f>
        <v>31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f>VLOOKUP($B118&amp;"__wt",'SegEnds_Xtal_BW#'!$A:$Z,8,FALSE)</f>
        <v>67</v>
      </c>
      <c r="I118" s="1">
        <f>VLOOKUP($B118&amp;"__wt",'SegEnds_Xtal_BW#'!$A:$Z,9,FALSE)</f>
        <v>49</v>
      </c>
      <c r="J118" s="1">
        <f>VLOOKUP($B118&amp;"__wt",'SegEnds_Xtal_BW#'!$A:$Z,10,FALSE)</f>
        <v>52</v>
      </c>
      <c r="K118" s="12">
        <v>18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2">
        <v>57</v>
      </c>
      <c r="O118" s="89">
        <f>VLOOKUP($B118&amp;"__wt",'SegEnds_Xtal_BW#'!$A:$Z,15,FALSE)</f>
        <v>38</v>
      </c>
      <c r="P118" s="1">
        <v>63</v>
      </c>
      <c r="Q118" s="1">
        <f>VLOOKUP($B118&amp;"__wt",'SegEnds_Xtal_BW#'!$A:$Z,17,FALSE)</f>
        <v>50</v>
      </c>
      <c r="R118" s="1">
        <f>VLOOKUP($B118&amp;"__wt",'SegEnds_Xtal_BW#'!$A:$Z,18,FALSE)</f>
        <v>52</v>
      </c>
      <c r="S118" s="1">
        <v>35</v>
      </c>
      <c r="T118" s="1">
        <f t="array" ref="T118">INDEX('ICL3'!$G$2:$G$40,MATCH(MIN(ABS(AH118-'ICL3'!$F$2:$F$40)),ABS(AH118-'ICL3'!$F$2:$F$40),0))</f>
        <v>76</v>
      </c>
      <c r="U118" s="1">
        <f t="array" ref="U118">INDEX('ICL3'!$H$2:$H$40,MATCH(MIN(ABS(AH118-'ICL3'!$F$2:$F$40)),ABS(AH118-'ICL3'!$F$2:$F$40),0))</f>
        <v>24</v>
      </c>
      <c r="V118" s="1">
        <v>61</v>
      </c>
      <c r="W118" s="1">
        <v>32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58</v>
      </c>
      <c r="AA118" s="27" t="str">
        <f>VLOOKUP(A118,Classification!A:B,2,FALSE)</f>
        <v>A</v>
      </c>
      <c r="AB118" s="1">
        <f>VLOOKUP(A118,'SegEnds_NonXtal_Prot#'!A:AL,10,FALSE)-VLOOKUP(A118,'SegEnds_NonXtal_Prot#'!A:AL,7,FALSE)</f>
        <v>14</v>
      </c>
      <c r="AC118" s="1">
        <f>VLOOKUP(A118,'SegEnds_NonXtal_Prot#'!A:AL,13,FALSE)-VLOOKUP(A118,'SegEnds_NonXtal_Prot#'!A:AL,10,FALSE)</f>
        <v>24</v>
      </c>
      <c r="AD118" s="1">
        <f>VLOOKUP(A118,'SegEnds_NonXtal_Prot#'!A:AL,16,FALSE)-VLOOKUP(A118,'SegEnds_NonXtal_Prot#'!A:AL,10,FALSE)</f>
        <v>56</v>
      </c>
      <c r="AE118" s="1">
        <f>VLOOKUP(A118,'SegEnds_NonXtal_Prot#'!A:AL,22,FALSE)-VLOOKUP(A118,'SegEnds_NonXtal_Prot#'!A:AL,19,FALSE)</f>
        <v>20</v>
      </c>
      <c r="AF118" s="1">
        <f>VLOOKUP(A118,'SegEnds_NonXtal_Prot#'!A:AL,28,FALSE)-VLOOKUP(A118,'SegEnds_NonXtal_Prot#'!A:AL,25,FALSE)</f>
        <v>23</v>
      </c>
      <c r="AG118" s="1">
        <f>VLOOKUP(A118,'SegEnds_NonXtal_Prot#'!A:AL,28,FALSE)-VLOOKUP(A118,'SegEnds_NonXtal_Prot#'!A:AL,22,FALSE)</f>
        <v>49</v>
      </c>
      <c r="AH118" s="1">
        <f>VLOOKUP(A118,'SegEnds_NonXtal_Prot#'!A:AL,31,FALSE)-VLOOKUP(A118,'SegEnds_NonXtal_Prot#'!A:AL,28,FALSE)</f>
        <v>76</v>
      </c>
      <c r="AI118" s="1">
        <f>VLOOKUP(A118,'SegEnds_NonXtal_Prot#'!A:AL,34,FALSE)-VLOOKUP(A118,'SegEnds_NonXtal_Prot#'!A:AL,31,FALSE)</f>
        <v>34</v>
      </c>
      <c r="AJ118" s="1" t="str">
        <f>IF(ISERROR(MATCH(A118,'SegEnds_Xtal_Prot#'!B:B, 0)), "NoXtal", "Xtal")</f>
        <v>NoXtal</v>
      </c>
    </row>
    <row r="119" spans="1:36" x14ac:dyDescent="0.2">
      <c r="A119" s="1" t="s">
        <v>227</v>
      </c>
      <c r="B119" s="1" t="str">
        <f>VLOOKUP(A119,Xtal_Templ!A:B,2,FALSE)</f>
        <v>5ht1b_human</v>
      </c>
      <c r="C119" s="5">
        <f>VLOOKUP($B119&amp;"__wt",'SegEnds_Xtal_BW#'!$A:$Z,3,FALSE)</f>
        <v>29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9">
        <v>38</v>
      </c>
      <c r="P119" s="1">
        <v>63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INDEX('ICL3'!$G$2:$G$40,MATCH(MIN(ABS(AH119-'ICL3'!$F$2:$F$40)),ABS(AH119-'ICL3'!$F$2:$F$40),0))</f>
        <v>76</v>
      </c>
      <c r="U119" s="1">
        <f t="array" ref="U119">INDEX('ICL3'!$H$2:$H$40,MATCH(MIN(ABS(AH119-'ICL3'!$F$2:$F$40)),ABS(AH119-'ICL3'!$F$2:$F$40),0))</f>
        <v>24</v>
      </c>
      <c r="V119" s="1">
        <v>61</v>
      </c>
      <c r="W119" s="1">
        <v>31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VLOOKUP(A119,'SegEnds_NonXtal_Prot#'!A:AL,10,FALSE)-VLOOKUP(A119,'SegEnds_NonXtal_Prot#'!A:AL,7,FALSE)</f>
        <v>15</v>
      </c>
      <c r="AC119" s="1">
        <f>VLOOKUP(A119,'SegEnds_NonXtal_Prot#'!A:AL,13,FALSE)-VLOOKUP(A119,'SegEnds_NonXtal_Prot#'!A:AL,10,FALSE)</f>
        <v>20</v>
      </c>
      <c r="AD119" s="1">
        <f>VLOOKUP(A119,'SegEnds_NonXtal_Prot#'!A:AL,16,FALSE)-VLOOKUP(A119,'SegEnds_NonXtal_Prot#'!A:AL,10,FALSE)</f>
        <v>52</v>
      </c>
      <c r="AE119" s="1">
        <f>VLOOKUP(A119,'SegEnds_NonXtal_Prot#'!A:AL,22,FALSE)-VLOOKUP(A119,'SegEnds_NonXtal_Prot#'!A:AL,19,FALSE)</f>
        <v>20</v>
      </c>
      <c r="AF119" s="1">
        <f>VLOOKUP(A119,'SegEnds_NonXtal_Prot#'!A:AL,28,FALSE)-VLOOKUP(A119,'SegEnds_NonXtal_Prot#'!A:AL,25,FALSE)</f>
        <v>22</v>
      </c>
      <c r="AG119" s="1">
        <f>VLOOKUP(A119,'SegEnds_NonXtal_Prot#'!A:AL,28,FALSE)-VLOOKUP(A119,'SegEnds_NonXtal_Prot#'!A:AL,22,FALSE)</f>
        <v>48</v>
      </c>
      <c r="AH119" s="1">
        <f>VLOOKUP(A119,'SegEnds_NonXtal_Prot#'!A:AL,31,FALSE)-VLOOKUP(A119,'SegEnds_NonXtal_Prot#'!A:AL,28,FALSE)</f>
        <v>85</v>
      </c>
      <c r="AI119" s="1">
        <f>VLOOKUP(A119,'SegEnds_NonXtal_Prot#'!A:AL,34,FALSE)-VLOOKUP(A119,'SegEnds_NonXtal_Prot#'!A:AL,31,FALSE)</f>
        <v>36</v>
      </c>
      <c r="AJ119" s="1" t="str">
        <f>IF(ISERROR(MATCH(A119,'SegEnds_Xtal_Prot#'!B:B, 0)), "NoXtal", "Xtal")</f>
        <v>NoXtal</v>
      </c>
    </row>
    <row r="120" spans="1:36" x14ac:dyDescent="0.2">
      <c r="A120" s="1" t="s">
        <v>228</v>
      </c>
      <c r="B120" s="1" t="str">
        <f>VLOOKUP(A120,Xtal_Templ!A:B,2,FALSE)</f>
        <v>ox2r_human</v>
      </c>
      <c r="C120" s="5">
        <f>VLOOKUP($B120&amp;"__wt",'SegEnds_Xtal_BW#'!$A:$Z,3,FALSE)</f>
        <v>31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f>VLOOKUP($B120&amp;"__wt",'SegEnds_Xtal_BW#'!$A:$Z,8,FALSE)</f>
        <v>67</v>
      </c>
      <c r="I120" s="1">
        <f>VLOOKUP($B120&amp;"__wt",'SegEnds_Xtal_BW#'!$A:$Z,9,FALSE)</f>
        <v>49</v>
      </c>
      <c r="J120" s="1">
        <f>VLOOKUP($B120&amp;"__wt",'SegEnds_Xtal_BW#'!$A:$Z,10,FALSE)</f>
        <v>52</v>
      </c>
      <c r="K120" s="12">
        <v>18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9">
        <f>VLOOKUP($B120&amp;"__wt",'SegEnds_Xtal_BW#'!$A:$Z,15,FALSE)</f>
        <v>38</v>
      </c>
      <c r="P120" s="1">
        <f>VLOOKUP($B120&amp;"__wt",'SegEnds_Xtal_BW#'!$A:$Z,16,FALSE)</f>
        <v>64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v>35</v>
      </c>
      <c r="T120" s="1">
        <f t="array" ref="T120">INDEX('ICL3'!$G$2:$G$40,MATCH(MIN(ABS(AH120-'ICL3'!$F$2:$F$40)),ABS(AH120-'ICL3'!$F$2:$F$40),0))</f>
        <v>74</v>
      </c>
      <c r="U120" s="1">
        <f t="array" ref="U120">INDEX('ICL3'!$H$2:$H$40,MATCH(MIN(ABS(AH120-'ICL3'!$F$2:$F$40)),ABS(AH120-'ICL3'!$F$2:$F$40),0))</f>
        <v>24</v>
      </c>
      <c r="V120" s="1">
        <v>61</v>
      </c>
      <c r="W120" s="1">
        <v>32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58</v>
      </c>
      <c r="AA120" s="27" t="str">
        <f>VLOOKUP(A120,Classification!A:B,2,FALSE)</f>
        <v>A</v>
      </c>
      <c r="AB120" s="1">
        <f>VLOOKUP(A120,'SegEnds_NonXtal_Prot#'!A:AL,10,FALSE)-VLOOKUP(A120,'SegEnds_NonXtal_Prot#'!A:AL,7,FALSE)</f>
        <v>14</v>
      </c>
      <c r="AC120" s="1">
        <f>VLOOKUP(A120,'SegEnds_NonXtal_Prot#'!A:AL,13,FALSE)-VLOOKUP(A120,'SegEnds_NonXtal_Prot#'!A:AL,10,FALSE)</f>
        <v>25</v>
      </c>
      <c r="AD120" s="1">
        <f>VLOOKUP(A120,'SegEnds_NonXtal_Prot#'!A:AL,16,FALSE)-VLOOKUP(A120,'SegEnds_NonXtal_Prot#'!A:AL,10,FALSE)</f>
        <v>57</v>
      </c>
      <c r="AE120" s="1">
        <f>VLOOKUP(A120,'SegEnds_NonXtal_Prot#'!A:AL,22,FALSE)-VLOOKUP(A120,'SegEnds_NonXtal_Prot#'!A:AL,19,FALSE)</f>
        <v>20</v>
      </c>
      <c r="AF120" s="1">
        <f>VLOOKUP(A120,'SegEnds_NonXtal_Prot#'!A:AL,28,FALSE)-VLOOKUP(A120,'SegEnds_NonXtal_Prot#'!A:AL,25,FALSE)</f>
        <v>23</v>
      </c>
      <c r="AG120" s="1">
        <f>VLOOKUP(A120,'SegEnds_NonXtal_Prot#'!A:AL,28,FALSE)-VLOOKUP(A120,'SegEnds_NonXtal_Prot#'!A:AL,22,FALSE)</f>
        <v>49</v>
      </c>
      <c r="AH120" s="1">
        <f>VLOOKUP(A120,'SegEnds_NonXtal_Prot#'!A:AL,31,FALSE)-VLOOKUP(A120,'SegEnds_NonXtal_Prot#'!A:AL,28,FALSE)</f>
        <v>96</v>
      </c>
      <c r="AI120" s="1">
        <f>VLOOKUP(A120,'SegEnds_NonXtal_Prot#'!A:AL,34,FALSE)-VLOOKUP(A120,'SegEnds_NonXtal_Prot#'!A:AL,31,FALSE)</f>
        <v>34</v>
      </c>
      <c r="AJ120" s="1" t="str">
        <f>IF(ISERROR(MATCH(A120,'SegEnds_Xtal_Prot#'!B:B, 0)), "NoXtal", "Xtal")</f>
        <v>NoXtal</v>
      </c>
    </row>
    <row r="121" spans="1:36" x14ac:dyDescent="0.2">
      <c r="A121" s="1" t="s">
        <v>229</v>
      </c>
      <c r="B121" s="1" t="str">
        <f>VLOOKUP(A121,Xtal_Templ!A:B,2,FALSE)</f>
        <v>p2y12_human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 t="str">
        <f>VLOOKUP($B121&amp;"__wt",'SegEnds_Xtal_BW#'!$A:$Z,5,FALSE)</f>
        <v>-</v>
      </c>
      <c r="F121" s="1" t="str">
        <f>VLOOKUP($B121&amp;"__wt",'SegEnds_Xtal_BW#'!$A:$Z,6,FALSE)</f>
        <v>-</v>
      </c>
      <c r="G121" s="1">
        <v>37</v>
      </c>
      <c r="H121" s="12">
        <f>VLOOKUP($B121&amp;"__wt",'SegEnds_Xtal_BW#'!$A:$Z,8,FALSE)</f>
        <v>66</v>
      </c>
      <c r="I121" s="1" t="str">
        <f>VLOOKUP($B121&amp;"__wt",'SegEnds_Xtal_BW#'!$A:$Z,9,FALSE)</f>
        <v>-</v>
      </c>
      <c r="J121" s="1" t="str">
        <f>VLOOKUP($B121&amp;"__wt",'SegEnds_Xtal_BW#'!$A:$Z,10,FALSE)</f>
        <v>-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9">
        <f>VLOOKUP($B121&amp;"__wt",'SegEnds_Xtal_BW#'!$A:$Z,15,FALSE)</f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30</v>
      </c>
      <c r="T121" s="1">
        <f t="array" ref="T121">INDEX('ICL3'!$G$2:$G$40,MATCH(MIN(ABS(AH121-'ICL3'!$F$2:$F$40)),ABS(AH121-'ICL3'!$F$2:$F$40),0))</f>
        <v>67</v>
      </c>
      <c r="U121" s="1">
        <f t="array" ref="U121">INDEX('ICL3'!$H$2:$H$40,MATCH(MIN(ABS(AH121-'ICL3'!$F$2:$F$40)),ABS(AH121-'ICL3'!$F$2:$F$40),0))</f>
        <v>26</v>
      </c>
      <c r="V121" s="1">
        <v>64</v>
      </c>
      <c r="W121" s="1">
        <v>24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57</v>
      </c>
      <c r="AA121" s="27" t="str">
        <f>VLOOKUP(A121,Classification!A:B,2,FALSE)</f>
        <v>A</v>
      </c>
      <c r="AB121" s="1" t="e">
        <f>VLOOKUP(A121,'SegEnds_NonXtal_Prot#'!A:AL,10,FALSE)-VLOOKUP(A121,'SegEnds_NonXtal_Prot#'!A:AL,7,FALSE)</f>
        <v>#VALUE!</v>
      </c>
      <c r="AC121" s="1" t="e">
        <f>VLOOKUP(A121,'SegEnds_NonXtal_Prot#'!A:AL,13,FALSE)-VLOOKUP(A121,'SegEnds_NonXtal_Prot#'!A:AL,10,FALSE)</f>
        <v>#VALUE!</v>
      </c>
      <c r="AD121" s="1">
        <f>VLOOKUP(A121,'SegEnds_NonXtal_Prot#'!A:AL,16,FALSE)-VLOOKUP(A121,'SegEnds_NonXtal_Prot#'!A:AL,10,FALSE)</f>
        <v>52</v>
      </c>
      <c r="AE121" s="1">
        <f>VLOOKUP(A121,'SegEnds_NonXtal_Prot#'!A:AL,22,FALSE)-VLOOKUP(A121,'SegEnds_NonXtal_Prot#'!A:AL,19,FALSE)</f>
        <v>20</v>
      </c>
      <c r="AF121" s="1">
        <f>VLOOKUP(A121,'SegEnds_NonXtal_Prot#'!A:AL,28,FALSE)-VLOOKUP(A121,'SegEnds_NonXtal_Prot#'!A:AL,25,FALSE)</f>
        <v>26</v>
      </c>
      <c r="AG121" s="1">
        <f>VLOOKUP(A121,'SegEnds_NonXtal_Prot#'!A:AL,28,FALSE)-VLOOKUP(A121,'SegEnds_NonXtal_Prot#'!A:AL,22,FALSE)</f>
        <v>52</v>
      </c>
      <c r="AH121" s="1">
        <f>VLOOKUP(A121,'SegEnds_NonXtal_Prot#'!A:AL,31,FALSE)-VLOOKUP(A121,'SegEnds_NonXtal_Prot#'!A:AL,28,FALSE)</f>
        <v>47</v>
      </c>
      <c r="AI121" s="1">
        <f>VLOOKUP(A121,'SegEnds_NonXtal_Prot#'!A:AL,34,FALSE)-VLOOKUP(A121,'SegEnds_NonXtal_Prot#'!A:AL,31,FALSE)</f>
        <v>44</v>
      </c>
      <c r="AJ121" s="1" t="str">
        <f>IF(ISERROR(MATCH(A121,'SegEnds_Xtal_Prot#'!B:B, 0)), "NoXtal", "Xtal")</f>
        <v>NoXtal</v>
      </c>
    </row>
    <row r="122" spans="1:36" x14ac:dyDescent="0.2">
      <c r="A122" s="1" t="s">
        <v>230</v>
      </c>
      <c r="B122" s="1" t="str">
        <f>VLOOKUP(A122,Xtal_Templ!A:B,2,FALSE)</f>
        <v>ox1r_human</v>
      </c>
      <c r="C122" s="5">
        <f>VLOOKUP($B122&amp;"__wt",'SegEnds_Xtal_BW#'!$A:$Z,3,FALSE)</f>
        <v>32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9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v>35</v>
      </c>
      <c r="T122" s="1">
        <f t="array" ref="T122">INDEX('ICL3'!$G$2:$G$40,MATCH(MIN(ABS(AH122-'ICL3'!$F$2:$F$40)),ABS(AH122-'ICL3'!$F$2:$F$40),0))</f>
        <v>74</v>
      </c>
      <c r="U122" s="1">
        <f t="array" ref="U122">INDEX('ICL3'!$H$2:$H$40,MATCH(MIN(ABS(AH122-'ICL3'!$F$2:$F$40)),ABS(AH122-'ICL3'!$F$2:$F$40),0))</f>
        <v>21</v>
      </c>
      <c r="V122" s="1">
        <v>61</v>
      </c>
      <c r="W122" s="1">
        <v>31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58</v>
      </c>
      <c r="AA122" s="27" t="str">
        <f>VLOOKUP(A122,Classification!A:B,2,FALSE)</f>
        <v>A</v>
      </c>
      <c r="AB122" s="1">
        <f>VLOOKUP(A122,'SegEnds_NonXtal_Prot#'!A:AL,10,FALSE)-VLOOKUP(A122,'SegEnds_NonXtal_Prot#'!A:AL,7,FALSE)</f>
        <v>15</v>
      </c>
      <c r="AC122" s="1">
        <f>VLOOKUP(A122,'SegEnds_NonXtal_Prot#'!A:AL,13,FALSE)-VLOOKUP(A122,'SegEnds_NonXtal_Prot#'!A:AL,10,FALSE)</f>
        <v>21</v>
      </c>
      <c r="AD122" s="1">
        <f>VLOOKUP(A122,'SegEnds_NonXtal_Prot#'!A:AL,16,FALSE)-VLOOKUP(A122,'SegEnds_NonXtal_Prot#'!A:AL,10,FALSE)</f>
        <v>53</v>
      </c>
      <c r="AE122" s="1">
        <f>VLOOKUP(A122,'SegEnds_NonXtal_Prot#'!A:AL,22,FALSE)-VLOOKUP(A122,'SegEnds_NonXtal_Prot#'!A:AL,19,FALSE)</f>
        <v>20</v>
      </c>
      <c r="AF122" s="1">
        <f>VLOOKUP(A122,'SegEnds_NonXtal_Prot#'!A:AL,28,FALSE)-VLOOKUP(A122,'SegEnds_NonXtal_Prot#'!A:AL,25,FALSE)</f>
        <v>61</v>
      </c>
      <c r="AG122" s="1">
        <f>VLOOKUP(A122,'SegEnds_NonXtal_Prot#'!A:AL,28,FALSE)-VLOOKUP(A122,'SegEnds_NonXtal_Prot#'!A:AL,22,FALSE)</f>
        <v>87</v>
      </c>
      <c r="AH122" s="1">
        <f>VLOOKUP(A122,'SegEnds_NonXtal_Prot#'!A:AL,31,FALSE)-VLOOKUP(A122,'SegEnds_NonXtal_Prot#'!A:AL,28,FALSE)</f>
        <v>66</v>
      </c>
      <c r="AI122" s="1">
        <f>VLOOKUP(A122,'SegEnds_NonXtal_Prot#'!A:AL,34,FALSE)-VLOOKUP(A122,'SegEnds_NonXtal_Prot#'!A:AL,31,FALSE)</f>
        <v>36</v>
      </c>
      <c r="AJ122" s="1" t="str">
        <f>IF(ISERROR(MATCH(A122,'SegEnds_Xtal_Prot#'!B:B, 0)), "NoXtal", "Xtal")</f>
        <v>NoXtal</v>
      </c>
    </row>
    <row r="123" spans="1:36" x14ac:dyDescent="0.2">
      <c r="A123" s="1" t="s">
        <v>233</v>
      </c>
      <c r="B123" s="1" t="str">
        <f>VLOOKUP(A123,Xtal_Templ!A:B,2,FALSE)</f>
        <v>apj_human</v>
      </c>
      <c r="C123" s="5">
        <f>VLOOKUP($B123&amp;"__wt",'SegEnds_Xtal_BW#'!$A:$Z,3,FALSE)</f>
        <v>33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52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9"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INDEX('ICL3'!$G$2:$G$40,MATCH(MIN(ABS(AH123-'ICL3'!$F$2:$F$40)),ABS(AH123-'ICL3'!$F$2:$F$40),0))</f>
        <v>68</v>
      </c>
      <c r="U123" s="1">
        <f t="array" ref="U123">INDEX('ICL3'!$H$2:$H$40,MATCH(MIN(ABS(AH123-'ICL3'!$F$2:$F$40)),ABS(AH123-'ICL3'!$F$2:$F$40),0))</f>
        <v>30</v>
      </c>
      <c r="V123" s="1">
        <v>64</v>
      </c>
      <c r="W123" s="1">
        <v>24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61</v>
      </c>
      <c r="AA123" s="27" t="str">
        <f>VLOOKUP(A123,Classification!A:B,2,FALSE)</f>
        <v>A</v>
      </c>
      <c r="AB123" s="1">
        <f>VLOOKUP(A123,'SegEnds_NonXtal_Prot#'!A:AL,10,FALSE)-VLOOKUP(A123,'SegEnds_NonXtal_Prot#'!A:AL,7,FALSE)</f>
        <v>15</v>
      </c>
      <c r="AC123" s="1">
        <f>VLOOKUP(A123,'SegEnds_NonXtal_Prot#'!A:AL,13,FALSE)-VLOOKUP(A123,'SegEnds_NonXtal_Prot#'!A:AL,10,FALSE)</f>
        <v>20</v>
      </c>
      <c r="AD123" s="1">
        <f>VLOOKUP(A123,'SegEnds_NonXtal_Prot#'!A:AL,16,FALSE)-VLOOKUP(A123,'SegEnds_NonXtal_Prot#'!A:AL,10,FALSE)</f>
        <v>52</v>
      </c>
      <c r="AE123" s="1">
        <f>VLOOKUP(A123,'SegEnds_NonXtal_Prot#'!A:AL,22,FALSE)-VLOOKUP(A123,'SegEnds_NonXtal_Prot#'!A:AL,19,FALSE)</f>
        <v>20</v>
      </c>
      <c r="AF123" s="1">
        <f>VLOOKUP(A123,'SegEnds_NonXtal_Prot#'!A:AL,28,FALSE)-VLOOKUP(A123,'SegEnds_NonXtal_Prot#'!A:AL,25,FALSE)</f>
        <v>28</v>
      </c>
      <c r="AG123" s="1">
        <f>VLOOKUP(A123,'SegEnds_NonXtal_Prot#'!A:AL,28,FALSE)-VLOOKUP(A123,'SegEnds_NonXtal_Prot#'!A:AL,22,FALSE)</f>
        <v>52</v>
      </c>
      <c r="AH123" s="1">
        <f>VLOOKUP(A123,'SegEnds_NonXtal_Prot#'!A:AL,31,FALSE)-VLOOKUP(A123,'SegEnds_NonXtal_Prot#'!A:AL,28,FALSE)</f>
        <v>43</v>
      </c>
      <c r="AI123" s="1">
        <f>VLOOKUP(A123,'SegEnds_NonXtal_Prot#'!A:AL,34,FALSE)-VLOOKUP(A123,'SegEnds_NonXtal_Prot#'!A:AL,31,FALSE)</f>
        <v>44</v>
      </c>
      <c r="AJ123" s="1" t="str">
        <f>IF(ISERROR(MATCH(A123,'SegEnds_Xtal_Prot#'!B:B, 0)), "NoXtal", "Xtal")</f>
        <v>NoXtal</v>
      </c>
    </row>
    <row r="124" spans="1:36" x14ac:dyDescent="0.2">
      <c r="A124" s="1" t="s">
        <v>234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66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9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31</v>
      </c>
      <c r="T124" s="1">
        <f t="array" ref="T124">INDEX('ICL3'!$G$2:$G$40,MATCH(MIN(ABS(AH124-'ICL3'!$F$2:$F$40)),ABS(AH124-'ICL3'!$F$2:$F$40),0))</f>
        <v>68</v>
      </c>
      <c r="U124" s="1">
        <f t="array" ref="U124">INDEX('ICL3'!$H$2:$H$40,MATCH(MIN(ABS(AH124-'ICL3'!$F$2:$F$40)),ABS(AH124-'ICL3'!$F$2:$F$40),0))</f>
        <v>23</v>
      </c>
      <c r="V124" s="1">
        <v>64</v>
      </c>
      <c r="W124" s="1">
        <v>24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VLOOKUP(A124,'SegEnds_NonXtal_Prot#'!A:AL,10,FALSE)-VLOOKUP(A124,'SegEnds_NonXtal_Prot#'!A:AL,7,FALSE)</f>
        <v>15</v>
      </c>
      <c r="AC124" s="1">
        <f>VLOOKUP(A124,'SegEnds_NonXtal_Prot#'!A:AL,13,FALSE)-VLOOKUP(A124,'SegEnds_NonXtal_Prot#'!A:AL,10,FALSE)</f>
        <v>20</v>
      </c>
      <c r="AD124" s="1">
        <f>VLOOKUP(A124,'SegEnds_NonXtal_Prot#'!A:AL,16,FALSE)-VLOOKUP(A124,'SegEnds_NonXtal_Prot#'!A:AL,10,FALSE)</f>
        <v>52</v>
      </c>
      <c r="AE124" s="1">
        <f>VLOOKUP(A124,'SegEnds_NonXtal_Prot#'!A:AL,22,FALSE)-VLOOKUP(A124,'SegEnds_NonXtal_Prot#'!A:AL,19,FALSE)</f>
        <v>20</v>
      </c>
      <c r="AF124" s="1">
        <f>VLOOKUP(A124,'SegEnds_NonXtal_Prot#'!A:AL,28,FALSE)-VLOOKUP(A124,'SegEnds_NonXtal_Prot#'!A:AL,25,FALSE)</f>
        <v>27</v>
      </c>
      <c r="AG124" s="1">
        <f>VLOOKUP(A124,'SegEnds_NonXtal_Prot#'!A:AL,28,FALSE)-VLOOKUP(A124,'SegEnds_NonXtal_Prot#'!A:AL,22,FALSE)</f>
        <v>52</v>
      </c>
      <c r="AH124" s="1">
        <f>VLOOKUP(A124,'SegEnds_NonXtal_Prot#'!A:AL,31,FALSE)-VLOOKUP(A124,'SegEnds_NonXtal_Prot#'!A:AL,28,FALSE)</f>
        <v>51</v>
      </c>
      <c r="AI124" s="1">
        <f>VLOOKUP(A124,'SegEnds_NonXtal_Prot#'!A:AL,34,FALSE)-VLOOKUP(A124,'SegEnds_NonXtal_Prot#'!A:AL,31,FALSE)</f>
        <v>46</v>
      </c>
      <c r="AJ124" s="1" t="str">
        <f>IF(ISERROR(MATCH(A124,'SegEnds_Xtal_Prot#'!B:B, 0)), "NoXtal", "Xtal")</f>
        <v>NoXtal</v>
      </c>
    </row>
    <row r="125" spans="1:36" x14ac:dyDescent="0.2">
      <c r="A125" s="1" t="s">
        <v>236</v>
      </c>
      <c r="B125" s="1" t="str">
        <f>VLOOKUP(A125,Xtal_Templ!A:B,2,FALSE)</f>
        <v>ccr5_human</v>
      </c>
      <c r="C125" s="5">
        <f>VLOOKUP($B125&amp;"__wt",'SegEnds_Xtal_BW#'!$A:$Z,3,FALSE)</f>
        <v>24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51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24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57</v>
      </c>
      <c r="O125" s="89">
        <f>VLOOKUP($B125&amp;"__wt",'SegEnds_Xtal_BW#'!$A:$Z,15,FALSE)</f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v>34</v>
      </c>
      <c r="T125" s="1">
        <f t="array" ref="T125">INDEX('ICL3'!$G$2:$G$40,MATCH(MIN(ABS(AH125-'ICL3'!$F$2:$F$40)),ABS(AH125-'ICL3'!$F$2:$F$40),0))</f>
        <v>68</v>
      </c>
      <c r="U125" s="1">
        <f t="array" ref="U125">INDEX('ICL3'!$H$2:$H$40,MATCH(MIN(ABS(AH125-'ICL3'!$F$2:$F$40)),ABS(AH125-'ICL3'!$F$2:$F$40),0))</f>
        <v>24</v>
      </c>
      <c r="V125" s="1">
        <v>64</v>
      </c>
      <c r="W125" s="1">
        <v>24</v>
      </c>
      <c r="X125" s="6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59</v>
      </c>
      <c r="AA125" s="27" t="str">
        <f>VLOOKUP(A125,Classification!A:B,2,FALSE)</f>
        <v>A</v>
      </c>
      <c r="AB125" s="1">
        <f>VLOOKUP(A125,'SegEnds_NonXtal_Prot#'!A:AL,10,FALSE)-VLOOKUP(A125,'SegEnds_NonXtal_Prot#'!A:AL,7,FALSE)</f>
        <v>15</v>
      </c>
      <c r="AC125" s="1">
        <f>VLOOKUP(A125,'SegEnds_NonXtal_Prot#'!A:AL,13,FALSE)-VLOOKUP(A125,'SegEnds_NonXtal_Prot#'!A:AL,10,FALSE)</f>
        <v>19</v>
      </c>
      <c r="AD125" s="1">
        <f>VLOOKUP(A125,'SegEnds_NonXtal_Prot#'!A:AL,16,FALSE)-VLOOKUP(A125,'SegEnds_NonXtal_Prot#'!A:AL,10,FALSE)</f>
        <v>50</v>
      </c>
      <c r="AE125" s="1">
        <f>VLOOKUP(A125,'SegEnds_NonXtal_Prot#'!A:AL,22,FALSE)-VLOOKUP(A125,'SegEnds_NonXtal_Prot#'!A:AL,19,FALSE)</f>
        <v>20</v>
      </c>
      <c r="AF125" s="1">
        <f>VLOOKUP(A125,'SegEnds_NonXtal_Prot#'!A:AL,28,FALSE)-VLOOKUP(A125,'SegEnds_NonXtal_Prot#'!A:AL,25,FALSE)</f>
        <v>21</v>
      </c>
      <c r="AG125" s="1">
        <f>VLOOKUP(A125,'SegEnds_NonXtal_Prot#'!A:AL,28,FALSE)-VLOOKUP(A125,'SegEnds_NonXtal_Prot#'!A:AL,22,FALSE)</f>
        <v>44</v>
      </c>
      <c r="AH125" s="1">
        <f>VLOOKUP(A125,'SegEnds_NonXtal_Prot#'!A:AL,31,FALSE)-VLOOKUP(A125,'SegEnds_NonXtal_Prot#'!A:AL,28,FALSE)</f>
        <v>48</v>
      </c>
      <c r="AI125" s="1">
        <f>VLOOKUP(A125,'SegEnds_NonXtal_Prot#'!A:AL,34,FALSE)-VLOOKUP(A125,'SegEnds_NonXtal_Prot#'!A:AL,31,FALSE)</f>
        <v>47</v>
      </c>
      <c r="AJ125" s="1" t="str">
        <f>IF(ISERROR(MATCH(A125,'SegEnds_Xtal_Prot#'!B:B, 0)), "NoXtal", "Xtal")</f>
        <v>NoXtal</v>
      </c>
    </row>
    <row r="126" spans="1:36" x14ac:dyDescent="0.2">
      <c r="A126" s="1" t="s">
        <v>237</v>
      </c>
      <c r="B126" s="1" t="str">
        <f>VLOOKUP(A126,Xtal_Templ!A:B,2,FALSE)</f>
        <v>agtr1_human</v>
      </c>
      <c r="C126" s="5">
        <f>VLOOKUP($B126&amp;"__wt",'SegEnds_Xtal_BW#'!$A:$Z,3,FALSE)</f>
        <v>30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66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57</v>
      </c>
      <c r="O126" s="89"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34</v>
      </c>
      <c r="T126" s="1">
        <f t="array" ref="T126">INDEX('ICL3'!$G$2:$G$40,MATCH(MIN(ABS(AH126-'ICL3'!$F$2:$F$40)),ABS(AH126-'ICL3'!$F$2:$F$40),0))</f>
        <v>68</v>
      </c>
      <c r="U126" s="1">
        <f t="array" ref="U126">INDEX('ICL3'!$H$2:$H$40,MATCH(MIN(ABS(AH126-'ICL3'!$F$2:$F$40)),ABS(AH126-'ICL3'!$F$2:$F$40),0))</f>
        <v>30</v>
      </c>
      <c r="V126" s="1">
        <v>61</v>
      </c>
      <c r="W126" s="1"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61</v>
      </c>
      <c r="AA126" s="27" t="str">
        <f>VLOOKUP(A126,Classification!A:B,2,FALSE)</f>
        <v>A</v>
      </c>
      <c r="AB126" s="1" t="e">
        <f>VLOOKUP(A126,'SegEnds_NonXtal_Prot#'!A:AL,10,FALSE)-VLOOKUP(A126,'SegEnds_NonXtal_Prot#'!A:AL,7,FALSE)</f>
        <v>#VALUE!</v>
      </c>
      <c r="AC126" s="1">
        <f>VLOOKUP(A126,'SegEnds_NonXtal_Prot#'!A:AL,13,FALSE)-VLOOKUP(A126,'SegEnds_NonXtal_Prot#'!A:AL,10,FALSE)</f>
        <v>20</v>
      </c>
      <c r="AD126" s="1">
        <f>VLOOKUP(A126,'SegEnds_NonXtal_Prot#'!A:AL,16,FALSE)-VLOOKUP(A126,'SegEnds_NonXtal_Prot#'!A:AL,10,FALSE)</f>
        <v>52</v>
      </c>
      <c r="AE126" s="1">
        <f>VLOOKUP(A126,'SegEnds_NonXtal_Prot#'!A:AL,22,FALSE)-VLOOKUP(A126,'SegEnds_NonXtal_Prot#'!A:AL,19,FALSE)</f>
        <v>20</v>
      </c>
      <c r="AF126" s="1">
        <f>VLOOKUP(A126,'SegEnds_NonXtal_Prot#'!A:AL,28,FALSE)-VLOOKUP(A126,'SegEnds_NonXtal_Prot#'!A:AL,25,FALSE)</f>
        <v>31</v>
      </c>
      <c r="AG126" s="1">
        <f>VLOOKUP(A126,'SegEnds_NonXtal_Prot#'!A:AL,28,FALSE)-VLOOKUP(A126,'SegEnds_NonXtal_Prot#'!A:AL,22,FALSE)</f>
        <v>56</v>
      </c>
      <c r="AH126" s="1">
        <f>VLOOKUP(A126,'SegEnds_NonXtal_Prot#'!A:AL,31,FALSE)-VLOOKUP(A126,'SegEnds_NonXtal_Prot#'!A:AL,28,FALSE)</f>
        <v>43</v>
      </c>
      <c r="AI126" s="1">
        <f>VLOOKUP(A126,'SegEnds_NonXtal_Prot#'!A:AL,34,FALSE)-VLOOKUP(A126,'SegEnds_NonXtal_Prot#'!A:AL,31,FALSE)</f>
        <v>40</v>
      </c>
      <c r="AJ126" s="1" t="str">
        <f>IF(ISERROR(MATCH(A126,'SegEnds_Xtal_Prot#'!B:B, 0)), "NoXtal", "Xtal")</f>
        <v>NoXtal</v>
      </c>
    </row>
    <row r="127" spans="1:36" x14ac:dyDescent="0.2">
      <c r="A127" s="4" t="s">
        <v>238</v>
      </c>
      <c r="B127" s="4" t="str">
        <f>VLOOKUP(A127,Xtal_Templ!A:B,2,FALSE)</f>
        <v>lpar1_human</v>
      </c>
      <c r="C127" s="5">
        <f>VLOOKUP($B127&amp;"__wt",'SegEnds_Xtal_BW#'!$A:$Z,3,FALSE)</f>
        <v>30</v>
      </c>
      <c r="D127" s="4">
        <f>VLOOKUP($B127&amp;"__wt",'SegEnds_Xtal_BW#'!$A:$Z,4,FALSE)</f>
        <v>60</v>
      </c>
      <c r="E127" s="4">
        <f>VLOOKUP($B127&amp;"__wt",'SegEnds_Xtal_BW#'!$A:$Z,5,FALSE)</f>
        <v>48</v>
      </c>
      <c r="F127" s="4">
        <f>VLOOKUP($B127&amp;"__wt",'SegEnds_Xtal_BW#'!$A:$Z,6,FALSE)</f>
        <v>51</v>
      </c>
      <c r="G127" s="4">
        <v>37</v>
      </c>
      <c r="H127" s="11">
        <v>62</v>
      </c>
      <c r="I127" s="4">
        <v>48</v>
      </c>
      <c r="J127" s="4">
        <v>52</v>
      </c>
      <c r="K127" s="11">
        <v>24</v>
      </c>
      <c r="L127" s="4">
        <f>VLOOKUP($B127&amp;"__wt",'SegEnds_Xtal_BW#'!$A:$Z,12,FALSE)</f>
        <v>56</v>
      </c>
      <c r="M127" s="4">
        <f>VLOOKUP($B127&amp;"__wt",'SegEnds_Xtal_BW#'!$A:$Z,13,FALSE)</f>
        <v>50</v>
      </c>
      <c r="N127" s="11">
        <v>57</v>
      </c>
      <c r="O127" s="90">
        <v>38</v>
      </c>
      <c r="P127" s="4">
        <f>VLOOKUP($B127&amp;"__wt",'SegEnds_Xtal_BW#'!$A:$Z,16,FALSE)</f>
        <v>63</v>
      </c>
      <c r="Q127" s="4" t="str">
        <f>VLOOKUP($B127&amp;"__wt",'SegEnds_Xtal_BW#'!$A:$Z,17,FALSE)</f>
        <v>-</v>
      </c>
      <c r="R127" s="4" t="str">
        <f>VLOOKUP($B127&amp;"__wt",'SegEnds_Xtal_BW#'!$A:$Z,18,FALSE)</f>
        <v>-</v>
      </c>
      <c r="S127" s="4">
        <f>VLOOKUP($B127&amp;"__wt",'SegEnds_Xtal_BW#'!$A:$Z,19,FALSE)</f>
        <v>36</v>
      </c>
      <c r="T127" s="4">
        <f t="array" ref="T127">INDEX('ICL3'!$G$2:$G$40,MATCH(MIN(ABS(AH127-'ICL3'!$F$2:$F$40)),ABS(AH127-'ICL3'!$F$2:$F$40),0))</f>
        <v>72</v>
      </c>
      <c r="U127" s="4">
        <f t="array" ref="U127">INDEX('ICL3'!$H$2:$H$40,MATCH(MIN(ABS(AH127-'ICL3'!$F$2:$F$40)),ABS(AH127-'ICL3'!$F$2:$F$40),0))</f>
        <v>24</v>
      </c>
      <c r="V127" s="4">
        <v>61</v>
      </c>
      <c r="W127" s="4">
        <v>34</v>
      </c>
      <c r="X127" s="4">
        <f>VLOOKUP($B127&amp;"__wt",'SegEnds_Xtal_BW#'!$A:$Z,24,FALSE)</f>
        <v>56</v>
      </c>
      <c r="Y127" s="4">
        <f>VLOOKUP($B127&amp;"__wt",'SegEnds_Xtal_BW#'!$A:$Z,25,FALSE)</f>
        <v>47</v>
      </c>
      <c r="Z127" s="4">
        <f>VLOOKUP($B127&amp;"__wt",'SegEnds_Xtal_BW#'!$A:$Z,26,FALSE)</f>
        <v>59</v>
      </c>
      <c r="AA127" s="27" t="str">
        <f>VLOOKUP(A127,Classification!A:B,2,FALSE)</f>
        <v>A</v>
      </c>
      <c r="AB127" s="4" t="e">
        <f>VLOOKUP(A127,'SegEnds_NonXtal_Prot#'!A:AL,10,FALSE)-VLOOKUP(A127,'SegEnds_NonXtal_Prot#'!A:AL,7,FALSE)</f>
        <v>#VALUE!</v>
      </c>
      <c r="AC127" s="4">
        <f>VLOOKUP(A127,'SegEnds_NonXtal_Prot#'!A:AL,13,FALSE)-VLOOKUP(A127,'SegEnds_NonXtal_Prot#'!A:AL,10,FALSE)</f>
        <v>15</v>
      </c>
      <c r="AD127" s="4">
        <f>VLOOKUP(A127,'SegEnds_NonXtal_Prot#'!A:AL,16,FALSE)-VLOOKUP(A127,'SegEnds_NonXtal_Prot#'!A:AL,10,FALSE)</f>
        <v>48</v>
      </c>
      <c r="AE127" s="1">
        <f>VLOOKUP(A127,'SegEnds_NonXtal_Prot#'!A:AL,22,FALSE)-VLOOKUP(A127,'SegEnds_NonXtal_Prot#'!A:AL,19,FALSE)</f>
        <v>20</v>
      </c>
      <c r="AF127" s="4" t="e">
        <f>VLOOKUP(A127,'SegEnds_NonXtal_Prot#'!A:AL,28,FALSE)-VLOOKUP(A127,'SegEnds_NonXtal_Prot#'!A:AL,25,FALSE)</f>
        <v>#VALUE!</v>
      </c>
      <c r="AG127" s="1">
        <f>VLOOKUP(A127,'SegEnds_NonXtal_Prot#'!A:AL,28,FALSE)-VLOOKUP(A127,'SegEnds_NonXtal_Prot#'!A:AL,22,FALSE)</f>
        <v>44</v>
      </c>
      <c r="AH127" s="4">
        <f>VLOOKUP(A127,'SegEnds_NonXtal_Prot#'!A:AL,31,FALSE)-VLOOKUP(A127,'SegEnds_NonXtal_Prot#'!A:AL,28,FALSE)</f>
        <v>57</v>
      </c>
      <c r="AI127" s="4">
        <f>VLOOKUP(A127,'SegEnds_NonXtal_Prot#'!A:AL,34,FALSE)-VLOOKUP(A127,'SegEnds_NonXtal_Prot#'!A:AL,31,FALSE)</f>
        <v>32</v>
      </c>
      <c r="AJ127" s="1" t="str">
        <f>IF(ISERROR(MATCH(A127,'SegEnds_Xtal_Prot#'!B:B, 0)), "NoXtal", "Xtal")</f>
        <v>NoXtal</v>
      </c>
    </row>
    <row r="128" spans="1:36" x14ac:dyDescent="0.2">
      <c r="A128" s="1" t="s">
        <v>239</v>
      </c>
      <c r="B128" s="1" t="str">
        <f>VLOOKUP(A128,Xtal_Templ!A:B,2,FALSE)</f>
        <v>agtr1_human</v>
      </c>
      <c r="C128" s="5">
        <f>VLOOKUP($B128&amp;"__wt",'SegEnds_Xtal_BW#'!$A:$Z,3,FALSE)</f>
        <v>30</v>
      </c>
      <c r="D128" s="1">
        <f>VLOOKUP($B128&amp;"__wt",'SegEnds_Xtal_BW#'!$A:$Z,4,FALSE)</f>
        <v>60</v>
      </c>
      <c r="E128" s="1">
        <f>VLOOKUP($B128&amp;"__wt",'SegEnds_Xtal_BW#'!$A:$Z,5,FALSE)</f>
        <v>48</v>
      </c>
      <c r="F128" s="1">
        <f>VLOOKUP($B128&amp;"__wt",'SegEnds_Xtal_BW#'!$A:$Z,6,FALSE)</f>
        <v>51</v>
      </c>
      <c r="G128" s="1">
        <v>37</v>
      </c>
      <c r="H128" s="12">
        <f>VLOOKUP($B128&amp;"__wt",'SegEnds_Xtal_BW#'!$A:$Z,8,FALSE)</f>
        <v>66</v>
      </c>
      <c r="I128" s="1">
        <f>VLOOKUP($B128&amp;"__wt",'SegEnds_Xtal_BW#'!$A:$Z,9,FALSE)</f>
        <v>49</v>
      </c>
      <c r="J128" s="1">
        <f>VLOOKUP($B128&amp;"__wt",'SegEnds_Xtal_BW#'!$A:$Z,10,FALSE)</f>
        <v>52</v>
      </c>
      <c r="K128" s="12">
        <v>18</v>
      </c>
      <c r="L128" s="1">
        <f>VLOOKUP($B128&amp;"__wt",'SegEnds_Xtal_BW#'!$A:$Z,12,FALSE)</f>
        <v>56</v>
      </c>
      <c r="M128" s="1">
        <f>VLOOKUP($B128&amp;"__wt",'SegEnds_Xtal_BW#'!$A:$Z,13,FALSE)</f>
        <v>50</v>
      </c>
      <c r="N128" s="12">
        <v>57</v>
      </c>
      <c r="O128" s="89">
        <v>38</v>
      </c>
      <c r="P128" s="1">
        <f>VLOOKUP($B128&amp;"__wt",'SegEnds_Xtal_BW#'!$A:$Z,16,FALSE)</f>
        <v>64</v>
      </c>
      <c r="Q128" s="1">
        <f>VLOOKUP($B128&amp;"__wt",'SegEnds_Xtal_BW#'!$A:$Z,17,FALSE)</f>
        <v>50</v>
      </c>
      <c r="R128" s="1">
        <f>VLOOKUP($B128&amp;"__wt",'SegEnds_Xtal_BW#'!$A:$Z,18,FALSE)</f>
        <v>52</v>
      </c>
      <c r="S128" s="1">
        <f>VLOOKUP($B128&amp;"__wt",'SegEnds_Xtal_BW#'!$A:$Z,19,FALSE)</f>
        <v>34</v>
      </c>
      <c r="T128" s="1">
        <f t="array" ref="T128">INDEX('ICL3'!$G$2:$G$40,MATCH(MIN(ABS(AH128-'ICL3'!$F$2:$F$40)),ABS(AH128-'ICL3'!$F$2:$F$40),0))</f>
        <v>68</v>
      </c>
      <c r="U128" s="1">
        <f t="array" ref="U128">INDEX('ICL3'!$H$2:$H$40,MATCH(MIN(ABS(AH128-'ICL3'!$F$2:$F$40)),ABS(AH128-'ICL3'!$F$2:$F$40),0))</f>
        <v>24</v>
      </c>
      <c r="V128" s="1">
        <v>61</v>
      </c>
      <c r="W128" s="1">
        <v>24</v>
      </c>
      <c r="X128" s="1">
        <f>VLOOKUP($B128&amp;"__wt",'SegEnds_Xtal_BW#'!$A:$Z,24,FALSE)</f>
        <v>56</v>
      </c>
      <c r="Y128" s="1">
        <f>VLOOKUP($B128&amp;"__wt",'SegEnds_Xtal_BW#'!$A:$Z,25,FALSE)</f>
        <v>47</v>
      </c>
      <c r="Z128" s="1">
        <f>VLOOKUP($B128&amp;"__wt",'SegEnds_Xtal_BW#'!$A:$Z,26,FALSE)</f>
        <v>61</v>
      </c>
      <c r="AA128" s="27" t="str">
        <f>VLOOKUP(A128,Classification!A:B,2,FALSE)</f>
        <v>A</v>
      </c>
      <c r="AB128" s="1" t="e">
        <f>VLOOKUP(A128,'SegEnds_NonXtal_Prot#'!A:AL,10,FALSE)-VLOOKUP(A128,'SegEnds_NonXtal_Prot#'!A:AL,7,FALSE)</f>
        <v>#VALUE!</v>
      </c>
      <c r="AC128" s="1">
        <f>VLOOKUP(A128,'SegEnds_NonXtal_Prot#'!A:AL,13,FALSE)-VLOOKUP(A128,'SegEnds_NonXtal_Prot#'!A:AL,10,FALSE)</f>
        <v>20</v>
      </c>
      <c r="AD128" s="1">
        <f>VLOOKUP(A128,'SegEnds_NonXtal_Prot#'!A:AL,16,FALSE)-VLOOKUP(A128,'SegEnds_NonXtal_Prot#'!A:AL,10,FALSE)</f>
        <v>52</v>
      </c>
      <c r="AE128" s="1">
        <f>VLOOKUP(A128,'SegEnds_NonXtal_Prot#'!A:AL,22,FALSE)-VLOOKUP(A128,'SegEnds_NonXtal_Prot#'!A:AL,19,FALSE)</f>
        <v>20</v>
      </c>
      <c r="AF128" s="1">
        <f>VLOOKUP(A128,'SegEnds_NonXtal_Prot#'!A:AL,28,FALSE)-VLOOKUP(A128,'SegEnds_NonXtal_Prot#'!A:AL,25,FALSE)</f>
        <v>24</v>
      </c>
      <c r="AG128" s="1">
        <f>VLOOKUP(A128,'SegEnds_NonXtal_Prot#'!A:AL,28,FALSE)-VLOOKUP(A128,'SegEnds_NonXtal_Prot#'!A:AL,22,FALSE)</f>
        <v>49</v>
      </c>
      <c r="AH128" s="1">
        <f>VLOOKUP(A128,'SegEnds_NonXtal_Prot#'!A:AL,31,FALSE)-VLOOKUP(A128,'SegEnds_NonXtal_Prot#'!A:AL,28,FALSE)</f>
        <v>49</v>
      </c>
      <c r="AI128" s="1">
        <f>VLOOKUP(A128,'SegEnds_NonXtal_Prot#'!A:AL,34,FALSE)-VLOOKUP(A128,'SegEnds_NonXtal_Prot#'!A:AL,31,FALSE)</f>
        <v>43</v>
      </c>
      <c r="AJ128" s="1" t="str">
        <f>IF(ISERROR(MATCH(A128,'SegEnds_Xtal_Prot#'!B:B, 0)), "NoXtal", "Xtal")</f>
        <v>NoXtal</v>
      </c>
    </row>
    <row r="129" spans="1:36" x14ac:dyDescent="0.2">
      <c r="A129" s="1" t="s">
        <v>240</v>
      </c>
      <c r="B129" s="1" t="str">
        <f>VLOOKUP(A129,Xtal_Templ!A:B,2,FALSE)</f>
        <v>apj_human</v>
      </c>
      <c r="C129" s="5">
        <f>VLOOKUP($B129&amp;"__wt",'SegEnds_Xtal_BW#'!$A:$Z,3,FALSE)</f>
        <v>33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52</v>
      </c>
      <c r="G129" s="1">
        <v>37</v>
      </c>
      <c r="H129" s="12">
        <f>VLOOKUP($B129&amp;"__wt",'SegEnds_Xtal_BW#'!$A:$Z,8,FALSE)</f>
        <v>67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18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9">
        <f>VLOOKUP($B129&amp;"__wt",'SegEnds_Xtal_BW#'!$A:$Z,15,FALSE)</f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">
        <f>VLOOKUP($B129&amp;"__wt",'SegEnds_Xtal_BW#'!$A:$Z,19,FALSE)</f>
        <v>30</v>
      </c>
      <c r="T129" s="1">
        <f t="array" ref="T129">INDEX('ICL3'!$G$2:$G$40,MATCH(MIN(ABS(AH129-'ICL3'!$F$2:$F$40)),ABS(AH129-'ICL3'!$F$2:$F$40),0))</f>
        <v>67</v>
      </c>
      <c r="U129" s="1">
        <f t="array" ref="U129">INDEX('ICL3'!$H$2:$H$40,MATCH(MIN(ABS(AH129-'ICL3'!$F$2:$F$40)),ABS(AH129-'ICL3'!$F$2:$F$40),0))</f>
        <v>26</v>
      </c>
      <c r="V129" s="1">
        <v>64</v>
      </c>
      <c r="W129" s="1">
        <v>24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61</v>
      </c>
      <c r="AA129" s="27" t="str">
        <f>VLOOKUP(A129,Classification!A:B,2,FALSE)</f>
        <v>A</v>
      </c>
      <c r="AB129" s="1" t="e">
        <f>VLOOKUP(A129,'SegEnds_NonXtal_Prot#'!A:AL,10,FALSE)-VLOOKUP(A129,'SegEnds_NonXtal_Prot#'!A:AL,7,FALSE)</f>
        <v>#VALUE!</v>
      </c>
      <c r="AC129" s="1">
        <f>VLOOKUP(A129,'SegEnds_NonXtal_Prot#'!A:AL,13,FALSE)-VLOOKUP(A129,'SegEnds_NonXtal_Prot#'!A:AL,10,FALSE)</f>
        <v>20</v>
      </c>
      <c r="AD129" s="1">
        <f>VLOOKUP(A129,'SegEnds_NonXtal_Prot#'!A:AL,16,FALSE)-VLOOKUP(A129,'SegEnds_NonXtal_Prot#'!A:AL,10,FALSE)</f>
        <v>52</v>
      </c>
      <c r="AE129" s="1">
        <f>VLOOKUP(A129,'SegEnds_NonXtal_Prot#'!A:AL,22,FALSE)-VLOOKUP(A129,'SegEnds_NonXtal_Prot#'!A:AL,19,FALSE)</f>
        <v>20</v>
      </c>
      <c r="AF129" s="1">
        <f>VLOOKUP(A129,'SegEnds_NonXtal_Prot#'!A:AL,28,FALSE)-VLOOKUP(A129,'SegEnds_NonXtal_Prot#'!A:AL,25,FALSE)</f>
        <v>23</v>
      </c>
      <c r="AG129" s="1">
        <f>VLOOKUP(A129,'SegEnds_NonXtal_Prot#'!A:AL,28,FALSE)-VLOOKUP(A129,'SegEnds_NonXtal_Prot#'!A:AL,22,FALSE)</f>
        <v>48</v>
      </c>
      <c r="AH129" s="1">
        <f>VLOOKUP(A129,'SegEnds_NonXtal_Prot#'!A:AL,31,FALSE)-VLOOKUP(A129,'SegEnds_NonXtal_Prot#'!A:AL,28,FALSE)</f>
        <v>46</v>
      </c>
      <c r="AI129" s="1">
        <f>VLOOKUP(A129,'SegEnds_NonXtal_Prot#'!A:AL,34,FALSE)-VLOOKUP(A129,'SegEnds_NonXtal_Prot#'!A:AL,31,FALSE)</f>
        <v>44</v>
      </c>
      <c r="AJ129" s="1" t="str">
        <f>IF(ISERROR(MATCH(A129,'SegEnds_Xtal_Prot#'!B:B, 0)), "NoXtal", "Xtal")</f>
        <v>NoXtal</v>
      </c>
    </row>
    <row r="130" spans="1:36" x14ac:dyDescent="0.2">
      <c r="A130" s="1" t="s">
        <v>241</v>
      </c>
      <c r="B130" s="1" t="str">
        <f>VLOOKUP(A130,Xtal_Templ!A:B,2,FALSE)</f>
        <v>oprk_human</v>
      </c>
      <c r="C130" s="5">
        <f>VLOOKUP($B130&amp;"__wt",'SegEnds_Xtal_BW#'!$A:$Z,3,FALSE)</f>
        <v>30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21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9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31</v>
      </c>
      <c r="T130" s="1">
        <f t="array" ref="T130">INDEX('ICL3'!$G$2:$G$40,MATCH(MIN(ABS(AH130-'ICL3'!$F$2:$F$40)),ABS(AH130-'ICL3'!$F$2:$F$40),0))</f>
        <v>68</v>
      </c>
      <c r="U130" s="1">
        <f t="array" ref="U130">INDEX('ICL3'!$H$2:$H$40,MATCH(MIN(ABS(AH130-'ICL3'!$F$2:$F$40)),ABS(AH130-'ICL3'!$F$2:$F$40),0))</f>
        <v>24</v>
      </c>
      <c r="V130" s="1">
        <v>61</v>
      </c>
      <c r="W130" s="1">
        <v>31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59</v>
      </c>
      <c r="AA130" s="27" t="str">
        <f>VLOOKUP(A130,Classification!A:B,2,FALSE)</f>
        <v>A</v>
      </c>
      <c r="AB130" s="1" t="e">
        <f>VLOOKUP(A130,'SegEnds_NonXtal_Prot#'!A:AL,10,FALSE)-VLOOKUP(A130,'SegEnds_NonXtal_Prot#'!A:AL,7,FALSE)</f>
        <v>#VALUE!</v>
      </c>
      <c r="AC130" s="1">
        <f>VLOOKUP(A130,'SegEnds_NonXtal_Prot#'!A:AL,13,FALSE)-VLOOKUP(A130,'SegEnds_NonXtal_Prot#'!A:AL,10,FALSE)</f>
        <v>19</v>
      </c>
      <c r="AD130" s="1">
        <f>VLOOKUP(A130,'SegEnds_NonXtal_Prot#'!A:AL,16,FALSE)-VLOOKUP(A130,'SegEnds_NonXtal_Prot#'!A:AL,10,FALSE)</f>
        <v>51</v>
      </c>
      <c r="AE130" s="1">
        <f>VLOOKUP(A130,'SegEnds_NonXtal_Prot#'!A:AL,22,FALSE)-VLOOKUP(A130,'SegEnds_NonXtal_Prot#'!A:AL,19,FALSE)</f>
        <v>20</v>
      </c>
      <c r="AF130" s="1">
        <f>VLOOKUP(A130,'SegEnds_NonXtal_Prot#'!A:AL,28,FALSE)-VLOOKUP(A130,'SegEnds_NonXtal_Prot#'!A:AL,25,FALSE)</f>
        <v>27</v>
      </c>
      <c r="AG130" s="1">
        <f>VLOOKUP(A130,'SegEnds_NonXtal_Prot#'!A:AL,28,FALSE)-VLOOKUP(A130,'SegEnds_NonXtal_Prot#'!A:AL,22,FALSE)</f>
        <v>53</v>
      </c>
      <c r="AH130" s="1">
        <f>VLOOKUP(A130,'SegEnds_NonXtal_Prot#'!A:AL,31,FALSE)-VLOOKUP(A130,'SegEnds_NonXtal_Prot#'!A:AL,28,FALSE)</f>
        <v>48</v>
      </c>
      <c r="AI130" s="1">
        <f>VLOOKUP(A130,'SegEnds_NonXtal_Prot#'!A:AL,34,FALSE)-VLOOKUP(A130,'SegEnds_NonXtal_Prot#'!A:AL,31,FALSE)</f>
        <v>36</v>
      </c>
      <c r="AJ130" s="1" t="str">
        <f>IF(ISERROR(MATCH(A130,'SegEnds_Xtal_Prot#'!B:B, 0)), "NoXtal", "Xtal")</f>
        <v>NoXtal</v>
      </c>
    </row>
    <row r="131" spans="1:36" x14ac:dyDescent="0.2">
      <c r="A131" s="1" t="s">
        <v>243</v>
      </c>
      <c r="B131" s="1" t="str">
        <f>VLOOKUP(A131,Xtal_Templ!A:B,2,FALSE)</f>
        <v>oprk_human</v>
      </c>
      <c r="C131" s="5">
        <f>VLOOKUP($B131&amp;"__wt",'SegEnds_Xtal_BW#'!$A:$Z,3,FALSE)</f>
        <v>30</v>
      </c>
      <c r="D131" s="1">
        <f>VLOOKUP($B131&amp;"__wt",'SegEnds_Xtal_BW#'!$A:$Z,4,FALSE)</f>
        <v>60</v>
      </c>
      <c r="E131" s="1">
        <f>VLOOKUP($B131&amp;"__wt",'SegEnds_Xtal_BW#'!$A:$Z,5,FALSE)</f>
        <v>48</v>
      </c>
      <c r="F131" s="1">
        <f>VLOOKUP($B131&amp;"__wt",'SegEnds_Xtal_BW#'!$A:$Z,6,FALSE)</f>
        <v>51</v>
      </c>
      <c r="G131" s="1">
        <v>37</v>
      </c>
      <c r="H131" s="12">
        <v>66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24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9"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11">
        <v>38</v>
      </c>
      <c r="T131" s="1">
        <f t="array" ref="T131">INDEX('ICL3'!$G$2:$G$40,MATCH(MIN(ABS(AH131-'ICL3'!$F$2:$F$40)),ABS(AH131-'ICL3'!$F$2:$F$40),0))</f>
        <v>68</v>
      </c>
      <c r="U131" s="1">
        <f t="array" ref="U131">INDEX('ICL3'!$H$2:$H$40,MATCH(MIN(ABS(AH131-'ICL3'!$F$2:$F$40)),ABS(AH131-'ICL3'!$F$2:$F$40),0))</f>
        <v>24</v>
      </c>
      <c r="V131" s="1">
        <v>61</v>
      </c>
      <c r="W131" s="1">
        <v>28</v>
      </c>
      <c r="X131" s="1">
        <f>VLOOKUP($B131&amp;"__wt",'SegEnds_Xtal_BW#'!$A:$Z,24,FALSE)</f>
        <v>56</v>
      </c>
      <c r="Y131" s="1">
        <f>VLOOKUP($B131&amp;"__wt",'SegEnds_Xtal_BW#'!$A:$Z,25,FALSE)</f>
        <v>47</v>
      </c>
      <c r="Z131" s="1">
        <f>VLOOKUP($B131&amp;"__wt",'SegEnds_Xtal_BW#'!$A:$Z,26,FALSE)</f>
        <v>59</v>
      </c>
      <c r="AA131" s="27" t="str">
        <f>VLOOKUP(A131,Classification!A:B,2,FALSE)</f>
        <v>A</v>
      </c>
      <c r="AB131" s="1">
        <f>VLOOKUP(A131,'SegEnds_NonXtal_Prot#'!A:AL,10,FALSE)-VLOOKUP(A131,'SegEnds_NonXtal_Prot#'!A:AL,7,FALSE)</f>
        <v>15</v>
      </c>
      <c r="AC131" s="1" t="e">
        <f>VLOOKUP(A131,'SegEnds_NonXtal_Prot#'!A:AL,13,FALSE)-VLOOKUP(A131,'SegEnds_NonXtal_Prot#'!A:AL,10,FALSE)</f>
        <v>#VALUE!</v>
      </c>
      <c r="AD131" s="1">
        <f>VLOOKUP(A131,'SegEnds_NonXtal_Prot#'!A:AL,16,FALSE)-VLOOKUP(A131,'SegEnds_NonXtal_Prot#'!A:AL,10,FALSE)</f>
        <v>49</v>
      </c>
      <c r="AE131" s="1">
        <f>VLOOKUP(A131,'SegEnds_NonXtal_Prot#'!A:AL,22,FALSE)-VLOOKUP(A131,'SegEnds_NonXtal_Prot#'!A:AL,19,FALSE)</f>
        <v>20</v>
      </c>
      <c r="AF131" s="1" t="e">
        <f>VLOOKUP(A131,'SegEnds_NonXtal_Prot#'!A:AL,28,FALSE)-VLOOKUP(A131,'SegEnds_NonXtal_Prot#'!A:AL,25,FALSE)</f>
        <v>#VALUE!</v>
      </c>
      <c r="AG131" s="1">
        <f>VLOOKUP(A131,'SegEnds_NonXtal_Prot#'!A:AL,28,FALSE)-VLOOKUP(A131,'SegEnds_NonXtal_Prot#'!A:AL,22,FALSE)</f>
        <v>33</v>
      </c>
      <c r="AH131" s="1">
        <f>VLOOKUP(A131,'SegEnds_NonXtal_Prot#'!A:AL,31,FALSE)-VLOOKUP(A131,'SegEnds_NonXtal_Prot#'!A:AL,28,FALSE)</f>
        <v>48</v>
      </c>
      <c r="AI131" s="1">
        <f>VLOOKUP(A131,'SegEnds_NonXtal_Prot#'!A:AL,34,FALSE)-VLOOKUP(A131,'SegEnds_NonXtal_Prot#'!A:AL,31,FALSE)</f>
        <v>38</v>
      </c>
      <c r="AJ131" s="1" t="str">
        <f>IF(ISERROR(MATCH(A131,'SegEnds_Xtal_Prot#'!B:B, 0)), "NoXtal", "Xtal")</f>
        <v>NoXtal</v>
      </c>
    </row>
    <row r="132" spans="1:36" x14ac:dyDescent="0.2">
      <c r="A132" s="1" t="s">
        <v>244</v>
      </c>
      <c r="B132" s="1" t="str">
        <f>VLOOKUP(A132,Xtal_Templ!A:B,2,FALSE)</f>
        <v>5ht2b_human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>
        <f>VLOOKUP($B132&amp;"__wt",'SegEnds_Xtal_BW#'!$A:$Z,5,FALSE)</f>
        <v>48</v>
      </c>
      <c r="F132" s="1">
        <f>VLOOKUP($B132&amp;"__wt",'SegEnds_Xtal_BW#'!$A:$Z,6,FALSE)</f>
        <v>51</v>
      </c>
      <c r="G132" s="1">
        <v>37</v>
      </c>
      <c r="H132" s="111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18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9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v>35</v>
      </c>
      <c r="T132" s="1">
        <f t="array" ref="T132">INDEX('ICL3'!$G$2:$G$40,MATCH(MIN(ABS(AH132-'ICL3'!$F$2:$F$40)),ABS(AH132-'ICL3'!$F$2:$F$40),0))</f>
        <v>74</v>
      </c>
      <c r="U132" s="1">
        <f t="array" ref="U132">INDEX('ICL3'!$H$2:$H$40,MATCH(MIN(ABS(AH132-'ICL3'!$F$2:$F$40)),ABS(AH132-'ICL3'!$F$2:$F$40),0))</f>
        <v>21</v>
      </c>
      <c r="V132" s="1">
        <v>61</v>
      </c>
      <c r="W132" s="1">
        <v>32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58</v>
      </c>
      <c r="AA132" s="27" t="str">
        <f>VLOOKUP(A132,Classification!A:B,2,FALSE)</f>
        <v>A</v>
      </c>
      <c r="AB132" s="1">
        <f>VLOOKUP(A132,'SegEnds_NonXtal_Prot#'!A:AL,10,FALSE)-VLOOKUP(A132,'SegEnds_NonXtal_Prot#'!A:AL,7,FALSE)</f>
        <v>16</v>
      </c>
      <c r="AC132" s="1" t="e">
        <f>VLOOKUP(A132,'SegEnds_NonXtal_Prot#'!A:AL,13,FALSE)-VLOOKUP(A132,'SegEnds_NonXtal_Prot#'!A:AL,10,FALSE)</f>
        <v>#VALUE!</v>
      </c>
      <c r="AD132" s="1">
        <f>VLOOKUP(A132,'SegEnds_NonXtal_Prot#'!A:AL,16,FALSE)-VLOOKUP(A132,'SegEnds_NonXtal_Prot#'!A:AL,10,FALSE)</f>
        <v>52</v>
      </c>
      <c r="AE132" s="1">
        <f>VLOOKUP(A132,'SegEnds_NonXtal_Prot#'!A:AL,22,FALSE)-VLOOKUP(A132,'SegEnds_NonXtal_Prot#'!A:AL,19,FALSE)</f>
        <v>20</v>
      </c>
      <c r="AF132" s="1">
        <f>VLOOKUP(A132,'SegEnds_NonXtal_Prot#'!A:AL,28,FALSE)-VLOOKUP(A132,'SegEnds_NonXtal_Prot#'!A:AL,25,FALSE)</f>
        <v>21</v>
      </c>
      <c r="AG132" s="1">
        <f>VLOOKUP(A132,'SegEnds_NonXtal_Prot#'!A:AL,28,FALSE)-VLOOKUP(A132,'SegEnds_NonXtal_Prot#'!A:AL,22,FALSE)</f>
        <v>48</v>
      </c>
      <c r="AH132" s="1">
        <f>VLOOKUP(A132,'SegEnds_NonXtal_Prot#'!A:AL,31,FALSE)-VLOOKUP(A132,'SegEnds_NonXtal_Prot#'!A:AL,28,FALSE)</f>
        <v>65</v>
      </c>
      <c r="AI132" s="1">
        <f>VLOOKUP(A132,'SegEnds_NonXtal_Prot#'!A:AL,34,FALSE)-VLOOKUP(A132,'SegEnds_NonXtal_Prot#'!A:AL,31,FALSE)</f>
        <v>34</v>
      </c>
      <c r="AJ132" s="1" t="str">
        <f>IF(ISERROR(MATCH(A132,'SegEnds_Xtal_Prot#'!B:B, 0)), "NoXtal", "Xtal")</f>
        <v>NoXtal</v>
      </c>
    </row>
    <row r="133" spans="1:36" x14ac:dyDescent="0.2">
      <c r="A133" s="1" t="s">
        <v>246</v>
      </c>
      <c r="B133" s="1" t="str">
        <f>VLOOKUP(A133,Xtal_Templ!A:B,2,FALSE)</f>
        <v>agtr1_human</v>
      </c>
      <c r="C133" s="5">
        <f>VLOOKUP($B133&amp;"__wt",'SegEnds_Xtal_BW#'!$A:$Z,3,FALSE)</f>
        <v>30</v>
      </c>
      <c r="D133" s="1">
        <f>VLOOKUP($B133&amp;"__wt",'SegEnds_Xtal_BW#'!$A:$Z,4,FALSE)</f>
        <v>60</v>
      </c>
      <c r="E133" s="1">
        <f>VLOOKUP($B133&amp;"__wt",'SegEnds_Xtal_BW#'!$A:$Z,5,FALSE)</f>
        <v>48</v>
      </c>
      <c r="F133" s="1">
        <f>VLOOKUP($B133&amp;"__wt",'SegEnds_Xtal_BW#'!$A:$Z,6,FALSE)</f>
        <v>51</v>
      </c>
      <c r="G133" s="1">
        <v>37</v>
      </c>
      <c r="H133" s="12">
        <f>VLOOKUP($B133&amp;"__wt",'SegEnds_Xtal_BW#'!$A:$Z,8,FALSE)</f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18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9">
        <f>VLOOKUP($B133&amp;"__wt",'SegEnds_Xtal_BW#'!$A:$Z,15,FALSE)</f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34</v>
      </c>
      <c r="T133" s="1">
        <f t="array" ref="T133">INDEX('ICL3'!$G$2:$G$40,MATCH(MIN(ABS(AH133-'ICL3'!$F$2:$F$40)),ABS(AH133-'ICL3'!$F$2:$F$40),0))</f>
        <v>67</v>
      </c>
      <c r="U133" s="1">
        <f t="array" ref="U133">INDEX('ICL3'!$H$2:$H$40,MATCH(MIN(ABS(AH133-'ICL3'!$F$2:$F$40)),ABS(AH133-'ICL3'!$F$2:$F$40),0))</f>
        <v>28</v>
      </c>
      <c r="V133" s="1">
        <v>64</v>
      </c>
      <c r="W133" s="1">
        <v>24</v>
      </c>
      <c r="X133" s="1">
        <f>VLOOKUP($B133&amp;"__wt",'SegEnds_Xtal_BW#'!$A:$Z,24,FALSE)</f>
        <v>56</v>
      </c>
      <c r="Y133" s="1">
        <f>VLOOKUP($B133&amp;"__wt",'SegEnds_Xtal_BW#'!$A:$Z,25,FALSE)</f>
        <v>47</v>
      </c>
      <c r="Z133" s="1">
        <f>VLOOKUP($B133&amp;"__wt",'SegEnds_Xtal_BW#'!$A:$Z,26,FALSE)</f>
        <v>61</v>
      </c>
      <c r="AA133" s="27" t="str">
        <f>VLOOKUP(A133,Classification!A:B,2,FALSE)</f>
        <v>A</v>
      </c>
      <c r="AB133" s="1">
        <f>VLOOKUP(A133,'SegEnds_NonXtal_Prot#'!A:AL,10,FALSE)-VLOOKUP(A133,'SegEnds_NonXtal_Prot#'!A:AL,7,FALSE)</f>
        <v>15</v>
      </c>
      <c r="AC133" s="1">
        <f>VLOOKUP(A133,'SegEnds_NonXtal_Prot#'!A:AL,13,FALSE)-VLOOKUP(A133,'SegEnds_NonXtal_Prot#'!A:AL,10,FALSE)</f>
        <v>20</v>
      </c>
      <c r="AD133" s="1">
        <f>VLOOKUP(A133,'SegEnds_NonXtal_Prot#'!A:AL,16,FALSE)-VLOOKUP(A133,'SegEnds_NonXtal_Prot#'!A:AL,10,FALSE)</f>
        <v>52</v>
      </c>
      <c r="AE133" s="1">
        <f>VLOOKUP(A133,'SegEnds_NonXtal_Prot#'!A:AL,22,FALSE)-VLOOKUP(A133,'SegEnds_NonXtal_Prot#'!A:AL,19,FALSE)</f>
        <v>20</v>
      </c>
      <c r="AF133" s="1">
        <f>VLOOKUP(A133,'SegEnds_NonXtal_Prot#'!A:AL,28,FALSE)-VLOOKUP(A133,'SegEnds_NonXtal_Prot#'!A:AL,25,FALSE)</f>
        <v>23</v>
      </c>
      <c r="AG133" s="1">
        <f>VLOOKUP(A133,'SegEnds_NonXtal_Prot#'!A:AL,28,FALSE)-VLOOKUP(A133,'SegEnds_NonXtal_Prot#'!A:AL,22,FALSE)</f>
        <v>50</v>
      </c>
      <c r="AH133" s="1">
        <f>VLOOKUP(A133,'SegEnds_NonXtal_Prot#'!A:AL,31,FALSE)-VLOOKUP(A133,'SegEnds_NonXtal_Prot#'!A:AL,28,FALSE)</f>
        <v>45</v>
      </c>
      <c r="AI133" s="1">
        <f>VLOOKUP(A133,'SegEnds_NonXtal_Prot#'!A:AL,34,FALSE)-VLOOKUP(A133,'SegEnds_NonXtal_Prot#'!A:AL,31,FALSE)</f>
        <v>45</v>
      </c>
      <c r="AJ133" s="1" t="str">
        <f>IF(ISERROR(MATCH(A133,'SegEnds_Xtal_Prot#'!B:B, 0)), "NoXtal", "Xtal")</f>
        <v>NoXtal</v>
      </c>
    </row>
    <row r="134" spans="1:36" x14ac:dyDescent="0.2">
      <c r="A134" s="1" t="s">
        <v>247</v>
      </c>
      <c r="B134" s="1" t="str">
        <f>VLOOKUP(A134,Xtal_Templ!A:B,2,FALSE)</f>
        <v>ox2r_human</v>
      </c>
      <c r="C134" s="5">
        <f>VLOOKUP($B134&amp;"__wt",'SegEnds_Xtal_BW#'!$A:$Z,3,FALSE)</f>
        <v>31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f>VLOOKUP($B134&amp;"__wt",'SegEnds_Xtal_BW#'!$A:$Z,8,FALSE)</f>
        <v>67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v>57</v>
      </c>
      <c r="O134" s="89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v>35</v>
      </c>
      <c r="T134" s="1">
        <f t="array" ref="T134">INDEX('ICL3'!$G$2:$G$40,MATCH(MIN(ABS(AH134-'ICL3'!$F$2:$F$40)),ABS(AH134-'ICL3'!$F$2:$F$40),0))</f>
        <v>76</v>
      </c>
      <c r="U134" s="1">
        <f t="array" ref="U134">INDEX('ICL3'!$H$2:$H$40,MATCH(MIN(ABS(AH134-'ICL3'!$F$2:$F$40)),ABS(AH134-'ICL3'!$F$2:$F$40),0))</f>
        <v>24</v>
      </c>
      <c r="V134" s="1">
        <v>61</v>
      </c>
      <c r="W134" s="1">
        <v>31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58</v>
      </c>
      <c r="AA134" s="27" t="str">
        <f>VLOOKUP(A134,Classification!A:B,2,FALSE)</f>
        <v>A</v>
      </c>
      <c r="AB134" s="1">
        <f>VLOOKUP(A134,'SegEnds_NonXtal_Prot#'!A:AL,10,FALSE)-VLOOKUP(A134,'SegEnds_NonXtal_Prot#'!A:AL,7,FALSE)</f>
        <v>16</v>
      </c>
      <c r="AC134" s="1" t="e">
        <f>VLOOKUP(A134,'SegEnds_NonXtal_Prot#'!A:AL,13,FALSE)-VLOOKUP(A134,'SegEnds_NonXtal_Prot#'!A:AL,10,FALSE)</f>
        <v>#VALUE!</v>
      </c>
      <c r="AD134" s="1">
        <f>VLOOKUP(A134,'SegEnds_NonXtal_Prot#'!A:AL,16,FALSE)-VLOOKUP(A134,'SegEnds_NonXtal_Prot#'!A:AL,10,FALSE)</f>
        <v>52</v>
      </c>
      <c r="AE134" s="1">
        <f>VLOOKUP(A134,'SegEnds_NonXtal_Prot#'!A:AL,22,FALSE)-VLOOKUP(A134,'SegEnds_NonXtal_Prot#'!A:AL,19,FALSE)</f>
        <v>20</v>
      </c>
      <c r="AF134" s="1">
        <f>VLOOKUP(A134,'SegEnds_NonXtal_Prot#'!A:AL,28,FALSE)-VLOOKUP(A134,'SegEnds_NonXtal_Prot#'!A:AL,25,FALSE)</f>
        <v>25</v>
      </c>
      <c r="AG134" s="1">
        <f>VLOOKUP(A134,'SegEnds_NonXtal_Prot#'!A:AL,28,FALSE)-VLOOKUP(A134,'SegEnds_NonXtal_Prot#'!A:AL,22,FALSE)</f>
        <v>53</v>
      </c>
      <c r="AH134" s="1">
        <f>VLOOKUP(A134,'SegEnds_NonXtal_Prot#'!A:AL,31,FALSE)-VLOOKUP(A134,'SegEnds_NonXtal_Prot#'!A:AL,28,FALSE)</f>
        <v>72</v>
      </c>
      <c r="AI134" s="1">
        <f>VLOOKUP(A134,'SegEnds_NonXtal_Prot#'!A:AL,34,FALSE)-VLOOKUP(A134,'SegEnds_NonXtal_Prot#'!A:AL,31,FALSE)</f>
        <v>35</v>
      </c>
      <c r="AJ134" s="1" t="str">
        <f>IF(ISERROR(MATCH(A134,'SegEnds_Xtal_Prot#'!B:B, 0)), "NoXtal", "Xtal")</f>
        <v>NoXtal</v>
      </c>
    </row>
    <row r="135" spans="1:36" x14ac:dyDescent="0.2">
      <c r="A135" s="1" t="s">
        <v>249</v>
      </c>
      <c r="B135" s="1" t="str">
        <f>VLOOKUP(A135,Xtal_Templ!A:B,2,FALSE)</f>
        <v>s1pr1_human</v>
      </c>
      <c r="C135" s="5">
        <f>VLOOKUP($B135&amp;"__wt",'SegEnds_Xtal_BW#'!$A:$Z,3,FALSE)</f>
        <v>29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62</v>
      </c>
      <c r="I135" s="1">
        <v>48</v>
      </c>
      <c r="J135" s="1">
        <v>52</v>
      </c>
      <c r="K135" s="12">
        <v>24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v>57</v>
      </c>
      <c r="O135" s="89">
        <v>38</v>
      </c>
      <c r="P135" s="1">
        <f>VLOOKUP($B135&amp;"__wt",'SegEnds_Xtal_BW#'!$A:$Z,16,FALSE)</f>
        <v>63</v>
      </c>
      <c r="Q135" s="1" t="str">
        <f>VLOOKUP($B135&amp;"__wt",'SegEnds_Xtal_BW#'!$A:$Z,17,FALSE)</f>
        <v>-</v>
      </c>
      <c r="R135" s="1" t="str">
        <f>VLOOKUP($B135&amp;"__wt",'SegEnds_Xtal_BW#'!$A:$Z,18,FALSE)</f>
        <v>-</v>
      </c>
      <c r="S135" s="1">
        <f>VLOOKUP($B135&amp;"__wt",'SegEnds_Xtal_BW#'!$A:$Z,19,FALSE)</f>
        <v>36</v>
      </c>
      <c r="T135" s="1">
        <f t="array" ref="T135">INDEX('ICL3'!$G$2:$G$40,MATCH(MIN(ABS(AH135-'ICL3'!$F$2:$F$40)),ABS(AH135-'ICL3'!$F$2:$F$40),0))</f>
        <v>72</v>
      </c>
      <c r="U135" s="1">
        <f t="array" ref="U135">INDEX('ICL3'!$H$2:$H$40,MATCH(MIN(ABS(AH135-'ICL3'!$F$2:$F$40)),ABS(AH135-'ICL3'!$F$2:$F$40),0))</f>
        <v>24</v>
      </c>
      <c r="V135" s="1">
        <v>61</v>
      </c>
      <c r="W135" s="1">
        <v>34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59</v>
      </c>
      <c r="AA135" s="27" t="str">
        <f>VLOOKUP(A135,Classification!A:B,2,FALSE)</f>
        <v>A</v>
      </c>
      <c r="AB135" s="1">
        <f>VLOOKUP(A135,'SegEnds_NonXtal_Prot#'!A:AL,10,FALSE)-VLOOKUP(A135,'SegEnds_NonXtal_Prot#'!A:AL,7,FALSE)</f>
        <v>15</v>
      </c>
      <c r="AC135" s="1">
        <f>VLOOKUP(A135,'SegEnds_NonXtal_Prot#'!A:AL,13,FALSE)-VLOOKUP(A135,'SegEnds_NonXtal_Prot#'!A:AL,10,FALSE)</f>
        <v>15</v>
      </c>
      <c r="AD135" s="1">
        <f>VLOOKUP(A135,'SegEnds_NonXtal_Prot#'!A:AL,16,FALSE)-VLOOKUP(A135,'SegEnds_NonXtal_Prot#'!A:AL,10,FALSE)</f>
        <v>48</v>
      </c>
      <c r="AE135" s="1">
        <f>VLOOKUP(A135,'SegEnds_NonXtal_Prot#'!A:AL,22,FALSE)-VLOOKUP(A135,'SegEnds_NonXtal_Prot#'!A:AL,19,FALSE)</f>
        <v>20</v>
      </c>
      <c r="AF135" s="1" t="e">
        <f>VLOOKUP(A135,'SegEnds_NonXtal_Prot#'!A:AL,28,FALSE)-VLOOKUP(A135,'SegEnds_NonXtal_Prot#'!A:AL,25,FALSE)</f>
        <v>#VALUE!</v>
      </c>
      <c r="AG135" s="1">
        <f>VLOOKUP(A135,'SegEnds_NonXtal_Prot#'!A:AL,28,FALSE)-VLOOKUP(A135,'SegEnds_NonXtal_Prot#'!A:AL,22,FALSE)</f>
        <v>44</v>
      </c>
      <c r="AH135" s="1">
        <f>VLOOKUP(A135,'SegEnds_NonXtal_Prot#'!A:AL,31,FALSE)-VLOOKUP(A135,'SegEnds_NonXtal_Prot#'!A:AL,28,FALSE)</f>
        <v>57</v>
      </c>
      <c r="AI135" s="1">
        <f>VLOOKUP(A135,'SegEnds_NonXtal_Prot#'!A:AL,34,FALSE)-VLOOKUP(A135,'SegEnds_NonXtal_Prot#'!A:AL,31,FALSE)</f>
        <v>32</v>
      </c>
      <c r="AJ135" s="1" t="str">
        <f>IF(ISERROR(MATCH(A135,'SegEnds_Xtal_Prot#'!B:B, 0)), "NoXtal", "Xtal")</f>
        <v>NoXtal</v>
      </c>
    </row>
    <row r="136" spans="1:36" x14ac:dyDescent="0.2">
      <c r="A136" s="1" t="s">
        <v>250</v>
      </c>
      <c r="B136" s="1" t="str">
        <f>VLOOKUP(A136,Xtal_Templ!A:B,2,FALSE)</f>
        <v>oprd_human</v>
      </c>
      <c r="C136" s="5">
        <f>VLOOKUP($B136&amp;"__wt",'SegEnds_Xtal_BW#'!$A:$Z,3,FALSE)</f>
        <v>22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66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57</v>
      </c>
      <c r="O136" s="89">
        <f>VLOOKUP($B136&amp;"__wt",'SegEnds_Xtal_BW#'!$A:$Z,15,FALSE)</f>
        <v>38</v>
      </c>
      <c r="P136" s="1">
        <f>VLOOKUP($B136&amp;"__wt",'SegEnds_Xtal_BW#'!$A:$Z,16,FALSE)</f>
        <v>64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31</v>
      </c>
      <c r="T136" s="1">
        <f t="array" ref="T136">INDEX('ICL3'!$G$2:$G$40,MATCH(MIN(ABS(AH136-'ICL3'!$F$2:$F$40)),ABS(AH136-'ICL3'!$F$2:$F$40),0))</f>
        <v>68</v>
      </c>
      <c r="U136" s="1">
        <f t="array" ref="U136">INDEX('ICL3'!$H$2:$H$40,MATCH(MIN(ABS(AH136-'ICL3'!$F$2:$F$40)),ABS(AH136-'ICL3'!$F$2:$F$40),0))</f>
        <v>24</v>
      </c>
      <c r="V136" s="1">
        <v>61</v>
      </c>
      <c r="W136" s="1">
        <v>28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VLOOKUP(A136,'SegEnds_NonXtal_Prot#'!A:AL,10,FALSE)-VLOOKUP(A136,'SegEnds_NonXtal_Prot#'!A:AL,7,FALSE)</f>
        <v>15</v>
      </c>
      <c r="AC136" s="1">
        <f>VLOOKUP(A136,'SegEnds_NonXtal_Prot#'!A:AL,13,FALSE)-VLOOKUP(A136,'SegEnds_NonXtal_Prot#'!A:AL,10,FALSE)</f>
        <v>20</v>
      </c>
      <c r="AD136" s="1">
        <f>VLOOKUP(A136,'SegEnds_NonXtal_Prot#'!A:AL,16,FALSE)-VLOOKUP(A136,'SegEnds_NonXtal_Prot#'!A:AL,10,FALSE)</f>
        <v>52</v>
      </c>
      <c r="AE136" s="1">
        <f>VLOOKUP(A136,'SegEnds_NonXtal_Prot#'!A:AL,22,FALSE)-VLOOKUP(A136,'SegEnds_NonXtal_Prot#'!A:AL,19,FALSE)</f>
        <v>20</v>
      </c>
      <c r="AF136" s="1">
        <f>VLOOKUP(A136,'SegEnds_NonXtal_Prot#'!A:AL,28,FALSE)-VLOOKUP(A136,'SegEnds_NonXtal_Prot#'!A:AL,25,FALSE)</f>
        <v>27</v>
      </c>
      <c r="AG136" s="1">
        <f>VLOOKUP(A136,'SegEnds_NonXtal_Prot#'!A:AL,28,FALSE)-VLOOKUP(A136,'SegEnds_NonXtal_Prot#'!A:AL,22,FALSE)</f>
        <v>50</v>
      </c>
      <c r="AH136" s="1">
        <f>VLOOKUP(A136,'SegEnds_NonXtal_Prot#'!A:AL,31,FALSE)-VLOOKUP(A136,'SegEnds_NonXtal_Prot#'!A:AL,28,FALSE)</f>
        <v>48</v>
      </c>
      <c r="AI136" s="1">
        <f>VLOOKUP(A136,'SegEnds_NonXtal_Prot#'!A:AL,34,FALSE)-VLOOKUP(A136,'SegEnds_NonXtal_Prot#'!A:AL,31,FALSE)</f>
        <v>42</v>
      </c>
      <c r="AJ136" s="1" t="str">
        <f>IF(ISERROR(MATCH(A136,'SegEnds_Xtal_Prot#'!B:B, 0)), "NoXtal", "Xtal")</f>
        <v>NoXtal</v>
      </c>
    </row>
    <row r="137" spans="1:36" x14ac:dyDescent="0.2">
      <c r="A137" s="1" t="s">
        <v>251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v>57</v>
      </c>
      <c r="O137" s="89"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31</v>
      </c>
      <c r="T137" s="1">
        <f t="array" ref="T137">INDEX('ICL3'!$G$2:$G$40,MATCH(MIN(ABS(AH137-'ICL3'!$F$2:$F$40)),ABS(AH137-'ICL3'!$F$2:$F$40),0))</f>
        <v>68</v>
      </c>
      <c r="U137" s="1">
        <f t="array" ref="U137">INDEX('ICL3'!$H$2:$H$40,MATCH(MIN(ABS(AH137-'ICL3'!$F$2:$F$40)),ABS(AH137-'ICL3'!$F$2:$F$40),0))</f>
        <v>30</v>
      </c>
      <c r="V137" s="1">
        <v>61</v>
      </c>
      <c r="W137" s="1"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 t="e">
        <f>VLOOKUP(A137,'SegEnds_NonXtal_Prot#'!A:AL,10,FALSE)-VLOOKUP(A137,'SegEnds_NonXtal_Prot#'!A:AL,7,FALSE)</f>
        <v>#VALUE!</v>
      </c>
      <c r="AC137" s="1">
        <f>VLOOKUP(A137,'SegEnds_NonXtal_Prot#'!A:AL,13,FALSE)-VLOOKUP(A137,'SegEnds_NonXtal_Prot#'!A:AL,10,FALSE)</f>
        <v>19</v>
      </c>
      <c r="AD137" s="1">
        <f>VLOOKUP(A137,'SegEnds_NonXtal_Prot#'!A:AL,16,FALSE)-VLOOKUP(A137,'SegEnds_NonXtal_Prot#'!A:AL,10,FALSE)</f>
        <v>51</v>
      </c>
      <c r="AE137" s="1">
        <f>VLOOKUP(A137,'SegEnds_NonXtal_Prot#'!A:AL,22,FALSE)-VLOOKUP(A137,'SegEnds_NonXtal_Prot#'!A:AL,19,FALSE)</f>
        <v>20</v>
      </c>
      <c r="AF137" s="1">
        <f>VLOOKUP(A137,'SegEnds_NonXtal_Prot#'!A:AL,28,FALSE)-VLOOKUP(A137,'SegEnds_NonXtal_Prot#'!A:AL,25,FALSE)</f>
        <v>37</v>
      </c>
      <c r="AG137" s="1">
        <f>VLOOKUP(A137,'SegEnds_NonXtal_Prot#'!A:AL,28,FALSE)-VLOOKUP(A137,'SegEnds_NonXtal_Prot#'!A:AL,22,FALSE)</f>
        <v>62</v>
      </c>
      <c r="AH137" s="1">
        <f>VLOOKUP(A137,'SegEnds_NonXtal_Prot#'!A:AL,31,FALSE)-VLOOKUP(A137,'SegEnds_NonXtal_Prot#'!A:AL,28,FALSE)</f>
        <v>43</v>
      </c>
      <c r="AI137" s="1">
        <f>VLOOKUP(A137,'SegEnds_NonXtal_Prot#'!A:AL,34,FALSE)-VLOOKUP(A137,'SegEnds_NonXtal_Prot#'!A:AL,31,FALSE)</f>
        <v>42</v>
      </c>
      <c r="AJ137" s="1" t="str">
        <f>IF(ISERROR(MATCH(A137,'SegEnds_Xtal_Prot#'!B:B, 0)), "NoXtal", "Xtal")</f>
        <v>NoXtal</v>
      </c>
    </row>
    <row r="138" spans="1:36" x14ac:dyDescent="0.2">
      <c r="A138" s="1" t="s">
        <v>252</v>
      </c>
      <c r="B138" s="1" t="str">
        <f>VLOOKUP(A138,Xtal_Templ!A:B,2,FALSE)</f>
        <v>agtr1_human</v>
      </c>
      <c r="C138" s="5">
        <f>VLOOKUP($B138&amp;"__wt",'SegEnds_Xtal_BW#'!$A:$Z,3,FALSE)</f>
        <v>30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f>VLOOKUP($B138&amp;"__wt",'SegEnds_Xtal_BW#'!$A:$Z,8,FALSE)</f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18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9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34</v>
      </c>
      <c r="T138" s="1">
        <f t="array" ref="T138">INDEX('ICL3'!$G$2:$G$40,MATCH(MIN(ABS(AH138-'ICL3'!$F$2:$F$40)),ABS(AH138-'ICL3'!$F$2:$F$40),0))</f>
        <v>68</v>
      </c>
      <c r="U138" s="1">
        <f t="array" ref="U138">INDEX('ICL3'!$H$2:$H$40,MATCH(MIN(ABS(AH138-'ICL3'!$F$2:$F$40)),ABS(AH138-'ICL3'!$F$2:$F$40),0))</f>
        <v>30</v>
      </c>
      <c r="V138" s="1">
        <v>61</v>
      </c>
      <c r="W138" s="1">
        <v>31</v>
      </c>
      <c r="X138" s="1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61</v>
      </c>
      <c r="AA138" s="27" t="str">
        <f>VLOOKUP(A138,Classification!A:B,2,FALSE)</f>
        <v>A</v>
      </c>
      <c r="AB138" s="1" t="e">
        <f>VLOOKUP(A138,'SegEnds_NonXtal_Prot#'!A:AL,10,FALSE)-VLOOKUP(A138,'SegEnds_NonXtal_Prot#'!A:AL,7,FALSE)</f>
        <v>#VALUE!</v>
      </c>
      <c r="AC138" s="1">
        <f>VLOOKUP(A138,'SegEnds_NonXtal_Prot#'!A:AL,13,FALSE)-VLOOKUP(A138,'SegEnds_NonXtal_Prot#'!A:AL,10,FALSE)</f>
        <v>20</v>
      </c>
      <c r="AD138" s="1">
        <f>VLOOKUP(A138,'SegEnds_NonXtal_Prot#'!A:AL,16,FALSE)-VLOOKUP(A138,'SegEnds_NonXtal_Prot#'!A:AL,10,FALSE)</f>
        <v>52</v>
      </c>
      <c r="AE138" s="1">
        <f>VLOOKUP(A138,'SegEnds_NonXtal_Prot#'!A:AL,22,FALSE)-VLOOKUP(A138,'SegEnds_NonXtal_Prot#'!A:AL,19,FALSE)</f>
        <v>20</v>
      </c>
      <c r="AF138" s="1">
        <f>VLOOKUP(A138,'SegEnds_NonXtal_Prot#'!A:AL,28,FALSE)-VLOOKUP(A138,'SegEnds_NonXtal_Prot#'!A:AL,25,FALSE)</f>
        <v>38</v>
      </c>
      <c r="AG138" s="1">
        <f>VLOOKUP(A138,'SegEnds_NonXtal_Prot#'!A:AL,28,FALSE)-VLOOKUP(A138,'SegEnds_NonXtal_Prot#'!A:AL,22,FALSE)</f>
        <v>64</v>
      </c>
      <c r="AH138" s="1">
        <f>VLOOKUP(A138,'SegEnds_NonXtal_Prot#'!A:AL,31,FALSE)-VLOOKUP(A138,'SegEnds_NonXtal_Prot#'!A:AL,28,FALSE)</f>
        <v>43</v>
      </c>
      <c r="AI138" s="1">
        <f>VLOOKUP(A138,'SegEnds_NonXtal_Prot#'!A:AL,34,FALSE)-VLOOKUP(A138,'SegEnds_NonXtal_Prot#'!A:AL,31,FALSE)</f>
        <v>36</v>
      </c>
      <c r="AJ138" s="1" t="str">
        <f>IF(ISERROR(MATCH(A138,'SegEnds_Xtal_Prot#'!B:B, 0)), "NoXtal", "Xtal")</f>
        <v>NoXtal</v>
      </c>
    </row>
    <row r="139" spans="1:36" x14ac:dyDescent="0.2">
      <c r="A139" s="1" t="s">
        <v>253</v>
      </c>
      <c r="B139" s="1" t="str">
        <f>VLOOKUP(A139,Xtal_Templ!A:B,2,FALSE)</f>
        <v>par1_human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f>VLOOKUP($B139&amp;"__wt",'SegEnds_Xtal_BW#'!$A:$Z,8,FALSE)</f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v>18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v>57</v>
      </c>
      <c r="O139" s="89">
        <f>VLOOKUP($B139&amp;"__wt",'SegEnds_Xtal_BW#'!$A:$Z,15,FALSE)</f>
        <v>38</v>
      </c>
      <c r="P139" s="1">
        <f>VLOOKUP($B139&amp;"__wt",'SegEnds_Xtal_BW#'!$A:$Z,16,FALSE)</f>
        <v>63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32</v>
      </c>
      <c r="T139" s="1">
        <f t="array" ref="T139">INDEX('ICL3'!$G$2:$G$40,MATCH(MIN(ABS(AH139-'ICL3'!$F$2:$F$40)),ABS(AH139-'ICL3'!$F$2:$F$40),0))</f>
        <v>68</v>
      </c>
      <c r="U139" s="1">
        <f t="array" ref="U139">INDEX('ICL3'!$H$2:$H$40,MATCH(MIN(ABS(AH139-'ICL3'!$F$2:$F$40)),ABS(AH139-'ICL3'!$F$2:$F$40),0))</f>
        <v>23</v>
      </c>
      <c r="V139" s="1">
        <v>61</v>
      </c>
      <c r="W139" s="1">
        <v>24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61</v>
      </c>
      <c r="AA139" s="27" t="str">
        <f>VLOOKUP(A139,Classification!A:B,2,FALSE)</f>
        <v>A</v>
      </c>
      <c r="AB139" s="1" t="e">
        <f>VLOOKUP(A139,'SegEnds_NonXtal_Prot#'!A:AL,10,FALSE)-VLOOKUP(A139,'SegEnds_NonXtal_Prot#'!A:AL,7,FALSE)</f>
        <v>#VALUE!</v>
      </c>
      <c r="AC139" s="1">
        <f>VLOOKUP(A139,'SegEnds_NonXtal_Prot#'!A:AL,13,FALSE)-VLOOKUP(A139,'SegEnds_NonXtal_Prot#'!A:AL,10,FALSE)</f>
        <v>20</v>
      </c>
      <c r="AD139" s="1">
        <f>VLOOKUP(A139,'SegEnds_NonXtal_Prot#'!A:AL,16,FALSE)-VLOOKUP(A139,'SegEnds_NonXtal_Prot#'!A:AL,10,FALSE)</f>
        <v>52</v>
      </c>
      <c r="AE139" s="1">
        <f>VLOOKUP(A139,'SegEnds_NonXtal_Prot#'!A:AL,22,FALSE)-VLOOKUP(A139,'SegEnds_NonXtal_Prot#'!A:AL,19,FALSE)</f>
        <v>20</v>
      </c>
      <c r="AF139" s="1">
        <f>VLOOKUP(A139,'SegEnds_NonXtal_Prot#'!A:AL,28,FALSE)-VLOOKUP(A139,'SegEnds_NonXtal_Prot#'!A:AL,25,FALSE)</f>
        <v>26</v>
      </c>
      <c r="AG139" s="1">
        <f>VLOOKUP(A139,'SegEnds_NonXtal_Prot#'!A:AL,28,FALSE)-VLOOKUP(A139,'SegEnds_NonXtal_Prot#'!A:AL,22,FALSE)</f>
        <v>51</v>
      </c>
      <c r="AH139" s="1">
        <f>VLOOKUP(A139,'SegEnds_NonXtal_Prot#'!A:AL,31,FALSE)-VLOOKUP(A139,'SegEnds_NonXtal_Prot#'!A:AL,28,FALSE)</f>
        <v>51</v>
      </c>
      <c r="AI139" s="1">
        <f>VLOOKUP(A139,'SegEnds_NonXtal_Prot#'!A:AL,34,FALSE)-VLOOKUP(A139,'SegEnds_NonXtal_Prot#'!A:AL,31,FALSE)</f>
        <v>43</v>
      </c>
      <c r="AJ139" s="1" t="str">
        <f>IF(ISERROR(MATCH(A139,'SegEnds_Xtal_Prot#'!B:B, 0)), "NoXtal", "Xtal")</f>
        <v>NoXtal</v>
      </c>
    </row>
    <row r="140" spans="1:36" x14ac:dyDescent="0.2">
      <c r="A140" s="1" t="s">
        <v>254</v>
      </c>
      <c r="B140" s="1" t="str">
        <f>VLOOKUP(A140,Xtal_Templ!A:B,2,FALSE)</f>
        <v>ccr2_human</v>
      </c>
      <c r="C140" s="5">
        <f>VLOOKUP($B140&amp;"__wt",'SegEnds_Xtal_BW#'!$A:$Z,3,FALSE)</f>
        <v>27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v>24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v>57</v>
      </c>
      <c r="O140" s="89"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v>35</v>
      </c>
      <c r="T140" s="1">
        <f t="array" ref="T140">INDEX('ICL3'!$G$2:$G$40,MATCH(MIN(ABS(AH140-'ICL3'!$F$2:$F$40)),ABS(AH140-'ICL3'!$F$2:$F$40),0))</f>
        <v>68</v>
      </c>
      <c r="U140" s="1">
        <f t="array" ref="U140">INDEX('ICL3'!$H$2:$H$40,MATCH(MIN(ABS(AH140-'ICL3'!$F$2:$F$40)),ABS(AH140-'ICL3'!$F$2:$F$40),0))</f>
        <v>24</v>
      </c>
      <c r="V140" s="1">
        <v>61</v>
      </c>
      <c r="W140" s="1">
        <v>28</v>
      </c>
      <c r="X140" s="1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58</v>
      </c>
      <c r="AA140" s="27" t="str">
        <f>VLOOKUP(A140,Classification!A:B,2,FALSE)</f>
        <v>A</v>
      </c>
      <c r="AB140" s="1">
        <f>VLOOKUP(A140,'SegEnds_NonXtal_Prot#'!A:AL,10,FALSE)-VLOOKUP(A140,'SegEnds_NonXtal_Prot#'!A:AL,7,FALSE)</f>
        <v>15</v>
      </c>
      <c r="AC140" s="1" t="e">
        <f>VLOOKUP(A140,'SegEnds_NonXtal_Prot#'!A:AL,13,FALSE)-VLOOKUP(A140,'SegEnds_NonXtal_Prot#'!A:AL,10,FALSE)</f>
        <v>#VALUE!</v>
      </c>
      <c r="AD140" s="1">
        <f>VLOOKUP(A140,'SegEnds_NonXtal_Prot#'!A:AL,16,FALSE)-VLOOKUP(A140,'SegEnds_NonXtal_Prot#'!A:AL,10,FALSE)</f>
        <v>48</v>
      </c>
      <c r="AE140" s="1">
        <f>VLOOKUP(A140,'SegEnds_NonXtal_Prot#'!A:AL,22,FALSE)-VLOOKUP(A140,'SegEnds_NonXtal_Prot#'!A:AL,19,FALSE)</f>
        <v>20</v>
      </c>
      <c r="AF140" s="1">
        <f>VLOOKUP(A140,'SegEnds_NonXtal_Prot#'!A:AL,28,FALSE)-VLOOKUP(A140,'SegEnds_NonXtal_Prot#'!A:AL,25,FALSE)</f>
        <v>21</v>
      </c>
      <c r="AG140" s="1">
        <f>VLOOKUP(A140,'SegEnds_NonXtal_Prot#'!A:AL,28,FALSE)-VLOOKUP(A140,'SegEnds_NonXtal_Prot#'!A:AL,22,FALSE)</f>
        <v>42</v>
      </c>
      <c r="AH140" s="1">
        <f>VLOOKUP(A140,'SegEnds_NonXtal_Prot#'!A:AL,31,FALSE)-VLOOKUP(A140,'SegEnds_NonXtal_Prot#'!A:AL,28,FALSE)</f>
        <v>49</v>
      </c>
      <c r="AI140" s="1">
        <f>VLOOKUP(A140,'SegEnds_NonXtal_Prot#'!A:AL,34,FALSE)-VLOOKUP(A140,'SegEnds_NonXtal_Prot#'!A:AL,31,FALSE)</f>
        <v>41</v>
      </c>
      <c r="AJ140" s="1" t="str">
        <f>IF(ISERROR(MATCH(A140,'SegEnds_Xtal_Prot#'!B:B, 0)), "NoXtal", "Xtal")</f>
        <v>NoXtal</v>
      </c>
    </row>
    <row r="141" spans="1:36" x14ac:dyDescent="0.2">
      <c r="A141" s="1" t="s">
        <v>255</v>
      </c>
      <c r="B141" s="1" t="str">
        <f>VLOOKUP(A141,Xtal_Templ!A:B,2,FALSE)</f>
        <v>ednrb_human</v>
      </c>
      <c r="C141" s="5">
        <f>VLOOKUP($B141&amp;"__wt",'SegEnds_Xtal_BW#'!$A:$Z,3,FALSE)</f>
        <v>22</v>
      </c>
      <c r="D141" s="1">
        <f>VLOOKUP($B141&amp;"__wt",'SegEnds_Xtal_BW#'!$A:$Z,4,FALSE)</f>
        <v>60</v>
      </c>
      <c r="E141" s="1">
        <f>VLOOKUP($B141&amp;"__wt",'SegEnds_Xtal_BW#'!$A:$Z,5,FALSE)</f>
        <v>48</v>
      </c>
      <c r="F141" s="1">
        <f>VLOOKUP($B141&amp;"__wt",'SegEnds_Xtal_BW#'!$A:$Z,6,FALSE)</f>
        <v>52</v>
      </c>
      <c r="G141" s="1">
        <v>37</v>
      </c>
      <c r="H141" s="12">
        <f>VLOOKUP($B141&amp;"__wt",'SegEnds_Xtal_BW#'!$A:$Z,8,FALSE)</f>
        <v>67</v>
      </c>
      <c r="I141" s="1">
        <f>VLOOKUP($B141&amp;"__wt",'SegEnds_Xtal_BW#'!$A:$Z,9,FALSE)</f>
        <v>49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9">
        <v>38</v>
      </c>
      <c r="P141" s="1">
        <f>VLOOKUP($B141&amp;"__wt",'SegEnds_Xtal_BW#'!$A:$Z,16,FALSE)</f>
        <v>64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29</v>
      </c>
      <c r="T141" s="1">
        <f t="array" ref="T141">INDEX('ICL3'!$G$2:$G$40,MATCH(MIN(ABS(AH141-'ICL3'!$F$2:$F$40)),ABS(AH141-'ICL3'!$F$2:$F$40),0))</f>
        <v>72</v>
      </c>
      <c r="U141" s="1">
        <f t="array" ref="U141">INDEX('ICL3'!$H$2:$H$40,MATCH(MIN(ABS(AH141-'ICL3'!$F$2:$F$40)),ABS(AH141-'ICL3'!$F$2:$F$40),0))</f>
        <v>24</v>
      </c>
      <c r="V141" s="1">
        <v>61</v>
      </c>
      <c r="W141" s="1">
        <v>28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60</v>
      </c>
      <c r="AA141" s="27" t="str">
        <f>VLOOKUP(A141,Classification!A:B,2,FALSE)</f>
        <v>A</v>
      </c>
      <c r="AB141" s="1">
        <f>VLOOKUP(A141,'SegEnds_NonXtal_Prot#'!A:AL,10,FALSE)-VLOOKUP(A141,'SegEnds_NonXtal_Prot#'!A:AL,7,FALSE)</f>
        <v>15</v>
      </c>
      <c r="AC141" s="1">
        <f>VLOOKUP(A141,'SegEnds_NonXtal_Prot#'!A:AL,13,FALSE)-VLOOKUP(A141,'SegEnds_NonXtal_Prot#'!A:AL,10,FALSE)</f>
        <v>20</v>
      </c>
      <c r="AD141" s="1">
        <f>VLOOKUP(A141,'SegEnds_NonXtal_Prot#'!A:AL,16,FALSE)-VLOOKUP(A141,'SegEnds_NonXtal_Prot#'!A:AL,10,FALSE)</f>
        <v>52</v>
      </c>
      <c r="AE141" s="1">
        <f>VLOOKUP(A141,'SegEnds_NonXtal_Prot#'!A:AL,22,FALSE)-VLOOKUP(A141,'SegEnds_NonXtal_Prot#'!A:AL,19,FALSE)</f>
        <v>20</v>
      </c>
      <c r="AF141" s="1">
        <f>VLOOKUP(A141,'SegEnds_NonXtal_Prot#'!A:AL,28,FALSE)-VLOOKUP(A141,'SegEnds_NonXtal_Prot#'!A:AL,25,FALSE)</f>
        <v>35</v>
      </c>
      <c r="AG141" s="1">
        <f>VLOOKUP(A141,'SegEnds_NonXtal_Prot#'!A:AL,28,FALSE)-VLOOKUP(A141,'SegEnds_NonXtal_Prot#'!A:AL,22,FALSE)</f>
        <v>67</v>
      </c>
      <c r="AH141" s="1">
        <f>VLOOKUP(A141,'SegEnds_NonXtal_Prot#'!A:AL,31,FALSE)-VLOOKUP(A141,'SegEnds_NonXtal_Prot#'!A:AL,28,FALSE)</f>
        <v>53</v>
      </c>
      <c r="AI141" s="1">
        <f>VLOOKUP(A141,'SegEnds_NonXtal_Prot#'!A:AL,34,FALSE)-VLOOKUP(A141,'SegEnds_NonXtal_Prot#'!A:AL,31,FALSE)</f>
        <v>39</v>
      </c>
      <c r="AJ141" s="1" t="str">
        <f>IF(ISERROR(MATCH(A141,'SegEnds_Xtal_Prot#'!B:B, 0)), "NoXtal", "Xtal")</f>
        <v>NoXtal</v>
      </c>
    </row>
    <row r="142" spans="1:36" x14ac:dyDescent="0.2">
      <c r="A142" s="1" t="s">
        <v>256</v>
      </c>
      <c r="B142" s="1" t="str">
        <f>VLOOKUP(A142,Xtal_Templ!A:B,2,FALSE)</f>
        <v>ntr1_rat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f>VLOOKUP($B142&amp;"__wt",'SegEnds_Xtal_BW#'!$A:$Z,8,FALSE)</f>
        <v>68</v>
      </c>
      <c r="I142" s="1">
        <f>VLOOKUP($B142&amp;"__wt",'SegEnds_Xtal_BW#'!$A:$Z,9,FALSE)</f>
        <v>49</v>
      </c>
      <c r="J142" s="1">
        <f>VLOOKUP($B142&amp;"__wt",'SegEnds_Xtal_BW#'!$A:$Z,10,FALSE)</f>
        <v>52</v>
      </c>
      <c r="K142" s="12">
        <v>18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9">
        <f>VLOOKUP($B142&amp;"__wt",'SegEnds_Xtal_BW#'!$A:$Z,15,FALSE)</f>
        <v>38</v>
      </c>
      <c r="P142" s="1">
        <f>VLOOKUP($B142&amp;"__wt",'SegEnds_Xtal_BW#'!$A:$Z,16,FALSE)</f>
        <v>64</v>
      </c>
      <c r="Q142" s="1">
        <f>VLOOKUP($B142&amp;"__wt",'SegEnds_Xtal_BW#'!$A:$Z,17,FALSE)</f>
        <v>50</v>
      </c>
      <c r="R142" s="1">
        <f>VLOOKUP($B142&amp;"__wt",'SegEnds_Xtal_BW#'!$A:$Z,18,FALSE)</f>
        <v>52</v>
      </c>
      <c r="S142" s="1">
        <v>35</v>
      </c>
      <c r="T142" s="1">
        <f t="array" ref="T142">INDEX('ICL3'!$G$2:$G$40,MATCH(MIN(ABS(AH142-'ICL3'!$F$2:$F$40)),ABS(AH142-'ICL3'!$F$2:$F$40),0))</f>
        <v>76</v>
      </c>
      <c r="U142" s="1">
        <f t="array" ref="U142">INDEX('ICL3'!$H$2:$H$40,MATCH(MIN(ABS(AH142-'ICL3'!$F$2:$F$40)),ABS(AH142-'ICL3'!$F$2:$F$40),0))</f>
        <v>24</v>
      </c>
      <c r="V142" s="1">
        <v>61</v>
      </c>
      <c r="W142" s="1">
        <v>24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58</v>
      </c>
      <c r="AA142" s="27" t="str">
        <f>VLOOKUP(A142,Classification!A:B,2,FALSE)</f>
        <v>A</v>
      </c>
      <c r="AB142" s="1" t="e">
        <f>VLOOKUP(A142,'SegEnds_NonXtal_Prot#'!A:AL,10,FALSE)-VLOOKUP(A142,'SegEnds_NonXtal_Prot#'!A:AL,7,FALSE)</f>
        <v>#VALUE!</v>
      </c>
      <c r="AC142" s="1" t="e">
        <f>VLOOKUP(A142,'SegEnds_NonXtal_Prot#'!A:AL,13,FALSE)-VLOOKUP(A142,'SegEnds_NonXtal_Prot#'!A:AL,10,FALSE)</f>
        <v>#VALUE!</v>
      </c>
      <c r="AD142" s="1">
        <f>VLOOKUP(A142,'SegEnds_NonXtal_Prot#'!A:AL,16,FALSE)-VLOOKUP(A142,'SegEnds_NonXtal_Prot#'!A:AL,10,FALSE)</f>
        <v>54</v>
      </c>
      <c r="AE142" s="1">
        <f>VLOOKUP(A142,'SegEnds_NonXtal_Prot#'!A:AL,22,FALSE)-VLOOKUP(A142,'SegEnds_NonXtal_Prot#'!A:AL,19,FALSE)</f>
        <v>20</v>
      </c>
      <c r="AF142" s="1">
        <f>VLOOKUP(A142,'SegEnds_NonXtal_Prot#'!A:AL,28,FALSE)-VLOOKUP(A142,'SegEnds_NonXtal_Prot#'!A:AL,25,FALSE)</f>
        <v>21</v>
      </c>
      <c r="AG142" s="1">
        <f>VLOOKUP(A142,'SegEnds_NonXtal_Prot#'!A:AL,28,FALSE)-VLOOKUP(A142,'SegEnds_NonXtal_Prot#'!A:AL,22,FALSE)</f>
        <v>71</v>
      </c>
      <c r="AH142" s="1">
        <f>VLOOKUP(A142,'SegEnds_NonXtal_Prot#'!A:AL,31,FALSE)-VLOOKUP(A142,'SegEnds_NonXtal_Prot#'!A:AL,28,FALSE)</f>
        <v>67</v>
      </c>
      <c r="AI142" s="1">
        <f>VLOOKUP(A142,'SegEnds_NonXtal_Prot#'!A:AL,34,FALSE)-VLOOKUP(A142,'SegEnds_NonXtal_Prot#'!A:AL,31,FALSE)</f>
        <v>43</v>
      </c>
      <c r="AJ142" s="1" t="str">
        <f>IF(ISERROR(MATCH(A142,'SegEnds_Xtal_Prot#'!B:B, 0)), "NoXtal", "Xtal")</f>
        <v>NoXtal</v>
      </c>
    </row>
    <row r="143" spans="1:36" x14ac:dyDescent="0.2">
      <c r="A143" s="1" t="s">
        <v>257</v>
      </c>
      <c r="B143" s="1" t="str">
        <f>VLOOKUP(A143,Xtal_Templ!A:B,2,FALSE)</f>
        <v>par2_human</v>
      </c>
      <c r="C143" s="5">
        <f>VLOOKUP($B143&amp;"__wt",'SegEnds_Xtal_BW#'!$A:$Z,3,FALSE)</f>
        <v>28</v>
      </c>
      <c r="D143" s="1">
        <f>VLOOKUP($B143&amp;"__wt",'SegEnds_Xtal_BW#'!$A:$Z,4,FALSE)</f>
        <v>60</v>
      </c>
      <c r="E143" s="1" t="str">
        <f>VLOOKUP($B143&amp;"__wt",'SegEnds_Xtal_BW#'!$A:$Z,5,FALSE)</f>
        <v>-</v>
      </c>
      <c r="F143" s="1" t="str">
        <f>VLOOKUP($B143&amp;"__wt",'SegEnds_Xtal_BW#'!$A:$Z,6,FALSE)</f>
        <v>-</v>
      </c>
      <c r="G143" s="1">
        <v>37</v>
      </c>
      <c r="H143" s="12">
        <f>VLOOKUP($B143&amp;"__wt",'SegEnds_Xtal_BW#'!$A:$Z,8,FALSE)</f>
        <v>66</v>
      </c>
      <c r="I143" s="1">
        <f>VLOOKUP($B143&amp;"__wt",'SegEnds_Xtal_BW#'!$A:$Z,9,FALSE)</f>
        <v>47</v>
      </c>
      <c r="J143" s="1">
        <f>VLOOKUP($B143&amp;"__wt",'SegEnds_Xtal_BW#'!$A:$Z,10,FALSE)</f>
        <v>52</v>
      </c>
      <c r="K143" s="12">
        <v>18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9">
        <f>VLOOKUP($B143&amp;"__wt",'SegEnds_Xtal_BW#'!$A:$Z,15,FALSE)</f>
        <v>38</v>
      </c>
      <c r="P143" s="1">
        <f>VLOOKUP($B143&amp;"__wt",'SegEnds_Xtal_BW#'!$A:$Z,16,FALSE)</f>
        <v>62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31</v>
      </c>
      <c r="T143" s="1">
        <f t="array" ref="T143">INDEX('ICL3'!$G$2:$G$40,MATCH(MIN(ABS(AH143-'ICL3'!$F$2:$F$40)),ABS(AH143-'ICL3'!$F$2:$F$40),0))</f>
        <v>67</v>
      </c>
      <c r="U143" s="1">
        <f t="array" ref="U143">INDEX('ICL3'!$H$2:$H$40,MATCH(MIN(ABS(AH143-'ICL3'!$F$2:$F$40)),ABS(AH143-'ICL3'!$F$2:$F$40),0))</f>
        <v>26</v>
      </c>
      <c r="V143" s="1">
        <v>64</v>
      </c>
      <c r="W143" s="1">
        <v>24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61</v>
      </c>
      <c r="AA143" s="27" t="str">
        <f>VLOOKUP(A143,Classification!A:B,2,FALSE)</f>
        <v>A</v>
      </c>
      <c r="AB143" s="1" t="e">
        <f>VLOOKUP(A143,'SegEnds_NonXtal_Prot#'!A:AL,10,FALSE)-VLOOKUP(A143,'SegEnds_NonXtal_Prot#'!A:AL,7,FALSE)</f>
        <v>#VALUE!</v>
      </c>
      <c r="AC143" s="1">
        <f>VLOOKUP(A143,'SegEnds_NonXtal_Prot#'!A:AL,13,FALSE)-VLOOKUP(A143,'SegEnds_NonXtal_Prot#'!A:AL,10,FALSE)</f>
        <v>20</v>
      </c>
      <c r="AD143" s="1">
        <f>VLOOKUP(A143,'SegEnds_NonXtal_Prot#'!A:AL,16,FALSE)-VLOOKUP(A143,'SegEnds_NonXtal_Prot#'!A:AL,10,FALSE)</f>
        <v>52</v>
      </c>
      <c r="AE143" s="1">
        <f>VLOOKUP(A143,'SegEnds_NonXtal_Prot#'!A:AL,22,FALSE)-VLOOKUP(A143,'SegEnds_NonXtal_Prot#'!A:AL,19,FALSE)</f>
        <v>20</v>
      </c>
      <c r="AF143" s="1">
        <f>VLOOKUP(A143,'SegEnds_NonXtal_Prot#'!A:AL,28,FALSE)-VLOOKUP(A143,'SegEnds_NonXtal_Prot#'!A:AL,25,FALSE)</f>
        <v>25</v>
      </c>
      <c r="AG143" s="1">
        <f>VLOOKUP(A143,'SegEnds_NonXtal_Prot#'!A:AL,28,FALSE)-VLOOKUP(A143,'SegEnds_NonXtal_Prot#'!A:AL,22,FALSE)</f>
        <v>51</v>
      </c>
      <c r="AH143" s="1">
        <f>VLOOKUP(A143,'SegEnds_NonXtal_Prot#'!A:AL,31,FALSE)-VLOOKUP(A143,'SegEnds_NonXtal_Prot#'!A:AL,28,FALSE)</f>
        <v>46</v>
      </c>
      <c r="AI143" s="1">
        <f>VLOOKUP(A143,'SegEnds_NonXtal_Prot#'!A:AL,34,FALSE)-VLOOKUP(A143,'SegEnds_NonXtal_Prot#'!A:AL,31,FALSE)</f>
        <v>44</v>
      </c>
      <c r="AJ143" s="1" t="str">
        <f>IF(ISERROR(MATCH(A143,'SegEnds_Xtal_Prot#'!B:B, 0)), "NoXtal", "Xtal")</f>
        <v>NoXtal</v>
      </c>
    </row>
    <row r="144" spans="1:36" x14ac:dyDescent="0.2">
      <c r="A144" s="1" t="s">
        <v>258</v>
      </c>
      <c r="B144" s="1" t="str">
        <f>VLOOKUP(A144,Xtal_Templ!A:B,2,FALSE)</f>
        <v>par1_human</v>
      </c>
      <c r="C144" s="5">
        <f>VLOOKUP($B144&amp;"__wt",'SegEnds_Xtal_BW#'!$A:$Z,3,FALSE)</f>
        <v>29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f>VLOOKUP($B144&amp;"__wt",'SegEnds_Xtal_BW#'!$A:$Z,8,FALSE)</f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18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9">
        <f>VLOOKUP($B144&amp;"__wt",'SegEnds_Xtal_BW#'!$A:$Z,15,FALSE)</f>
        <v>38</v>
      </c>
      <c r="P144" s="1">
        <f>VLOOKUP($B144&amp;"__wt",'SegEnds_Xtal_BW#'!$A:$Z,16,FALSE)</f>
        <v>63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32</v>
      </c>
      <c r="T144" s="1">
        <f t="array" ref="T144">INDEX('ICL3'!$G$2:$G$40,MATCH(MIN(ABS(AH144-'ICL3'!$F$2:$F$40)),ABS(AH144-'ICL3'!$F$2:$F$40),0))</f>
        <v>68</v>
      </c>
      <c r="U144" s="1">
        <f t="array" ref="U144">INDEX('ICL3'!$H$2:$H$40,MATCH(MIN(ABS(AH144-'ICL3'!$F$2:$F$40)),ABS(AH144-'ICL3'!$F$2:$F$40),0))</f>
        <v>28</v>
      </c>
      <c r="V144" s="1">
        <v>61</v>
      </c>
      <c r="W144" s="1">
        <v>33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61</v>
      </c>
      <c r="AA144" s="27" t="str">
        <f>VLOOKUP(A144,Classification!A:B,2,FALSE)</f>
        <v>A</v>
      </c>
      <c r="AB144" s="1" t="e">
        <f>VLOOKUP(A144,'SegEnds_NonXtal_Prot#'!A:AL,10,FALSE)-VLOOKUP(A144,'SegEnds_NonXtal_Prot#'!A:AL,7,FALSE)</f>
        <v>#VALUE!</v>
      </c>
      <c r="AC144" s="1">
        <f>VLOOKUP(A144,'SegEnds_NonXtal_Prot#'!A:AL,13,FALSE)-VLOOKUP(A144,'SegEnds_NonXtal_Prot#'!A:AL,10,FALSE)</f>
        <v>20</v>
      </c>
      <c r="AD144" s="1">
        <f>VLOOKUP(A144,'SegEnds_NonXtal_Prot#'!A:AL,16,FALSE)-VLOOKUP(A144,'SegEnds_NonXtal_Prot#'!A:AL,10,FALSE)</f>
        <v>52</v>
      </c>
      <c r="AE144" s="1">
        <f>VLOOKUP(A144,'SegEnds_NonXtal_Prot#'!A:AL,22,FALSE)-VLOOKUP(A144,'SegEnds_NonXtal_Prot#'!A:AL,19,FALSE)</f>
        <v>20</v>
      </c>
      <c r="AF144" s="1">
        <f>VLOOKUP(A144,'SegEnds_NonXtal_Prot#'!A:AL,28,FALSE)-VLOOKUP(A144,'SegEnds_NonXtal_Prot#'!A:AL,25,FALSE)</f>
        <v>27</v>
      </c>
      <c r="AG144" s="1">
        <f>VLOOKUP(A144,'SegEnds_NonXtal_Prot#'!A:AL,28,FALSE)-VLOOKUP(A144,'SegEnds_NonXtal_Prot#'!A:AL,22,FALSE)</f>
        <v>56</v>
      </c>
      <c r="AH144" s="1">
        <f>VLOOKUP(A144,'SegEnds_NonXtal_Prot#'!A:AL,31,FALSE)-VLOOKUP(A144,'SegEnds_NonXtal_Prot#'!A:AL,28,FALSE)</f>
        <v>44</v>
      </c>
      <c r="AI144" s="1">
        <f>VLOOKUP(A144,'SegEnds_NonXtal_Prot#'!A:AL,34,FALSE)-VLOOKUP(A144,'SegEnds_NonXtal_Prot#'!A:AL,31,FALSE)</f>
        <v>33</v>
      </c>
      <c r="AJ144" s="1" t="str">
        <f>IF(ISERROR(MATCH(A144,'SegEnds_Xtal_Prot#'!B:B, 0)), "NoXtal", "Xtal")</f>
        <v>NoXtal</v>
      </c>
    </row>
    <row r="145" spans="1:36" x14ac:dyDescent="0.2">
      <c r="A145" s="1" t="s">
        <v>260</v>
      </c>
      <c r="B145" s="1" t="str">
        <f>VLOOKUP(A145,Xtal_Templ!A:B,2,FALSE)</f>
        <v>5ht2b_human</v>
      </c>
      <c r="C145" s="5">
        <f>VLOOKUP($B145&amp;"__wt",'SegEnds_Xtal_BW#'!$A:$Z,3,FALSE)</f>
        <v>32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11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18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9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v>35</v>
      </c>
      <c r="T145" s="1">
        <f t="array" ref="T145">INDEX('ICL3'!$G$2:$G$40,MATCH(MIN(ABS(AH145-'ICL3'!$F$2:$F$40)),ABS(AH145-'ICL3'!$F$2:$F$40),0))</f>
        <v>74</v>
      </c>
      <c r="U145" s="1">
        <f t="array" ref="U145">INDEX('ICL3'!$H$2:$H$40,MATCH(MIN(ABS(AH145-'ICL3'!$F$2:$F$40)),ABS(AH145-'ICL3'!$F$2:$F$40),0))</f>
        <v>21</v>
      </c>
      <c r="V145" s="1">
        <v>61</v>
      </c>
      <c r="W145" s="1">
        <v>32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58</v>
      </c>
      <c r="AA145" s="27" t="str">
        <f>VLOOKUP(A145,Classification!A:B,2,FALSE)</f>
        <v>A</v>
      </c>
      <c r="AB145" s="1">
        <f>VLOOKUP(A145,'SegEnds_NonXtal_Prot#'!A:AL,10,FALSE)-VLOOKUP(A145,'SegEnds_NonXtal_Prot#'!A:AL,7,FALSE)</f>
        <v>16</v>
      </c>
      <c r="AC145" s="1" t="e">
        <f>VLOOKUP(A145,'SegEnds_NonXtal_Prot#'!A:AL,13,FALSE)-VLOOKUP(A145,'SegEnds_NonXtal_Prot#'!A:AL,10,FALSE)</f>
        <v>#VALUE!</v>
      </c>
      <c r="AD145" s="1">
        <f>VLOOKUP(A145,'SegEnds_NonXtal_Prot#'!A:AL,16,FALSE)-VLOOKUP(A145,'SegEnds_NonXtal_Prot#'!A:AL,10,FALSE)</f>
        <v>52</v>
      </c>
      <c r="AE145" s="1">
        <f>VLOOKUP(A145,'SegEnds_NonXtal_Prot#'!A:AL,22,FALSE)-VLOOKUP(A145,'SegEnds_NonXtal_Prot#'!A:AL,19,FALSE)</f>
        <v>20</v>
      </c>
      <c r="AF145" s="1">
        <f>VLOOKUP(A145,'SegEnds_NonXtal_Prot#'!A:AL,28,FALSE)-VLOOKUP(A145,'SegEnds_NonXtal_Prot#'!A:AL,25,FALSE)</f>
        <v>21</v>
      </c>
      <c r="AG145" s="1">
        <f>VLOOKUP(A145,'SegEnds_NonXtal_Prot#'!A:AL,28,FALSE)-VLOOKUP(A145,'SegEnds_NonXtal_Prot#'!A:AL,22,FALSE)</f>
        <v>48</v>
      </c>
      <c r="AH145" s="1">
        <f>VLOOKUP(A145,'SegEnds_NonXtal_Prot#'!A:AL,31,FALSE)-VLOOKUP(A145,'SegEnds_NonXtal_Prot#'!A:AL,28,FALSE)</f>
        <v>66</v>
      </c>
      <c r="AI145" s="1">
        <f>VLOOKUP(A145,'SegEnds_NonXtal_Prot#'!A:AL,34,FALSE)-VLOOKUP(A145,'SegEnds_NonXtal_Prot#'!A:AL,31,FALSE)</f>
        <v>34</v>
      </c>
      <c r="AJ145" s="1" t="str">
        <f>IF(ISERROR(MATCH(A145,'SegEnds_Xtal_Prot#'!B:B, 0)), "NoXtal", "Xtal")</f>
        <v>NoXtal</v>
      </c>
    </row>
    <row r="146" spans="1:36" x14ac:dyDescent="0.2">
      <c r="A146" s="1" t="s">
        <v>261</v>
      </c>
      <c r="B146" s="1" t="str">
        <f>VLOOKUP(A146,Xtal_Templ!A:B,2,FALSE)</f>
        <v>oprk_human</v>
      </c>
      <c r="C146" s="5">
        <f>VLOOKUP($B146&amp;"__wt",'SegEnds_Xtal_BW#'!$A:$Z,3,FALSE)</f>
        <v>30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v>66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24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9">
        <v>38</v>
      </c>
      <c r="P146" s="1">
        <f>VLOOKUP($B146&amp;"__wt",'SegEnds_Xtal_BW#'!$A:$Z,16,FALSE)</f>
        <v>64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f>VLOOKUP($B146&amp;"__wt",'SegEnds_Xtal_BW#'!$A:$Z,19,FALSE)</f>
        <v>31</v>
      </c>
      <c r="T146" s="1">
        <f t="array" ref="T146">INDEX('ICL3'!$G$2:$G$40,MATCH(MIN(ABS(AH146-'ICL3'!$F$2:$F$40)),ABS(AH146-'ICL3'!$F$2:$F$40),0))</f>
        <v>68</v>
      </c>
      <c r="U146" s="1">
        <f t="array" ref="U146">INDEX('ICL3'!$H$2:$H$40,MATCH(MIN(ABS(AH146-'ICL3'!$F$2:$F$40)),ABS(AH146-'ICL3'!$F$2:$F$40),0))</f>
        <v>24</v>
      </c>
      <c r="V146" s="1">
        <v>64</v>
      </c>
      <c r="W146" s="1">
        <v>24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59</v>
      </c>
      <c r="AA146" s="27" t="str">
        <f>VLOOKUP(A146,Classification!A:B,2,FALSE)</f>
        <v>A</v>
      </c>
      <c r="AB146" s="1" t="e">
        <f>VLOOKUP(A146,'SegEnds_NonXtal_Prot#'!A:AL,10,FALSE)-VLOOKUP(A146,'SegEnds_NonXtal_Prot#'!A:AL,7,FALSE)</f>
        <v>#VALUE!</v>
      </c>
      <c r="AC146" s="1" t="e">
        <f>VLOOKUP(A146,'SegEnds_NonXtal_Prot#'!A:AL,13,FALSE)-VLOOKUP(A146,'SegEnds_NonXtal_Prot#'!A:AL,10,FALSE)</f>
        <v>#VALUE!</v>
      </c>
      <c r="AD146" s="1">
        <f>VLOOKUP(A146,'SegEnds_NonXtal_Prot#'!A:AL,16,FALSE)-VLOOKUP(A146,'SegEnds_NonXtal_Prot#'!A:AL,10,FALSE)</f>
        <v>49</v>
      </c>
      <c r="AE146" s="1">
        <f>VLOOKUP(A146,'SegEnds_NonXtal_Prot#'!A:AL,22,FALSE)-VLOOKUP(A146,'SegEnds_NonXtal_Prot#'!A:AL,19,FALSE)</f>
        <v>20</v>
      </c>
      <c r="AF146" s="1">
        <f>VLOOKUP(A146,'SegEnds_NonXtal_Prot#'!A:AL,28,FALSE)-VLOOKUP(A146,'SegEnds_NonXtal_Prot#'!A:AL,25,FALSE)</f>
        <v>25</v>
      </c>
      <c r="AG146" s="1">
        <f>VLOOKUP(A146,'SegEnds_NonXtal_Prot#'!A:AL,28,FALSE)-VLOOKUP(A146,'SegEnds_NonXtal_Prot#'!A:AL,22,FALSE)</f>
        <v>47</v>
      </c>
      <c r="AH146" s="1">
        <f>VLOOKUP(A146,'SegEnds_NonXtal_Prot#'!A:AL,31,FALSE)-VLOOKUP(A146,'SegEnds_NonXtal_Prot#'!A:AL,28,FALSE)</f>
        <v>48</v>
      </c>
      <c r="AI146" s="1">
        <f>VLOOKUP(A146,'SegEnds_NonXtal_Prot#'!A:AL,34,FALSE)-VLOOKUP(A146,'SegEnds_NonXtal_Prot#'!A:AL,31,FALSE)</f>
        <v>44</v>
      </c>
      <c r="AJ146" s="1" t="str">
        <f>IF(ISERROR(MATCH(A146,'SegEnds_Xtal_Prot#'!B:B, 0)), "NoXtal", "Xtal")</f>
        <v>NoXtal</v>
      </c>
    </row>
    <row r="147" spans="1:36" x14ac:dyDescent="0.2">
      <c r="A147" s="1" t="s">
        <v>262</v>
      </c>
      <c r="B147" s="1" t="str">
        <f>VLOOKUP(A147,Xtal_Templ!A:B,2,FALSE)</f>
        <v>s1pr1_human</v>
      </c>
      <c r="C147" s="5">
        <f>VLOOKUP($B147&amp;"__wt",'SegEnds_Xtal_BW#'!$A:$Z,3,FALSE)</f>
        <v>29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v>62</v>
      </c>
      <c r="I147" s="1">
        <v>48</v>
      </c>
      <c r="J147" s="1">
        <v>52</v>
      </c>
      <c r="K147" s="12">
        <v>24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9">
        <v>38</v>
      </c>
      <c r="P147" s="1">
        <f>VLOOKUP($B147&amp;"__wt",'SegEnds_Xtal_BW#'!$A:$Z,16,FALSE)</f>
        <v>63</v>
      </c>
      <c r="Q147" s="1" t="str">
        <f>VLOOKUP($B147&amp;"__wt",'SegEnds_Xtal_BW#'!$A:$Z,17,FALSE)</f>
        <v>-</v>
      </c>
      <c r="R147" s="1" t="str">
        <f>VLOOKUP($B147&amp;"__wt",'SegEnds_Xtal_BW#'!$A:$Z,18,FALSE)</f>
        <v>-</v>
      </c>
      <c r="S147" s="1">
        <f>VLOOKUP($B147&amp;"__wt",'SegEnds_Xtal_BW#'!$A:$Z,19,FALSE)</f>
        <v>36</v>
      </c>
      <c r="T147" s="1">
        <f t="array" ref="T147">INDEX('ICL3'!$G$2:$G$40,MATCH(MIN(ABS(AH147-'ICL3'!$F$2:$F$40)),ABS(AH147-'ICL3'!$F$2:$F$40),0))</f>
        <v>72</v>
      </c>
      <c r="U147" s="1">
        <f t="array" ref="U147">INDEX('ICL3'!$H$2:$H$40,MATCH(MIN(ABS(AH147-'ICL3'!$F$2:$F$40)),ABS(AH147-'ICL3'!$F$2:$F$40),0))</f>
        <v>24</v>
      </c>
      <c r="V147" s="1">
        <v>61</v>
      </c>
      <c r="W147" s="1">
        <v>34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59</v>
      </c>
      <c r="AA147" s="27" t="str">
        <f>VLOOKUP(A147,Classification!A:B,2,FALSE)</f>
        <v>A</v>
      </c>
      <c r="AB147" s="1">
        <f>VLOOKUP(A147,'SegEnds_NonXtal_Prot#'!A:AL,10,FALSE)-VLOOKUP(A147,'SegEnds_NonXtal_Prot#'!A:AL,7,FALSE)</f>
        <v>15</v>
      </c>
      <c r="AC147" s="1">
        <f>VLOOKUP(A147,'SegEnds_NonXtal_Prot#'!A:AL,13,FALSE)-VLOOKUP(A147,'SegEnds_NonXtal_Prot#'!A:AL,10,FALSE)</f>
        <v>15</v>
      </c>
      <c r="AD147" s="1">
        <f>VLOOKUP(A147,'SegEnds_NonXtal_Prot#'!A:AL,16,FALSE)-VLOOKUP(A147,'SegEnds_NonXtal_Prot#'!A:AL,10,FALSE)</f>
        <v>48</v>
      </c>
      <c r="AE147" s="1">
        <f>VLOOKUP(A147,'SegEnds_NonXtal_Prot#'!A:AL,22,FALSE)-VLOOKUP(A147,'SegEnds_NonXtal_Prot#'!A:AL,19,FALSE)</f>
        <v>20</v>
      </c>
      <c r="AF147" s="1" t="e">
        <f>VLOOKUP(A147,'SegEnds_NonXtal_Prot#'!A:AL,28,FALSE)-VLOOKUP(A147,'SegEnds_NonXtal_Prot#'!A:AL,25,FALSE)</f>
        <v>#VALUE!</v>
      </c>
      <c r="AG147" s="1">
        <f>VLOOKUP(A147,'SegEnds_NonXtal_Prot#'!A:AL,28,FALSE)-VLOOKUP(A147,'SegEnds_NonXtal_Prot#'!A:AL,22,FALSE)</f>
        <v>44</v>
      </c>
      <c r="AH147" s="1">
        <f>VLOOKUP(A147,'SegEnds_NonXtal_Prot#'!A:AL,31,FALSE)-VLOOKUP(A147,'SegEnds_NonXtal_Prot#'!A:AL,28,FALSE)</f>
        <v>57</v>
      </c>
      <c r="AI147" s="1">
        <f>VLOOKUP(A147,'SegEnds_NonXtal_Prot#'!A:AL,34,FALSE)-VLOOKUP(A147,'SegEnds_NonXtal_Prot#'!A:AL,31,FALSE)</f>
        <v>32</v>
      </c>
      <c r="AJ147" s="1" t="str">
        <f>IF(ISERROR(MATCH(A147,'SegEnds_Xtal_Prot#'!B:B, 0)), "NoXtal", "Xtal")</f>
        <v>NoXtal</v>
      </c>
    </row>
    <row r="148" spans="1:36" x14ac:dyDescent="0.2">
      <c r="A148" s="1" t="s">
        <v>263</v>
      </c>
      <c r="B148" s="1" t="str">
        <f>VLOOKUP(A148,Xtal_Templ!A:B,2,FALSE)</f>
        <v>ox2r_human</v>
      </c>
      <c r="C148" s="5">
        <f>VLOOKUP($B148&amp;"__wt",'SegEnds_Xtal_BW#'!$A:$Z,3,FALSE)</f>
        <v>31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67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9">
        <f>VLOOKUP($B148&amp;"__wt",'SegEnds_Xtal_BW#'!$A:$Z,15,FALSE)</f>
        <v>38</v>
      </c>
      <c r="P148" s="1">
        <f>VLOOKUP($B148&amp;"__wt",'SegEnds_Xtal_BW#'!$A:$Z,16,FALSE)</f>
        <v>64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INDEX('ICL3'!$G$2:$G$40,MATCH(MIN(ABS(AH148-'ICL3'!$F$2:$F$40)),ABS(AH148-'ICL3'!$F$2:$F$40),0))</f>
        <v>76</v>
      </c>
      <c r="U148" s="1">
        <f t="array" ref="U148">INDEX('ICL3'!$H$2:$H$40,MATCH(MIN(ABS(AH148-'ICL3'!$F$2:$F$40)),ABS(AH148-'ICL3'!$F$2:$F$40),0))</f>
        <v>24</v>
      </c>
      <c r="V148" s="1">
        <v>61</v>
      </c>
      <c r="W148" s="1">
        <v>31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 t="e">
        <f>VLOOKUP(A148,'SegEnds_NonXtal_Prot#'!A:AL,10,FALSE)-VLOOKUP(A148,'SegEnds_NonXtal_Prot#'!A:AL,7,FALSE)</f>
        <v>#VALUE!</v>
      </c>
      <c r="AC148" s="1">
        <f>VLOOKUP(A148,'SegEnds_NonXtal_Prot#'!A:AL,13,FALSE)-VLOOKUP(A148,'SegEnds_NonXtal_Prot#'!A:AL,10,FALSE)</f>
        <v>21</v>
      </c>
      <c r="AD148" s="1">
        <f>VLOOKUP(A148,'SegEnds_NonXtal_Prot#'!A:AL,16,FALSE)-VLOOKUP(A148,'SegEnds_NonXtal_Prot#'!A:AL,10,FALSE)</f>
        <v>54</v>
      </c>
      <c r="AE148" s="1">
        <f>VLOOKUP(A148,'SegEnds_NonXtal_Prot#'!A:AL,22,FALSE)-VLOOKUP(A148,'SegEnds_NonXtal_Prot#'!A:AL,19,FALSE)</f>
        <v>20</v>
      </c>
      <c r="AF148" s="1">
        <f>VLOOKUP(A148,'SegEnds_NonXtal_Prot#'!A:AL,28,FALSE)-VLOOKUP(A148,'SegEnds_NonXtal_Prot#'!A:AL,25,FALSE)</f>
        <v>25</v>
      </c>
      <c r="AG148" s="1">
        <f>VLOOKUP(A148,'SegEnds_NonXtal_Prot#'!A:AL,28,FALSE)-VLOOKUP(A148,'SegEnds_NonXtal_Prot#'!A:AL,22,FALSE)</f>
        <v>53</v>
      </c>
      <c r="AH148" s="1">
        <f>VLOOKUP(A148,'SegEnds_NonXtal_Prot#'!A:AL,31,FALSE)-VLOOKUP(A148,'SegEnds_NonXtal_Prot#'!A:AL,28,FALSE)</f>
        <v>82</v>
      </c>
      <c r="AI148" s="1">
        <f>VLOOKUP(A148,'SegEnds_NonXtal_Prot#'!A:AL,34,FALSE)-VLOOKUP(A148,'SegEnds_NonXtal_Prot#'!A:AL,31,FALSE)</f>
        <v>36</v>
      </c>
      <c r="AJ148" s="1" t="str">
        <f>IF(ISERROR(MATCH(A148,'SegEnds_Xtal_Prot#'!B:B, 0)), "NoXtal", "Xtal")</f>
        <v>NoXtal</v>
      </c>
    </row>
    <row r="149" spans="1:36" x14ac:dyDescent="0.2">
      <c r="A149" s="1" t="s">
        <v>267</v>
      </c>
      <c r="B149" s="1" t="str">
        <f>VLOOKUP(A149,Xtal_Templ!A:B,2,FALSE)</f>
        <v>ox1r_human</v>
      </c>
      <c r="C149" s="5">
        <f>VLOOKUP($B149&amp;"__wt",'SegEnds_Xtal_BW#'!$A:$Z,3,FALSE)</f>
        <v>32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f>VLOOKUP($B149&amp;"__wt",'SegEnds_Xtal_BW#'!$A:$Z,8,FALSE)</f>
        <v>67</v>
      </c>
      <c r="I149" s="1">
        <f>VLOOKUP($B149&amp;"__wt",'SegEnds_Xtal_BW#'!$A:$Z,9,FALSE)</f>
        <v>49</v>
      </c>
      <c r="J149" s="1">
        <f>VLOOKUP($B149&amp;"__wt",'SegEnds_Xtal_BW#'!$A:$Z,10,FALSE)</f>
        <v>52</v>
      </c>
      <c r="K149" s="12">
        <v>21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9">
        <v>38</v>
      </c>
      <c r="P149" s="1">
        <f>VLOOKUP($B149&amp;"__wt",'SegEnds_Xtal_BW#'!$A:$Z,16,FALSE)</f>
        <v>64</v>
      </c>
      <c r="Q149" s="1">
        <f>VLOOKUP($B149&amp;"__wt",'SegEnds_Xtal_BW#'!$A:$Z,17,FALSE)</f>
        <v>50</v>
      </c>
      <c r="R149" s="1">
        <f>VLOOKUP($B149&amp;"__wt",'SegEnds_Xtal_BW#'!$A:$Z,18,FALSE)</f>
        <v>52</v>
      </c>
      <c r="S149" s="1">
        <f>VLOOKUP($B149&amp;"__wt",'SegEnds_Xtal_BW#'!$A:$Z,19,FALSE)</f>
        <v>32</v>
      </c>
      <c r="T149" s="1">
        <f t="array" ref="T149">INDEX('ICL3'!$G$2:$G$40,MATCH(MIN(ABS(AH149-'ICL3'!$F$2:$F$40)),ABS(AH149-'ICL3'!$F$2:$F$40),0))</f>
        <v>76</v>
      </c>
      <c r="U149" s="1">
        <f t="array" ref="U149">INDEX('ICL3'!$H$2:$H$40,MATCH(MIN(ABS(AH149-'ICL3'!$F$2:$F$40)),ABS(AH149-'ICL3'!$F$2:$F$40),0))</f>
        <v>24</v>
      </c>
      <c r="V149" s="1">
        <v>61</v>
      </c>
      <c r="W149" s="1">
        <v>31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58</v>
      </c>
      <c r="AA149" s="27" t="str">
        <f>VLOOKUP(A149,Classification!A:B,2,FALSE)</f>
        <v>A</v>
      </c>
      <c r="AB149" s="1">
        <f>VLOOKUP(A149,'SegEnds_NonXtal_Prot#'!A:AL,10,FALSE)-VLOOKUP(A149,'SegEnds_NonXtal_Prot#'!A:AL,7,FALSE)</f>
        <v>16</v>
      </c>
      <c r="AC149" s="1" t="e">
        <f>VLOOKUP(A149,'SegEnds_NonXtal_Prot#'!A:AL,13,FALSE)-VLOOKUP(A149,'SegEnds_NonXtal_Prot#'!A:AL,10,FALSE)</f>
        <v>#VALUE!</v>
      </c>
      <c r="AD149" s="1">
        <f>VLOOKUP(A149,'SegEnds_NonXtal_Prot#'!A:AL,16,FALSE)-VLOOKUP(A149,'SegEnds_NonXtal_Prot#'!A:AL,10,FALSE)</f>
        <v>52</v>
      </c>
      <c r="AE149" s="1">
        <f>VLOOKUP(A149,'SegEnds_NonXtal_Prot#'!A:AL,22,FALSE)-VLOOKUP(A149,'SegEnds_NonXtal_Prot#'!A:AL,19,FALSE)</f>
        <v>20</v>
      </c>
      <c r="AF149" s="1">
        <f>VLOOKUP(A149,'SegEnds_NonXtal_Prot#'!A:AL,28,FALSE)-VLOOKUP(A149,'SegEnds_NonXtal_Prot#'!A:AL,25,FALSE)</f>
        <v>28</v>
      </c>
      <c r="AG149" s="1">
        <f>VLOOKUP(A149,'SegEnds_NonXtal_Prot#'!A:AL,28,FALSE)-VLOOKUP(A149,'SegEnds_NonXtal_Prot#'!A:AL,22,FALSE)</f>
        <v>53</v>
      </c>
      <c r="AH149" s="1">
        <f>VLOOKUP(A149,'SegEnds_NonXtal_Prot#'!A:AL,31,FALSE)-VLOOKUP(A149,'SegEnds_NonXtal_Prot#'!A:AL,28,FALSE)</f>
        <v>72</v>
      </c>
      <c r="AI149" s="1">
        <f>VLOOKUP(A149,'SegEnds_NonXtal_Prot#'!A:AL,34,FALSE)-VLOOKUP(A149,'SegEnds_NonXtal_Prot#'!A:AL,31,FALSE)</f>
        <v>35</v>
      </c>
      <c r="AJ149" s="1" t="str">
        <f>IF(ISERROR(MATCH(A149,'SegEnds_Xtal_Prot#'!B:B, 0)), "NoXtal", "Xtal")</f>
        <v>NoXtal</v>
      </c>
    </row>
    <row r="150" spans="1:36" x14ac:dyDescent="0.2">
      <c r="A150" s="1" t="s">
        <v>268</v>
      </c>
      <c r="B150" s="1" t="str">
        <f>VLOOKUP(A150,Xtal_Templ!A:B,2,FALSE)</f>
        <v>oprm_mouse</v>
      </c>
      <c r="C150" s="5">
        <f>VLOOKUP($B150&amp;"__wt",'SegEnds_Xtal_BW#'!$A:$Z,3,FALSE)</f>
        <v>29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9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31</v>
      </c>
      <c r="T150" s="1">
        <f t="array" ref="T150">INDEX('ICL3'!$G$2:$G$40,MATCH(MIN(ABS(AH150-'ICL3'!$F$2:$F$40)),ABS(AH150-'ICL3'!$F$2:$F$40),0))</f>
        <v>68</v>
      </c>
      <c r="U150" s="1">
        <f t="array" ref="U150">INDEX('ICL3'!$H$2:$H$40,MATCH(MIN(ABS(AH150-'ICL3'!$F$2:$F$40)),ABS(AH150-'ICL3'!$F$2:$F$40),0))</f>
        <v>23</v>
      </c>
      <c r="V150" s="1">
        <v>61</v>
      </c>
      <c r="W150" s="1"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59</v>
      </c>
      <c r="AA150" s="27" t="str">
        <f>VLOOKUP(A150,Classification!A:B,2,FALSE)</f>
        <v>A</v>
      </c>
      <c r="AB150" s="1" t="e">
        <f>VLOOKUP(A150,'SegEnds_NonXtal_Prot#'!A:AL,10,FALSE)-VLOOKUP(A150,'SegEnds_NonXtal_Prot#'!A:AL,7,FALSE)</f>
        <v>#VALUE!</v>
      </c>
      <c r="AC150" s="1">
        <f>VLOOKUP(A150,'SegEnds_NonXtal_Prot#'!A:AL,13,FALSE)-VLOOKUP(A150,'SegEnds_NonXtal_Prot#'!A:AL,10,FALSE)</f>
        <v>20</v>
      </c>
      <c r="AD150" s="1">
        <f>VLOOKUP(A150,'SegEnds_NonXtal_Prot#'!A:AL,16,FALSE)-VLOOKUP(A150,'SegEnds_NonXtal_Prot#'!A:AL,10,FALSE)</f>
        <v>56</v>
      </c>
      <c r="AE150" s="1">
        <f>VLOOKUP(A150,'SegEnds_NonXtal_Prot#'!A:AL,22,FALSE)-VLOOKUP(A150,'SegEnds_NonXtal_Prot#'!A:AL,19,FALSE)</f>
        <v>20</v>
      </c>
      <c r="AF150" s="1" t="e">
        <f>VLOOKUP(A150,'SegEnds_NonXtal_Prot#'!A:AL,28,FALSE)-VLOOKUP(A150,'SegEnds_NonXtal_Prot#'!A:AL,25,FALSE)</f>
        <v>#VALUE!</v>
      </c>
      <c r="AG150" s="1">
        <f>VLOOKUP(A150,'SegEnds_NonXtal_Prot#'!A:AL,28,FALSE)-VLOOKUP(A150,'SegEnds_NonXtal_Prot#'!A:AL,22,FALSE)</f>
        <v>53</v>
      </c>
      <c r="AH150" s="1">
        <f>VLOOKUP(A150,'SegEnds_NonXtal_Prot#'!A:AL,31,FALSE)-VLOOKUP(A150,'SegEnds_NonXtal_Prot#'!A:AL,28,FALSE)</f>
        <v>51</v>
      </c>
      <c r="AI150" s="1">
        <f>VLOOKUP(A150,'SegEnds_NonXtal_Prot#'!A:AL,34,FALSE)-VLOOKUP(A150,'SegEnds_NonXtal_Prot#'!A:AL,31,FALSE)</f>
        <v>42</v>
      </c>
      <c r="AJ150" s="1" t="str">
        <f>IF(ISERROR(MATCH(A150,'SegEnds_Xtal_Prot#'!B:B, 0)), "NoXtal", "Xtal")</f>
        <v>NoXtal</v>
      </c>
    </row>
    <row r="151" spans="1:36" x14ac:dyDescent="0.2">
      <c r="A151" s="1" t="s">
        <v>270</v>
      </c>
      <c r="B151" s="1" t="str">
        <f>VLOOKUP(A151,Xtal_Templ!A:B,2,FALSE)</f>
        <v>ednrb_human</v>
      </c>
      <c r="C151" s="5">
        <f>VLOOKUP($B151&amp;"__wt",'SegEnds_Xtal_BW#'!$A:$Z,3,FALSE)</f>
        <v>22</v>
      </c>
      <c r="D151" s="1">
        <f>VLOOKUP($B151&amp;"__wt",'SegEnds_Xtal_BW#'!$A:$Z,4,FALSE)</f>
        <v>60</v>
      </c>
      <c r="E151" s="1">
        <f>VLOOKUP($B151&amp;"__wt",'SegEnds_Xtal_BW#'!$A:$Z,5,FALSE)</f>
        <v>48</v>
      </c>
      <c r="F151" s="1">
        <f>VLOOKUP($B151&amp;"__wt",'SegEnds_Xtal_BW#'!$A:$Z,6,FALSE)</f>
        <v>52</v>
      </c>
      <c r="G151" s="1">
        <v>37</v>
      </c>
      <c r="H151" s="12">
        <f>VLOOKUP($B151&amp;"__wt",'SegEnds_Xtal_BW#'!$A:$Z,8,FALSE)</f>
        <v>67</v>
      </c>
      <c r="I151" s="1">
        <f>VLOOKUP($B151&amp;"__wt",'SegEnds_Xtal_BW#'!$A:$Z,9,FALSE)</f>
        <v>49</v>
      </c>
      <c r="J151" s="1">
        <f>VLOOKUP($B151&amp;"__wt",'SegEnds_Xtal_BW#'!$A:$Z,10,FALSE)</f>
        <v>52</v>
      </c>
      <c r="K151" s="12">
        <v>21</v>
      </c>
      <c r="L151" s="1">
        <f>VLOOKUP($B151&amp;"__wt",'SegEnds_Xtal_BW#'!$A:$Z,12,FALSE)</f>
        <v>56</v>
      </c>
      <c r="M151" s="1">
        <f>VLOOKUP($B151&amp;"__wt",'SegEnds_Xtal_BW#'!$A:$Z,13,FALSE)</f>
        <v>50</v>
      </c>
      <c r="N151" s="12">
        <v>57</v>
      </c>
      <c r="O151" s="89">
        <v>38</v>
      </c>
      <c r="P151" s="1">
        <f>VLOOKUP($B151&amp;"__wt",'SegEnds_Xtal_BW#'!$A:$Z,16,FALSE)</f>
        <v>64</v>
      </c>
      <c r="Q151" s="1">
        <f>VLOOKUP($B151&amp;"__wt",'SegEnds_Xtal_BW#'!$A:$Z,17,FALSE)</f>
        <v>50</v>
      </c>
      <c r="R151" s="1">
        <f>VLOOKUP($B151&amp;"__wt",'SegEnds_Xtal_BW#'!$A:$Z,18,FALSE)</f>
        <v>52</v>
      </c>
      <c r="S151" s="1">
        <f>VLOOKUP($B151&amp;"__wt",'SegEnds_Xtal_BW#'!$A:$Z,19,FALSE)</f>
        <v>29</v>
      </c>
      <c r="T151" s="1">
        <f t="array" ref="T151">INDEX('ICL3'!$G$2:$G$40,MATCH(MIN(ABS(AH151-'ICL3'!$F$2:$F$40)),ABS(AH151-'ICL3'!$F$2:$F$40),0))</f>
        <v>74</v>
      </c>
      <c r="U151" s="1">
        <f t="array" ref="U151">INDEX('ICL3'!$H$2:$H$40,MATCH(MIN(ABS(AH151-'ICL3'!$F$2:$F$40)),ABS(AH151-'ICL3'!$F$2:$F$40),0))</f>
        <v>24</v>
      </c>
      <c r="V151" s="1">
        <v>61</v>
      </c>
      <c r="W151" s="1">
        <v>33</v>
      </c>
      <c r="X151" s="1">
        <f>VLOOKUP($B151&amp;"__wt",'SegEnds_Xtal_BW#'!$A:$Z,24,FALSE)</f>
        <v>56</v>
      </c>
      <c r="Y151" s="1">
        <f>VLOOKUP($B151&amp;"__wt",'SegEnds_Xtal_BW#'!$A:$Z,25,FALSE)</f>
        <v>47</v>
      </c>
      <c r="Z151" s="1">
        <f>VLOOKUP($B151&amp;"__wt",'SegEnds_Xtal_BW#'!$A:$Z,26,FALSE)</f>
        <v>60</v>
      </c>
      <c r="AA151" s="27" t="str">
        <f>VLOOKUP(A151,Classification!A:B,2,FALSE)</f>
        <v>A</v>
      </c>
      <c r="AB151" s="1">
        <f>VLOOKUP(A151,'SegEnds_NonXtal_Prot#'!A:AL,10,FALSE)-VLOOKUP(A151,'SegEnds_NonXtal_Prot#'!A:AL,7,FALSE)</f>
        <v>15</v>
      </c>
      <c r="AC151" s="1" t="e">
        <f>VLOOKUP(A151,'SegEnds_NonXtal_Prot#'!A:AL,13,FALSE)-VLOOKUP(A151,'SegEnds_NonXtal_Prot#'!A:AL,10,FALSE)</f>
        <v>#VALUE!</v>
      </c>
      <c r="AD151" s="1">
        <f>VLOOKUP(A151,'SegEnds_NonXtal_Prot#'!A:AL,16,FALSE)-VLOOKUP(A151,'SegEnds_NonXtal_Prot#'!A:AL,10,FALSE)</f>
        <v>52</v>
      </c>
      <c r="AE151" s="1">
        <f>VLOOKUP(A151,'SegEnds_NonXtal_Prot#'!A:AL,22,FALSE)-VLOOKUP(A151,'SegEnds_NonXtal_Prot#'!A:AL,19,FALSE)</f>
        <v>20</v>
      </c>
      <c r="AF151" s="1">
        <f>VLOOKUP(A151,'SegEnds_NonXtal_Prot#'!A:AL,28,FALSE)-VLOOKUP(A151,'SegEnds_NonXtal_Prot#'!A:AL,25,FALSE)</f>
        <v>67</v>
      </c>
      <c r="AG151" s="1">
        <f>VLOOKUP(A151,'SegEnds_NonXtal_Prot#'!A:AL,28,FALSE)-VLOOKUP(A151,'SegEnds_NonXtal_Prot#'!A:AL,22,FALSE)</f>
        <v>90</v>
      </c>
      <c r="AH151" s="1">
        <f>VLOOKUP(A151,'SegEnds_NonXtal_Prot#'!A:AL,31,FALSE)-VLOOKUP(A151,'SegEnds_NonXtal_Prot#'!A:AL,28,FALSE)</f>
        <v>99</v>
      </c>
      <c r="AI151" s="1">
        <f>VLOOKUP(A151,'SegEnds_NonXtal_Prot#'!A:AL,34,FALSE)-VLOOKUP(A151,'SegEnds_NonXtal_Prot#'!A:AL,31,FALSE)</f>
        <v>33</v>
      </c>
      <c r="AJ151" s="1" t="str">
        <f>IF(ISERROR(MATCH(A151,'SegEnds_Xtal_Prot#'!B:B, 0)), "NoXtal", "Xtal")</f>
        <v>NoXtal</v>
      </c>
    </row>
    <row r="152" spans="1:36" x14ac:dyDescent="0.2">
      <c r="A152" s="1" t="s">
        <v>271</v>
      </c>
      <c r="B152" s="1" t="str">
        <f>VLOOKUP(A152,Xtal_Templ!A:B,2,FALSE)</f>
        <v>ox1r_human</v>
      </c>
      <c r="C152" s="5">
        <f>VLOOKUP($B152&amp;"__wt",'SegEnds_Xtal_BW#'!$A:$Z,3,FALSE)</f>
        <v>32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51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18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9">
        <f>VLOOKUP($B152&amp;"__wt",'SegEnds_Xtal_BW#'!$A:$Z,15,FALSE)</f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v>35</v>
      </c>
      <c r="T152" s="1">
        <f t="array" ref="T152">INDEX('ICL3'!$G$2:$G$40,MATCH(MIN(ABS(AH152-'ICL3'!$F$2:$F$40)),ABS(AH152-'ICL3'!$F$2:$F$40),0))</f>
        <v>76</v>
      </c>
      <c r="U152" s="1">
        <f t="array" ref="U152">INDEX('ICL3'!$H$2:$H$40,MATCH(MIN(ABS(AH152-'ICL3'!$F$2:$F$40)),ABS(AH152-'ICL3'!$F$2:$F$40),0))</f>
        <v>24</v>
      </c>
      <c r="V152" s="1">
        <v>61</v>
      </c>
      <c r="W152" s="1">
        <v>31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58</v>
      </c>
      <c r="AA152" s="27" t="str">
        <f>VLOOKUP(A152,Classification!A:B,2,FALSE)</f>
        <v>A</v>
      </c>
      <c r="AB152" s="1">
        <f>VLOOKUP(A152,'SegEnds_NonXtal_Prot#'!A:AL,10,FALSE)-VLOOKUP(A152,'SegEnds_NonXtal_Prot#'!A:AL,7,FALSE)</f>
        <v>15</v>
      </c>
      <c r="AC152" s="1">
        <f>VLOOKUP(A152,'SegEnds_NonXtal_Prot#'!A:AL,13,FALSE)-VLOOKUP(A152,'SegEnds_NonXtal_Prot#'!A:AL,10,FALSE)</f>
        <v>21</v>
      </c>
      <c r="AD152" s="1">
        <f>VLOOKUP(A152,'SegEnds_NonXtal_Prot#'!A:AL,16,FALSE)-VLOOKUP(A152,'SegEnds_NonXtal_Prot#'!A:AL,10,FALSE)</f>
        <v>53</v>
      </c>
      <c r="AE152" s="1">
        <f>VLOOKUP(A152,'SegEnds_NonXtal_Prot#'!A:AL,22,FALSE)-VLOOKUP(A152,'SegEnds_NonXtal_Prot#'!A:AL,19,FALSE)</f>
        <v>20</v>
      </c>
      <c r="AF152" s="1">
        <f>VLOOKUP(A152,'SegEnds_NonXtal_Prot#'!A:AL,28,FALSE)-VLOOKUP(A152,'SegEnds_NonXtal_Prot#'!A:AL,25,FALSE)</f>
        <v>61</v>
      </c>
      <c r="AG152" s="1">
        <f>VLOOKUP(A152,'SegEnds_NonXtal_Prot#'!A:AL,28,FALSE)-VLOOKUP(A152,'SegEnds_NonXtal_Prot#'!A:AL,22,FALSE)</f>
        <v>87</v>
      </c>
      <c r="AH152" s="1">
        <f>VLOOKUP(A152,'SegEnds_NonXtal_Prot#'!A:AL,31,FALSE)-VLOOKUP(A152,'SegEnds_NonXtal_Prot#'!A:AL,28,FALSE)</f>
        <v>67</v>
      </c>
      <c r="AI152" s="1">
        <f>VLOOKUP(A152,'SegEnds_NonXtal_Prot#'!A:AL,34,FALSE)-VLOOKUP(A152,'SegEnds_NonXtal_Prot#'!A:AL,31,FALSE)</f>
        <v>36</v>
      </c>
      <c r="AJ152" s="1" t="str">
        <f>IF(ISERROR(MATCH(A152,'SegEnds_Xtal_Prot#'!B:B, 0)), "NoXtal", "Xtal")</f>
        <v>NoXtal</v>
      </c>
    </row>
    <row r="153" spans="1:36" x14ac:dyDescent="0.2">
      <c r="A153" s="1" t="s">
        <v>272</v>
      </c>
      <c r="B153" s="1" t="str">
        <f>VLOOKUP(A153,Xtal_Templ!A:B,2,FALSE)</f>
        <v>p2y12_human</v>
      </c>
      <c r="C153" s="5">
        <f>VLOOKUP($B153&amp;"__wt",'SegEnds_Xtal_BW#'!$A:$Z,3,FALSE)</f>
        <v>28</v>
      </c>
      <c r="D153" s="1">
        <f>VLOOKUP($B153&amp;"__wt",'SegEnds_Xtal_BW#'!$A:$Z,4,FALSE)</f>
        <v>60</v>
      </c>
      <c r="E153" s="1" t="str">
        <f>VLOOKUP($B153&amp;"__wt",'SegEnds_Xtal_BW#'!$A:$Z,5,FALSE)</f>
        <v>-</v>
      </c>
      <c r="F153" s="1" t="str">
        <f>VLOOKUP($B153&amp;"__wt",'SegEnds_Xtal_BW#'!$A:$Z,6,FALSE)</f>
        <v>-</v>
      </c>
      <c r="G153" s="1">
        <v>37</v>
      </c>
      <c r="H153" s="12">
        <f>VLOOKUP($B153&amp;"__wt",'SegEnds_Xtal_BW#'!$A:$Z,8,FALSE)</f>
        <v>66</v>
      </c>
      <c r="I153" s="1" t="str">
        <f>VLOOKUP($B153&amp;"__wt",'SegEnds_Xtal_BW#'!$A:$Z,9,FALSE)</f>
        <v>-</v>
      </c>
      <c r="J153" s="1" t="str">
        <f>VLOOKUP($B153&amp;"__wt",'SegEnds_Xtal_BW#'!$A:$Z,10,FALSE)</f>
        <v>-</v>
      </c>
      <c r="K153" s="12">
        <v>18</v>
      </c>
      <c r="L153" s="1">
        <f>VLOOKUP($B153&amp;"__wt",'SegEnds_Xtal_BW#'!$A:$Z,12,FALSE)</f>
        <v>56</v>
      </c>
      <c r="M153" s="1">
        <f>VLOOKUP($B153&amp;"__wt",'SegEnds_Xtal_BW#'!$A:$Z,13,FALSE)</f>
        <v>50</v>
      </c>
      <c r="N153" s="12">
        <v>57</v>
      </c>
      <c r="O153" s="89">
        <f>VLOOKUP($B153&amp;"__wt",'SegEnds_Xtal_BW#'!$A:$Z,15,FALSE)</f>
        <v>38</v>
      </c>
      <c r="P153" s="1">
        <f>VLOOKUP($B153&amp;"__wt",'SegEnds_Xtal_BW#'!$A:$Z,16,FALSE)</f>
        <v>64</v>
      </c>
      <c r="Q153" s="1">
        <f>VLOOKUP($B153&amp;"__wt",'SegEnds_Xtal_BW#'!$A:$Z,17,FALSE)</f>
        <v>50</v>
      </c>
      <c r="R153" s="1">
        <f>VLOOKUP($B153&amp;"__wt",'SegEnds_Xtal_BW#'!$A:$Z,18,FALSE)</f>
        <v>52</v>
      </c>
      <c r="S153" s="1">
        <f>VLOOKUP($B153&amp;"__wt",'SegEnds_Xtal_BW#'!$A:$Z,19,FALSE)</f>
        <v>30</v>
      </c>
      <c r="T153" s="1">
        <f t="array" ref="T153">INDEX('ICL3'!$G$2:$G$40,MATCH(MIN(ABS(AH153-'ICL3'!$F$2:$F$40)),ABS(AH153-'ICL3'!$F$2:$F$40),0))</f>
        <v>68</v>
      </c>
      <c r="U153" s="1">
        <f t="array" ref="U153">INDEX('ICL3'!$H$2:$H$40,MATCH(MIN(ABS(AH153-'ICL3'!$F$2:$F$40)),ABS(AH153-'ICL3'!$F$2:$F$40),0))</f>
        <v>24</v>
      </c>
      <c r="V153" s="1">
        <v>64</v>
      </c>
      <c r="W153" s="1">
        <v>24</v>
      </c>
      <c r="X153" s="1">
        <f>VLOOKUP($B153&amp;"__wt",'SegEnds_Xtal_BW#'!$A:$Z,24,FALSE)</f>
        <v>56</v>
      </c>
      <c r="Y153" s="1">
        <f>VLOOKUP($B153&amp;"__wt",'SegEnds_Xtal_BW#'!$A:$Z,25,FALSE)</f>
        <v>47</v>
      </c>
      <c r="Z153" s="1">
        <f>VLOOKUP($B153&amp;"__wt",'SegEnds_Xtal_BW#'!$A:$Z,26,FALSE)</f>
        <v>57</v>
      </c>
      <c r="AA153" s="27" t="str">
        <f>VLOOKUP(A153,Classification!A:B,2,FALSE)</f>
        <v>A</v>
      </c>
      <c r="AB153" s="1" t="e">
        <f>VLOOKUP(A153,'SegEnds_NonXtal_Prot#'!A:AL,10,FALSE)-VLOOKUP(A153,'SegEnds_NonXtal_Prot#'!A:AL,7,FALSE)</f>
        <v>#VALUE!</v>
      </c>
      <c r="AC153" s="1">
        <f>VLOOKUP(A153,'SegEnds_NonXtal_Prot#'!A:AL,13,FALSE)-VLOOKUP(A153,'SegEnds_NonXtal_Prot#'!A:AL,10,FALSE)</f>
        <v>20</v>
      </c>
      <c r="AD153" s="1">
        <f>VLOOKUP(A153,'SegEnds_NonXtal_Prot#'!A:AL,16,FALSE)-VLOOKUP(A153,'SegEnds_NonXtal_Prot#'!A:AL,10,FALSE)</f>
        <v>52</v>
      </c>
      <c r="AE153" s="1">
        <f>VLOOKUP(A153,'SegEnds_NonXtal_Prot#'!A:AL,22,FALSE)-VLOOKUP(A153,'SegEnds_NonXtal_Prot#'!A:AL,19,FALSE)</f>
        <v>20</v>
      </c>
      <c r="AF153" s="1">
        <f>VLOOKUP(A153,'SegEnds_NonXtal_Prot#'!A:AL,28,FALSE)-VLOOKUP(A153,'SegEnds_NonXtal_Prot#'!A:AL,25,FALSE)</f>
        <v>26</v>
      </c>
      <c r="AG153" s="1">
        <f>VLOOKUP(A153,'SegEnds_NonXtal_Prot#'!A:AL,28,FALSE)-VLOOKUP(A153,'SegEnds_NonXtal_Prot#'!A:AL,22,FALSE)</f>
        <v>52</v>
      </c>
      <c r="AH153" s="1">
        <f>VLOOKUP(A153,'SegEnds_NonXtal_Prot#'!A:AL,31,FALSE)-VLOOKUP(A153,'SegEnds_NonXtal_Prot#'!A:AL,28,FALSE)</f>
        <v>49</v>
      </c>
      <c r="AI153" s="1">
        <f>VLOOKUP(A153,'SegEnds_NonXtal_Prot#'!A:AL,34,FALSE)-VLOOKUP(A153,'SegEnds_NonXtal_Prot#'!A:AL,31,FALSE)</f>
        <v>44</v>
      </c>
      <c r="AJ153" s="1" t="str">
        <f>IF(ISERROR(MATCH(A153,'SegEnds_Xtal_Prot#'!B:B, 0)), "NoXtal", "Xtal")</f>
        <v>NoXtal</v>
      </c>
    </row>
    <row r="154" spans="1:36" x14ac:dyDescent="0.2">
      <c r="A154" s="1" t="s">
        <v>273</v>
      </c>
      <c r="B154" s="1" t="str">
        <f>VLOOKUP(A154,Xtal_Templ!A:B,2,FALSE)</f>
        <v>ox1r_human</v>
      </c>
      <c r="C154" s="5">
        <f>VLOOKUP($B154&amp;"__wt",'SegEnds_Xtal_BW#'!$A:$Z,3,FALSE)</f>
        <v>32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67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9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v>35</v>
      </c>
      <c r="T154" s="1">
        <f t="array" ref="T154">INDEX('ICL3'!$G$2:$G$40,MATCH(MIN(ABS(AH154-'ICL3'!$F$2:$F$40)),ABS(AH154-'ICL3'!$F$2:$F$40),0))</f>
        <v>74</v>
      </c>
      <c r="U154" s="1">
        <f t="array" ref="U154">INDEX('ICL3'!$H$2:$H$40,MATCH(MIN(ABS(AH154-'ICL3'!$F$2:$F$40)),ABS(AH154-'ICL3'!$F$2:$F$40),0))</f>
        <v>21</v>
      </c>
      <c r="V154" s="1">
        <v>61</v>
      </c>
      <c r="W154" s="1">
        <v>32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VLOOKUP(A154,'SegEnds_NonXtal_Prot#'!A:AL,10,FALSE)-VLOOKUP(A154,'SegEnds_NonXtal_Prot#'!A:AL,7,FALSE)</f>
        <v>15</v>
      </c>
      <c r="AC154" s="1" t="e">
        <f>VLOOKUP(A154,'SegEnds_NonXtal_Prot#'!A:AL,13,FALSE)-VLOOKUP(A154,'SegEnds_NonXtal_Prot#'!A:AL,10,FALSE)</f>
        <v>#VALUE!</v>
      </c>
      <c r="AD154" s="1">
        <f>VLOOKUP(A154,'SegEnds_NonXtal_Prot#'!A:AL,16,FALSE)-VLOOKUP(A154,'SegEnds_NonXtal_Prot#'!A:AL,10,FALSE)</f>
        <v>61</v>
      </c>
      <c r="AE154" s="1">
        <f>VLOOKUP(A154,'SegEnds_NonXtal_Prot#'!A:AL,22,FALSE)-VLOOKUP(A154,'SegEnds_NonXtal_Prot#'!A:AL,19,FALSE)</f>
        <v>20</v>
      </c>
      <c r="AF154" s="1" t="e">
        <f>VLOOKUP(A154,'SegEnds_NonXtal_Prot#'!A:AL,28,FALSE)-VLOOKUP(A154,'SegEnds_NonXtal_Prot#'!A:AL,25,FALSE)</f>
        <v>#VALUE!</v>
      </c>
      <c r="AG154" s="1">
        <f>VLOOKUP(A154,'SegEnds_NonXtal_Prot#'!A:AL,28,FALSE)-VLOOKUP(A154,'SegEnds_NonXtal_Prot#'!A:AL,22,FALSE)</f>
        <v>72</v>
      </c>
      <c r="AH154" s="1">
        <f>VLOOKUP(A154,'SegEnds_NonXtal_Prot#'!A:AL,31,FALSE)-VLOOKUP(A154,'SegEnds_NonXtal_Prot#'!A:AL,28,FALSE)</f>
        <v>61</v>
      </c>
      <c r="AI154" s="1">
        <f>VLOOKUP(A154,'SegEnds_NonXtal_Prot#'!A:AL,34,FALSE)-VLOOKUP(A154,'SegEnds_NonXtal_Prot#'!A:AL,31,FALSE)</f>
        <v>34</v>
      </c>
      <c r="AJ154" s="1" t="str">
        <f>IF(ISERROR(MATCH(A154,'SegEnds_Xtal_Prot#'!B:B, 0)), "NoXtal", "Xtal")</f>
        <v>NoXtal</v>
      </c>
    </row>
    <row r="155" spans="1:36" x14ac:dyDescent="0.2">
      <c r="A155" s="1" t="s">
        <v>274</v>
      </c>
      <c r="B155" s="1" t="str">
        <f>VLOOKUP(A155,Xtal_Templ!A:B,2,FALSE)</f>
        <v>ednrb_human</v>
      </c>
      <c r="C155" s="5">
        <f>VLOOKUP($B155&amp;"__wt",'SegEnds_Xtal_BW#'!$A:$Z,3,FALSE)</f>
        <v>22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52</v>
      </c>
      <c r="G155" s="1">
        <v>37</v>
      </c>
      <c r="H155" s="12">
        <f>VLOOKUP($B155&amp;"__wt",'SegEnds_Xtal_BW#'!$A:$Z,8,FALSE)</f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2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2">
        <v>57</v>
      </c>
      <c r="O155" s="89">
        <v>38</v>
      </c>
      <c r="P155" s="1">
        <f>VLOOKUP($B155&amp;"__wt",'SegEnds_Xtal_BW#'!$A:$Z,16,FALSE)</f>
        <v>64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29</v>
      </c>
      <c r="T155" s="1">
        <f t="array" ref="T155">INDEX('ICL3'!$G$2:$G$40,MATCH(MIN(ABS(AH155-'ICL3'!$F$2:$F$40)),ABS(AH155-'ICL3'!$F$2:$F$40),0))</f>
        <v>72</v>
      </c>
      <c r="U155" s="1">
        <f t="array" ref="U155">INDEX('ICL3'!$H$2:$H$40,MATCH(MIN(ABS(AH155-'ICL3'!$F$2:$F$40)),ABS(AH155-'ICL3'!$F$2:$F$40),0))</f>
        <v>24</v>
      </c>
      <c r="V155" s="1">
        <v>61</v>
      </c>
      <c r="W155" s="1">
        <v>28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VLOOKUP(A155,'SegEnds_NonXtal_Prot#'!A:AL,10,FALSE)-VLOOKUP(A155,'SegEnds_NonXtal_Prot#'!A:AL,7,FALSE)</f>
        <v>15</v>
      </c>
      <c r="AC155" s="1">
        <f>VLOOKUP(A155,'SegEnds_NonXtal_Prot#'!A:AL,13,FALSE)-VLOOKUP(A155,'SegEnds_NonXtal_Prot#'!A:AL,10,FALSE)</f>
        <v>20</v>
      </c>
      <c r="AD155" s="1">
        <f>VLOOKUP(A155,'SegEnds_NonXtal_Prot#'!A:AL,16,FALSE)-VLOOKUP(A155,'SegEnds_NonXtal_Prot#'!A:AL,10,FALSE)</f>
        <v>52</v>
      </c>
      <c r="AE155" s="1">
        <f>VLOOKUP(A155,'SegEnds_NonXtal_Prot#'!A:AL,22,FALSE)-VLOOKUP(A155,'SegEnds_NonXtal_Prot#'!A:AL,19,FALSE)</f>
        <v>20</v>
      </c>
      <c r="AF155" s="1">
        <f>VLOOKUP(A155,'SegEnds_NonXtal_Prot#'!A:AL,28,FALSE)-VLOOKUP(A155,'SegEnds_NonXtal_Prot#'!A:AL,25,FALSE)</f>
        <v>26</v>
      </c>
      <c r="AG155" s="1">
        <f>VLOOKUP(A155,'SegEnds_NonXtal_Prot#'!A:AL,28,FALSE)-VLOOKUP(A155,'SegEnds_NonXtal_Prot#'!A:AL,22,FALSE)</f>
        <v>57</v>
      </c>
      <c r="AH155" s="1">
        <f>VLOOKUP(A155,'SegEnds_NonXtal_Prot#'!A:AL,31,FALSE)-VLOOKUP(A155,'SegEnds_NonXtal_Prot#'!A:AL,28,FALSE)</f>
        <v>57</v>
      </c>
      <c r="AI155" s="1">
        <f>VLOOKUP(A155,'SegEnds_NonXtal_Prot#'!A:AL,34,FALSE)-VLOOKUP(A155,'SegEnds_NonXtal_Prot#'!A:AL,31,FALSE)</f>
        <v>40</v>
      </c>
      <c r="AJ155" s="1" t="str">
        <f>IF(ISERROR(MATCH(A155,'SegEnds_Xtal_Prot#'!B:B, 0)), "NoXtal", "Xtal")</f>
        <v>NoXtal</v>
      </c>
    </row>
    <row r="156" spans="1:36" x14ac:dyDescent="0.2">
      <c r="A156" s="1" t="s">
        <v>275</v>
      </c>
      <c r="B156" s="1" t="str">
        <f>VLOOKUP(A156,Xtal_Templ!A:B,2,FALSE)</f>
        <v>p2ry1_human</v>
      </c>
      <c r="C156" s="5">
        <f>VLOOKUP($B156&amp;"__wt",'SegEnds_Xtal_BW#'!$A:$Z,3,FALSE)</f>
        <v>30</v>
      </c>
      <c r="D156" s="1">
        <f>VLOOKUP($B156&amp;"__wt",'SegEnds_Xtal_BW#'!$A:$Z,4,FALSE)</f>
        <v>60</v>
      </c>
      <c r="E156" s="1" t="str">
        <f>VLOOKUP($B156&amp;"__wt",'SegEnds_Xtal_BW#'!$A:$Z,5,FALSE)</f>
        <v>-</v>
      </c>
      <c r="F156" s="1" t="str">
        <f>VLOOKUP($B156&amp;"__wt",'SegEnds_Xtal_BW#'!$A:$Z,6,FALSE)</f>
        <v>-</v>
      </c>
      <c r="G156" s="1">
        <v>37</v>
      </c>
      <c r="H156" s="12">
        <f>VLOOKUP($B156&amp;"__wt",'SegEnds_Xtal_BW#'!$A:$Z,8,FALSE)</f>
        <v>66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2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2">
        <v>57</v>
      </c>
      <c r="O156" s="89">
        <f>VLOOKUP($B156&amp;"__wt",'SegEnds_Xtal_BW#'!$A:$Z,15,FALSE)</f>
        <v>38</v>
      </c>
      <c r="P156" s="1">
        <f>VLOOKUP($B156&amp;"__wt",'SegEnds_Xtal_BW#'!$A:$Z,16,FALSE)</f>
        <v>64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32</v>
      </c>
      <c r="T156" s="1">
        <f t="array" ref="T156">INDEX('ICL3'!$G$2:$G$40,MATCH(MIN(ABS(AH156-'ICL3'!$F$2:$F$40)),ABS(AH156-'ICL3'!$F$2:$F$40),0))</f>
        <v>67</v>
      </c>
      <c r="U156" s="1">
        <f t="array" ref="U156">INDEX('ICL3'!$H$2:$H$40,MATCH(MIN(ABS(AH156-'ICL3'!$F$2:$F$40)),ABS(AH156-'ICL3'!$F$2:$F$40),0))</f>
        <v>26</v>
      </c>
      <c r="V156" s="1">
        <v>61</v>
      </c>
      <c r="W156" s="1">
        <v>28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59</v>
      </c>
      <c r="AA156" s="27" t="str">
        <f>VLOOKUP(A156,Classification!A:B,2,FALSE)</f>
        <v>A</v>
      </c>
      <c r="AB156" s="1" t="e">
        <f>VLOOKUP(A156,'SegEnds_NonXtal_Prot#'!A:AL,10,FALSE)-VLOOKUP(A156,'SegEnds_NonXtal_Prot#'!A:AL,7,FALSE)</f>
        <v>#VALUE!</v>
      </c>
      <c r="AC156" s="1">
        <f>VLOOKUP(A156,'SegEnds_NonXtal_Prot#'!A:AL,13,FALSE)-VLOOKUP(A156,'SegEnds_NonXtal_Prot#'!A:AL,10,FALSE)</f>
        <v>20</v>
      </c>
      <c r="AD156" s="1">
        <f>VLOOKUP(A156,'SegEnds_NonXtal_Prot#'!A:AL,16,FALSE)-VLOOKUP(A156,'SegEnds_NonXtal_Prot#'!A:AL,10,FALSE)</f>
        <v>52</v>
      </c>
      <c r="AE156" s="1">
        <f>VLOOKUP(A156,'SegEnds_NonXtal_Prot#'!A:AL,22,FALSE)-VLOOKUP(A156,'SegEnds_NonXtal_Prot#'!A:AL,19,FALSE)</f>
        <v>20</v>
      </c>
      <c r="AF156" s="1">
        <f>VLOOKUP(A156,'SegEnds_NonXtal_Prot#'!A:AL,28,FALSE)-VLOOKUP(A156,'SegEnds_NonXtal_Prot#'!A:AL,25,FALSE)</f>
        <v>23</v>
      </c>
      <c r="AG156" s="1">
        <f>VLOOKUP(A156,'SegEnds_NonXtal_Prot#'!A:AL,28,FALSE)-VLOOKUP(A156,'SegEnds_NonXtal_Prot#'!A:AL,22,FALSE)</f>
        <v>48</v>
      </c>
      <c r="AH156" s="1">
        <f>VLOOKUP(A156,'SegEnds_NonXtal_Prot#'!A:AL,31,FALSE)-VLOOKUP(A156,'SegEnds_NonXtal_Prot#'!A:AL,28,FALSE)</f>
        <v>47</v>
      </c>
      <c r="AI156" s="1">
        <f>VLOOKUP(A156,'SegEnds_NonXtal_Prot#'!A:AL,34,FALSE)-VLOOKUP(A156,'SegEnds_NonXtal_Prot#'!A:AL,31,FALSE)</f>
        <v>40</v>
      </c>
      <c r="AJ156" s="1" t="str">
        <f>IF(ISERROR(MATCH(A156,'SegEnds_Xtal_Prot#'!B:B, 0)), "NoXtal", "Xtal")</f>
        <v>NoXtal</v>
      </c>
    </row>
    <row r="157" spans="1:36" x14ac:dyDescent="0.2">
      <c r="A157" s="1" t="s">
        <v>276</v>
      </c>
      <c r="B157" s="1" t="str">
        <f>VLOOKUP(A157,Xtal_Templ!A:B,2,FALSE)</f>
        <v>oprk_human</v>
      </c>
      <c r="C157" s="5">
        <f>VLOOKUP($B157&amp;"__wt",'SegEnds_Xtal_BW#'!$A:$Z,3,FALSE)</f>
        <v>30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66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v>57</v>
      </c>
      <c r="O157" s="89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31</v>
      </c>
      <c r="T157" s="1">
        <f t="array" ref="T157">INDEX('ICL3'!$G$2:$G$40,MATCH(MIN(ABS(AH157-'ICL3'!$F$2:$F$40)),ABS(AH157-'ICL3'!$F$2:$F$40),0))</f>
        <v>67</v>
      </c>
      <c r="U157" s="1">
        <f t="array" ref="U157">INDEX('ICL3'!$H$2:$H$40,MATCH(MIN(ABS(AH157-'ICL3'!$F$2:$F$40)),ABS(AH157-'ICL3'!$F$2:$F$40),0))</f>
        <v>26</v>
      </c>
      <c r="V157" s="1">
        <v>64</v>
      </c>
      <c r="W157" s="1">
        <v>24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59</v>
      </c>
      <c r="AA157" s="27" t="str">
        <f>VLOOKUP(A157,Classification!A:B,2,FALSE)</f>
        <v>A</v>
      </c>
      <c r="AB157" s="1" t="e">
        <f>VLOOKUP(A157,'SegEnds_NonXtal_Prot#'!A:AL,10,FALSE)-VLOOKUP(A157,'SegEnds_NonXtal_Prot#'!A:AL,7,FALSE)</f>
        <v>#VALUE!</v>
      </c>
      <c r="AC157" s="1">
        <f>VLOOKUP(A157,'SegEnds_NonXtal_Prot#'!A:AL,13,FALSE)-VLOOKUP(A157,'SegEnds_NonXtal_Prot#'!A:AL,10,FALSE)</f>
        <v>20</v>
      </c>
      <c r="AD157" s="1">
        <f>VLOOKUP(A157,'SegEnds_NonXtal_Prot#'!A:AL,16,FALSE)-VLOOKUP(A157,'SegEnds_NonXtal_Prot#'!A:AL,10,FALSE)</f>
        <v>52</v>
      </c>
      <c r="AE157" s="1">
        <f>VLOOKUP(A157,'SegEnds_NonXtal_Prot#'!A:AL,22,FALSE)-VLOOKUP(A157,'SegEnds_NonXtal_Prot#'!A:AL,19,FALSE)</f>
        <v>20</v>
      </c>
      <c r="AF157" s="1">
        <f>VLOOKUP(A157,'SegEnds_NonXtal_Prot#'!A:AL,28,FALSE)-VLOOKUP(A157,'SegEnds_NonXtal_Prot#'!A:AL,25,FALSE)</f>
        <v>23</v>
      </c>
      <c r="AG157" s="1">
        <f>VLOOKUP(A157,'SegEnds_NonXtal_Prot#'!A:AL,28,FALSE)-VLOOKUP(A157,'SegEnds_NonXtal_Prot#'!A:AL,22,FALSE)</f>
        <v>48</v>
      </c>
      <c r="AH157" s="1">
        <f>VLOOKUP(A157,'SegEnds_NonXtal_Prot#'!A:AL,31,FALSE)-VLOOKUP(A157,'SegEnds_NonXtal_Prot#'!A:AL,28,FALSE)</f>
        <v>46</v>
      </c>
      <c r="AI157" s="1">
        <f>VLOOKUP(A157,'SegEnds_NonXtal_Prot#'!A:AL,34,FALSE)-VLOOKUP(A157,'SegEnds_NonXtal_Prot#'!A:AL,31,FALSE)</f>
        <v>45</v>
      </c>
      <c r="AJ157" s="1" t="str">
        <f>IF(ISERROR(MATCH(A157,'SegEnds_Xtal_Prot#'!B:B, 0)), "NoXtal", "Xtal")</f>
        <v>NoXtal</v>
      </c>
    </row>
    <row r="158" spans="1:36" x14ac:dyDescent="0.2">
      <c r="A158" s="1" t="s">
        <v>277</v>
      </c>
      <c r="B158" s="1" t="str">
        <f>VLOOKUP(A158,Xtal_Templ!A:B,2,FALSE)</f>
        <v>p2ry1_human</v>
      </c>
      <c r="C158" s="5">
        <f>VLOOKUP($B158&amp;"__wt",'SegEnds_Xtal_BW#'!$A:$Z,3,FALSE)</f>
        <v>30</v>
      </c>
      <c r="D158" s="1">
        <f>VLOOKUP($B158&amp;"__wt",'SegEnds_Xtal_BW#'!$A:$Z,4,FALSE)</f>
        <v>60</v>
      </c>
      <c r="E158" s="1" t="str">
        <f>VLOOKUP($B158&amp;"__wt",'SegEnds_Xtal_BW#'!$A:$Z,5,FALSE)</f>
        <v>-</v>
      </c>
      <c r="F158" s="1" t="str">
        <f>VLOOKUP($B158&amp;"__wt",'SegEnds_Xtal_BW#'!$A:$Z,6,FALSE)</f>
        <v>-</v>
      </c>
      <c r="G158" s="1">
        <v>37</v>
      </c>
      <c r="H158" s="12">
        <f>VLOOKUP($B158&amp;"__wt",'SegEnds_Xtal_BW#'!$A:$Z,8,FALSE)</f>
        <v>66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9">
        <f>VLOOKUP($B158&amp;"__wt",'SegEnds_Xtal_BW#'!$A:$Z,15,FALSE)</f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32</v>
      </c>
      <c r="T158" s="1">
        <f t="array" ref="T158">INDEX('ICL3'!$G$2:$G$40,MATCH(MIN(ABS(AH158-'ICL3'!$F$2:$F$40)),ABS(AH158-'ICL3'!$F$2:$F$40),0))</f>
        <v>67</v>
      </c>
      <c r="U158" s="1">
        <f t="array" ref="U158">INDEX('ICL3'!$H$2:$H$40,MATCH(MIN(ABS(AH158-'ICL3'!$F$2:$F$40)),ABS(AH158-'ICL3'!$F$2:$F$40),0))</f>
        <v>26</v>
      </c>
      <c r="V158" s="1">
        <v>64</v>
      </c>
      <c r="W158" s="1"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59</v>
      </c>
      <c r="AA158" s="27" t="str">
        <f>VLOOKUP(A158,Classification!A:B,2,FALSE)</f>
        <v>A</v>
      </c>
      <c r="AB158" s="1" t="e">
        <f>VLOOKUP(A158,'SegEnds_NonXtal_Prot#'!A:AL,10,FALSE)-VLOOKUP(A158,'SegEnds_NonXtal_Prot#'!A:AL,7,FALSE)</f>
        <v>#VALUE!</v>
      </c>
      <c r="AC158" s="1">
        <f>VLOOKUP(A158,'SegEnds_NonXtal_Prot#'!A:AL,13,FALSE)-VLOOKUP(A158,'SegEnds_NonXtal_Prot#'!A:AL,10,FALSE)</f>
        <v>20</v>
      </c>
      <c r="AD158" s="1">
        <f>VLOOKUP(A158,'SegEnds_NonXtal_Prot#'!A:AL,16,FALSE)-VLOOKUP(A158,'SegEnds_NonXtal_Prot#'!A:AL,10,FALSE)</f>
        <v>52</v>
      </c>
      <c r="AE158" s="1">
        <f>VLOOKUP(A158,'SegEnds_NonXtal_Prot#'!A:AL,22,FALSE)-VLOOKUP(A158,'SegEnds_NonXtal_Prot#'!A:AL,19,FALSE)</f>
        <v>20</v>
      </c>
      <c r="AF158" s="1">
        <f>VLOOKUP(A158,'SegEnds_NonXtal_Prot#'!A:AL,28,FALSE)-VLOOKUP(A158,'SegEnds_NonXtal_Prot#'!A:AL,25,FALSE)</f>
        <v>23</v>
      </c>
      <c r="AG158" s="1">
        <f>VLOOKUP(A158,'SegEnds_NonXtal_Prot#'!A:AL,28,FALSE)-VLOOKUP(A158,'SegEnds_NonXtal_Prot#'!A:AL,22,FALSE)</f>
        <v>48</v>
      </c>
      <c r="AH158" s="1">
        <f>VLOOKUP(A158,'SegEnds_NonXtal_Prot#'!A:AL,31,FALSE)-VLOOKUP(A158,'SegEnds_NonXtal_Prot#'!A:AL,28,FALSE)</f>
        <v>46</v>
      </c>
      <c r="AI158" s="1">
        <f>VLOOKUP(A158,'SegEnds_NonXtal_Prot#'!A:AL,34,FALSE)-VLOOKUP(A158,'SegEnds_NonXtal_Prot#'!A:AL,31,FALSE)</f>
        <v>45</v>
      </c>
      <c r="AJ158" s="1" t="str">
        <f>IF(ISERROR(MATCH(A158,'SegEnds_Xtal_Prot#'!B:B, 0)), "NoXtal", "Xtal")</f>
        <v>NoXtal</v>
      </c>
    </row>
    <row r="159" spans="1:36" x14ac:dyDescent="0.2">
      <c r="A159" s="1" t="s">
        <v>278</v>
      </c>
      <c r="B159" s="1" t="str">
        <f>VLOOKUP(A159,Xtal_Templ!A:B,2,FALSE)</f>
        <v>hrh1_human</v>
      </c>
      <c r="C159" s="5">
        <f>VLOOKUP($B159&amp;"__wt",'SegEnds_Xtal_BW#'!$A:$Z,3,FALSE)</f>
        <v>34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67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57</v>
      </c>
      <c r="O159" s="89">
        <f>VLOOKUP($B159&amp;"__wt",'SegEnds_Xtal_BW#'!$A:$Z,15,FALSE)</f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INDEX('ICL3'!$G$2:$G$40,MATCH(MIN(ABS(AH159-'ICL3'!$F$2:$F$40)),ABS(AH159-'ICL3'!$F$2:$F$40),0))</f>
        <v>76</v>
      </c>
      <c r="U159" s="1">
        <f t="array" ref="U159">INDEX('ICL3'!$H$2:$H$40,MATCH(MIN(ABS(AH159-'ICL3'!$F$2:$F$40)),ABS(AH159-'ICL3'!$F$2:$F$40),0))</f>
        <v>24</v>
      </c>
      <c r="V159" s="1">
        <v>61</v>
      </c>
      <c r="W159" s="1">
        <v>31</v>
      </c>
      <c r="X159" s="1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VLOOKUP(A159,'SegEnds_NonXtal_Prot#'!A:AL,10,FALSE)-VLOOKUP(A159,'SegEnds_NonXtal_Prot#'!A:AL,7,FALSE)</f>
        <v>15</v>
      </c>
      <c r="AC159" s="1">
        <f>VLOOKUP(A159,'SegEnds_NonXtal_Prot#'!A:AL,13,FALSE)-VLOOKUP(A159,'SegEnds_NonXtal_Prot#'!A:AL,10,FALSE)</f>
        <v>20</v>
      </c>
      <c r="AD159" s="1">
        <f>VLOOKUP(A159,'SegEnds_NonXtal_Prot#'!A:AL,16,FALSE)-VLOOKUP(A159,'SegEnds_NonXtal_Prot#'!A:AL,10,FALSE)</f>
        <v>52</v>
      </c>
      <c r="AE159" s="1">
        <f>VLOOKUP(A159,'SegEnds_NonXtal_Prot#'!A:AL,22,FALSE)-VLOOKUP(A159,'SegEnds_NonXtal_Prot#'!A:AL,19,FALSE)</f>
        <v>20</v>
      </c>
      <c r="AF159" s="1">
        <f>VLOOKUP(A159,'SegEnds_NonXtal_Prot#'!A:AL,28,FALSE)-VLOOKUP(A159,'SegEnds_NonXtal_Prot#'!A:AL,25,FALSE)</f>
        <v>22</v>
      </c>
      <c r="AG159" s="1">
        <f>VLOOKUP(A159,'SegEnds_NonXtal_Prot#'!A:AL,28,FALSE)-VLOOKUP(A159,'SegEnds_NonXtal_Prot#'!A:AL,22,FALSE)</f>
        <v>50</v>
      </c>
      <c r="AH159" s="1">
        <f>VLOOKUP(A159,'SegEnds_NonXtal_Prot#'!A:AL,31,FALSE)-VLOOKUP(A159,'SegEnds_NonXtal_Prot#'!A:AL,28,FALSE)</f>
        <v>228</v>
      </c>
      <c r="AI159" s="1">
        <f>VLOOKUP(A159,'SegEnds_NonXtal_Prot#'!A:AL,34,FALSE)-VLOOKUP(A159,'SegEnds_NonXtal_Prot#'!A:AL,31,FALSE)</f>
        <v>35</v>
      </c>
      <c r="AJ159" s="1" t="str">
        <f>IF(ISERROR(MATCH(A159,'SegEnds_Xtal_Prot#'!B:B, 0)), "NoXtal", "Xtal")</f>
        <v>Xtal</v>
      </c>
    </row>
    <row r="160" spans="1:36" x14ac:dyDescent="0.2">
      <c r="A160" s="1" t="s">
        <v>279</v>
      </c>
      <c r="B160" s="1" t="str">
        <f>VLOOKUP(A160,Xtal_Templ!A:B,2,FALSE)</f>
        <v>adrb2_human</v>
      </c>
      <c r="C160" s="5">
        <f>VLOOKUP($B160&amp;"__wt",'SegEnds_Xtal_BW#'!$A:$Z,3,FALSE)</f>
        <v>25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67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v>57</v>
      </c>
      <c r="O160" s="89">
        <v>38</v>
      </c>
      <c r="P160" s="1">
        <f>VLOOKUP($B160&amp;"__wt",'SegEnds_Xtal_BW#'!$A:$Z,16,FALSE)</f>
        <v>64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INDEX('ICL3'!$G$2:$G$40,MATCH(MIN(ABS(AH160-'ICL3'!$F$2:$F$40)),ABS(AH160-'ICL3'!$F$2:$F$40),0))</f>
        <v>73</v>
      </c>
      <c r="U160" s="1">
        <f t="array" ref="U160">INDEX('ICL3'!$H$2:$H$40,MATCH(MIN(ABS(AH160-'ICL3'!$F$2:$F$40)),ABS(AH160-'ICL3'!$F$2:$F$40),0))</f>
        <v>22</v>
      </c>
      <c r="V160" s="1">
        <v>61</v>
      </c>
      <c r="W160" s="1">
        <v>31</v>
      </c>
      <c r="X160" s="1">
        <f>VLOOKUP($B160&amp;"__wt",'SegEnds_Xtal_BW#'!$A:$Z,24,FALSE)</f>
        <v>55</v>
      </c>
      <c r="Y160" s="1">
        <f>VLOOKUP($B160&amp;"__wt",'SegEnds_Xtal_BW#'!$A:$Z,25,FALSE)</f>
        <v>47</v>
      </c>
      <c r="Z160" s="1">
        <f>VLOOKUP($B160&amp;"__wt",'SegEnds_Xtal_BW#'!$A:$Z,26,FALSE)</f>
        <v>59</v>
      </c>
      <c r="AA160" s="27" t="str">
        <f>VLOOKUP(A160,Classification!A:B,2,FALSE)</f>
        <v>A</v>
      </c>
      <c r="AB160" s="1">
        <f>VLOOKUP(A160,'SegEnds_NonXtal_Prot#'!A:AL,10,FALSE)-VLOOKUP(A160,'SegEnds_NonXtal_Prot#'!A:AL,7,FALSE)</f>
        <v>15</v>
      </c>
      <c r="AC160" s="1">
        <f>VLOOKUP(A160,'SegEnds_NonXtal_Prot#'!A:AL,13,FALSE)-VLOOKUP(A160,'SegEnds_NonXtal_Prot#'!A:AL,10,FALSE)</f>
        <v>20</v>
      </c>
      <c r="AD160" s="1">
        <f>VLOOKUP(A160,'SegEnds_NonXtal_Prot#'!A:AL,16,FALSE)-VLOOKUP(A160,'SegEnds_NonXtal_Prot#'!A:AL,10,FALSE)</f>
        <v>52</v>
      </c>
      <c r="AE160" s="1">
        <f>VLOOKUP(A160,'SegEnds_NonXtal_Prot#'!A:AL,22,FALSE)-VLOOKUP(A160,'SegEnds_NonXtal_Prot#'!A:AL,19,FALSE)</f>
        <v>20</v>
      </c>
      <c r="AF160" s="1">
        <f>VLOOKUP(A160,'SegEnds_NonXtal_Prot#'!A:AL,28,FALSE)-VLOOKUP(A160,'SegEnds_NonXtal_Prot#'!A:AL,25,FALSE)</f>
        <v>20</v>
      </c>
      <c r="AG160" s="1">
        <f>VLOOKUP(A160,'SegEnds_NonXtal_Prot#'!A:AL,28,FALSE)-VLOOKUP(A160,'SegEnds_NonXtal_Prot#'!A:AL,22,FALSE)</f>
        <v>51</v>
      </c>
      <c r="AH160" s="1">
        <f>VLOOKUP(A160,'SegEnds_NonXtal_Prot#'!A:AL,31,FALSE)-VLOOKUP(A160,'SegEnds_NonXtal_Prot#'!A:AL,28,FALSE)</f>
        <v>55</v>
      </c>
      <c r="AI160" s="1">
        <f>VLOOKUP(A160,'SegEnds_NonXtal_Prot#'!A:AL,34,FALSE)-VLOOKUP(A160,'SegEnds_NonXtal_Prot#'!A:AL,31,FALSE)</f>
        <v>36</v>
      </c>
      <c r="AJ160" s="1" t="str">
        <f>IF(ISERROR(MATCH(A160,'SegEnds_Xtal_Prot#'!B:B, 0)), "NoXtal", "Xtal")</f>
        <v>NoXtal</v>
      </c>
    </row>
    <row r="161" spans="1:36" x14ac:dyDescent="0.2">
      <c r="A161" s="1" t="s">
        <v>282</v>
      </c>
      <c r="B161" s="1" t="str">
        <f>VLOOKUP(A161,Xtal_Templ!A:B,2,FALSE)</f>
        <v>oprk_human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f>VLOOKUP($B161&amp;"__wt",'SegEnds_Xtal_BW#'!$A:$Z,8,FALSE)</f>
        <v>66</v>
      </c>
      <c r="I161" s="1">
        <f>VLOOKUP($B161&amp;"__wt",'SegEnds_Xtal_BW#'!$A:$Z,9,FALSE)</f>
        <v>49</v>
      </c>
      <c r="J161" s="1">
        <f>VLOOKUP($B161&amp;"__wt",'SegEnds_Xtal_BW#'!$A:$Z,10,FALSE)</f>
        <v>52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9">
        <f>VLOOKUP($B161&amp;"__wt",'SegEnds_Xtal_BW#'!$A:$Z,15,FALSE)</f>
        <v>38</v>
      </c>
      <c r="P161" s="1">
        <f>VLOOKUP($B161&amp;"__wt",'SegEnds_Xtal_BW#'!$A:$Z,16,FALSE)</f>
        <v>64</v>
      </c>
      <c r="Q161" s="1">
        <f>VLOOKUP($B161&amp;"__wt",'SegEnds_Xtal_BW#'!$A:$Z,17,FALSE)</f>
        <v>50</v>
      </c>
      <c r="R161" s="1">
        <f>VLOOKUP($B161&amp;"__wt",'SegEnds_Xtal_BW#'!$A:$Z,18,FALSE)</f>
        <v>52</v>
      </c>
      <c r="S161" s="1">
        <f>VLOOKUP($B161&amp;"__wt",'SegEnds_Xtal_BW#'!$A:$Z,19,FALSE)</f>
        <v>31</v>
      </c>
      <c r="T161" s="1">
        <f t="array" ref="T161">INDEX('ICL3'!$G$2:$G$40,MATCH(MIN(ABS(AH161-'ICL3'!$F$2:$F$40)),ABS(AH161-'ICL3'!$F$2:$F$40),0))</f>
        <v>74</v>
      </c>
      <c r="U161" s="1">
        <f t="array" ref="U161">INDEX('ICL3'!$H$2:$H$40,MATCH(MIN(ABS(AH161-'ICL3'!$F$2:$F$40)),ABS(AH161-'ICL3'!$F$2:$F$40),0))</f>
        <v>21</v>
      </c>
      <c r="V161" s="1">
        <v>61</v>
      </c>
      <c r="W161" s="1">
        <v>28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VLOOKUP(A161,'SegEnds_NonXtal_Prot#'!A:AL,10,FALSE)-VLOOKUP(A161,'SegEnds_NonXtal_Prot#'!A:AL,7,FALSE)</f>
        <v>15</v>
      </c>
      <c r="AC161" s="1">
        <f>VLOOKUP(A161,'SegEnds_NonXtal_Prot#'!A:AL,13,FALSE)-VLOOKUP(A161,'SegEnds_NonXtal_Prot#'!A:AL,10,FALSE)</f>
        <v>20</v>
      </c>
      <c r="AD161" s="1">
        <f>VLOOKUP(A161,'SegEnds_NonXtal_Prot#'!A:AL,16,FALSE)-VLOOKUP(A161,'SegEnds_NonXtal_Prot#'!A:AL,10,FALSE)</f>
        <v>52</v>
      </c>
      <c r="AE161" s="1">
        <f>VLOOKUP(A161,'SegEnds_NonXtal_Prot#'!A:AL,22,FALSE)-VLOOKUP(A161,'SegEnds_NonXtal_Prot#'!A:AL,19,FALSE)</f>
        <v>20</v>
      </c>
      <c r="AF161" s="1">
        <f>VLOOKUP(A161,'SegEnds_NonXtal_Prot#'!A:AL,28,FALSE)-VLOOKUP(A161,'SegEnds_NonXtal_Prot#'!A:AL,25,FALSE)</f>
        <v>25</v>
      </c>
      <c r="AG161" s="1">
        <f>VLOOKUP(A161,'SegEnds_NonXtal_Prot#'!A:AL,28,FALSE)-VLOOKUP(A161,'SegEnds_NonXtal_Prot#'!A:AL,22,FALSE)</f>
        <v>49</v>
      </c>
      <c r="AH161" s="1">
        <f>VLOOKUP(A161,'SegEnds_NonXtal_Prot#'!A:AL,31,FALSE)-VLOOKUP(A161,'SegEnds_NonXtal_Prot#'!A:AL,28,FALSE)</f>
        <v>62</v>
      </c>
      <c r="AI161" s="1">
        <f>VLOOKUP(A161,'SegEnds_NonXtal_Prot#'!A:AL,34,FALSE)-VLOOKUP(A161,'SegEnds_NonXtal_Prot#'!A:AL,31,FALSE)</f>
        <v>42</v>
      </c>
      <c r="AJ161" s="1" t="str">
        <f>IF(ISERROR(MATCH(A161,'SegEnds_Xtal_Prot#'!B:B, 0)), "NoXtal", "Xtal")</f>
        <v>NoXtal</v>
      </c>
    </row>
    <row r="162" spans="1:36" x14ac:dyDescent="0.2">
      <c r="A162" s="1" t="s">
        <v>283</v>
      </c>
      <c r="B162" s="1" t="str">
        <f>VLOOKUP(A162,Xtal_Templ!A:B,2,FALSE)</f>
        <v>agtr1_human</v>
      </c>
      <c r="C162" s="5">
        <f>VLOOKUP($B162&amp;"__wt",'SegEnds_Xtal_BW#'!$A:$Z,3,FALSE)</f>
        <v>30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>
        <f>VLOOKUP($B162&amp;"__wt",'SegEnds_Xtal_BW#'!$A:$Z,9,FALSE)</f>
        <v>49</v>
      </c>
      <c r="J162" s="1">
        <f>VLOOKUP($B162&amp;"__wt",'SegEnds_Xtal_BW#'!$A:$Z,10,FALSE)</f>
        <v>52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9">
        <f>VLOOKUP($B162&amp;"__wt",'SegEnds_Xtal_BW#'!$A:$Z,15,FALSE)</f>
        <v>38</v>
      </c>
      <c r="P162" s="1">
        <f>VLOOKUP($B162&amp;"__wt",'SegEnds_Xtal_BW#'!$A:$Z,16,FALSE)</f>
        <v>64</v>
      </c>
      <c r="Q162" s="1">
        <f>VLOOKUP($B162&amp;"__wt",'SegEnds_Xtal_BW#'!$A:$Z,17,FALSE)</f>
        <v>50</v>
      </c>
      <c r="R162" s="1">
        <f>VLOOKUP($B162&amp;"__wt",'SegEnds_Xtal_BW#'!$A:$Z,18,FALSE)</f>
        <v>52</v>
      </c>
      <c r="S162" s="1">
        <f>VLOOKUP($B162&amp;"__wt",'SegEnds_Xtal_BW#'!$A:$Z,19,FALSE)</f>
        <v>34</v>
      </c>
      <c r="T162" s="1">
        <f t="array" ref="T162">INDEX('ICL3'!$G$2:$G$40,MATCH(MIN(ABS(AH162-'ICL3'!$F$2:$F$40)),ABS(AH162-'ICL3'!$F$2:$F$40),0))</f>
        <v>67</v>
      </c>
      <c r="U162" s="1">
        <f t="array" ref="U162">INDEX('ICL3'!$H$2:$H$40,MATCH(MIN(ABS(AH162-'ICL3'!$F$2:$F$40)),ABS(AH162-'ICL3'!$F$2:$F$40),0))</f>
        <v>28</v>
      </c>
      <c r="V162" s="1">
        <v>61</v>
      </c>
      <c r="W162" s="1">
        <v>31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61</v>
      </c>
      <c r="AA162" s="27" t="str">
        <f>VLOOKUP(A162,Classification!A:B,2,FALSE)</f>
        <v>A</v>
      </c>
      <c r="AB162" s="1" t="e">
        <f>VLOOKUP(A162,'SegEnds_NonXtal_Prot#'!A:AL,10,FALSE)-VLOOKUP(A162,'SegEnds_NonXtal_Prot#'!A:AL,7,FALSE)</f>
        <v>#VALUE!</v>
      </c>
      <c r="AC162" s="1" t="e">
        <f>VLOOKUP(A162,'SegEnds_NonXtal_Prot#'!A:AL,13,FALSE)-VLOOKUP(A162,'SegEnds_NonXtal_Prot#'!A:AL,10,FALSE)</f>
        <v>#VALUE!</v>
      </c>
      <c r="AD162" s="1">
        <f>VLOOKUP(A162,'SegEnds_NonXtal_Prot#'!A:AL,16,FALSE)-VLOOKUP(A162,'SegEnds_NonXtal_Prot#'!A:AL,10,FALSE)</f>
        <v>59</v>
      </c>
      <c r="AE162" s="1">
        <f>VLOOKUP(A162,'SegEnds_NonXtal_Prot#'!A:AL,22,FALSE)-VLOOKUP(A162,'SegEnds_NonXtal_Prot#'!A:AL,19,FALSE)</f>
        <v>20</v>
      </c>
      <c r="AF162" s="1">
        <f>VLOOKUP(A162,'SegEnds_NonXtal_Prot#'!A:AL,28,FALSE)-VLOOKUP(A162,'SegEnds_NonXtal_Prot#'!A:AL,25,FALSE)</f>
        <v>24</v>
      </c>
      <c r="AG162" s="1">
        <f>VLOOKUP(A162,'SegEnds_NonXtal_Prot#'!A:AL,28,FALSE)-VLOOKUP(A162,'SegEnds_NonXtal_Prot#'!A:AL,22,FALSE)</f>
        <v>47</v>
      </c>
      <c r="AH162" s="1">
        <f>VLOOKUP(A162,'SegEnds_NonXtal_Prot#'!A:AL,31,FALSE)-VLOOKUP(A162,'SegEnds_NonXtal_Prot#'!A:AL,28,FALSE)</f>
        <v>45</v>
      </c>
      <c r="AI162" s="1">
        <f>VLOOKUP(A162,'SegEnds_NonXtal_Prot#'!A:AL,34,FALSE)-VLOOKUP(A162,'SegEnds_NonXtal_Prot#'!A:AL,31,FALSE)</f>
        <v>36</v>
      </c>
      <c r="AJ162" s="1" t="str">
        <f>IF(ISERROR(MATCH(A162,'SegEnds_Xtal_Prot#'!B:B, 0)), "NoXtal", "Xtal")</f>
        <v>NoXtal</v>
      </c>
    </row>
    <row r="163" spans="1:36" x14ac:dyDescent="0.2">
      <c r="A163" s="1" t="s">
        <v>284</v>
      </c>
      <c r="B163" s="1" t="str">
        <f>VLOOKUP(A163,Xtal_Templ!A:B,2,FALSE)</f>
        <v>aa2ar_human</v>
      </c>
      <c r="C163" s="5">
        <f>VLOOKUP($B163&amp;"__wt",'SegEnds_Xtal_BW#'!$A:$Z,3,FALSE)</f>
        <v>27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67</v>
      </c>
      <c r="I163" s="1">
        <v>49</v>
      </c>
      <c r="J163" s="1">
        <f>VLOOKUP($B163&amp;"__wt",'SegEnds_Xtal_BW#'!$A:$Z,10,FALSE)</f>
        <v>52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9">
        <f>VLOOKUP($B163&amp;"__wt",'SegEnds_Xtal_BW#'!$A:$Z,15,FALSE)</f>
        <v>38</v>
      </c>
      <c r="P163" s="1">
        <f>VLOOKUP($B163&amp;"__wt",'SegEnds_Xtal_BW#'!$A:$Z,16,FALSE)</f>
        <v>63</v>
      </c>
      <c r="Q163" s="1">
        <f>VLOOKUP($B163&amp;"__wt",'SegEnds_Xtal_BW#'!$A:$Z,17,FALSE)</f>
        <v>50</v>
      </c>
      <c r="R163" s="1">
        <f>VLOOKUP($B163&amp;"__wt",'SegEnds_Xtal_BW#'!$A:$Z,18,FALSE)</f>
        <v>52</v>
      </c>
      <c r="S163" s="1">
        <f>VLOOKUP($B163&amp;"__wt",'SegEnds_Xtal_BW#'!$A:$Z,19,FALSE)</f>
        <v>34</v>
      </c>
      <c r="T163" s="1">
        <f t="array" ref="T163">INDEX('ICL3'!$G$2:$G$40,MATCH(MIN(ABS(AH163-'ICL3'!$F$2:$F$40)),ABS(AH163-'ICL3'!$F$2:$F$40),0))</f>
        <v>67</v>
      </c>
      <c r="U163" s="1">
        <f t="array" ref="U163">INDEX('ICL3'!$H$2:$H$40,MATCH(MIN(ABS(AH163-'ICL3'!$F$2:$F$40)),ABS(AH163-'ICL3'!$F$2:$F$40),0))</f>
        <v>28</v>
      </c>
      <c r="V163" s="1">
        <v>61</v>
      </c>
      <c r="W163" s="1">
        <v>31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69</v>
      </c>
      <c r="AA163" s="27" t="str">
        <f>VLOOKUP(A163,Classification!A:B,2,FALSE)</f>
        <v>A</v>
      </c>
      <c r="AB163" s="1" t="e">
        <f>VLOOKUP(A163,'SegEnds_NonXtal_Prot#'!A:AL,10,FALSE)-VLOOKUP(A163,'SegEnds_NonXtal_Prot#'!A:AL,7,FALSE)</f>
        <v>#VALUE!</v>
      </c>
      <c r="AC163" s="1" t="e">
        <f>VLOOKUP(A163,'SegEnds_NonXtal_Prot#'!A:AL,13,FALSE)-VLOOKUP(A163,'SegEnds_NonXtal_Prot#'!A:AL,10,FALSE)</f>
        <v>#VALUE!</v>
      </c>
      <c r="AD163" s="1">
        <f>VLOOKUP(A163,'SegEnds_NonXtal_Prot#'!A:AL,16,FALSE)-VLOOKUP(A163,'SegEnds_NonXtal_Prot#'!A:AL,10,FALSE)</f>
        <v>59</v>
      </c>
      <c r="AE163" s="1">
        <f>VLOOKUP(A163,'SegEnds_NonXtal_Prot#'!A:AL,22,FALSE)-VLOOKUP(A163,'SegEnds_NonXtal_Prot#'!A:AL,19,FALSE)</f>
        <v>20</v>
      </c>
      <c r="AF163" s="1">
        <f>VLOOKUP(A163,'SegEnds_NonXtal_Prot#'!A:AL,28,FALSE)-VLOOKUP(A163,'SegEnds_NonXtal_Prot#'!A:AL,25,FALSE)</f>
        <v>24</v>
      </c>
      <c r="AG163" s="1">
        <f>VLOOKUP(A163,'SegEnds_NonXtal_Prot#'!A:AL,28,FALSE)-VLOOKUP(A163,'SegEnds_NonXtal_Prot#'!A:AL,22,FALSE)</f>
        <v>47</v>
      </c>
      <c r="AH163" s="1">
        <f>VLOOKUP(A163,'SegEnds_NonXtal_Prot#'!A:AL,31,FALSE)-VLOOKUP(A163,'SegEnds_NonXtal_Prot#'!A:AL,28,FALSE)</f>
        <v>45</v>
      </c>
      <c r="AI163" s="1">
        <f>VLOOKUP(A163,'SegEnds_NonXtal_Prot#'!A:AL,34,FALSE)-VLOOKUP(A163,'SegEnds_NonXtal_Prot#'!A:AL,31,FALSE)</f>
        <v>36</v>
      </c>
      <c r="AJ163" s="1" t="str">
        <f>IF(ISERROR(MATCH(A163,'SegEnds_Xtal_Prot#'!B:B, 0)), "NoXtal", "Xtal")</f>
        <v>NoXtal</v>
      </c>
    </row>
    <row r="164" spans="1:36" x14ac:dyDescent="0.2">
      <c r="A164" s="1" t="s">
        <v>285</v>
      </c>
      <c r="B164" s="1" t="str">
        <f>VLOOKUP(A164,Xtal_Templ!A:B,2,FALSE)</f>
        <v>adrb2_human</v>
      </c>
      <c r="C164" s="5">
        <f>VLOOKUP($B164&amp;"__wt",'SegEnds_Xtal_BW#'!$A:$Z,3,FALSE)</f>
        <v>25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f>VLOOKUP($B164&amp;"__wt",'SegEnds_Xtal_BW#'!$A:$Z,8,FALSE)</f>
        <v>67</v>
      </c>
      <c r="I164" s="1">
        <f>VLOOKUP($B164&amp;"__wt",'SegEnds_Xtal_BW#'!$A:$Z,9,FALSE)</f>
        <v>49</v>
      </c>
      <c r="J164" s="1">
        <f>VLOOKUP($B164&amp;"__wt",'SegEnds_Xtal_BW#'!$A:$Z,10,FALSE)</f>
        <v>52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9">
        <f>VLOOKUP($B164&amp;"__wt",'SegEnds_Xtal_BW#'!$A:$Z,15,FALSE)</f>
        <v>38</v>
      </c>
      <c r="P164" s="1">
        <f>VLOOKUP($B164&amp;"__wt",'SegEnds_Xtal_BW#'!$A:$Z,16,FALSE)</f>
        <v>64</v>
      </c>
      <c r="Q164" s="1">
        <f>VLOOKUP($B164&amp;"__wt",'SegEnds_Xtal_BW#'!$A:$Z,17,FALSE)</f>
        <v>50</v>
      </c>
      <c r="R164" s="1">
        <f>VLOOKUP($B164&amp;"__wt",'SegEnds_Xtal_BW#'!$A:$Z,18,FALSE)</f>
        <v>52</v>
      </c>
      <c r="S164" s="1">
        <v>35</v>
      </c>
      <c r="T164" s="1">
        <f t="array" ref="T164">INDEX('ICL3'!$G$2:$G$40,MATCH(MIN(ABS(AH164-'ICL3'!$F$2:$F$40)),ABS(AH164-'ICL3'!$F$2:$F$40),0))</f>
        <v>67</v>
      </c>
      <c r="U164" s="1">
        <f t="array" ref="U164">INDEX('ICL3'!$H$2:$H$40,MATCH(MIN(ABS(AH164-'ICL3'!$F$2:$F$40)),ABS(AH164-'ICL3'!$F$2:$F$40),0))</f>
        <v>28</v>
      </c>
      <c r="V164" s="1">
        <v>61</v>
      </c>
      <c r="W164" s="1">
        <v>31</v>
      </c>
      <c r="X164" s="1">
        <f>VLOOKUP($B164&amp;"__wt",'SegEnds_Xtal_BW#'!$A:$Z,24,FALSE)</f>
        <v>55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 t="e">
        <f>VLOOKUP(A164,'SegEnds_NonXtal_Prot#'!A:AL,10,FALSE)-VLOOKUP(A164,'SegEnds_NonXtal_Prot#'!A:AL,7,FALSE)</f>
        <v>#VALUE!</v>
      </c>
      <c r="AC164" s="1" t="e">
        <f>VLOOKUP(A164,'SegEnds_NonXtal_Prot#'!A:AL,13,FALSE)-VLOOKUP(A164,'SegEnds_NonXtal_Prot#'!A:AL,10,FALSE)</f>
        <v>#VALUE!</v>
      </c>
      <c r="AD164" s="1">
        <f>VLOOKUP(A164,'SegEnds_NonXtal_Prot#'!A:AL,16,FALSE)-VLOOKUP(A164,'SegEnds_NonXtal_Prot#'!A:AL,10,FALSE)</f>
        <v>59</v>
      </c>
      <c r="AE164" s="1">
        <f>VLOOKUP(A164,'SegEnds_NonXtal_Prot#'!A:AL,22,FALSE)-VLOOKUP(A164,'SegEnds_NonXtal_Prot#'!A:AL,19,FALSE)</f>
        <v>20</v>
      </c>
      <c r="AF164" s="1">
        <f>VLOOKUP(A164,'SegEnds_NonXtal_Prot#'!A:AL,28,FALSE)-VLOOKUP(A164,'SegEnds_NonXtal_Prot#'!A:AL,25,FALSE)</f>
        <v>26</v>
      </c>
      <c r="AG164" s="1">
        <f>VLOOKUP(A164,'SegEnds_NonXtal_Prot#'!A:AL,28,FALSE)-VLOOKUP(A164,'SegEnds_NonXtal_Prot#'!A:AL,22,FALSE)</f>
        <v>49</v>
      </c>
      <c r="AH164" s="1">
        <f>VLOOKUP(A164,'SegEnds_NonXtal_Prot#'!A:AL,31,FALSE)-VLOOKUP(A164,'SegEnds_NonXtal_Prot#'!A:AL,28,FALSE)</f>
        <v>45</v>
      </c>
      <c r="AI164" s="1">
        <f>VLOOKUP(A164,'SegEnds_NonXtal_Prot#'!A:AL,34,FALSE)-VLOOKUP(A164,'SegEnds_NonXtal_Prot#'!A:AL,31,FALSE)</f>
        <v>36</v>
      </c>
      <c r="AJ164" s="1" t="str">
        <f>IF(ISERROR(MATCH(A164,'SegEnds_Xtal_Prot#'!B:B, 0)), "NoXtal", "Xtal")</f>
        <v>NoXtal</v>
      </c>
    </row>
    <row r="165" spans="1:36" x14ac:dyDescent="0.2">
      <c r="A165" s="1" t="s">
        <v>288</v>
      </c>
      <c r="B165" s="1" t="str">
        <f>VLOOKUP(A165,Xtal_Templ!A:B,2,FALSE)</f>
        <v>oprk_human</v>
      </c>
      <c r="C165" s="5">
        <f>VLOOKUP($B165&amp;"__wt",'SegEnds_Xtal_BW#'!$A:$Z,3,FALSE)</f>
        <v>30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66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21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9"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31</v>
      </c>
      <c r="T165" s="1">
        <f t="array" ref="T165">INDEX('ICL3'!$G$2:$G$40,MATCH(MIN(ABS(AH165-'ICL3'!$F$2:$F$40)),ABS(AH165-'ICL3'!$F$2:$F$40),0))</f>
        <v>68</v>
      </c>
      <c r="U165" s="1">
        <f t="array" ref="U165">INDEX('ICL3'!$H$2:$H$40,MATCH(MIN(ABS(AH165-'ICL3'!$F$2:$F$40)),ABS(AH165-'ICL3'!$F$2:$F$40),0))</f>
        <v>24</v>
      </c>
      <c r="V165" s="1">
        <v>64</v>
      </c>
      <c r="W165" s="1"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59</v>
      </c>
      <c r="AA165" s="27" t="str">
        <f>VLOOKUP(A165,Classification!A:B,2,FALSE)</f>
        <v>A</v>
      </c>
      <c r="AB165" s="1">
        <f>VLOOKUP(A165,'SegEnds_NonXtal_Prot#'!A:AL,10,FALSE)-VLOOKUP(A165,'SegEnds_NonXtal_Prot#'!A:AL,7,FALSE)</f>
        <v>15</v>
      </c>
      <c r="AC165" s="1">
        <f>VLOOKUP(A165,'SegEnds_NonXtal_Prot#'!A:AL,13,FALSE)-VLOOKUP(A165,'SegEnds_NonXtal_Prot#'!A:AL,10,FALSE)</f>
        <v>19</v>
      </c>
      <c r="AD165" s="1">
        <f>VLOOKUP(A165,'SegEnds_NonXtal_Prot#'!A:AL,16,FALSE)-VLOOKUP(A165,'SegEnds_NonXtal_Prot#'!A:AL,10,FALSE)</f>
        <v>51</v>
      </c>
      <c r="AE165" s="1">
        <f>VLOOKUP(A165,'SegEnds_NonXtal_Prot#'!A:AL,22,FALSE)-VLOOKUP(A165,'SegEnds_NonXtal_Prot#'!A:AL,19,FALSE)</f>
        <v>20</v>
      </c>
      <c r="AF165" s="1">
        <f>VLOOKUP(A165,'SegEnds_NonXtal_Prot#'!A:AL,28,FALSE)-VLOOKUP(A165,'SegEnds_NonXtal_Prot#'!A:AL,25,FALSE)</f>
        <v>28</v>
      </c>
      <c r="AG165" s="1">
        <f>VLOOKUP(A165,'SegEnds_NonXtal_Prot#'!A:AL,28,FALSE)-VLOOKUP(A165,'SegEnds_NonXtal_Prot#'!A:AL,22,FALSE)</f>
        <v>53</v>
      </c>
      <c r="AH165" s="1">
        <f>VLOOKUP(A165,'SegEnds_NonXtal_Prot#'!A:AL,31,FALSE)-VLOOKUP(A165,'SegEnds_NonXtal_Prot#'!A:AL,28,FALSE)</f>
        <v>48</v>
      </c>
      <c r="AI165" s="1">
        <f>VLOOKUP(A165,'SegEnds_NonXtal_Prot#'!A:AL,34,FALSE)-VLOOKUP(A165,'SegEnds_NonXtal_Prot#'!A:AL,31,FALSE)</f>
        <v>44</v>
      </c>
      <c r="AJ165" s="1" t="str">
        <f>IF(ISERROR(MATCH(A165,'SegEnds_Xtal_Prot#'!B:B, 0)), "NoXtal", "Xtal")</f>
        <v>NoXtal</v>
      </c>
    </row>
    <row r="166" spans="1:36" x14ac:dyDescent="0.2">
      <c r="A166" s="1" t="s">
        <v>289</v>
      </c>
      <c r="B166" s="1" t="str">
        <f>VLOOKUP(A166,Xtal_Templ!A:B,2,FALSE)</f>
        <v>par2_human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 t="str">
        <f>VLOOKUP($B166&amp;"__wt",'SegEnds_Xtal_BW#'!$A:$Z,5,FALSE)</f>
        <v>-</v>
      </c>
      <c r="F166" s="1" t="str">
        <f>VLOOKUP($B166&amp;"__wt",'SegEnds_Xtal_BW#'!$A:$Z,6,FALSE)</f>
        <v>-</v>
      </c>
      <c r="G166" s="1">
        <v>37</v>
      </c>
      <c r="H166" s="12">
        <v>66</v>
      </c>
      <c r="I166" s="1">
        <f>VLOOKUP($B166&amp;"__wt",'SegEnds_Xtal_BW#'!$A:$Z,9,FALSE)</f>
        <v>47</v>
      </c>
      <c r="J166" s="1">
        <f>VLOOKUP($B166&amp;"__wt",'SegEnds_Xtal_BW#'!$A:$Z,10,FALSE)</f>
        <v>52</v>
      </c>
      <c r="K166" s="12">
        <v>21</v>
      </c>
      <c r="L166" s="1">
        <f>VLOOKUP($B166&amp;"__wt",'SegEnds_Xtal_BW#'!$A:$Z,12,FALSE)</f>
        <v>56</v>
      </c>
      <c r="M166" s="1">
        <f>VLOOKUP($B166&amp;"__wt",'SegEnds_Xtal_BW#'!$A:$Z,13,FALSE)</f>
        <v>50</v>
      </c>
      <c r="N166" s="12">
        <v>57</v>
      </c>
      <c r="O166" s="89">
        <v>38</v>
      </c>
      <c r="P166" s="1">
        <f>VLOOKUP($B166&amp;"__wt",'SegEnds_Xtal_BW#'!$A:$Z,16,FALSE)</f>
        <v>62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f>VLOOKUP($B166&amp;"__wt",'SegEnds_Xtal_BW#'!$A:$Z,19,FALSE)</f>
        <v>31</v>
      </c>
      <c r="T166" s="1">
        <f t="array" ref="T166">INDEX('ICL3'!$G$2:$G$40,MATCH(MIN(ABS(AH166-'ICL3'!$F$2:$F$40)),ABS(AH166-'ICL3'!$F$2:$F$40),0))</f>
        <v>67</v>
      </c>
      <c r="U166" s="1">
        <f t="array" ref="U166">INDEX('ICL3'!$H$2:$H$40,MATCH(MIN(ABS(AH166-'ICL3'!$F$2:$F$40)),ABS(AH166-'ICL3'!$F$2:$F$40),0))</f>
        <v>26</v>
      </c>
      <c r="V166" s="1">
        <v>64</v>
      </c>
      <c r="W166" s="1">
        <v>24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61</v>
      </c>
      <c r="AA166" s="27" t="str">
        <f>VLOOKUP(A166,Classification!A:B,2,FALSE)</f>
        <v>A</v>
      </c>
      <c r="AB166" s="1">
        <f>VLOOKUP(A166,'SegEnds_NonXtal_Prot#'!A:AL,10,FALSE)-VLOOKUP(A166,'SegEnds_NonXtal_Prot#'!A:AL,7,FALSE)</f>
        <v>15</v>
      </c>
      <c r="AC166" s="1">
        <f>VLOOKUP(A166,'SegEnds_NonXtal_Prot#'!A:AL,13,FALSE)-VLOOKUP(A166,'SegEnds_NonXtal_Prot#'!A:AL,10,FALSE)</f>
        <v>19</v>
      </c>
      <c r="AD166" s="1">
        <f>VLOOKUP(A166,'SegEnds_NonXtal_Prot#'!A:AL,16,FALSE)-VLOOKUP(A166,'SegEnds_NonXtal_Prot#'!A:AL,10,FALSE)</f>
        <v>51</v>
      </c>
      <c r="AE166" s="1">
        <f>VLOOKUP(A166,'SegEnds_NonXtal_Prot#'!A:AL,22,FALSE)-VLOOKUP(A166,'SegEnds_NonXtal_Prot#'!A:AL,19,FALSE)</f>
        <v>20</v>
      </c>
      <c r="AF166" s="1">
        <f>VLOOKUP(A166,'SegEnds_NonXtal_Prot#'!A:AL,28,FALSE)-VLOOKUP(A166,'SegEnds_NonXtal_Prot#'!A:AL,25,FALSE)</f>
        <v>28</v>
      </c>
      <c r="AG166" s="1">
        <f>VLOOKUP(A166,'SegEnds_NonXtal_Prot#'!A:AL,28,FALSE)-VLOOKUP(A166,'SegEnds_NonXtal_Prot#'!A:AL,22,FALSE)</f>
        <v>57</v>
      </c>
      <c r="AH166" s="1">
        <f>VLOOKUP(A166,'SegEnds_NonXtal_Prot#'!A:AL,31,FALSE)-VLOOKUP(A166,'SegEnds_NonXtal_Prot#'!A:AL,28,FALSE)</f>
        <v>46</v>
      </c>
      <c r="AI166" s="1">
        <f>VLOOKUP(A166,'SegEnds_NonXtal_Prot#'!A:AL,34,FALSE)-VLOOKUP(A166,'SegEnds_NonXtal_Prot#'!A:AL,31,FALSE)</f>
        <v>45</v>
      </c>
      <c r="AJ166" s="1" t="str">
        <f>IF(ISERROR(MATCH(A166,'SegEnds_Xtal_Prot#'!B:B, 0)), "NoXtal", "Xtal")</f>
        <v>NoXtal</v>
      </c>
    </row>
    <row r="167" spans="1:36" x14ac:dyDescent="0.2">
      <c r="A167" s="1" t="s">
        <v>290</v>
      </c>
      <c r="B167" s="1" t="str">
        <f>VLOOKUP(A167,Xtal_Templ!A:B,2,FALSE)</f>
        <v>agtr1_human</v>
      </c>
      <c r="C167" s="5">
        <f>VLOOKUP($B167&amp;"__wt",'SegEnds_Xtal_BW#'!$A:$Z,3,FALSE)</f>
        <v>30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v>66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21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9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f>VLOOKUP($B167&amp;"__wt",'SegEnds_Xtal_BW#'!$A:$Z,19,FALSE)</f>
        <v>34</v>
      </c>
      <c r="T167" s="1">
        <f t="array" ref="T167">INDEX('ICL3'!$G$2:$G$40,MATCH(MIN(ABS(AH167-'ICL3'!$F$2:$F$40)),ABS(AH167-'ICL3'!$F$2:$F$40),0))</f>
        <v>68</v>
      </c>
      <c r="U167" s="1">
        <f t="array" ref="U167">INDEX('ICL3'!$H$2:$H$40,MATCH(MIN(ABS(AH167-'ICL3'!$F$2:$F$40)),ABS(AH167-'ICL3'!$F$2:$F$40),0))</f>
        <v>24</v>
      </c>
      <c r="V167" s="1">
        <v>64</v>
      </c>
      <c r="W167" s="1">
        <v>24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61</v>
      </c>
      <c r="AA167" s="27" t="str">
        <f>VLOOKUP(A167,Classification!A:B,2,FALSE)</f>
        <v>A</v>
      </c>
      <c r="AB167" s="1">
        <f>VLOOKUP(A167,'SegEnds_NonXtal_Prot#'!A:AL,10,FALSE)-VLOOKUP(A167,'SegEnds_NonXtal_Prot#'!A:AL,7,FALSE)</f>
        <v>15</v>
      </c>
      <c r="AC167" s="1">
        <f>VLOOKUP(A167,'SegEnds_NonXtal_Prot#'!A:AL,13,FALSE)-VLOOKUP(A167,'SegEnds_NonXtal_Prot#'!A:AL,10,FALSE)</f>
        <v>19</v>
      </c>
      <c r="AD167" s="1">
        <f>VLOOKUP(A167,'SegEnds_NonXtal_Prot#'!A:AL,16,FALSE)-VLOOKUP(A167,'SegEnds_NonXtal_Prot#'!A:AL,10,FALSE)</f>
        <v>51</v>
      </c>
      <c r="AE167" s="1">
        <f>VLOOKUP(A167,'SegEnds_NonXtal_Prot#'!A:AL,22,FALSE)-VLOOKUP(A167,'SegEnds_NonXtal_Prot#'!A:AL,19,FALSE)</f>
        <v>20</v>
      </c>
      <c r="AF167" s="1">
        <f>VLOOKUP(A167,'SegEnds_NonXtal_Prot#'!A:AL,28,FALSE)-VLOOKUP(A167,'SegEnds_NonXtal_Prot#'!A:AL,25,FALSE)</f>
        <v>28</v>
      </c>
      <c r="AG167" s="1">
        <f>VLOOKUP(A167,'SegEnds_NonXtal_Prot#'!A:AL,28,FALSE)-VLOOKUP(A167,'SegEnds_NonXtal_Prot#'!A:AL,22,FALSE)</f>
        <v>55</v>
      </c>
      <c r="AH167" s="1">
        <f>VLOOKUP(A167,'SegEnds_NonXtal_Prot#'!A:AL,31,FALSE)-VLOOKUP(A167,'SegEnds_NonXtal_Prot#'!A:AL,28,FALSE)</f>
        <v>48</v>
      </c>
      <c r="AI167" s="1">
        <f>VLOOKUP(A167,'SegEnds_NonXtal_Prot#'!A:AL,34,FALSE)-VLOOKUP(A167,'SegEnds_NonXtal_Prot#'!A:AL,31,FALSE)</f>
        <v>44</v>
      </c>
      <c r="AJ167" s="1" t="str">
        <f>IF(ISERROR(MATCH(A167,'SegEnds_Xtal_Prot#'!B:B, 0)), "NoXtal", "Xtal")</f>
        <v>NoXtal</v>
      </c>
    </row>
    <row r="168" spans="1:36" x14ac:dyDescent="0.2">
      <c r="A168" s="1" t="s">
        <v>291</v>
      </c>
      <c r="B168" s="1" t="str">
        <f>VLOOKUP(A168,Xtal_Templ!A:B,2,FALSE)</f>
        <v>hrh1_human</v>
      </c>
      <c r="C168" s="5">
        <f>VLOOKUP($B168&amp;"__wt",'SegEnds_Xtal_BW#'!$A:$Z,3,FALSE)</f>
        <v>34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67</v>
      </c>
      <c r="I168" s="1"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9">
        <f>VLOOKUP($B168&amp;"__wt",'SegEnds_Xtal_BW#'!$A:$Z,15,FALSE)</f>
        <v>38</v>
      </c>
      <c r="P168" s="1">
        <f>VLOOKUP($B168&amp;"__wt",'SegEnds_Xtal_BW#'!$A:$Z,16,FALSE)</f>
        <v>62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f>VLOOKUP($B168&amp;"__wt",'SegEnds_Xtal_BW#'!$A:$Z,19,FALSE)</f>
        <v>35</v>
      </c>
      <c r="T168" s="1">
        <f t="array" ref="T168">INDEX('ICL3'!$G$2:$G$40,MATCH(MIN(ABS(AH168-'ICL3'!$F$2:$F$40)),ABS(AH168-'ICL3'!$F$2:$F$40),0))</f>
        <v>67</v>
      </c>
      <c r="U168" s="1">
        <f t="array" ref="U168">INDEX('ICL3'!$H$2:$H$40,MATCH(MIN(ABS(AH168-'ICL3'!$F$2:$F$40)),ABS(AH168-'ICL3'!$F$2:$F$40),0))</f>
        <v>26</v>
      </c>
      <c r="V168" s="1">
        <v>61</v>
      </c>
      <c r="W168" s="1">
        <v>31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59</v>
      </c>
      <c r="AA168" s="27" t="str">
        <f>VLOOKUP(A168,Classification!A:B,2,FALSE)</f>
        <v>A</v>
      </c>
      <c r="AB168" s="1">
        <f>VLOOKUP(A168,'SegEnds_NonXtal_Prot#'!A:AL,10,FALSE)-VLOOKUP(A168,'SegEnds_NonXtal_Prot#'!A:AL,7,FALSE)</f>
        <v>14</v>
      </c>
      <c r="AC168" s="1">
        <f>VLOOKUP(A168,'SegEnds_NonXtal_Prot#'!A:AL,13,FALSE)-VLOOKUP(A168,'SegEnds_NonXtal_Prot#'!A:AL,10,FALSE)</f>
        <v>28</v>
      </c>
      <c r="AD168" s="1">
        <f>VLOOKUP(A168,'SegEnds_NonXtal_Prot#'!A:AL,16,FALSE)-VLOOKUP(A168,'SegEnds_NonXtal_Prot#'!A:AL,10,FALSE)</f>
        <v>59</v>
      </c>
      <c r="AE168" s="1">
        <f>VLOOKUP(A168,'SegEnds_NonXtal_Prot#'!A:AL,22,FALSE)-VLOOKUP(A168,'SegEnds_NonXtal_Prot#'!A:AL,19,FALSE)</f>
        <v>20</v>
      </c>
      <c r="AF168" s="1">
        <f>VLOOKUP(A168,'SegEnds_NonXtal_Prot#'!A:AL,28,FALSE)-VLOOKUP(A168,'SegEnds_NonXtal_Prot#'!A:AL,25,FALSE)</f>
        <v>24</v>
      </c>
      <c r="AG168" s="1">
        <f>VLOOKUP(A168,'SegEnds_NonXtal_Prot#'!A:AL,28,FALSE)-VLOOKUP(A168,'SegEnds_NonXtal_Prot#'!A:AL,22,FALSE)</f>
        <v>47</v>
      </c>
      <c r="AH168" s="1">
        <f>VLOOKUP(A168,'SegEnds_NonXtal_Prot#'!A:AL,31,FALSE)-VLOOKUP(A168,'SegEnds_NonXtal_Prot#'!A:AL,28,FALSE)</f>
        <v>46</v>
      </c>
      <c r="AI168" s="1">
        <f>VLOOKUP(A168,'SegEnds_NonXtal_Prot#'!A:AL,34,FALSE)-VLOOKUP(A168,'SegEnds_NonXtal_Prot#'!A:AL,31,FALSE)</f>
        <v>36</v>
      </c>
      <c r="AJ168" s="1" t="str">
        <f>IF(ISERROR(MATCH(A168,'SegEnds_Xtal_Prot#'!B:B, 0)), "NoXtal", "Xtal")</f>
        <v>NoXtal</v>
      </c>
    </row>
    <row r="169" spans="1:36" x14ac:dyDescent="0.2">
      <c r="A169" s="1" t="s">
        <v>292</v>
      </c>
      <c r="B169" s="1" t="str">
        <f>VLOOKUP(A169,Xtal_Templ!A:B,2,FALSE)</f>
        <v>agtr1_human</v>
      </c>
      <c r="C169" s="5">
        <f>VLOOKUP($B169&amp;"__wt",'SegEnds_Xtal_BW#'!$A:$Z,3,FALSE)</f>
        <v>30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v>66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21</v>
      </c>
      <c r="L169" s="1">
        <f>VLOOKUP($B169&amp;"__wt",'SegEnds_Xtal_BW#'!$A:$Z,12,FALSE)</f>
        <v>56</v>
      </c>
      <c r="M169" s="1">
        <f>VLOOKUP($B169&amp;"__wt",'SegEnds_Xtal_BW#'!$A:$Z,13,FALSE)</f>
        <v>50</v>
      </c>
      <c r="N169" s="12">
        <v>57</v>
      </c>
      <c r="O169" s="89"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34</v>
      </c>
      <c r="T169" s="1">
        <f t="array" ref="T169">INDEX('ICL3'!$G$2:$G$40,MATCH(MIN(ABS(AH169-'ICL3'!$F$2:$F$40)),ABS(AH169-'ICL3'!$F$2:$F$40),0))</f>
        <v>68</v>
      </c>
      <c r="U169" s="1">
        <f t="array" ref="U169">INDEX('ICL3'!$H$2:$H$40,MATCH(MIN(ABS(AH169-'ICL3'!$F$2:$F$40)),ABS(AH169-'ICL3'!$F$2:$F$40),0))</f>
        <v>30</v>
      </c>
      <c r="V169" s="1">
        <v>64</v>
      </c>
      <c r="W169" s="1">
        <v>24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61</v>
      </c>
      <c r="AA169" s="27" t="str">
        <f>VLOOKUP(A169,Classification!A:B,2,FALSE)</f>
        <v>A</v>
      </c>
      <c r="AB169" s="1">
        <f>VLOOKUP(A169,'SegEnds_NonXtal_Prot#'!A:AL,10,FALSE)-VLOOKUP(A169,'SegEnds_NonXtal_Prot#'!A:AL,7,FALSE)</f>
        <v>15</v>
      </c>
      <c r="AC169" s="1">
        <f>VLOOKUP(A169,'SegEnds_NonXtal_Prot#'!A:AL,13,FALSE)-VLOOKUP(A169,'SegEnds_NonXtal_Prot#'!A:AL,10,FALSE)</f>
        <v>19</v>
      </c>
      <c r="AD169" s="1">
        <f>VLOOKUP(A169,'SegEnds_NonXtal_Prot#'!A:AL,16,FALSE)-VLOOKUP(A169,'SegEnds_NonXtal_Prot#'!A:AL,10,FALSE)</f>
        <v>51</v>
      </c>
      <c r="AE169" s="1">
        <f>VLOOKUP(A169,'SegEnds_NonXtal_Prot#'!A:AL,22,FALSE)-VLOOKUP(A169,'SegEnds_NonXtal_Prot#'!A:AL,19,FALSE)</f>
        <v>20</v>
      </c>
      <c r="AF169" s="1">
        <f>VLOOKUP(A169,'SegEnds_NonXtal_Prot#'!A:AL,28,FALSE)-VLOOKUP(A169,'SegEnds_NonXtal_Prot#'!A:AL,25,FALSE)</f>
        <v>25</v>
      </c>
      <c r="AG169" s="1">
        <f>VLOOKUP(A169,'SegEnds_NonXtal_Prot#'!A:AL,28,FALSE)-VLOOKUP(A169,'SegEnds_NonXtal_Prot#'!A:AL,22,FALSE)</f>
        <v>51</v>
      </c>
      <c r="AH169" s="1">
        <f>VLOOKUP(A169,'SegEnds_NonXtal_Prot#'!A:AL,31,FALSE)-VLOOKUP(A169,'SegEnds_NonXtal_Prot#'!A:AL,28,FALSE)</f>
        <v>43</v>
      </c>
      <c r="AI169" s="1">
        <f>VLOOKUP(A169,'SegEnds_NonXtal_Prot#'!A:AL,34,FALSE)-VLOOKUP(A169,'SegEnds_NonXtal_Prot#'!A:AL,31,FALSE)</f>
        <v>46</v>
      </c>
      <c r="AJ169" s="1" t="str">
        <f>IF(ISERROR(MATCH(A169,'SegEnds_Xtal_Prot#'!B:B, 0)), "NoXtal", "Xtal")</f>
        <v>NoXtal</v>
      </c>
    </row>
    <row r="170" spans="1:36" x14ac:dyDescent="0.2">
      <c r="A170" s="1" t="s">
        <v>293</v>
      </c>
      <c r="B170" s="1" t="str">
        <f>VLOOKUP(A170,Xtal_Templ!A:B,2,FALSE)</f>
        <v>ntr1_rat</v>
      </c>
      <c r="C170" s="5">
        <f>VLOOKUP($B170&amp;"__wt",'SegEnds_Xtal_BW#'!$A:$Z,3,FALSE)</f>
        <v>29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v>66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21</v>
      </c>
      <c r="L170" s="1">
        <f>VLOOKUP($B170&amp;"__wt",'SegEnds_Xtal_BW#'!$A:$Z,12,FALSE)</f>
        <v>56</v>
      </c>
      <c r="M170" s="1">
        <f>VLOOKUP($B170&amp;"__wt",'SegEnds_Xtal_BW#'!$A:$Z,13,FALSE)</f>
        <v>50</v>
      </c>
      <c r="N170" s="12">
        <v>57</v>
      </c>
      <c r="O170" s="89"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v>35</v>
      </c>
      <c r="T170" s="1">
        <f t="array" ref="T170">INDEX('ICL3'!$G$2:$G$40,MATCH(MIN(ABS(AH170-'ICL3'!$F$2:$F$40)),ABS(AH170-'ICL3'!$F$2:$F$40),0))</f>
        <v>67</v>
      </c>
      <c r="U170" s="1">
        <f t="array" ref="U170">INDEX('ICL3'!$H$2:$H$40,MATCH(MIN(ABS(AH170-'ICL3'!$F$2:$F$40)),ABS(AH170-'ICL3'!$F$2:$F$40),0))</f>
        <v>26</v>
      </c>
      <c r="V170" s="1">
        <v>64</v>
      </c>
      <c r="W170" s="1">
        <v>24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VLOOKUP(A170,'SegEnds_NonXtal_Prot#'!A:AL,10,FALSE)-VLOOKUP(A170,'SegEnds_NonXtal_Prot#'!A:AL,7,FALSE)</f>
        <v>17</v>
      </c>
      <c r="AC170" s="1">
        <f>VLOOKUP(A170,'SegEnds_NonXtal_Prot#'!A:AL,13,FALSE)-VLOOKUP(A170,'SegEnds_NonXtal_Prot#'!A:AL,10,FALSE)</f>
        <v>19</v>
      </c>
      <c r="AD170" s="1">
        <f>VLOOKUP(A170,'SegEnds_NonXtal_Prot#'!A:AL,16,FALSE)-VLOOKUP(A170,'SegEnds_NonXtal_Prot#'!A:AL,10,FALSE)</f>
        <v>51</v>
      </c>
      <c r="AE170" s="1">
        <f>VLOOKUP(A170,'SegEnds_NonXtal_Prot#'!A:AL,22,FALSE)-VLOOKUP(A170,'SegEnds_NonXtal_Prot#'!A:AL,19,FALSE)</f>
        <v>20</v>
      </c>
      <c r="AF170" s="1">
        <f>VLOOKUP(A170,'SegEnds_NonXtal_Prot#'!A:AL,28,FALSE)-VLOOKUP(A170,'SegEnds_NonXtal_Prot#'!A:AL,25,FALSE)</f>
        <v>22</v>
      </c>
      <c r="AG170" s="1">
        <f>VLOOKUP(A170,'SegEnds_NonXtal_Prot#'!A:AL,28,FALSE)-VLOOKUP(A170,'SegEnds_NonXtal_Prot#'!A:AL,22,FALSE)</f>
        <v>47</v>
      </c>
      <c r="AH170" s="1">
        <f>VLOOKUP(A170,'SegEnds_NonXtal_Prot#'!A:AL,31,FALSE)-VLOOKUP(A170,'SegEnds_NonXtal_Prot#'!A:AL,28,FALSE)</f>
        <v>46</v>
      </c>
      <c r="AI170" s="1">
        <f>VLOOKUP(A170,'SegEnds_NonXtal_Prot#'!A:AL,34,FALSE)-VLOOKUP(A170,'SegEnds_NonXtal_Prot#'!A:AL,31,FALSE)</f>
        <v>46</v>
      </c>
      <c r="AJ170" s="1" t="str">
        <f>IF(ISERROR(MATCH(A170,'SegEnds_Xtal_Prot#'!B:B, 0)), "NoXtal", "Xtal")</f>
        <v>NoXtal</v>
      </c>
    </row>
    <row r="171" spans="1:36" x14ac:dyDescent="0.2">
      <c r="A171" s="1" t="s">
        <v>294</v>
      </c>
      <c r="B171" s="1" t="str">
        <f>VLOOKUP(A171,Xtal_Templ!A:B,2,FALSE)</f>
        <v>agtr1_human</v>
      </c>
      <c r="C171" s="5">
        <f>VLOOKUP($B171&amp;"__wt",'SegEnds_Xtal_BW#'!$A:$Z,3,FALSE)</f>
        <v>30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v>67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>
        <f>VLOOKUP($B171&amp;"__wt",'SegEnds_Xtal_BW#'!$A:$Z,13,FALSE)</f>
        <v>50</v>
      </c>
      <c r="N171" s="12">
        <v>57</v>
      </c>
      <c r="O171" s="89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34</v>
      </c>
      <c r="T171" s="1">
        <f t="array" ref="T171">INDEX('ICL3'!$G$2:$G$40,MATCH(MIN(ABS(AH171-'ICL3'!$F$2:$F$40)),ABS(AH171-'ICL3'!$F$2:$F$40),0))</f>
        <v>68</v>
      </c>
      <c r="U171" s="1">
        <f t="array" ref="U171">INDEX('ICL3'!$H$2:$H$40,MATCH(MIN(ABS(AH171-'ICL3'!$F$2:$F$40)),ABS(AH171-'ICL3'!$F$2:$F$40),0))</f>
        <v>30</v>
      </c>
      <c r="V171" s="1">
        <v>61</v>
      </c>
      <c r="W171" s="1">
        <v>32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61</v>
      </c>
      <c r="AA171" s="27" t="str">
        <f>VLOOKUP(A171,Classification!A:B,2,FALSE)</f>
        <v>A</v>
      </c>
      <c r="AB171" s="1" t="e">
        <f>VLOOKUP(A171,'SegEnds_NonXtal_Prot#'!A:AL,10,FALSE)-VLOOKUP(A171,'SegEnds_NonXtal_Prot#'!A:AL,7,FALSE)</f>
        <v>#VALUE!</v>
      </c>
      <c r="AC171" s="1" t="e">
        <f>VLOOKUP(A171,'SegEnds_NonXtal_Prot#'!A:AL,13,FALSE)-VLOOKUP(A171,'SegEnds_NonXtal_Prot#'!A:AL,10,FALSE)</f>
        <v>#VALUE!</v>
      </c>
      <c r="AD171" s="1">
        <f>VLOOKUP(A171,'SegEnds_NonXtal_Prot#'!A:AL,16,FALSE)-VLOOKUP(A171,'SegEnds_NonXtal_Prot#'!A:AL,10,FALSE)</f>
        <v>53</v>
      </c>
      <c r="AE171" s="1">
        <f>VLOOKUP(A171,'SegEnds_NonXtal_Prot#'!A:AL,22,FALSE)-VLOOKUP(A171,'SegEnds_NonXtal_Prot#'!A:AL,19,FALSE)</f>
        <v>20</v>
      </c>
      <c r="AF171" s="1" t="e">
        <f>VLOOKUP(A171,'SegEnds_NonXtal_Prot#'!A:AL,28,FALSE)-VLOOKUP(A171,'SegEnds_NonXtal_Prot#'!A:AL,25,FALSE)</f>
        <v>#VALUE!</v>
      </c>
      <c r="AG171" s="1">
        <f>VLOOKUP(A171,'SegEnds_NonXtal_Prot#'!A:AL,28,FALSE)-VLOOKUP(A171,'SegEnds_NonXtal_Prot#'!A:AL,22,FALSE)</f>
        <v>44</v>
      </c>
      <c r="AH171" s="1">
        <f>VLOOKUP(A171,'SegEnds_NonXtal_Prot#'!A:AL,31,FALSE)-VLOOKUP(A171,'SegEnds_NonXtal_Prot#'!A:AL,28,FALSE)</f>
        <v>42</v>
      </c>
      <c r="AI171" s="1">
        <f>VLOOKUP(A171,'SegEnds_NonXtal_Prot#'!A:AL,34,FALSE)-VLOOKUP(A171,'SegEnds_NonXtal_Prot#'!A:AL,31,FALSE)</f>
        <v>34</v>
      </c>
      <c r="AJ171" s="1" t="str">
        <f>IF(ISERROR(MATCH(A171,'SegEnds_Xtal_Prot#'!B:B, 0)), "NoXtal", "Xtal")</f>
        <v>NoXtal</v>
      </c>
    </row>
    <row r="172" spans="1:36" x14ac:dyDescent="0.2">
      <c r="A172" s="1" t="s">
        <v>295</v>
      </c>
      <c r="B172" s="1" t="str">
        <f>VLOOKUP(A172,Xtal_Templ!A:B,2,FALSE)</f>
        <v>ccr9_human</v>
      </c>
      <c r="C172" s="5">
        <f>VLOOKUP($B172&amp;"__wt",'SegEnds_Xtal_BW#'!$A:$Z,3,FALSE)</f>
        <v>27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66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>
        <f>VLOOKUP($B172&amp;"__wt",'SegEnds_Xtal_BW#'!$A:$Z,13,FALSE)</f>
        <v>50</v>
      </c>
      <c r="N172" s="12">
        <v>57</v>
      </c>
      <c r="O172" s="89"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33</v>
      </c>
      <c r="T172" s="1">
        <f t="array" ref="T172">INDEX('ICL3'!$G$2:$G$40,MATCH(MIN(ABS(AH172-'ICL3'!$F$2:$F$40)),ABS(AH172-'ICL3'!$F$2:$F$40),0))</f>
        <v>68</v>
      </c>
      <c r="U172" s="1">
        <f t="array" ref="U172">INDEX('ICL3'!$H$2:$H$40,MATCH(MIN(ABS(AH172-'ICL3'!$F$2:$F$40)),ABS(AH172-'ICL3'!$F$2:$F$40),0))</f>
        <v>30</v>
      </c>
      <c r="V172" s="1">
        <v>61</v>
      </c>
      <c r="W172" s="1">
        <v>34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67</v>
      </c>
      <c r="AA172" s="27" t="str">
        <f>VLOOKUP(A172,Classification!A:B,2,FALSE)</f>
        <v>A</v>
      </c>
      <c r="AB172" s="1" t="e">
        <f>VLOOKUP(A172,'SegEnds_NonXtal_Prot#'!A:AL,10,FALSE)-VLOOKUP(A172,'SegEnds_NonXtal_Prot#'!A:AL,7,FALSE)</f>
        <v>#VALUE!</v>
      </c>
      <c r="AC172" s="1" t="e">
        <f>VLOOKUP(A172,'SegEnds_NonXtal_Prot#'!A:AL,13,FALSE)-VLOOKUP(A172,'SegEnds_NonXtal_Prot#'!A:AL,10,FALSE)</f>
        <v>#VALUE!</v>
      </c>
      <c r="AD172" s="1">
        <f>VLOOKUP(A172,'SegEnds_NonXtal_Prot#'!A:AL,16,FALSE)-VLOOKUP(A172,'SegEnds_NonXtal_Prot#'!A:AL,10,FALSE)</f>
        <v>52</v>
      </c>
      <c r="AE172" s="1">
        <f>VLOOKUP(A172,'SegEnds_NonXtal_Prot#'!A:AL,22,FALSE)-VLOOKUP(A172,'SegEnds_NonXtal_Prot#'!A:AL,19,FALSE)</f>
        <v>20</v>
      </c>
      <c r="AF172" s="1" t="e">
        <f>VLOOKUP(A172,'SegEnds_NonXtal_Prot#'!A:AL,28,FALSE)-VLOOKUP(A172,'SegEnds_NonXtal_Prot#'!A:AL,25,FALSE)</f>
        <v>#VALUE!</v>
      </c>
      <c r="AG172" s="1">
        <f>VLOOKUP(A172,'SegEnds_NonXtal_Prot#'!A:AL,28,FALSE)-VLOOKUP(A172,'SegEnds_NonXtal_Prot#'!A:AL,22,FALSE)</f>
        <v>39</v>
      </c>
      <c r="AH172" s="1">
        <f>VLOOKUP(A172,'SegEnds_NonXtal_Prot#'!A:AL,31,FALSE)-VLOOKUP(A172,'SegEnds_NonXtal_Prot#'!A:AL,28,FALSE)</f>
        <v>42</v>
      </c>
      <c r="AI172" s="1">
        <f>VLOOKUP(A172,'SegEnds_NonXtal_Prot#'!A:AL,34,FALSE)-VLOOKUP(A172,'SegEnds_NonXtal_Prot#'!A:AL,31,FALSE)</f>
        <v>32</v>
      </c>
      <c r="AJ172" s="1" t="str">
        <f>IF(ISERROR(MATCH(A172,'SegEnds_Xtal_Prot#'!B:B, 0)), "NoXtal", "Xtal")</f>
        <v>NoXtal</v>
      </c>
    </row>
    <row r="173" spans="1:36" x14ac:dyDescent="0.2">
      <c r="A173" s="1" t="s">
        <v>296</v>
      </c>
      <c r="B173" s="1" t="str">
        <f>VLOOKUP(A173,Xtal_Templ!A:B,2,FALSE)</f>
        <v>lpar1_human</v>
      </c>
      <c r="C173" s="5">
        <f>VLOOKUP($B173&amp;"__wt",'SegEnds_Xtal_BW#'!$A:$Z,3,FALSE)</f>
        <v>30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v>67</v>
      </c>
      <c r="I173" s="1" t="s">
        <v>23</v>
      </c>
      <c r="J173" s="1" t="s">
        <v>23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57</v>
      </c>
      <c r="O173" s="89">
        <f>VLOOKUP($B173&amp;"__wt",'SegEnds_Xtal_BW#'!$A:$Z,15,FALSE)</f>
        <v>38</v>
      </c>
      <c r="P173" s="1">
        <f>VLOOKUP($B173&amp;"__wt",'SegEnds_Xtal_BW#'!$A:$Z,16,FALSE)</f>
        <v>63</v>
      </c>
      <c r="Q173" s="1" t="str">
        <f>VLOOKUP($B173&amp;"__wt",'SegEnds_Xtal_BW#'!$A:$Z,17,FALSE)</f>
        <v>-</v>
      </c>
      <c r="R173" s="1" t="str">
        <f>VLOOKUP($B173&amp;"__wt",'SegEnds_Xtal_BW#'!$A:$Z,18,FALSE)</f>
        <v>-</v>
      </c>
      <c r="S173" s="111">
        <v>33</v>
      </c>
      <c r="T173" s="1">
        <f t="array" ref="T173">INDEX('ICL3'!$G$2:$G$40,MATCH(MIN(ABS(AH173-'ICL3'!$F$2:$F$40)),ABS(AH173-'ICL3'!$F$2:$F$40),0))</f>
        <v>68</v>
      </c>
      <c r="U173" s="111">
        <v>27</v>
      </c>
      <c r="V173" s="1">
        <v>61</v>
      </c>
      <c r="W173" s="1">
        <v>28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59</v>
      </c>
      <c r="AA173" s="27" t="str">
        <f>VLOOKUP(A173,Classification!A:B,2,FALSE)</f>
        <v>A</v>
      </c>
      <c r="AB173" s="1">
        <f>VLOOKUP(A173,'SegEnds_NonXtal_Prot#'!A:AL,10,FALSE)-VLOOKUP(A173,'SegEnds_NonXtal_Prot#'!A:AL,7,FALSE)</f>
        <v>15</v>
      </c>
      <c r="AC173" s="1" t="e">
        <f>VLOOKUP(A173,'SegEnds_NonXtal_Prot#'!A:AL,13,FALSE)-VLOOKUP(A173,'SegEnds_NonXtal_Prot#'!A:AL,10,FALSE)</f>
        <v>#VALUE!</v>
      </c>
      <c r="AD173" s="1">
        <f>VLOOKUP(A173,'SegEnds_NonXtal_Prot#'!A:AL,16,FALSE)-VLOOKUP(A173,'SegEnds_NonXtal_Prot#'!A:AL,10,FALSE)</f>
        <v>58</v>
      </c>
      <c r="AE173" s="1">
        <f>VLOOKUP(A173,'SegEnds_NonXtal_Prot#'!A:AL,22,FALSE)-VLOOKUP(A173,'SegEnds_NonXtal_Prot#'!A:AL,19,FALSE)</f>
        <v>20</v>
      </c>
      <c r="AF173" s="1" t="e">
        <f>VLOOKUP(A173,'SegEnds_NonXtal_Prot#'!A:AL,28,FALSE)-VLOOKUP(A173,'SegEnds_NonXtal_Prot#'!A:AL,25,FALSE)</f>
        <v>#VALUE!</v>
      </c>
      <c r="AG173" s="1">
        <f>VLOOKUP(A173,'SegEnds_NonXtal_Prot#'!A:AL,28,FALSE)-VLOOKUP(A173,'SegEnds_NonXtal_Prot#'!A:AL,22,FALSE)</f>
        <v>40</v>
      </c>
      <c r="AH173" s="1">
        <f>VLOOKUP(A173,'SegEnds_NonXtal_Prot#'!A:AL,31,FALSE)-VLOOKUP(A173,'SegEnds_NonXtal_Prot#'!A:AL,28,FALSE)</f>
        <v>48</v>
      </c>
      <c r="AI173" s="1">
        <f>VLOOKUP(A173,'SegEnds_NonXtal_Prot#'!A:AL,34,FALSE)-VLOOKUP(A173,'SegEnds_NonXtal_Prot#'!A:AL,31,FALSE)</f>
        <v>39</v>
      </c>
      <c r="AJ173" s="1" t="str">
        <f>IF(ISERROR(MATCH(A173,'SegEnds_Xtal_Prot#'!B:B, 0)), "NoXtal", "Xtal")</f>
        <v>NoXtal</v>
      </c>
    </row>
    <row r="174" spans="1:36" x14ac:dyDescent="0.2">
      <c r="A174" s="1" t="s">
        <v>297</v>
      </c>
      <c r="B174" s="1" t="str">
        <f>VLOOKUP(A174,Xtal_Templ!A:B,2,FALSE)</f>
        <v>s1pr1_human</v>
      </c>
      <c r="C174" s="5">
        <f>VLOOKUP($B174&amp;"__wt",'SegEnds_Xtal_BW#'!$A:$Z,3,FALSE)</f>
        <v>29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v>67</v>
      </c>
      <c r="I174" s="1" t="s">
        <v>23</v>
      </c>
      <c r="J174" s="1" t="s">
        <v>23</v>
      </c>
      <c r="K174" s="12">
        <v>18</v>
      </c>
      <c r="L174" s="1">
        <f>VLOOKUP($B174&amp;"__wt",'SegEnds_Xtal_BW#'!$A:$Z,12,FALSE)</f>
        <v>56</v>
      </c>
      <c r="M174" s="1">
        <f>VLOOKUP($B174&amp;"__wt",'SegEnds_Xtal_BW#'!$A:$Z,13,FALSE)</f>
        <v>50</v>
      </c>
      <c r="N174" s="12">
        <v>57</v>
      </c>
      <c r="O174" s="89">
        <f>VLOOKUP($B174&amp;"__wt",'SegEnds_Xtal_BW#'!$A:$Z,15,FALSE)</f>
        <v>38</v>
      </c>
      <c r="P174" s="1">
        <f>VLOOKUP($B174&amp;"__wt",'SegEnds_Xtal_BW#'!$A:$Z,16,FALSE)</f>
        <v>63</v>
      </c>
      <c r="Q174" s="1" t="str">
        <f>VLOOKUP($B174&amp;"__wt",'SegEnds_Xtal_BW#'!$A:$Z,17,FALSE)</f>
        <v>-</v>
      </c>
      <c r="R174" s="1" t="str">
        <f>VLOOKUP($B174&amp;"__wt",'SegEnds_Xtal_BW#'!$A:$Z,18,FALSE)</f>
        <v>-</v>
      </c>
      <c r="S174" s="111">
        <v>33</v>
      </c>
      <c r="T174" s="1">
        <f t="array" ref="T174">INDEX('ICL3'!$G$2:$G$40,MATCH(MIN(ABS(AH174-'ICL3'!$F$2:$F$40)),ABS(AH174-'ICL3'!$F$2:$F$40),0))</f>
        <v>67</v>
      </c>
      <c r="U174" s="111">
        <v>27</v>
      </c>
      <c r="V174" s="1">
        <v>61</v>
      </c>
      <c r="W174" s="1"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59</v>
      </c>
      <c r="AA174" s="27" t="str">
        <f>VLOOKUP(A174,Classification!A:B,2,FALSE)</f>
        <v>A</v>
      </c>
      <c r="AB174" s="1">
        <f>VLOOKUP(A174,'SegEnds_NonXtal_Prot#'!A:AL,10,FALSE)-VLOOKUP(A174,'SegEnds_NonXtal_Prot#'!A:AL,7,FALSE)</f>
        <v>15</v>
      </c>
      <c r="AC174" s="1" t="e">
        <f>VLOOKUP(A174,'SegEnds_NonXtal_Prot#'!A:AL,13,FALSE)-VLOOKUP(A174,'SegEnds_NonXtal_Prot#'!A:AL,10,FALSE)</f>
        <v>#VALUE!</v>
      </c>
      <c r="AD174" s="1">
        <f>VLOOKUP(A174,'SegEnds_NonXtal_Prot#'!A:AL,16,FALSE)-VLOOKUP(A174,'SegEnds_NonXtal_Prot#'!A:AL,10,FALSE)</f>
        <v>57</v>
      </c>
      <c r="AE174" s="1">
        <f>VLOOKUP(A174,'SegEnds_NonXtal_Prot#'!A:AL,22,FALSE)-VLOOKUP(A174,'SegEnds_NonXtal_Prot#'!A:AL,19,FALSE)</f>
        <v>20</v>
      </c>
      <c r="AF174" s="1" t="e">
        <f>VLOOKUP(A174,'SegEnds_NonXtal_Prot#'!A:AL,28,FALSE)-VLOOKUP(A174,'SegEnds_NonXtal_Prot#'!A:AL,25,FALSE)</f>
        <v>#VALUE!</v>
      </c>
      <c r="AG174" s="1">
        <f>VLOOKUP(A174,'SegEnds_NonXtal_Prot#'!A:AL,28,FALSE)-VLOOKUP(A174,'SegEnds_NonXtal_Prot#'!A:AL,22,FALSE)</f>
        <v>40</v>
      </c>
      <c r="AH174" s="1">
        <f>VLOOKUP(A174,'SegEnds_NonXtal_Prot#'!A:AL,31,FALSE)-VLOOKUP(A174,'SegEnds_NonXtal_Prot#'!A:AL,28,FALSE)</f>
        <v>46</v>
      </c>
      <c r="AI174" s="1">
        <f>VLOOKUP(A174,'SegEnds_NonXtal_Prot#'!A:AL,34,FALSE)-VLOOKUP(A174,'SegEnds_NonXtal_Prot#'!A:AL,31,FALSE)</f>
        <v>39</v>
      </c>
      <c r="AJ174" s="1" t="str">
        <f>IF(ISERROR(MATCH(A174,'SegEnds_Xtal_Prot#'!B:B, 0)), "NoXtal", "Xtal")</f>
        <v>NoXtal</v>
      </c>
    </row>
    <row r="175" spans="1:36" x14ac:dyDescent="0.2">
      <c r="A175" s="1" t="s">
        <v>298</v>
      </c>
      <c r="B175" s="1" t="str">
        <f>VLOOKUP(A175,Xtal_Templ!A:B,2,FALSE)</f>
        <v>lpar1_human</v>
      </c>
      <c r="C175" s="5">
        <f>VLOOKUP($B175&amp;"__wt",'SegEnds_Xtal_BW#'!$A:$Z,3,FALSE)</f>
        <v>30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63</v>
      </c>
      <c r="I175" s="1">
        <v>49</v>
      </c>
      <c r="J175" s="1">
        <f>VLOOKUP($B175&amp;"__wt",'SegEnds_Xtal_BW#'!$A:$Z,10,FALSE)</f>
        <v>53</v>
      </c>
      <c r="K175" s="12">
        <v>18</v>
      </c>
      <c r="L175" s="1">
        <f>VLOOKUP($B175&amp;"__wt",'SegEnds_Xtal_BW#'!$A:$Z,12,FALSE)</f>
        <v>56</v>
      </c>
      <c r="M175" s="1">
        <f>VLOOKUP($B175&amp;"__wt",'SegEnds_Xtal_BW#'!$A:$Z,13,FALSE)</f>
        <v>50</v>
      </c>
      <c r="N175" s="12">
        <v>57</v>
      </c>
      <c r="O175" s="89">
        <f>VLOOKUP($B175&amp;"__wt",'SegEnds_Xtal_BW#'!$A:$Z,15,FALSE)</f>
        <v>38</v>
      </c>
      <c r="P175" s="1">
        <f>VLOOKUP($B175&amp;"__wt",'SegEnds_Xtal_BW#'!$A:$Z,16,FALSE)</f>
        <v>63</v>
      </c>
      <c r="Q175" s="1" t="str">
        <f>VLOOKUP($B175&amp;"__wt",'SegEnds_Xtal_BW#'!$A:$Z,17,FALSE)</f>
        <v>-</v>
      </c>
      <c r="R175" s="1" t="str">
        <f>VLOOKUP($B175&amp;"__wt",'SegEnds_Xtal_BW#'!$A:$Z,18,FALSE)</f>
        <v>-</v>
      </c>
      <c r="S175" s="111">
        <v>33</v>
      </c>
      <c r="T175" s="1">
        <f t="array" ref="T175">INDEX('ICL3'!$G$2:$G$40,MATCH(MIN(ABS(AH175-'ICL3'!$F$2:$F$40)),ABS(AH175-'ICL3'!$F$2:$F$40),0))</f>
        <v>67</v>
      </c>
      <c r="U175" s="111">
        <v>27</v>
      </c>
      <c r="V175" s="1">
        <v>61</v>
      </c>
      <c r="W175" s="1"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59</v>
      </c>
      <c r="AA175" s="27" t="str">
        <f>VLOOKUP(A175,Classification!A:B,2,FALSE)</f>
        <v>A</v>
      </c>
      <c r="AB175" s="1">
        <f>VLOOKUP(A175,'SegEnds_NonXtal_Prot#'!A:AL,10,FALSE)-VLOOKUP(A175,'SegEnds_NonXtal_Prot#'!A:AL,7,FALSE)</f>
        <v>15</v>
      </c>
      <c r="AC175" s="1" t="e">
        <f>VLOOKUP(A175,'SegEnds_NonXtal_Prot#'!A:AL,13,FALSE)-VLOOKUP(A175,'SegEnds_NonXtal_Prot#'!A:AL,10,FALSE)</f>
        <v>#VALUE!</v>
      </c>
      <c r="AD175" s="1">
        <f>VLOOKUP(A175,'SegEnds_NonXtal_Prot#'!A:AL,16,FALSE)-VLOOKUP(A175,'SegEnds_NonXtal_Prot#'!A:AL,10,FALSE)</f>
        <v>58</v>
      </c>
      <c r="AE175" s="1">
        <f>VLOOKUP(A175,'SegEnds_NonXtal_Prot#'!A:AL,22,FALSE)-VLOOKUP(A175,'SegEnds_NonXtal_Prot#'!A:AL,19,FALSE)</f>
        <v>20</v>
      </c>
      <c r="AF175" s="1" t="e">
        <f>VLOOKUP(A175,'SegEnds_NonXtal_Prot#'!A:AL,28,FALSE)-VLOOKUP(A175,'SegEnds_NonXtal_Prot#'!A:AL,25,FALSE)</f>
        <v>#VALUE!</v>
      </c>
      <c r="AG175" s="1">
        <f>VLOOKUP(A175,'SegEnds_NonXtal_Prot#'!A:AL,28,FALSE)-VLOOKUP(A175,'SegEnds_NonXtal_Prot#'!A:AL,22,FALSE)</f>
        <v>40</v>
      </c>
      <c r="AH175" s="1">
        <f>VLOOKUP(A175,'SegEnds_NonXtal_Prot#'!A:AL,31,FALSE)-VLOOKUP(A175,'SegEnds_NonXtal_Prot#'!A:AL,28,FALSE)</f>
        <v>46</v>
      </c>
      <c r="AI175" s="1">
        <f>VLOOKUP(A175,'SegEnds_NonXtal_Prot#'!A:AL,34,FALSE)-VLOOKUP(A175,'SegEnds_NonXtal_Prot#'!A:AL,31,FALSE)</f>
        <v>39</v>
      </c>
      <c r="AJ175" s="1" t="str">
        <f>IF(ISERROR(MATCH(A175,'SegEnds_Xtal_Prot#'!B:B, 0)), "NoXtal", "Xtal")</f>
        <v>NoXtal</v>
      </c>
    </row>
    <row r="176" spans="1:36" x14ac:dyDescent="0.2">
      <c r="A176" s="1" t="s">
        <v>299</v>
      </c>
      <c r="B176" s="1" t="str">
        <f>VLOOKUP(A176,Xtal_Templ!A:B,2,FALSE)</f>
        <v>oprk_human</v>
      </c>
      <c r="C176" s="5">
        <f>VLOOKUP($B176&amp;"__wt",'SegEnds_Xtal_BW#'!$A:$Z,3,FALSE)</f>
        <v>30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f>VLOOKUP($B176&amp;"__wt",'SegEnds_Xtal_BW#'!$A:$Z,8,FALSE)</f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v>18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v>57</v>
      </c>
      <c r="O176" s="89"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INDEX('ICL3'!$G$2:$G$40,MATCH(MIN(ABS(AH176-'ICL3'!$F$2:$F$40)),ABS(AH176-'ICL3'!$F$2:$F$40),0))</f>
        <v>68</v>
      </c>
      <c r="U176" s="1">
        <f t="array" ref="U176">INDEX('ICL3'!$H$2:$H$40,MATCH(MIN(ABS(AH176-'ICL3'!$F$2:$F$40)),ABS(AH176-'ICL3'!$F$2:$F$40),0))</f>
        <v>23</v>
      </c>
      <c r="V176" s="1">
        <v>61</v>
      </c>
      <c r="W176" s="1">
        <v>31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59</v>
      </c>
      <c r="AA176" s="27" t="str">
        <f>VLOOKUP(A176,Classification!A:B,2,FALSE)</f>
        <v>A</v>
      </c>
      <c r="AB176" s="1">
        <f>VLOOKUP(A176,'SegEnds_NonXtal_Prot#'!A:AL,10,FALSE)-VLOOKUP(A176,'SegEnds_NonXtal_Prot#'!A:AL,7,FALSE)</f>
        <v>18</v>
      </c>
      <c r="AC176" s="1">
        <f>VLOOKUP(A176,'SegEnds_NonXtal_Prot#'!A:AL,13,FALSE)-VLOOKUP(A176,'SegEnds_NonXtal_Prot#'!A:AL,10,FALSE)</f>
        <v>20</v>
      </c>
      <c r="AD176" s="1">
        <f>VLOOKUP(A176,'SegEnds_NonXtal_Prot#'!A:AL,16,FALSE)-VLOOKUP(A176,'SegEnds_NonXtal_Prot#'!A:AL,10,FALSE)</f>
        <v>52</v>
      </c>
      <c r="AE176" s="1">
        <f>VLOOKUP(A176,'SegEnds_NonXtal_Prot#'!A:AL,22,FALSE)-VLOOKUP(A176,'SegEnds_NonXtal_Prot#'!A:AL,19,FALSE)</f>
        <v>20</v>
      </c>
      <c r="AF176" s="1">
        <f>VLOOKUP(A176,'SegEnds_NonXtal_Prot#'!A:AL,28,FALSE)-VLOOKUP(A176,'SegEnds_NonXtal_Prot#'!A:AL,25,FALSE)</f>
        <v>26</v>
      </c>
      <c r="AG176" s="1">
        <f>VLOOKUP(A176,'SegEnds_NonXtal_Prot#'!A:AL,28,FALSE)-VLOOKUP(A176,'SegEnds_NonXtal_Prot#'!A:AL,22,FALSE)</f>
        <v>52</v>
      </c>
      <c r="AH176" s="1">
        <f>VLOOKUP(A176,'SegEnds_NonXtal_Prot#'!A:AL,31,FALSE)-VLOOKUP(A176,'SegEnds_NonXtal_Prot#'!A:AL,28,FALSE)</f>
        <v>51</v>
      </c>
      <c r="AI176" s="1">
        <f>VLOOKUP(A176,'SegEnds_NonXtal_Prot#'!A:AL,34,FALSE)-VLOOKUP(A176,'SegEnds_NonXtal_Prot#'!A:AL,31,FALSE)</f>
        <v>37</v>
      </c>
      <c r="AJ176" s="1" t="str">
        <f>IF(ISERROR(MATCH(A176,'SegEnds_Xtal_Prot#'!B:B, 0)), "NoXtal", "Xtal")</f>
        <v>NoXtal</v>
      </c>
    </row>
    <row r="177" spans="1:36" x14ac:dyDescent="0.2">
      <c r="A177" s="1" t="s">
        <v>300</v>
      </c>
      <c r="B177" s="1" t="str">
        <f>VLOOKUP(A177,Xtal_Templ!A:B,2,FALSE)</f>
        <v>oprd_human</v>
      </c>
      <c r="C177" s="5">
        <f>VLOOKUP($B177&amp;"__wt",'SegEnds_Xtal_BW#'!$A:$Z,3,FALSE)</f>
        <v>22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f>VLOOKUP($B177&amp;"__wt",'SegEnds_Xtal_BW#'!$A:$Z,8,FALSE)</f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v>18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v>57</v>
      </c>
      <c r="O177" s="89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INDEX('ICL3'!$G$2:$G$40,MATCH(MIN(ABS(AH177-'ICL3'!$F$2:$F$40)),ABS(AH177-'ICL3'!$F$2:$F$40),0))</f>
        <v>72</v>
      </c>
      <c r="U177" s="1">
        <f t="array" ref="U177">INDEX('ICL3'!$H$2:$H$40,MATCH(MIN(ABS(AH177-'ICL3'!$F$2:$F$40)),ABS(AH177-'ICL3'!$F$2:$F$40),0))</f>
        <v>24</v>
      </c>
      <c r="V177" s="1">
        <v>61</v>
      </c>
      <c r="W177" s="1">
        <v>31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 t="e">
        <f>VLOOKUP(A177,'SegEnds_NonXtal_Prot#'!A:AL,10,FALSE)-VLOOKUP(A177,'SegEnds_NonXtal_Prot#'!A:AL,7,FALSE)</f>
        <v>#VALUE!</v>
      </c>
      <c r="AC177" s="1">
        <f>VLOOKUP(A177,'SegEnds_NonXtal_Prot#'!A:AL,13,FALSE)-VLOOKUP(A177,'SegEnds_NonXtal_Prot#'!A:AL,10,FALSE)</f>
        <v>20</v>
      </c>
      <c r="AD177" s="1">
        <f>VLOOKUP(A177,'SegEnds_NonXtal_Prot#'!A:AL,16,FALSE)-VLOOKUP(A177,'SegEnds_NonXtal_Prot#'!A:AL,10,FALSE)</f>
        <v>52</v>
      </c>
      <c r="AE177" s="1">
        <f>VLOOKUP(A177,'SegEnds_NonXtal_Prot#'!A:AL,22,FALSE)-VLOOKUP(A177,'SegEnds_NonXtal_Prot#'!A:AL,19,FALSE)</f>
        <v>20</v>
      </c>
      <c r="AF177" s="1">
        <f>VLOOKUP(A177,'SegEnds_NonXtal_Prot#'!A:AL,28,FALSE)-VLOOKUP(A177,'SegEnds_NonXtal_Prot#'!A:AL,25,FALSE)</f>
        <v>25</v>
      </c>
      <c r="AG177" s="1">
        <f>VLOOKUP(A177,'SegEnds_NonXtal_Prot#'!A:AL,28,FALSE)-VLOOKUP(A177,'SegEnds_NonXtal_Prot#'!A:AL,22,FALSE)</f>
        <v>51</v>
      </c>
      <c r="AH177" s="1">
        <f>VLOOKUP(A177,'SegEnds_NonXtal_Prot#'!A:AL,31,FALSE)-VLOOKUP(A177,'SegEnds_NonXtal_Prot#'!A:AL,28,FALSE)</f>
        <v>57</v>
      </c>
      <c r="AI177" s="1">
        <f>VLOOKUP(A177,'SegEnds_NonXtal_Prot#'!A:AL,34,FALSE)-VLOOKUP(A177,'SegEnds_NonXtal_Prot#'!A:AL,31,FALSE)</f>
        <v>37</v>
      </c>
      <c r="AJ177" s="1" t="str">
        <f>IF(ISERROR(MATCH(A177,'SegEnds_Xtal_Prot#'!B:B, 0)), "NoXtal", "Xtal")</f>
        <v>NoXtal</v>
      </c>
    </row>
    <row r="178" spans="1:36" x14ac:dyDescent="0.2">
      <c r="A178" s="1" t="s">
        <v>301</v>
      </c>
      <c r="B178" s="1" t="str">
        <f>VLOOKUP(A178,Xtal_Templ!A:B,2,FALSE)</f>
        <v>agtr1_human</v>
      </c>
      <c r="C178" s="5">
        <f>VLOOKUP($B178&amp;"__wt",'SegEnds_Xtal_BW#'!$A:$Z,3,FALSE)</f>
        <v>30</v>
      </c>
      <c r="D178" s="1">
        <f>VLOOKUP($B178&amp;"__wt",'SegEnds_Xtal_BW#'!$A:$Z,4,FALSE)</f>
        <v>60</v>
      </c>
      <c r="E178" s="1">
        <f>VLOOKUP($B178&amp;"__wt",'SegEnds_Xtal_BW#'!$A:$Z,5,FALSE)</f>
        <v>48</v>
      </c>
      <c r="F178" s="1">
        <f>VLOOKUP($B178&amp;"__wt",'SegEnds_Xtal_BW#'!$A:$Z,6,FALSE)</f>
        <v>51</v>
      </c>
      <c r="G178" s="1">
        <v>37</v>
      </c>
      <c r="H178" s="12">
        <v>66</v>
      </c>
      <c r="I178" s="1">
        <f>VLOOKUP($B178&amp;"__wt",'SegEnds_Xtal_BW#'!$A:$Z,9,FALSE)</f>
        <v>49</v>
      </c>
      <c r="J178" s="1">
        <f>VLOOKUP($B178&amp;"__wt",'SegEnds_Xtal_BW#'!$A:$Z,10,FALSE)</f>
        <v>52</v>
      </c>
      <c r="K178" s="12">
        <v>21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v>57</v>
      </c>
      <c r="O178" s="89">
        <v>38</v>
      </c>
      <c r="P178" s="1">
        <f>VLOOKUP($B178&amp;"__wt",'SegEnds_Xtal_BW#'!$A:$Z,16,FALSE)</f>
        <v>64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34</v>
      </c>
      <c r="T178" s="1">
        <f t="array" ref="T178">INDEX('ICL3'!$G$2:$G$40,MATCH(MIN(ABS(AH178-'ICL3'!$F$2:$F$40)),ABS(AH178-'ICL3'!$F$2:$F$40),0))</f>
        <v>68</v>
      </c>
      <c r="U178" s="1">
        <f t="array" ref="U178">INDEX('ICL3'!$H$2:$H$40,MATCH(MIN(ABS(AH178-'ICL3'!$F$2:$F$40)),ABS(AH178-'ICL3'!$F$2:$F$40),0))</f>
        <v>28</v>
      </c>
      <c r="V178" s="1">
        <v>61</v>
      </c>
      <c r="W178" s="1"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 t="e">
        <f>VLOOKUP(A178,'SegEnds_NonXtal_Prot#'!A:AL,10,FALSE)-VLOOKUP(A178,'SegEnds_NonXtal_Prot#'!A:AL,7,FALSE)</f>
        <v>#VALUE!</v>
      </c>
      <c r="AC178" s="1" t="e">
        <f>VLOOKUP(A178,'SegEnds_NonXtal_Prot#'!A:AL,13,FALSE)-VLOOKUP(A178,'SegEnds_NonXtal_Prot#'!A:AL,10,FALSE)</f>
        <v>#VALUE!</v>
      </c>
      <c r="AD178" s="1">
        <f>VLOOKUP(A178,'SegEnds_NonXtal_Prot#'!A:AL,16,FALSE)-VLOOKUP(A178,'SegEnds_NonXtal_Prot#'!A:AL,10,FALSE)</f>
        <v>51</v>
      </c>
      <c r="AE178" s="1">
        <f>VLOOKUP(A178,'SegEnds_NonXtal_Prot#'!A:AL,22,FALSE)-VLOOKUP(A178,'SegEnds_NonXtal_Prot#'!A:AL,19,FALSE)</f>
        <v>20</v>
      </c>
      <c r="AF178" s="1" t="e">
        <f>VLOOKUP(A178,'SegEnds_NonXtal_Prot#'!A:AL,28,FALSE)-VLOOKUP(A178,'SegEnds_NonXtal_Prot#'!A:AL,25,FALSE)</f>
        <v>#VALUE!</v>
      </c>
      <c r="AG178" s="1">
        <f>VLOOKUP(A178,'SegEnds_NonXtal_Prot#'!A:AL,28,FALSE)-VLOOKUP(A178,'SegEnds_NonXtal_Prot#'!A:AL,22,FALSE)</f>
        <v>42</v>
      </c>
      <c r="AH178" s="1">
        <f>VLOOKUP(A178,'SegEnds_NonXtal_Prot#'!A:AL,31,FALSE)-VLOOKUP(A178,'SegEnds_NonXtal_Prot#'!A:AL,28,FALSE)</f>
        <v>44</v>
      </c>
      <c r="AI178" s="1">
        <f>VLOOKUP(A178,'SegEnds_NonXtal_Prot#'!A:AL,34,FALSE)-VLOOKUP(A178,'SegEnds_NonXtal_Prot#'!A:AL,31,FALSE)</f>
        <v>37</v>
      </c>
      <c r="AJ178" s="1" t="str">
        <f>IF(ISERROR(MATCH(A178,'SegEnds_Xtal_Prot#'!B:B, 0)), "NoXtal", "Xtal")</f>
        <v>NoXtal</v>
      </c>
    </row>
    <row r="179" spans="1:36" x14ac:dyDescent="0.2">
      <c r="A179" s="1" t="s">
        <v>302</v>
      </c>
      <c r="B179" s="1" t="str">
        <f>VLOOKUP(A179,Xtal_Templ!A:B,2,FALSE)</f>
        <v>cxcr4_human</v>
      </c>
      <c r="C179" s="5">
        <f>VLOOKUP($B179&amp;"__wt",'SegEnds_Xtal_BW#'!$A:$Z,3,FALSE)</f>
        <v>24</v>
      </c>
      <c r="D179" s="1">
        <f>VLOOKUP($B179&amp;"__wt",'SegEnds_Xtal_BW#'!$A:$Z,4,FALSE)</f>
        <v>60</v>
      </c>
      <c r="E179" s="1">
        <f>VLOOKUP($B179&amp;"__wt",'SegEnds_Xtal_BW#'!$A:$Z,5,FALSE)</f>
        <v>48</v>
      </c>
      <c r="F179" s="1">
        <f>VLOOKUP($B179&amp;"__wt",'SegEnds_Xtal_BW#'!$A:$Z,6,FALSE)</f>
        <v>51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49</v>
      </c>
      <c r="J179" s="1">
        <f>VLOOKUP($B179&amp;"__wt",'SegEnds_Xtal_BW#'!$A:$Z,10,FALSE)</f>
        <v>52</v>
      </c>
      <c r="K179" s="12">
        <v>21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9">
        <v>38</v>
      </c>
      <c r="P179" s="1">
        <f>VLOOKUP($B179&amp;"__wt",'SegEnds_Xtal_BW#'!$A:$Z,16,FALSE)</f>
        <v>64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f>VLOOKUP($B179&amp;"__wt",'SegEnds_Xtal_BW#'!$A:$Z,19,FALSE)</f>
        <v>32</v>
      </c>
      <c r="T179" s="1">
        <f t="array" ref="T179">INDEX('ICL3'!$G$2:$G$40,MATCH(MIN(ABS(AH179-'ICL3'!$F$2:$F$40)),ABS(AH179-'ICL3'!$F$2:$F$40),0))</f>
        <v>68</v>
      </c>
      <c r="U179" s="1">
        <f t="array" ref="U179">INDEX('ICL3'!$H$2:$H$40,MATCH(MIN(ABS(AH179-'ICL3'!$F$2:$F$40)),ABS(AH179-'ICL3'!$F$2:$F$40),0))</f>
        <v>30</v>
      </c>
      <c r="V179" s="1">
        <v>61</v>
      </c>
      <c r="W179" s="1">
        <v>32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59</v>
      </c>
      <c r="AA179" s="27" t="str">
        <f>VLOOKUP(A179,Classification!A:B,2,FALSE)</f>
        <v>A</v>
      </c>
      <c r="AB179" s="1" t="e">
        <f>VLOOKUP(A179,'SegEnds_NonXtal_Prot#'!A:AL,10,FALSE)-VLOOKUP(A179,'SegEnds_NonXtal_Prot#'!A:AL,7,FALSE)</f>
        <v>#VALUE!</v>
      </c>
      <c r="AC179" s="1" t="e">
        <f>VLOOKUP(A179,'SegEnds_NonXtal_Prot#'!A:AL,13,FALSE)-VLOOKUP(A179,'SegEnds_NonXtal_Prot#'!A:AL,10,FALSE)</f>
        <v>#VALUE!</v>
      </c>
      <c r="AD179" s="1">
        <f>VLOOKUP(A179,'SegEnds_NonXtal_Prot#'!A:AL,16,FALSE)-VLOOKUP(A179,'SegEnds_NonXtal_Prot#'!A:AL,10,FALSE)</f>
        <v>52</v>
      </c>
      <c r="AE179" s="1">
        <f>VLOOKUP(A179,'SegEnds_NonXtal_Prot#'!A:AL,22,FALSE)-VLOOKUP(A179,'SegEnds_NonXtal_Prot#'!A:AL,19,FALSE)</f>
        <v>20</v>
      </c>
      <c r="AF179" s="1" t="e">
        <f>VLOOKUP(A179,'SegEnds_NonXtal_Prot#'!A:AL,28,FALSE)-VLOOKUP(A179,'SegEnds_NonXtal_Prot#'!A:AL,25,FALSE)</f>
        <v>#VALUE!</v>
      </c>
      <c r="AG179" s="1">
        <f>VLOOKUP(A179,'SegEnds_NonXtal_Prot#'!A:AL,28,FALSE)-VLOOKUP(A179,'SegEnds_NonXtal_Prot#'!A:AL,22,FALSE)</f>
        <v>42</v>
      </c>
      <c r="AH179" s="1">
        <f>VLOOKUP(A179,'SegEnds_NonXtal_Prot#'!A:AL,31,FALSE)-VLOOKUP(A179,'SegEnds_NonXtal_Prot#'!A:AL,28,FALSE)</f>
        <v>42</v>
      </c>
      <c r="AI179" s="1">
        <f>VLOOKUP(A179,'SegEnds_NonXtal_Prot#'!A:AL,34,FALSE)-VLOOKUP(A179,'SegEnds_NonXtal_Prot#'!A:AL,31,FALSE)</f>
        <v>34</v>
      </c>
      <c r="AJ179" s="1" t="str">
        <f>IF(ISERROR(MATCH(A179,'SegEnds_Xtal_Prot#'!B:B, 0)), "NoXtal", "Xtal")</f>
        <v>NoXtal</v>
      </c>
    </row>
    <row r="180" spans="1:36" x14ac:dyDescent="0.2">
      <c r="A180" s="1" t="s">
        <v>303</v>
      </c>
      <c r="B180" s="1" t="str">
        <f>VLOOKUP(A180,Xtal_Templ!A:B,2,FALSE)</f>
        <v>agtr1_human</v>
      </c>
      <c r="C180" s="5">
        <f>VLOOKUP($B180&amp;"__wt",'SegEnds_Xtal_BW#'!$A:$Z,3,FALSE)</f>
        <v>30</v>
      </c>
      <c r="D180" s="1">
        <f>VLOOKUP($B180&amp;"__wt",'SegEnds_Xtal_BW#'!$A:$Z,4,FALSE)</f>
        <v>60</v>
      </c>
      <c r="E180" s="1">
        <f>VLOOKUP($B180&amp;"__wt",'SegEnds_Xtal_BW#'!$A:$Z,5,FALSE)</f>
        <v>48</v>
      </c>
      <c r="F180" s="1">
        <f>VLOOKUP($B180&amp;"__wt",'SegEnds_Xtal_BW#'!$A:$Z,6,FALSE)</f>
        <v>51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49</v>
      </c>
      <c r="J180" s="1">
        <f>VLOOKUP($B180&amp;"__wt",'SegEnds_Xtal_BW#'!$A:$Z,10,FALSE)</f>
        <v>52</v>
      </c>
      <c r="K180" s="12">
        <v>21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9">
        <v>38</v>
      </c>
      <c r="P180" s="1">
        <f>VLOOKUP($B180&amp;"__wt",'SegEnds_Xtal_BW#'!$A:$Z,16,FALSE)</f>
        <v>64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34</v>
      </c>
      <c r="T180" s="1">
        <f t="array" ref="T180">INDEX('ICL3'!$G$2:$G$40,MATCH(MIN(ABS(AH180-'ICL3'!$F$2:$F$40)),ABS(AH180-'ICL3'!$F$2:$F$40),0))</f>
        <v>68</v>
      </c>
      <c r="U180" s="1">
        <f t="array" ref="U180">INDEX('ICL3'!$H$2:$H$40,MATCH(MIN(ABS(AH180-'ICL3'!$F$2:$F$40)),ABS(AH180-'ICL3'!$F$2:$F$40),0))</f>
        <v>30</v>
      </c>
      <c r="V180" s="1">
        <v>61</v>
      </c>
      <c r="W180" s="1">
        <v>32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 t="e">
        <f>VLOOKUP(A180,'SegEnds_NonXtal_Prot#'!A:AL,10,FALSE)-VLOOKUP(A180,'SegEnds_NonXtal_Prot#'!A:AL,7,FALSE)</f>
        <v>#VALUE!</v>
      </c>
      <c r="AC180" s="1" t="e">
        <f>VLOOKUP(A180,'SegEnds_NonXtal_Prot#'!A:AL,13,FALSE)-VLOOKUP(A180,'SegEnds_NonXtal_Prot#'!A:AL,10,FALSE)</f>
        <v>#VALUE!</v>
      </c>
      <c r="AD180" s="1">
        <f>VLOOKUP(A180,'SegEnds_NonXtal_Prot#'!A:AL,16,FALSE)-VLOOKUP(A180,'SegEnds_NonXtal_Prot#'!A:AL,10,FALSE)</f>
        <v>52</v>
      </c>
      <c r="AE180" s="1">
        <f>VLOOKUP(A180,'SegEnds_NonXtal_Prot#'!A:AL,22,FALSE)-VLOOKUP(A180,'SegEnds_NonXtal_Prot#'!A:AL,19,FALSE)</f>
        <v>20</v>
      </c>
      <c r="AF180" s="1" t="e">
        <f>VLOOKUP(A180,'SegEnds_NonXtal_Prot#'!A:AL,28,FALSE)-VLOOKUP(A180,'SegEnds_NonXtal_Prot#'!A:AL,25,FALSE)</f>
        <v>#VALUE!</v>
      </c>
      <c r="AG180" s="1">
        <f>VLOOKUP(A180,'SegEnds_NonXtal_Prot#'!A:AL,28,FALSE)-VLOOKUP(A180,'SegEnds_NonXtal_Prot#'!A:AL,22,FALSE)</f>
        <v>43</v>
      </c>
      <c r="AH180" s="1">
        <f>VLOOKUP(A180,'SegEnds_NonXtal_Prot#'!A:AL,31,FALSE)-VLOOKUP(A180,'SegEnds_NonXtal_Prot#'!A:AL,28,FALSE)</f>
        <v>43</v>
      </c>
      <c r="AI180" s="1">
        <f>VLOOKUP(A180,'SegEnds_NonXtal_Prot#'!A:AL,34,FALSE)-VLOOKUP(A180,'SegEnds_NonXtal_Prot#'!A:AL,31,FALSE)</f>
        <v>34</v>
      </c>
      <c r="AJ180" s="1" t="str">
        <f>IF(ISERROR(MATCH(A180,'SegEnds_Xtal_Prot#'!B:B, 0)), "NoXtal", "Xtal")</f>
        <v>NoXtal</v>
      </c>
    </row>
    <row r="181" spans="1:36" x14ac:dyDescent="0.2">
      <c r="A181" s="1" t="s">
        <v>304</v>
      </c>
      <c r="B181" s="1" t="str">
        <f>VLOOKUP(A181,Xtal_Templ!A:B,2,FALSE)</f>
        <v>agtr1_human</v>
      </c>
      <c r="C181" s="5">
        <f>VLOOKUP($B181&amp;"__wt",'SegEnds_Xtal_BW#'!$A:$Z,3,FALSE)</f>
        <v>30</v>
      </c>
      <c r="D181" s="1">
        <f>VLOOKUP($B181&amp;"__wt",'SegEnds_Xtal_BW#'!$A:$Z,4,FALSE)</f>
        <v>60</v>
      </c>
      <c r="E181" s="1">
        <f>VLOOKUP($B181&amp;"__wt",'SegEnds_Xtal_BW#'!$A:$Z,5,FALSE)</f>
        <v>48</v>
      </c>
      <c r="F181" s="1">
        <f>VLOOKUP($B181&amp;"__wt",'SegEnds_Xtal_BW#'!$A:$Z,6,FALSE)</f>
        <v>51</v>
      </c>
      <c r="G181" s="1">
        <v>37</v>
      </c>
      <c r="H181" s="12">
        <v>63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26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v>57</v>
      </c>
      <c r="O181" s="89">
        <v>38</v>
      </c>
      <c r="P181" s="1">
        <f>VLOOKUP($B181&amp;"__wt",'SegEnds_Xtal_BW#'!$A:$Z,16,FALSE)</f>
        <v>64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34</v>
      </c>
      <c r="T181" s="1">
        <f t="array" ref="T181">INDEX('ICL3'!$G$2:$G$40,MATCH(MIN(ABS(AH181-'ICL3'!$F$2:$F$40)),ABS(AH181-'ICL3'!$F$2:$F$40),0))</f>
        <v>67</v>
      </c>
      <c r="U181" s="1">
        <f t="array" ref="U181">INDEX('ICL3'!$H$2:$H$40,MATCH(MIN(ABS(AH181-'ICL3'!$F$2:$F$40)),ABS(AH181-'ICL3'!$F$2:$F$40),0))</f>
        <v>30</v>
      </c>
      <c r="V181" s="1">
        <v>61</v>
      </c>
      <c r="W181" s="1">
        <v>32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61</v>
      </c>
      <c r="AA181" s="27" t="str">
        <f>VLOOKUP(A181,Classification!A:B,2,FALSE)</f>
        <v>A</v>
      </c>
      <c r="AB181" s="1" t="e">
        <f>VLOOKUP(A181,'SegEnds_NonXtal_Prot#'!A:AL,10,FALSE)-VLOOKUP(A181,'SegEnds_NonXtal_Prot#'!A:AL,7,FALSE)</f>
        <v>#VALUE!</v>
      </c>
      <c r="AC181" s="1" t="e">
        <f>VLOOKUP(A181,'SegEnds_NonXtal_Prot#'!A:AL,13,FALSE)-VLOOKUP(A181,'SegEnds_NonXtal_Prot#'!A:AL,10,FALSE)</f>
        <v>#VALUE!</v>
      </c>
      <c r="AD181" s="1">
        <f>VLOOKUP(A181,'SegEnds_NonXtal_Prot#'!A:AL,16,FALSE)-VLOOKUP(A181,'SegEnds_NonXtal_Prot#'!A:AL,10,FALSE)</f>
        <v>46</v>
      </c>
      <c r="AE181" s="1">
        <f>VLOOKUP(A181,'SegEnds_NonXtal_Prot#'!A:AL,22,FALSE)-VLOOKUP(A181,'SegEnds_NonXtal_Prot#'!A:AL,19,FALSE)</f>
        <v>20</v>
      </c>
      <c r="AF181" s="1" t="e">
        <f>VLOOKUP(A181,'SegEnds_NonXtal_Prot#'!A:AL,28,FALSE)-VLOOKUP(A181,'SegEnds_NonXtal_Prot#'!A:AL,25,FALSE)</f>
        <v>#VALUE!</v>
      </c>
      <c r="AG181" s="1">
        <f>VLOOKUP(A181,'SegEnds_NonXtal_Prot#'!A:AL,28,FALSE)-VLOOKUP(A181,'SegEnds_NonXtal_Prot#'!A:AL,22,FALSE)</f>
        <v>42</v>
      </c>
      <c r="AH181" s="1">
        <f>VLOOKUP(A181,'SegEnds_NonXtal_Prot#'!A:AL,31,FALSE)-VLOOKUP(A181,'SegEnds_NonXtal_Prot#'!A:AL,28,FALSE)</f>
        <v>41</v>
      </c>
      <c r="AI181" s="1">
        <f>VLOOKUP(A181,'SegEnds_NonXtal_Prot#'!A:AL,34,FALSE)-VLOOKUP(A181,'SegEnds_NonXtal_Prot#'!A:AL,31,FALSE)</f>
        <v>34</v>
      </c>
      <c r="AJ181" s="1" t="str">
        <f>IF(ISERROR(MATCH(A181,'SegEnds_Xtal_Prot#'!B:B, 0)), "NoXtal", "Xtal")</f>
        <v>NoXtal</v>
      </c>
    </row>
    <row r="182" spans="1:36" x14ac:dyDescent="0.2">
      <c r="A182" s="1" t="s">
        <v>305</v>
      </c>
      <c r="B182" s="1" t="str">
        <f>VLOOKUP(A182,Xtal_Templ!A:B,2,FALSE)</f>
        <v>agtr1_human</v>
      </c>
      <c r="C182" s="5">
        <f>VLOOKUP($B182&amp;"__wt",'SegEnds_Xtal_BW#'!$A:$Z,3,FALSE)</f>
        <v>30</v>
      </c>
      <c r="D182" s="1">
        <f>VLOOKUP($B182&amp;"__wt",'SegEnds_Xtal_BW#'!$A:$Z,4,FALSE)</f>
        <v>60</v>
      </c>
      <c r="E182" s="1">
        <f>VLOOKUP($B182&amp;"__wt",'SegEnds_Xtal_BW#'!$A:$Z,5,FALSE)</f>
        <v>48</v>
      </c>
      <c r="F182" s="1">
        <f>VLOOKUP($B182&amp;"__wt",'SegEnds_Xtal_BW#'!$A:$Z,6,FALSE)</f>
        <v>51</v>
      </c>
      <c r="G182" s="1">
        <v>37</v>
      </c>
      <c r="H182" s="12">
        <v>66</v>
      </c>
      <c r="I182" s="1">
        <f>VLOOKUP($B182&amp;"__wt",'SegEnds_Xtal_BW#'!$A:$Z,9,FALSE)</f>
        <v>49</v>
      </c>
      <c r="J182" s="1">
        <f>VLOOKUP($B182&amp;"__wt",'SegEnds_Xtal_BW#'!$A:$Z,10,FALSE)</f>
        <v>52</v>
      </c>
      <c r="K182" s="12">
        <v>24</v>
      </c>
      <c r="L182" s="1">
        <f>VLOOKUP($B182&amp;"__wt",'SegEnds_Xtal_BW#'!$A:$Z,12,FALSE)</f>
        <v>56</v>
      </c>
      <c r="M182" s="1">
        <f>VLOOKUP($B182&amp;"__wt",'SegEnds_Xtal_BW#'!$A:$Z,13,FALSE)</f>
        <v>50</v>
      </c>
      <c r="N182" s="12">
        <v>57</v>
      </c>
      <c r="O182" s="89">
        <v>38</v>
      </c>
      <c r="P182" s="1">
        <f>VLOOKUP($B182&amp;"__wt",'SegEnds_Xtal_BW#'!$A:$Z,16,FALSE)</f>
        <v>64</v>
      </c>
      <c r="Q182" s="1">
        <f>VLOOKUP($B182&amp;"__wt",'SegEnds_Xtal_BW#'!$A:$Z,17,FALSE)</f>
        <v>50</v>
      </c>
      <c r="R182" s="1">
        <f>VLOOKUP($B182&amp;"__wt",'SegEnds_Xtal_BW#'!$A:$Z,18,FALSE)</f>
        <v>52</v>
      </c>
      <c r="S182" s="1">
        <f>VLOOKUP($B182&amp;"__wt",'SegEnds_Xtal_BW#'!$A:$Z,19,FALSE)</f>
        <v>34</v>
      </c>
      <c r="T182" s="1">
        <f t="array" ref="T182">INDEX('ICL3'!$G$2:$G$40,MATCH(MIN(ABS(AH182-'ICL3'!$F$2:$F$40)),ABS(AH182-'ICL3'!$F$2:$F$40),0))</f>
        <v>68</v>
      </c>
      <c r="U182" s="1">
        <f t="array" ref="U182">INDEX('ICL3'!$H$2:$H$40,MATCH(MIN(ABS(AH182-'ICL3'!$F$2:$F$40)),ABS(AH182-'ICL3'!$F$2:$F$40),0))</f>
        <v>30</v>
      </c>
      <c r="V182" s="1">
        <v>61</v>
      </c>
      <c r="W182" s="1">
        <v>28</v>
      </c>
      <c r="X182" s="1">
        <f>VLOOKUP($B182&amp;"__wt",'SegEnds_Xtal_BW#'!$A:$Z,24,FALSE)</f>
        <v>56</v>
      </c>
      <c r="Y182" s="1">
        <f>VLOOKUP($B182&amp;"__wt",'SegEnds_Xtal_BW#'!$A:$Z,25,FALSE)</f>
        <v>47</v>
      </c>
      <c r="Z182" s="1">
        <f>VLOOKUP($B182&amp;"__wt",'SegEnds_Xtal_BW#'!$A:$Z,26,FALSE)</f>
        <v>61</v>
      </c>
      <c r="AA182" s="27" t="str">
        <f>VLOOKUP(A182,Classification!A:B,2,FALSE)</f>
        <v>A</v>
      </c>
      <c r="AB182" s="1" t="e">
        <f>VLOOKUP(A182,'SegEnds_NonXtal_Prot#'!A:AL,10,FALSE)-VLOOKUP(A182,'SegEnds_NonXtal_Prot#'!A:AL,7,FALSE)</f>
        <v>#VALUE!</v>
      </c>
      <c r="AC182" s="1" t="e">
        <f>VLOOKUP(A182,'SegEnds_NonXtal_Prot#'!A:AL,13,FALSE)-VLOOKUP(A182,'SegEnds_NonXtal_Prot#'!A:AL,10,FALSE)</f>
        <v>#VALUE!</v>
      </c>
      <c r="AD182" s="1">
        <f>VLOOKUP(A182,'SegEnds_NonXtal_Prot#'!A:AL,16,FALSE)-VLOOKUP(A182,'SegEnds_NonXtal_Prot#'!A:AL,10,FALSE)</f>
        <v>48</v>
      </c>
      <c r="AE182" s="1">
        <f>VLOOKUP(A182,'SegEnds_NonXtal_Prot#'!A:AL,22,FALSE)-VLOOKUP(A182,'SegEnds_NonXtal_Prot#'!A:AL,19,FALSE)</f>
        <v>20</v>
      </c>
      <c r="AF182" s="1" t="e">
        <f>VLOOKUP(A182,'SegEnds_NonXtal_Prot#'!A:AL,28,FALSE)-VLOOKUP(A182,'SegEnds_NonXtal_Prot#'!A:AL,25,FALSE)</f>
        <v>#VALUE!</v>
      </c>
      <c r="AG182" s="1">
        <f>VLOOKUP(A182,'SegEnds_NonXtal_Prot#'!A:AL,28,FALSE)-VLOOKUP(A182,'SegEnds_NonXtal_Prot#'!A:AL,22,FALSE)</f>
        <v>42</v>
      </c>
      <c r="AH182" s="1">
        <f>VLOOKUP(A182,'SegEnds_NonXtal_Prot#'!A:AL,31,FALSE)-VLOOKUP(A182,'SegEnds_NonXtal_Prot#'!A:AL,28,FALSE)</f>
        <v>42</v>
      </c>
      <c r="AI182" s="1">
        <f>VLOOKUP(A182,'SegEnds_NonXtal_Prot#'!A:AL,34,FALSE)-VLOOKUP(A182,'SegEnds_NonXtal_Prot#'!A:AL,31,FALSE)</f>
        <v>38</v>
      </c>
      <c r="AJ182" s="1" t="str">
        <f>IF(ISERROR(MATCH(A182,'SegEnds_Xtal_Prot#'!B:B, 0)), "NoXtal", "Xtal")</f>
        <v>NoXtal</v>
      </c>
    </row>
    <row r="183" spans="1:36" x14ac:dyDescent="0.2">
      <c r="A183" s="1" t="s">
        <v>306</v>
      </c>
      <c r="B183" s="1" t="str">
        <f>VLOOKUP(A183,Xtal_Templ!A:B,2,FALSE)</f>
        <v>agtr1_human</v>
      </c>
      <c r="C183" s="5">
        <f>VLOOKUP($B183&amp;"__wt",'SegEnds_Xtal_BW#'!$A:$Z,3,FALSE)</f>
        <v>30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f>VLOOKUP($B183&amp;"__wt",'SegEnds_Xtal_BW#'!$A:$Z,8,FALSE)</f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2">
        <v>57</v>
      </c>
      <c r="O183" s="89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34</v>
      </c>
      <c r="T183" s="1">
        <f t="array" ref="T183">INDEX('ICL3'!$G$2:$G$40,MATCH(MIN(ABS(AH183-'ICL3'!$F$2:$F$40)),ABS(AH183-'ICL3'!$F$2:$F$40),0))</f>
        <v>68</v>
      </c>
      <c r="U183" s="1">
        <f t="array" ref="U183">INDEX('ICL3'!$H$2:$H$40,MATCH(MIN(ABS(AH183-'ICL3'!$F$2:$F$40)),ABS(AH183-'ICL3'!$F$2:$F$40),0))</f>
        <v>30</v>
      </c>
      <c r="V183" s="1">
        <v>61</v>
      </c>
      <c r="W183" s="1">
        <v>28</v>
      </c>
      <c r="X183" s="1">
        <f>VLOOKUP($B183&amp;"__wt",'SegEnds_Xtal_BW#'!$A:$Z,24,FALSE)</f>
        <v>56</v>
      </c>
      <c r="Y183" s="1">
        <f>VLOOKUP($B183&amp;"__wt",'SegEnds_Xtal_BW#'!$A:$Z,25,FALSE)</f>
        <v>47</v>
      </c>
      <c r="Z183" s="1">
        <f>VLOOKUP($B183&amp;"__wt",'SegEnds_Xtal_BW#'!$A:$Z,26,FALSE)</f>
        <v>61</v>
      </c>
      <c r="AA183" s="27" t="str">
        <f>VLOOKUP(A183,Classification!A:B,2,FALSE)</f>
        <v>A</v>
      </c>
      <c r="AB183" s="1" t="e">
        <f>VLOOKUP(A183,'SegEnds_NonXtal_Prot#'!A:AL,10,FALSE)-VLOOKUP(A183,'SegEnds_NonXtal_Prot#'!A:AL,7,FALSE)</f>
        <v>#VALUE!</v>
      </c>
      <c r="AC183" s="1" t="e">
        <f>VLOOKUP(A183,'SegEnds_NonXtal_Prot#'!A:AL,13,FALSE)-VLOOKUP(A183,'SegEnds_NonXtal_Prot#'!A:AL,10,FALSE)</f>
        <v>#VALUE!</v>
      </c>
      <c r="AD183" s="1">
        <f>VLOOKUP(A183,'SegEnds_NonXtal_Prot#'!A:AL,16,FALSE)-VLOOKUP(A183,'SegEnds_NonXtal_Prot#'!A:AL,10,FALSE)</f>
        <v>52</v>
      </c>
      <c r="AE183" s="1">
        <f>VLOOKUP(A183,'SegEnds_NonXtal_Prot#'!A:AL,22,FALSE)-VLOOKUP(A183,'SegEnds_NonXtal_Prot#'!A:AL,19,FALSE)</f>
        <v>20</v>
      </c>
      <c r="AF183" s="1" t="e">
        <f>VLOOKUP(A183,'SegEnds_NonXtal_Prot#'!A:AL,28,FALSE)-VLOOKUP(A183,'SegEnds_NonXtal_Prot#'!A:AL,25,FALSE)</f>
        <v>#VALUE!</v>
      </c>
      <c r="AG183" s="1">
        <f>VLOOKUP(A183,'SegEnds_NonXtal_Prot#'!A:AL,28,FALSE)-VLOOKUP(A183,'SegEnds_NonXtal_Prot#'!A:AL,22,FALSE)</f>
        <v>42</v>
      </c>
      <c r="AH183" s="1">
        <f>VLOOKUP(A183,'SegEnds_NonXtal_Prot#'!A:AL,31,FALSE)-VLOOKUP(A183,'SegEnds_NonXtal_Prot#'!A:AL,28,FALSE)</f>
        <v>42</v>
      </c>
      <c r="AI183" s="1">
        <f>VLOOKUP(A183,'SegEnds_NonXtal_Prot#'!A:AL,34,FALSE)-VLOOKUP(A183,'SegEnds_NonXtal_Prot#'!A:AL,31,FALSE)</f>
        <v>38</v>
      </c>
      <c r="AJ183" s="1" t="str">
        <f>IF(ISERROR(MATCH(A183,'SegEnds_Xtal_Prot#'!B:B, 0)), "NoXtal", "Xtal")</f>
        <v>NoXtal</v>
      </c>
    </row>
    <row r="184" spans="1:36" x14ac:dyDescent="0.2">
      <c r="A184" s="1" t="s">
        <v>307</v>
      </c>
      <c r="B184" s="1" t="str">
        <f>VLOOKUP(A184,Xtal_Templ!A:B,2,FALSE)</f>
        <v>agtr1_human</v>
      </c>
      <c r="C184" s="5">
        <f>VLOOKUP($B184&amp;"__wt",'SegEnds_Xtal_BW#'!$A:$Z,3,FALSE)</f>
        <v>30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2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24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2">
        <v>57</v>
      </c>
      <c r="O184" s="89"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34</v>
      </c>
      <c r="T184" s="1">
        <f t="array" ref="T184">INDEX('ICL3'!$G$2:$G$40,MATCH(MIN(ABS(AH184-'ICL3'!$F$2:$F$40)),ABS(AH184-'ICL3'!$F$2:$F$40),0))</f>
        <v>68</v>
      </c>
      <c r="U184" s="1">
        <f t="array" ref="U184">INDEX('ICL3'!$H$2:$H$40,MATCH(MIN(ABS(AH184-'ICL3'!$F$2:$F$40)),ABS(AH184-'ICL3'!$F$2:$F$40),0))</f>
        <v>30</v>
      </c>
      <c r="V184" s="1">
        <v>61</v>
      </c>
      <c r="W184" s="1">
        <v>28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61</v>
      </c>
      <c r="AA184" s="27" t="str">
        <f>VLOOKUP(A184,Classification!A:B,2,FALSE)</f>
        <v>A</v>
      </c>
      <c r="AB184" s="1" t="e">
        <f>VLOOKUP(A184,'SegEnds_NonXtal_Prot#'!A:AL,10,FALSE)-VLOOKUP(A184,'SegEnds_NonXtal_Prot#'!A:AL,7,FALSE)</f>
        <v>#VALUE!</v>
      </c>
      <c r="AC184" s="1" t="e">
        <f>VLOOKUP(A184,'SegEnds_NonXtal_Prot#'!A:AL,13,FALSE)-VLOOKUP(A184,'SegEnds_NonXtal_Prot#'!A:AL,10,FALSE)</f>
        <v>#VALUE!</v>
      </c>
      <c r="AD184" s="1">
        <f>VLOOKUP(A184,'SegEnds_NonXtal_Prot#'!A:AL,16,FALSE)-VLOOKUP(A184,'SegEnds_NonXtal_Prot#'!A:AL,10,FALSE)</f>
        <v>48</v>
      </c>
      <c r="AE184" s="1">
        <f>VLOOKUP(A184,'SegEnds_NonXtal_Prot#'!A:AL,22,FALSE)-VLOOKUP(A184,'SegEnds_NonXtal_Prot#'!A:AL,19,FALSE)</f>
        <v>20</v>
      </c>
      <c r="AF184" s="1" t="e">
        <f>VLOOKUP(A184,'SegEnds_NonXtal_Prot#'!A:AL,28,FALSE)-VLOOKUP(A184,'SegEnds_NonXtal_Prot#'!A:AL,25,FALSE)</f>
        <v>#VALUE!</v>
      </c>
      <c r="AG184" s="1">
        <f>VLOOKUP(A184,'SegEnds_NonXtal_Prot#'!A:AL,28,FALSE)-VLOOKUP(A184,'SegEnds_NonXtal_Prot#'!A:AL,22,FALSE)</f>
        <v>42</v>
      </c>
      <c r="AH184" s="1">
        <f>VLOOKUP(A184,'SegEnds_NonXtal_Prot#'!A:AL,31,FALSE)-VLOOKUP(A184,'SegEnds_NonXtal_Prot#'!A:AL,28,FALSE)</f>
        <v>42</v>
      </c>
      <c r="AI184" s="1">
        <f>VLOOKUP(A184,'SegEnds_NonXtal_Prot#'!A:AL,34,FALSE)-VLOOKUP(A184,'SegEnds_NonXtal_Prot#'!A:AL,31,FALSE)</f>
        <v>38</v>
      </c>
      <c r="AJ184" s="1" t="str">
        <f>IF(ISERROR(MATCH(A184,'SegEnds_Xtal_Prot#'!B:B, 0)), "NoXtal", "Xtal")</f>
        <v>NoXtal</v>
      </c>
    </row>
    <row r="185" spans="1:36" x14ac:dyDescent="0.2">
      <c r="A185" s="1" t="s">
        <v>308</v>
      </c>
      <c r="B185" s="1" t="str">
        <f>VLOOKUP(A185,Xtal_Templ!A:B,2,FALSE)</f>
        <v>oprm_mouse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2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24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2">
        <v>57</v>
      </c>
      <c r="O185" s="89"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31</v>
      </c>
      <c r="T185" s="1">
        <f t="array" ref="T185">INDEX('ICL3'!$G$2:$G$40,MATCH(MIN(ABS(AH185-'ICL3'!$F$2:$F$40)),ABS(AH185-'ICL3'!$F$2:$F$40),0))</f>
        <v>68</v>
      </c>
      <c r="U185" s="1">
        <f t="array" ref="U185">INDEX('ICL3'!$H$2:$H$40,MATCH(MIN(ABS(AH185-'ICL3'!$F$2:$F$40)),ABS(AH185-'ICL3'!$F$2:$F$40),0))</f>
        <v>30</v>
      </c>
      <c r="V185" s="1">
        <v>61</v>
      </c>
      <c r="W185" s="1">
        <v>28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59</v>
      </c>
      <c r="AA185" s="27" t="str">
        <f>VLOOKUP(A185,Classification!A:B,2,FALSE)</f>
        <v>A</v>
      </c>
      <c r="AB185" s="1" t="e">
        <f>VLOOKUP(A185,'SegEnds_NonXtal_Prot#'!A:AL,10,FALSE)-VLOOKUP(A185,'SegEnds_NonXtal_Prot#'!A:AL,7,FALSE)</f>
        <v>#VALUE!</v>
      </c>
      <c r="AC185" s="1" t="e">
        <f>VLOOKUP(A185,'SegEnds_NonXtal_Prot#'!A:AL,13,FALSE)-VLOOKUP(A185,'SegEnds_NonXtal_Prot#'!A:AL,10,FALSE)</f>
        <v>#VALUE!</v>
      </c>
      <c r="AD185" s="1">
        <f>VLOOKUP(A185,'SegEnds_NonXtal_Prot#'!A:AL,16,FALSE)-VLOOKUP(A185,'SegEnds_NonXtal_Prot#'!A:AL,10,FALSE)</f>
        <v>48</v>
      </c>
      <c r="AE185" s="1">
        <f>VLOOKUP(A185,'SegEnds_NonXtal_Prot#'!A:AL,22,FALSE)-VLOOKUP(A185,'SegEnds_NonXtal_Prot#'!A:AL,19,FALSE)</f>
        <v>20</v>
      </c>
      <c r="AF185" s="1" t="e">
        <f>VLOOKUP(A185,'SegEnds_NonXtal_Prot#'!A:AL,28,FALSE)-VLOOKUP(A185,'SegEnds_NonXtal_Prot#'!A:AL,25,FALSE)</f>
        <v>#VALUE!</v>
      </c>
      <c r="AG185" s="1">
        <f>VLOOKUP(A185,'SegEnds_NonXtal_Prot#'!A:AL,28,FALSE)-VLOOKUP(A185,'SegEnds_NonXtal_Prot#'!A:AL,22,FALSE)</f>
        <v>42</v>
      </c>
      <c r="AH185" s="1">
        <f>VLOOKUP(A185,'SegEnds_NonXtal_Prot#'!A:AL,31,FALSE)-VLOOKUP(A185,'SegEnds_NonXtal_Prot#'!A:AL,28,FALSE)</f>
        <v>42</v>
      </c>
      <c r="AI185" s="1">
        <f>VLOOKUP(A185,'SegEnds_NonXtal_Prot#'!A:AL,34,FALSE)-VLOOKUP(A185,'SegEnds_NonXtal_Prot#'!A:AL,31,FALSE)</f>
        <v>38</v>
      </c>
      <c r="AJ185" s="1" t="str">
        <f>IF(ISERROR(MATCH(A185,'SegEnds_Xtal_Prot#'!B:B, 0)), "NoXtal", "Xtal")</f>
        <v>NoXtal</v>
      </c>
    </row>
    <row r="186" spans="1:36" x14ac:dyDescent="0.2">
      <c r="A186" s="1" t="s">
        <v>309</v>
      </c>
      <c r="B186" s="1" t="str">
        <f>VLOOKUP(A186,Xtal_Templ!A:B,2,FALSE)</f>
        <v>s1pr1_human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>
        <f>VLOOKUP($B186&amp;"__wt",'SegEnds_Xtal_BW#'!$A:$Z,5,FALSE)</f>
        <v>48</v>
      </c>
      <c r="F186" s="1">
        <f>VLOOKUP($B186&amp;"__wt",'SegEnds_Xtal_BW#'!$A:$Z,6,FALSE)</f>
        <v>51</v>
      </c>
      <c r="G186" s="1">
        <v>37</v>
      </c>
      <c r="H186" s="12">
        <v>67</v>
      </c>
      <c r="I186" s="1" t="s">
        <v>23</v>
      </c>
      <c r="J186" s="1" t="s">
        <v>23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9">
        <f>VLOOKUP($B186&amp;"__wt",'SegEnds_Xtal_BW#'!$A:$Z,15,FALSE)</f>
        <v>38</v>
      </c>
      <c r="P186" s="1">
        <f>VLOOKUP($B186&amp;"__wt",'SegEnds_Xtal_BW#'!$A:$Z,16,FALSE)</f>
        <v>63</v>
      </c>
      <c r="Q186" s="1" t="str">
        <f>VLOOKUP($B186&amp;"__wt",'SegEnds_Xtal_BW#'!$A:$Z,17,FALSE)</f>
        <v>-</v>
      </c>
      <c r="R186" s="1" t="str">
        <f>VLOOKUP($B186&amp;"__wt",'SegEnds_Xtal_BW#'!$A:$Z,18,FALSE)</f>
        <v>-</v>
      </c>
      <c r="S186" s="111">
        <v>33</v>
      </c>
      <c r="T186" s="1">
        <f t="array" ref="T186">INDEX('ICL3'!$G$2:$G$40,MATCH(MIN(ABS(AH186-'ICL3'!$F$2:$F$40)),ABS(AH186-'ICL3'!$F$2:$F$40),0))</f>
        <v>67</v>
      </c>
      <c r="U186" s="111">
        <v>27</v>
      </c>
      <c r="V186" s="1">
        <v>61</v>
      </c>
      <c r="W186" s="1">
        <v>28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59</v>
      </c>
      <c r="AA186" s="27" t="str">
        <f>VLOOKUP(A186,Classification!A:B,2,FALSE)</f>
        <v>A</v>
      </c>
      <c r="AB186" s="1">
        <f>VLOOKUP(A186,'SegEnds_NonXtal_Prot#'!A:AL,10,FALSE)-VLOOKUP(A186,'SegEnds_NonXtal_Prot#'!A:AL,7,FALSE)</f>
        <v>15</v>
      </c>
      <c r="AC186" s="1" t="e">
        <f>VLOOKUP(A186,'SegEnds_NonXtal_Prot#'!A:AL,13,FALSE)-VLOOKUP(A186,'SegEnds_NonXtal_Prot#'!A:AL,10,FALSE)</f>
        <v>#VALUE!</v>
      </c>
      <c r="AD186" s="1">
        <f>VLOOKUP(A186,'SegEnds_NonXtal_Prot#'!A:AL,16,FALSE)-VLOOKUP(A186,'SegEnds_NonXtal_Prot#'!A:AL,10,FALSE)</f>
        <v>58</v>
      </c>
      <c r="AE186" s="1">
        <f>VLOOKUP(A186,'SegEnds_NonXtal_Prot#'!A:AL,22,FALSE)-VLOOKUP(A186,'SegEnds_NonXtal_Prot#'!A:AL,19,FALSE)</f>
        <v>20</v>
      </c>
      <c r="AF186" s="1" t="e">
        <f>VLOOKUP(A186,'SegEnds_NonXtal_Prot#'!A:AL,28,FALSE)-VLOOKUP(A186,'SegEnds_NonXtal_Prot#'!A:AL,25,FALSE)</f>
        <v>#VALUE!</v>
      </c>
      <c r="AG186" s="1">
        <f>VLOOKUP(A186,'SegEnds_NonXtal_Prot#'!A:AL,28,FALSE)-VLOOKUP(A186,'SegEnds_NonXtal_Prot#'!A:AL,22,FALSE)</f>
        <v>40</v>
      </c>
      <c r="AH186" s="1">
        <f>VLOOKUP(A186,'SegEnds_NonXtal_Prot#'!A:AL,31,FALSE)-VLOOKUP(A186,'SegEnds_NonXtal_Prot#'!A:AL,28,FALSE)</f>
        <v>47</v>
      </c>
      <c r="AI186" s="1">
        <f>VLOOKUP(A186,'SegEnds_NonXtal_Prot#'!A:AL,34,FALSE)-VLOOKUP(A186,'SegEnds_NonXtal_Prot#'!A:AL,31,FALSE)</f>
        <v>39</v>
      </c>
      <c r="AJ186" s="1" t="str">
        <f>IF(ISERROR(MATCH(A186,'SegEnds_Xtal_Prot#'!B:B, 0)), "NoXtal", "Xtal")</f>
        <v>NoXtal</v>
      </c>
    </row>
    <row r="187" spans="1:36" x14ac:dyDescent="0.2">
      <c r="A187" s="1" t="s">
        <v>310</v>
      </c>
      <c r="B187" s="1" t="str">
        <f>VLOOKUP(A187,Xtal_Templ!A:B,2,FALSE)</f>
        <v>ntr1_rat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>
        <f>VLOOKUP($B187&amp;"__wt",'SegEnds_Xtal_BW#'!$A:$Z,5,FALSE)</f>
        <v>48</v>
      </c>
      <c r="F187" s="1">
        <f>VLOOKUP($B187&amp;"__wt",'SegEnds_Xtal_BW#'!$A:$Z,6,FALSE)</f>
        <v>51</v>
      </c>
      <c r="G187" s="1">
        <v>37</v>
      </c>
      <c r="H187" s="12"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9">
        <f>VLOOKUP($B187&amp;"__wt",'SegEnds_Xtal_BW#'!$A:$Z,15,FALSE)</f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32</v>
      </c>
      <c r="T187" s="1">
        <f t="array" ref="T187">INDEX('ICL3'!$G$2:$G$40,MATCH(MIN(ABS(AH187-'ICL3'!$F$2:$F$40)),ABS(AH187-'ICL3'!$F$2:$F$40),0))</f>
        <v>72</v>
      </c>
      <c r="U187" s="1">
        <f t="array" ref="U187">INDEX('ICL3'!$H$2:$H$40,MATCH(MIN(ABS(AH187-'ICL3'!$F$2:$F$40)),ABS(AH187-'ICL3'!$F$2:$F$40),0))</f>
        <v>24</v>
      </c>
      <c r="V187" s="1">
        <v>61</v>
      </c>
      <c r="W187" s="1">
        <v>28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58</v>
      </c>
      <c r="AA187" s="27" t="str">
        <f>VLOOKUP(A187,Classification!A:B,2,FALSE)</f>
        <v>A</v>
      </c>
      <c r="AB187" s="1">
        <f>VLOOKUP(A187,'SegEnds_NonXtal_Prot#'!A:AL,10,FALSE)-VLOOKUP(A187,'SegEnds_NonXtal_Prot#'!A:AL,7,FALSE)</f>
        <v>15</v>
      </c>
      <c r="AC187" s="1">
        <f>VLOOKUP(A187,'SegEnds_NonXtal_Prot#'!A:AL,13,FALSE)-VLOOKUP(A187,'SegEnds_NonXtal_Prot#'!A:AL,10,FALSE)</f>
        <v>20</v>
      </c>
      <c r="AD187" s="1">
        <f>VLOOKUP(A187,'SegEnds_NonXtal_Prot#'!A:AL,16,FALSE)-VLOOKUP(A187,'SegEnds_NonXtal_Prot#'!A:AL,10,FALSE)</f>
        <v>52</v>
      </c>
      <c r="AE187" s="1">
        <f>VLOOKUP(A187,'SegEnds_NonXtal_Prot#'!A:AL,22,FALSE)-VLOOKUP(A187,'SegEnds_NonXtal_Prot#'!A:AL,19,FALSE)</f>
        <v>20</v>
      </c>
      <c r="AF187" s="1">
        <f>VLOOKUP(A187,'SegEnds_NonXtal_Prot#'!A:AL,28,FALSE)-VLOOKUP(A187,'SegEnds_NonXtal_Prot#'!A:AL,25,FALSE)</f>
        <v>24</v>
      </c>
      <c r="AG187" s="1">
        <f>VLOOKUP(A187,'SegEnds_NonXtal_Prot#'!A:AL,28,FALSE)-VLOOKUP(A187,'SegEnds_NonXtal_Prot#'!A:AL,22,FALSE)</f>
        <v>96</v>
      </c>
      <c r="AH187" s="1">
        <f>VLOOKUP(A187,'SegEnds_NonXtal_Prot#'!A:AL,31,FALSE)-VLOOKUP(A187,'SegEnds_NonXtal_Prot#'!A:AL,28,FALSE)</f>
        <v>54</v>
      </c>
      <c r="AI187" s="1">
        <f>VLOOKUP(A187,'SegEnds_NonXtal_Prot#'!A:AL,34,FALSE)-VLOOKUP(A187,'SegEnds_NonXtal_Prot#'!A:AL,31,FALSE)</f>
        <v>39</v>
      </c>
      <c r="AJ187" s="1" t="str">
        <f>IF(ISERROR(MATCH(A187,'SegEnds_Xtal_Prot#'!B:B, 0)), "NoXtal", "Xtal")</f>
        <v>NoXtal</v>
      </c>
    </row>
    <row r="188" spans="1:36" x14ac:dyDescent="0.2">
      <c r="A188" s="1" t="s">
        <v>311</v>
      </c>
      <c r="B188" s="1" t="str">
        <f>VLOOKUP(A188,Xtal_Templ!A:B,2,FALSE)</f>
        <v>ox2r_human</v>
      </c>
      <c r="C188" s="5">
        <f>VLOOKUP($B188&amp;"__wt",'SegEnds_Xtal_BW#'!$A:$Z,3,FALSE)</f>
        <v>31</v>
      </c>
      <c r="D188" s="1">
        <f>VLOOKUP($B188&amp;"__wt",'SegEnds_Xtal_BW#'!$A:$Z,4,FALSE)</f>
        <v>60</v>
      </c>
      <c r="E188" s="1">
        <f>VLOOKUP($B188&amp;"__wt",'SegEnds_Xtal_BW#'!$A:$Z,5,FALSE)</f>
        <v>48</v>
      </c>
      <c r="F188" s="1">
        <f>VLOOKUP($B188&amp;"__wt",'SegEnds_Xtal_BW#'!$A:$Z,6,FALSE)</f>
        <v>51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9">
        <f>VLOOKUP($B188&amp;"__wt",'SegEnds_Xtal_BW#'!$A:$Z,15,FALSE)</f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v>35</v>
      </c>
      <c r="T188" s="1">
        <f t="array" ref="T188">INDEX('ICL3'!$G$2:$G$40,MATCH(MIN(ABS(AH188-'ICL3'!$F$2:$F$40)),ABS(AH188-'ICL3'!$F$2:$F$40),0))</f>
        <v>72</v>
      </c>
      <c r="U188" s="1">
        <f t="array" ref="U188">INDEX('ICL3'!$H$2:$H$40,MATCH(MIN(ABS(AH188-'ICL3'!$F$2:$F$40)),ABS(AH188-'ICL3'!$F$2:$F$40),0))</f>
        <v>24</v>
      </c>
      <c r="V188" s="1">
        <v>61</v>
      </c>
      <c r="W188" s="1">
        <v>28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58</v>
      </c>
      <c r="AA188" s="27" t="str">
        <f>VLOOKUP(A188,Classification!A:B,2,FALSE)</f>
        <v>A</v>
      </c>
      <c r="AB188" s="1">
        <f>VLOOKUP(A188,'SegEnds_NonXtal_Prot#'!A:AL,10,FALSE)-VLOOKUP(A188,'SegEnds_NonXtal_Prot#'!A:AL,7,FALSE)</f>
        <v>15</v>
      </c>
      <c r="AC188" s="1">
        <f>VLOOKUP(A188,'SegEnds_NonXtal_Prot#'!A:AL,13,FALSE)-VLOOKUP(A188,'SegEnds_NonXtal_Prot#'!A:AL,10,FALSE)</f>
        <v>20</v>
      </c>
      <c r="AD188" s="1">
        <f>VLOOKUP(A188,'SegEnds_NonXtal_Prot#'!A:AL,16,FALSE)-VLOOKUP(A188,'SegEnds_NonXtal_Prot#'!A:AL,10,FALSE)</f>
        <v>52</v>
      </c>
      <c r="AE188" s="1">
        <f>VLOOKUP(A188,'SegEnds_NonXtal_Prot#'!A:AL,22,FALSE)-VLOOKUP(A188,'SegEnds_NonXtal_Prot#'!A:AL,19,FALSE)</f>
        <v>20</v>
      </c>
      <c r="AF188" s="1">
        <f>VLOOKUP(A188,'SegEnds_NonXtal_Prot#'!A:AL,28,FALSE)-VLOOKUP(A188,'SegEnds_NonXtal_Prot#'!A:AL,25,FALSE)</f>
        <v>22</v>
      </c>
      <c r="AG188" s="1">
        <f>VLOOKUP(A188,'SegEnds_NonXtal_Prot#'!A:AL,28,FALSE)-VLOOKUP(A188,'SegEnds_NonXtal_Prot#'!A:AL,22,FALSE)</f>
        <v>47</v>
      </c>
      <c r="AH188" s="1">
        <f>VLOOKUP(A188,'SegEnds_NonXtal_Prot#'!A:AL,31,FALSE)-VLOOKUP(A188,'SegEnds_NonXtal_Prot#'!A:AL,28,FALSE)</f>
        <v>54</v>
      </c>
      <c r="AI188" s="1">
        <f>VLOOKUP(A188,'SegEnds_NonXtal_Prot#'!A:AL,34,FALSE)-VLOOKUP(A188,'SegEnds_NonXtal_Prot#'!A:AL,31,FALSE)</f>
        <v>39</v>
      </c>
      <c r="AJ188" s="1" t="str">
        <f>IF(ISERROR(MATCH(A188,'SegEnds_Xtal_Prot#'!B:B, 0)), "NoXtal", "Xtal")</f>
        <v>NoXtal</v>
      </c>
    </row>
    <row r="189" spans="1:36" x14ac:dyDescent="0.2">
      <c r="A189" s="1" t="s">
        <v>312</v>
      </c>
      <c r="B189" s="1" t="str">
        <f>VLOOKUP(A189,Xtal_Templ!A:B,2,FALSE)</f>
        <v>ox2r_human</v>
      </c>
      <c r="C189" s="5">
        <f>VLOOKUP($B189&amp;"__wt",'SegEnds_Xtal_BW#'!$A:$Z,3,FALSE)</f>
        <v>31</v>
      </c>
      <c r="D189" s="1">
        <f>VLOOKUP($B189&amp;"__wt",'SegEnds_Xtal_BW#'!$A:$Z,4,FALSE)</f>
        <v>60</v>
      </c>
      <c r="E189" s="1">
        <f>VLOOKUP($B189&amp;"__wt",'SegEnds_Xtal_BW#'!$A:$Z,5,FALSE)</f>
        <v>48</v>
      </c>
      <c r="F189" s="1">
        <f>VLOOKUP($B189&amp;"__wt",'SegEnds_Xtal_BW#'!$A:$Z,6,FALSE)</f>
        <v>51</v>
      </c>
      <c r="G189" s="1">
        <v>37</v>
      </c>
      <c r="H189" s="12">
        <f>VLOOKUP($B189&amp;"__wt",'SegEnds_Xtal_BW#'!$A:$Z,8,FALSE)</f>
        <v>67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9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v>35</v>
      </c>
      <c r="T189" s="1">
        <f t="array" ref="T189">INDEX('ICL3'!$G$2:$G$40,MATCH(MIN(ABS(AH189-'ICL3'!$F$2:$F$40)),ABS(AH189-'ICL3'!$F$2:$F$40),0))</f>
        <v>72</v>
      </c>
      <c r="U189" s="1">
        <f t="array" ref="U189">INDEX('ICL3'!$H$2:$H$40,MATCH(MIN(ABS(AH189-'ICL3'!$F$2:$F$40)),ABS(AH189-'ICL3'!$F$2:$F$40),0))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58</v>
      </c>
      <c r="AA189" s="27" t="str">
        <f>VLOOKUP(A189,Classification!A:B,2,FALSE)</f>
        <v>A</v>
      </c>
      <c r="AB189" s="1">
        <f>VLOOKUP(A189,'SegEnds_NonXtal_Prot#'!A:AL,10,FALSE)-VLOOKUP(A189,'SegEnds_NonXtal_Prot#'!A:AL,7,FALSE)</f>
        <v>15</v>
      </c>
      <c r="AC189" s="1">
        <f>VLOOKUP(A189,'SegEnds_NonXtal_Prot#'!A:AL,13,FALSE)-VLOOKUP(A189,'SegEnds_NonXtal_Prot#'!A:AL,10,FALSE)</f>
        <v>20</v>
      </c>
      <c r="AD189" s="1">
        <f>VLOOKUP(A189,'SegEnds_NonXtal_Prot#'!A:AL,16,FALSE)-VLOOKUP(A189,'SegEnds_NonXtal_Prot#'!A:AL,10,FALSE)</f>
        <v>52</v>
      </c>
      <c r="AE189" s="1">
        <f>VLOOKUP(A189,'SegEnds_NonXtal_Prot#'!A:AL,22,FALSE)-VLOOKUP(A189,'SegEnds_NonXtal_Prot#'!A:AL,19,FALSE)</f>
        <v>20</v>
      </c>
      <c r="AF189" s="1">
        <f>VLOOKUP(A189,'SegEnds_NonXtal_Prot#'!A:AL,28,FALSE)-VLOOKUP(A189,'SegEnds_NonXtal_Prot#'!A:AL,25,FALSE)</f>
        <v>22</v>
      </c>
      <c r="AG189" s="1">
        <f>VLOOKUP(A189,'SegEnds_NonXtal_Prot#'!A:AL,28,FALSE)-VLOOKUP(A189,'SegEnds_NonXtal_Prot#'!A:AL,22,FALSE)</f>
        <v>47</v>
      </c>
      <c r="AH189" s="1">
        <f>VLOOKUP(A189,'SegEnds_NonXtal_Prot#'!A:AL,31,FALSE)-VLOOKUP(A189,'SegEnds_NonXtal_Prot#'!A:AL,28,FALSE)</f>
        <v>54</v>
      </c>
      <c r="AI189" s="1">
        <f>VLOOKUP(A189,'SegEnds_NonXtal_Prot#'!A:AL,34,FALSE)-VLOOKUP(A189,'SegEnds_NonXtal_Prot#'!A:AL,31,FALSE)</f>
        <v>39</v>
      </c>
      <c r="AJ189" s="1" t="str">
        <f>IF(ISERROR(MATCH(A189,'SegEnds_Xtal_Prot#'!B:B, 0)), "NoXtal", "Xtal")</f>
        <v>NoXtal</v>
      </c>
    </row>
    <row r="190" spans="1:36" x14ac:dyDescent="0.2">
      <c r="A190" s="1" t="s">
        <v>313</v>
      </c>
      <c r="B190" s="1" t="str">
        <f>VLOOKUP(A190,Xtal_Templ!A:B,2,FALSE)</f>
        <v>ox2r_human</v>
      </c>
      <c r="C190" s="5">
        <f>VLOOKUP($B190&amp;"__wt",'SegEnds_Xtal_BW#'!$A:$Z,3,FALSE)</f>
        <v>31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f>VLOOKUP($B190&amp;"__wt",'SegEnds_Xtal_BW#'!$A:$Z,8,FALSE)</f>
        <v>67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18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9">
        <f>VLOOKUP($B190&amp;"__wt",'SegEnds_Xtal_BW#'!$A:$Z,15,FALSE)</f>
        <v>38</v>
      </c>
      <c r="P190" s="1">
        <f>VLOOKUP($B190&amp;"__wt",'SegEnds_Xtal_BW#'!$A:$Z,16,FALSE)</f>
        <v>64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v>35</v>
      </c>
      <c r="T190" s="1">
        <f t="array" ref="T190">INDEX('ICL3'!$G$2:$G$40,MATCH(MIN(ABS(AH190-'ICL3'!$F$2:$F$40)),ABS(AH190-'ICL3'!$F$2:$F$40),0))</f>
        <v>72</v>
      </c>
      <c r="U190" s="1">
        <f t="array" ref="U190">INDEX('ICL3'!$H$2:$H$40,MATCH(MIN(ABS(AH190-'ICL3'!$F$2:$F$40)),ABS(AH190-'ICL3'!$F$2:$F$40),0))</f>
        <v>24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58</v>
      </c>
      <c r="AA190" s="27" t="str">
        <f>VLOOKUP(A190,Classification!A:B,2,FALSE)</f>
        <v>A</v>
      </c>
      <c r="AB190" s="1">
        <f>VLOOKUP(A190,'SegEnds_NonXtal_Prot#'!A:AL,10,FALSE)-VLOOKUP(A190,'SegEnds_NonXtal_Prot#'!A:AL,7,FALSE)</f>
        <v>15</v>
      </c>
      <c r="AC190" s="1">
        <f>VLOOKUP(A190,'SegEnds_NonXtal_Prot#'!A:AL,13,FALSE)-VLOOKUP(A190,'SegEnds_NonXtal_Prot#'!A:AL,10,FALSE)</f>
        <v>20</v>
      </c>
      <c r="AD190" s="1">
        <f>VLOOKUP(A190,'SegEnds_NonXtal_Prot#'!A:AL,16,FALSE)-VLOOKUP(A190,'SegEnds_NonXtal_Prot#'!A:AL,10,FALSE)</f>
        <v>52</v>
      </c>
      <c r="AE190" s="1">
        <f>VLOOKUP(A190,'SegEnds_NonXtal_Prot#'!A:AL,22,FALSE)-VLOOKUP(A190,'SegEnds_NonXtal_Prot#'!A:AL,19,FALSE)</f>
        <v>20</v>
      </c>
      <c r="AF190" s="1">
        <f>VLOOKUP(A190,'SegEnds_NonXtal_Prot#'!A:AL,28,FALSE)-VLOOKUP(A190,'SegEnds_NonXtal_Prot#'!A:AL,25,FALSE)</f>
        <v>22</v>
      </c>
      <c r="AG190" s="1">
        <f>VLOOKUP(A190,'SegEnds_NonXtal_Prot#'!A:AL,28,FALSE)-VLOOKUP(A190,'SegEnds_NonXtal_Prot#'!A:AL,22,FALSE)</f>
        <v>47</v>
      </c>
      <c r="AH190" s="1">
        <f>VLOOKUP(A190,'SegEnds_NonXtal_Prot#'!A:AL,31,FALSE)-VLOOKUP(A190,'SegEnds_NonXtal_Prot#'!A:AL,28,FALSE)</f>
        <v>52</v>
      </c>
      <c r="AI190" s="1">
        <f>VLOOKUP(A190,'SegEnds_NonXtal_Prot#'!A:AL,34,FALSE)-VLOOKUP(A190,'SegEnds_NonXtal_Prot#'!A:AL,31,FALSE)</f>
        <v>39</v>
      </c>
      <c r="AJ190" s="1" t="str">
        <f>IF(ISERROR(MATCH(A190,'SegEnds_Xtal_Prot#'!B:B, 0)), "NoXtal", "Xtal")</f>
        <v>NoXtal</v>
      </c>
    </row>
    <row r="191" spans="1:36" x14ac:dyDescent="0.2">
      <c r="A191" s="1" t="s">
        <v>317</v>
      </c>
      <c r="B191" s="1" t="str">
        <f>VLOOKUP(A191,Xtal_Templ!A:B,2,FALSE)</f>
        <v>ednrb_human</v>
      </c>
      <c r="C191" s="5">
        <f>VLOOKUP($B191&amp;"__wt",'SegEnds_Xtal_BW#'!$A:$Z,3,FALSE)</f>
        <v>22</v>
      </c>
      <c r="D191" s="1">
        <f>VLOOKUP($B191&amp;"__wt",'SegEnds_Xtal_BW#'!$A:$Z,4,FALSE)</f>
        <v>60</v>
      </c>
      <c r="E191" s="1">
        <f>VLOOKUP($B191&amp;"__wt",'SegEnds_Xtal_BW#'!$A:$Z,5,FALSE)</f>
        <v>48</v>
      </c>
      <c r="F191" s="1">
        <f>VLOOKUP($B191&amp;"__wt",'SegEnds_Xtal_BW#'!$A:$Z,6,FALSE)</f>
        <v>52</v>
      </c>
      <c r="G191" s="1">
        <v>37</v>
      </c>
      <c r="H191" s="12">
        <f>VLOOKUP($B191&amp;"__wt",'SegEnds_Xtal_BW#'!$A:$Z,8,FALSE)</f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9"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f>VLOOKUP($B191&amp;"__wt",'SegEnds_Xtal_BW#'!$A:$Z,19,FALSE)</f>
        <v>29</v>
      </c>
      <c r="T191" s="1">
        <f t="array" ref="T191">INDEX('ICL3'!$G$2:$G$40,MATCH(MIN(ABS(AH191-'ICL3'!$F$2:$F$40)),ABS(AH191-'ICL3'!$F$2:$F$40),0))</f>
        <v>72</v>
      </c>
      <c r="U191" s="1">
        <f t="array" ref="U191">INDEX('ICL3'!$H$2:$H$40,MATCH(MIN(ABS(AH191-'ICL3'!$F$2:$F$40)),ABS(AH191-'ICL3'!$F$2:$F$40),0))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60</v>
      </c>
      <c r="AA191" s="27" t="str">
        <f>VLOOKUP(A191,Classification!A:B,2,FALSE)</f>
        <v>A</v>
      </c>
      <c r="AB191" s="1">
        <f>VLOOKUP(A191,'SegEnds_NonXtal_Prot#'!A:AL,10,FALSE)-VLOOKUP(A191,'SegEnds_NonXtal_Prot#'!A:AL,7,FALSE)</f>
        <v>15</v>
      </c>
      <c r="AC191" s="1">
        <f>VLOOKUP(A191,'SegEnds_NonXtal_Prot#'!A:AL,13,FALSE)-VLOOKUP(A191,'SegEnds_NonXtal_Prot#'!A:AL,10,FALSE)</f>
        <v>20</v>
      </c>
      <c r="AD191" s="1">
        <f>VLOOKUP(A191,'SegEnds_NonXtal_Prot#'!A:AL,16,FALSE)-VLOOKUP(A191,'SegEnds_NonXtal_Prot#'!A:AL,10,FALSE)</f>
        <v>52</v>
      </c>
      <c r="AE191" s="1">
        <f>VLOOKUP(A191,'SegEnds_NonXtal_Prot#'!A:AL,22,FALSE)-VLOOKUP(A191,'SegEnds_NonXtal_Prot#'!A:AL,19,FALSE)</f>
        <v>20</v>
      </c>
      <c r="AF191" s="1">
        <f>VLOOKUP(A191,'SegEnds_NonXtal_Prot#'!A:AL,28,FALSE)-VLOOKUP(A191,'SegEnds_NonXtal_Prot#'!A:AL,25,FALSE)</f>
        <v>26</v>
      </c>
      <c r="AG191" s="1">
        <f>VLOOKUP(A191,'SegEnds_NonXtal_Prot#'!A:AL,28,FALSE)-VLOOKUP(A191,'SegEnds_NonXtal_Prot#'!A:AL,22,FALSE)</f>
        <v>56</v>
      </c>
      <c r="AH191" s="1">
        <f>VLOOKUP(A191,'SegEnds_NonXtal_Prot#'!A:AL,31,FALSE)-VLOOKUP(A191,'SegEnds_NonXtal_Prot#'!A:AL,28,FALSE)</f>
        <v>57</v>
      </c>
      <c r="AI191" s="1">
        <f>VLOOKUP(A191,'SegEnds_NonXtal_Prot#'!A:AL,34,FALSE)-VLOOKUP(A191,'SegEnds_NonXtal_Prot#'!A:AL,31,FALSE)</f>
        <v>40</v>
      </c>
      <c r="AJ191" s="1" t="str">
        <f>IF(ISERROR(MATCH(A191,'SegEnds_Xtal_Prot#'!B:B, 0)), "NoXtal", "Xtal")</f>
        <v>NoXtal</v>
      </c>
    </row>
    <row r="192" spans="1:36" x14ac:dyDescent="0.2">
      <c r="A192" s="4" t="s">
        <v>318</v>
      </c>
      <c r="B192" s="4" t="str">
        <f>VLOOKUP(A192,Xtal_Templ!A:B,2,FALSE)</f>
        <v>ntr1_rat</v>
      </c>
      <c r="C192" s="5">
        <f>VLOOKUP($B192&amp;"__wt",'SegEnds_Xtal_BW#'!$A:$Z,3,FALSE)</f>
        <v>29</v>
      </c>
      <c r="D192" s="4">
        <f>VLOOKUP($B192&amp;"__wt",'SegEnds_Xtal_BW#'!$A:$Z,4,FALSE)</f>
        <v>60</v>
      </c>
      <c r="E192" s="4">
        <f>VLOOKUP($B192&amp;"__wt",'SegEnds_Xtal_BW#'!$A:$Z,5,FALSE)</f>
        <v>48</v>
      </c>
      <c r="F192" s="4">
        <f>VLOOKUP($B192&amp;"__wt",'SegEnds_Xtal_BW#'!$A:$Z,6,FALSE)</f>
        <v>51</v>
      </c>
      <c r="G192" s="4">
        <v>37</v>
      </c>
      <c r="H192" s="11">
        <v>66</v>
      </c>
      <c r="I192" s="4">
        <f>VLOOKUP($B192&amp;"__wt",'SegEnds_Xtal_BW#'!$A:$Z,9,FALSE)</f>
        <v>49</v>
      </c>
      <c r="J192" s="4">
        <f>VLOOKUP($B192&amp;"__wt",'SegEnds_Xtal_BW#'!$A:$Z,10,FALSE)</f>
        <v>52</v>
      </c>
      <c r="K192" s="11">
        <v>18</v>
      </c>
      <c r="L192" s="4">
        <f>VLOOKUP($B192&amp;"__wt",'SegEnds_Xtal_BW#'!$A:$Z,12,FALSE)</f>
        <v>56</v>
      </c>
      <c r="M192" s="4">
        <f>VLOOKUP($B192&amp;"__wt",'SegEnds_Xtal_BW#'!$A:$Z,13,FALSE)</f>
        <v>50</v>
      </c>
      <c r="N192" s="11">
        <v>57</v>
      </c>
      <c r="O192" s="89">
        <f>VLOOKUP($B192&amp;"__wt",'SegEnds_Xtal_BW#'!$A:$Z,15,FALSE)</f>
        <v>38</v>
      </c>
      <c r="P192" s="4">
        <f>VLOOKUP($B192&amp;"__wt",'SegEnds_Xtal_BW#'!$A:$Z,16,FALSE)</f>
        <v>64</v>
      </c>
      <c r="Q192" s="4">
        <f>VLOOKUP($B192&amp;"__wt",'SegEnds_Xtal_BW#'!$A:$Z,17,FALSE)</f>
        <v>50</v>
      </c>
      <c r="R192" s="4">
        <f>VLOOKUP($B192&amp;"__wt",'SegEnds_Xtal_BW#'!$A:$Z,18,FALSE)</f>
        <v>52</v>
      </c>
      <c r="S192" s="4">
        <f>VLOOKUP($B192&amp;"__wt",'SegEnds_Xtal_BW#'!$A:$Z,19,FALSE)</f>
        <v>32</v>
      </c>
      <c r="T192" s="4">
        <f t="array" ref="T192">INDEX('ICL3'!$G$2:$G$40,MATCH(MIN(ABS(AH192-'ICL3'!$F$2:$F$40)),ABS(AH192-'ICL3'!$F$2:$F$40),0))</f>
        <v>76</v>
      </c>
      <c r="U192" s="4">
        <f t="array" ref="U192">INDEX('ICL3'!$H$2:$H$40,MATCH(MIN(ABS(AH192-'ICL3'!$F$2:$F$40)),ABS(AH192-'ICL3'!$F$2:$F$40),0))</f>
        <v>24</v>
      </c>
      <c r="V192" s="4">
        <v>61</v>
      </c>
      <c r="W192" s="4">
        <v>28</v>
      </c>
      <c r="X192" s="4">
        <f>VLOOKUP($B192&amp;"__wt",'SegEnds_Xtal_BW#'!$A:$Z,24,FALSE)</f>
        <v>56</v>
      </c>
      <c r="Y192" s="4">
        <f>VLOOKUP($B192&amp;"__wt",'SegEnds_Xtal_BW#'!$A:$Z,25,FALSE)</f>
        <v>47</v>
      </c>
      <c r="Z192" s="4">
        <f>VLOOKUP($B192&amp;"__wt",'SegEnds_Xtal_BW#'!$A:$Z,26,FALSE)</f>
        <v>58</v>
      </c>
      <c r="AA192" s="27" t="str">
        <f>VLOOKUP(A192,Classification!A:B,2,FALSE)</f>
        <v>A</v>
      </c>
      <c r="AB192" s="4">
        <f>VLOOKUP(A192,'SegEnds_NonXtal_Prot#'!A:AL,10,FALSE)-VLOOKUP(A192,'SegEnds_NonXtal_Prot#'!A:AL,7,FALSE)</f>
        <v>15</v>
      </c>
      <c r="AC192" s="4">
        <f>VLOOKUP(A192,'SegEnds_NonXtal_Prot#'!A:AL,13,FALSE)-VLOOKUP(A192,'SegEnds_NonXtal_Prot#'!A:AL,10,FALSE)</f>
        <v>19</v>
      </c>
      <c r="AD192" s="4">
        <f>VLOOKUP(A192,'SegEnds_NonXtal_Prot#'!A:AL,16,FALSE)-VLOOKUP(A192,'SegEnds_NonXtal_Prot#'!A:AL,10,FALSE)</f>
        <v>53</v>
      </c>
      <c r="AE192" s="1">
        <f>VLOOKUP(A192,'SegEnds_NonXtal_Prot#'!A:AL,22,FALSE)-VLOOKUP(A192,'SegEnds_NonXtal_Prot#'!A:AL,19,FALSE)</f>
        <v>20</v>
      </c>
      <c r="AF192" s="4">
        <f>VLOOKUP(A192,'SegEnds_NonXtal_Prot#'!A:AL,28,FALSE)-VLOOKUP(A192,'SegEnds_NonXtal_Prot#'!A:AL,25,FALSE)</f>
        <v>24</v>
      </c>
      <c r="AG192" s="1">
        <f>VLOOKUP(A192,'SegEnds_NonXtal_Prot#'!A:AL,28,FALSE)-VLOOKUP(A192,'SegEnds_NonXtal_Prot#'!A:AL,22,FALSE)</f>
        <v>57</v>
      </c>
      <c r="AH192" s="4">
        <f>VLOOKUP(A192,'SegEnds_NonXtal_Prot#'!A:AL,31,FALSE)-VLOOKUP(A192,'SegEnds_NonXtal_Prot#'!A:AL,28,FALSE)</f>
        <v>69</v>
      </c>
      <c r="AI192" s="4">
        <f>VLOOKUP(A192,'SegEnds_NonXtal_Prot#'!A:AL,34,FALSE)-VLOOKUP(A192,'SegEnds_NonXtal_Prot#'!A:AL,31,FALSE)</f>
        <v>41</v>
      </c>
      <c r="AJ192" s="1" t="str">
        <f>IF(ISERROR(MATCH(A192,'SegEnds_Xtal_Prot#'!B:B, 0)), "NoXtal", "Xtal")</f>
        <v>NoXtal</v>
      </c>
    </row>
    <row r="193" spans="1:36" x14ac:dyDescent="0.2">
      <c r="A193" s="1" t="s">
        <v>319</v>
      </c>
      <c r="B193" s="1" t="str">
        <f>VLOOKUP(A193,Xtal_Templ!A:B,2,FALSE)</f>
        <v>ntr1_rat</v>
      </c>
      <c r="C193" s="5">
        <f>VLOOKUP($B193&amp;"__wt",'SegEnds_Xtal_BW#'!$A:$Z,3,FALSE)</f>
        <v>29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51</v>
      </c>
      <c r="G193" s="1">
        <v>37</v>
      </c>
      <c r="H193" s="12">
        <v>66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9">
        <f>VLOOKUP($B193&amp;"__wt",'SegEnds_Xtal_BW#'!$A:$Z,15,FALSE)</f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32</v>
      </c>
      <c r="T193" s="1">
        <f t="array" ref="T193">INDEX('ICL3'!$G$2:$G$40,MATCH(MIN(ABS(AH193-'ICL3'!$F$2:$F$40)),ABS(AH193-'ICL3'!$F$2:$F$40),0))</f>
        <v>73</v>
      </c>
      <c r="U193" s="1">
        <f t="array" ref="U193">INDEX('ICL3'!$H$2:$H$40,MATCH(MIN(ABS(AH193-'ICL3'!$F$2:$F$40)),ABS(AH193-'ICL3'!$F$2:$F$40),0))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58</v>
      </c>
      <c r="AA193" s="27" t="str">
        <f>VLOOKUP(A193,Classification!A:B,2,FALSE)</f>
        <v>A</v>
      </c>
      <c r="AB193" s="1">
        <f>VLOOKUP(A193,'SegEnds_NonXtal_Prot#'!A:AL,10,FALSE)-VLOOKUP(A193,'SegEnds_NonXtal_Prot#'!A:AL,7,FALSE)</f>
        <v>15</v>
      </c>
      <c r="AC193" s="1">
        <f>VLOOKUP(A193,'SegEnds_NonXtal_Prot#'!A:AL,13,FALSE)-VLOOKUP(A193,'SegEnds_NonXtal_Prot#'!A:AL,10,FALSE)</f>
        <v>19</v>
      </c>
      <c r="AD193" s="1">
        <f>VLOOKUP(A193,'SegEnds_NonXtal_Prot#'!A:AL,16,FALSE)-VLOOKUP(A193,'SegEnds_NonXtal_Prot#'!A:AL,10,FALSE)</f>
        <v>53</v>
      </c>
      <c r="AE193" s="1">
        <f>VLOOKUP(A193,'SegEnds_NonXtal_Prot#'!A:AL,22,FALSE)-VLOOKUP(A193,'SegEnds_NonXtal_Prot#'!A:AL,19,FALSE)</f>
        <v>20</v>
      </c>
      <c r="AF193" s="1">
        <f>VLOOKUP(A193,'SegEnds_NonXtal_Prot#'!A:AL,28,FALSE)-VLOOKUP(A193,'SegEnds_NonXtal_Prot#'!A:AL,25,FALSE)</f>
        <v>24</v>
      </c>
      <c r="AG193" s="1">
        <f>VLOOKUP(A193,'SegEnds_NonXtal_Prot#'!A:AL,28,FALSE)-VLOOKUP(A193,'SegEnds_NonXtal_Prot#'!A:AL,22,FALSE)</f>
        <v>57</v>
      </c>
      <c r="AH193" s="1">
        <f>VLOOKUP(A193,'SegEnds_NonXtal_Prot#'!A:AL,31,FALSE)-VLOOKUP(A193,'SegEnds_NonXtal_Prot#'!A:AL,28,FALSE)</f>
        <v>55</v>
      </c>
      <c r="AI193" s="1">
        <f>VLOOKUP(A193,'SegEnds_NonXtal_Prot#'!A:AL,34,FALSE)-VLOOKUP(A193,'SegEnds_NonXtal_Prot#'!A:AL,31,FALSE)</f>
        <v>41</v>
      </c>
      <c r="AJ193" s="1" t="str">
        <f>IF(ISERROR(MATCH(A193,'SegEnds_Xtal_Prot#'!B:B, 0)), "NoXtal", "Xtal")</f>
        <v>NoXtal</v>
      </c>
    </row>
    <row r="194" spans="1:36" x14ac:dyDescent="0.2">
      <c r="A194" s="1" t="s">
        <v>127</v>
      </c>
      <c r="B194" s="1" t="str">
        <f>VLOOKUP(A194,Xtal_Templ!A:B,2,FALSE)</f>
        <v>ntr1_rat</v>
      </c>
      <c r="C194" s="5">
        <f>VLOOKUP($B194&amp;"__wt",'SegEnds_Xtal_BW#'!$A:$Z,3,FALSE)</f>
        <v>29</v>
      </c>
      <c r="D194" s="1">
        <f>VLOOKUP($B194&amp;"__wt",'SegEnds_Xtal_BW#'!$A:$Z,4,FALSE)</f>
        <v>60</v>
      </c>
      <c r="E194" s="1">
        <f>VLOOKUP($B194&amp;"__wt",'SegEnds_Xtal_BW#'!$A:$Z,5,FALSE)</f>
        <v>48</v>
      </c>
      <c r="F194" s="1">
        <f>VLOOKUP($B194&amp;"__wt",'SegEnds_Xtal_BW#'!$A:$Z,6,FALSE)</f>
        <v>51</v>
      </c>
      <c r="G194" s="1">
        <v>37</v>
      </c>
      <c r="H194" s="12">
        <f>VLOOKUP($B194&amp;"__wt",'SegEnds_Xtal_BW#'!$A:$Z,8,FALSE)</f>
        <v>68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9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INDEX('ICL3'!$G$2:$G$40,MATCH(MIN(ABS(AH194-'ICL3'!$F$2:$F$40)),ABS(AH194-'ICL3'!$F$2:$F$40),0))</f>
        <v>76</v>
      </c>
      <c r="U194" s="1">
        <f t="array" ref="U194">INDEX('ICL3'!$H$2:$H$40,MATCH(MIN(ABS(AH194-'ICL3'!$F$2:$F$40)),ABS(AH194-'ICL3'!$F$2:$F$40),0))</f>
        <v>24</v>
      </c>
      <c r="V194" s="1">
        <v>61</v>
      </c>
      <c r="W194" s="1">
        <v>24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58</v>
      </c>
      <c r="AA194" s="27" t="str">
        <f>VLOOKUP(A194,Classification!A:B,2,FALSE)</f>
        <v>A</v>
      </c>
      <c r="AB194" s="1">
        <f>VLOOKUP(A194,'SegEnds_NonXtal_Prot#'!A:AL,10,FALSE)-VLOOKUP(A194,'SegEnds_NonXtal_Prot#'!A:AL,7,FALSE)</f>
        <v>18</v>
      </c>
      <c r="AC194" s="1">
        <f>VLOOKUP(A194,'SegEnds_NonXtal_Prot#'!A:AL,13,FALSE)-VLOOKUP(A194,'SegEnds_NonXtal_Prot#'!A:AL,10,FALSE)</f>
        <v>22</v>
      </c>
      <c r="AD194" s="1">
        <f>VLOOKUP(A194,'SegEnds_NonXtal_Prot#'!A:AL,16,FALSE)-VLOOKUP(A194,'SegEnds_NonXtal_Prot#'!A:AL,10,FALSE)</f>
        <v>54</v>
      </c>
      <c r="AE194" s="1">
        <f>VLOOKUP(A194,'SegEnds_NonXtal_Prot#'!A:AL,22,FALSE)-VLOOKUP(A194,'SegEnds_NonXtal_Prot#'!A:AL,19,FALSE)</f>
        <v>20</v>
      </c>
      <c r="AF194" s="1">
        <f>VLOOKUP(A194,'SegEnds_NonXtal_Prot#'!A:AL,28,FALSE)-VLOOKUP(A194,'SegEnds_NonXtal_Prot#'!A:AL,25,FALSE)</f>
        <v>24</v>
      </c>
      <c r="AG194" s="1">
        <f>VLOOKUP(A194,'SegEnds_NonXtal_Prot#'!A:AL,28,FALSE)-VLOOKUP(A194,'SegEnds_NonXtal_Prot#'!A:AL,22,FALSE)</f>
        <v>55</v>
      </c>
      <c r="AH194" s="1">
        <f>VLOOKUP(A194,'SegEnds_NonXtal_Prot#'!A:AL,31,FALSE)-VLOOKUP(A194,'SegEnds_NonXtal_Prot#'!A:AL,28,FALSE)</f>
        <v>70</v>
      </c>
      <c r="AI194" s="1">
        <f>VLOOKUP(A194,'SegEnds_NonXtal_Prot#'!A:AL,34,FALSE)-VLOOKUP(A194,'SegEnds_NonXtal_Prot#'!A:AL,31,FALSE)</f>
        <v>43</v>
      </c>
      <c r="AJ194" s="1" t="str">
        <f>IF(ISERROR(MATCH(A194,'SegEnds_Xtal_Prot#'!B:B, 0)), "NoXtal", "Xtal")</f>
        <v>NoXtal</v>
      </c>
    </row>
    <row r="195" spans="1:36" x14ac:dyDescent="0.2">
      <c r="A195" s="1" t="s">
        <v>914</v>
      </c>
      <c r="B195" s="1" t="str">
        <f>VLOOKUP(A195,Xtal_Templ!A:B,2,FALSE)</f>
        <v>ntr1_rat</v>
      </c>
      <c r="C195" s="5">
        <f>VLOOKUP($B195&amp;"__wt",'SegEnds_Xtal_BW#'!$A:$Z,3,FALSE)</f>
        <v>29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51</v>
      </c>
      <c r="G195" s="1">
        <v>37</v>
      </c>
      <c r="H195" s="12">
        <f>VLOOKUP($B195&amp;"__wt",'SegEnds_Xtal_BW#'!$A:$Z,8,FALSE)</f>
        <v>68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f>VLOOKUP($B195&amp;"__wt",'SegEnds_Xtal_BW#'!$A:$Z,14,FALSE)</f>
        <v>57</v>
      </c>
      <c r="O195" s="89">
        <f>VLOOKUP($B195&amp;"__wt",'SegEnds_Xtal_BW#'!$A:$Z,15,FALSE)</f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32</v>
      </c>
      <c r="T195" s="1">
        <f t="array" ref="T195">INDEX('ICL3'!$G$2:$G$40,MATCH(MIN(ABS(AH195-'ICL3'!$F$2:$F$40)),ABS(AH195-'ICL3'!$F$2:$F$40),0))</f>
        <v>76</v>
      </c>
      <c r="U195" s="1">
        <f t="array" ref="U195">INDEX('ICL3'!$H$2:$H$40,MATCH(MIN(ABS(AH195-'ICL3'!$F$2:$F$40)),ABS(AH195-'ICL3'!$F$2:$F$40),0))</f>
        <v>24</v>
      </c>
      <c r="V195" s="1">
        <v>61</v>
      </c>
      <c r="W195" s="1">
        <v>24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58</v>
      </c>
      <c r="AA195" s="27" t="str">
        <f>VLOOKUP(A195,Classification!A:B,2,FALSE)</f>
        <v>A</v>
      </c>
      <c r="AB195" s="1">
        <f>VLOOKUP(A195,'SegEnds_NonXtal_Prot#'!A:AL,10,FALSE)-VLOOKUP(A195,'SegEnds_NonXtal_Prot#'!A:AL,7,FALSE)</f>
        <v>18</v>
      </c>
      <c r="AC195" s="1">
        <f>VLOOKUP(A195,'SegEnds_NonXtal_Prot#'!A:AL,13,FALSE)-VLOOKUP(A195,'SegEnds_NonXtal_Prot#'!A:AL,10,FALSE)</f>
        <v>22</v>
      </c>
      <c r="AD195" s="1">
        <f>VLOOKUP(A195,'SegEnds_NonXtal_Prot#'!A:AL,16,FALSE)-VLOOKUP(A195,'SegEnds_NonXtal_Prot#'!A:AL,10,FALSE)</f>
        <v>54</v>
      </c>
      <c r="AE195" s="1">
        <f>VLOOKUP(A195,'SegEnds_NonXtal_Prot#'!A:AL,22,FALSE)-VLOOKUP(A195,'SegEnds_NonXtal_Prot#'!A:AL,19,FALSE)</f>
        <v>20</v>
      </c>
      <c r="AF195" s="1">
        <f>VLOOKUP(A195,'SegEnds_NonXtal_Prot#'!A:AL,28,FALSE)-VLOOKUP(A195,'SegEnds_NonXtal_Prot#'!A:AL,25,FALSE)</f>
        <v>24</v>
      </c>
      <c r="AG195" s="1">
        <f>VLOOKUP(A195,'SegEnds_NonXtal_Prot#'!A:AL,28,FALSE)-VLOOKUP(A195,'SegEnds_NonXtal_Prot#'!A:AL,22,FALSE)</f>
        <v>55</v>
      </c>
      <c r="AH195" s="1">
        <f>VLOOKUP(A195,'SegEnds_NonXtal_Prot#'!A:AL,31,FALSE)-VLOOKUP(A195,'SegEnds_NonXtal_Prot#'!A:AL,28,FALSE)</f>
        <v>74</v>
      </c>
      <c r="AI195" s="1">
        <f>VLOOKUP(A195,'SegEnds_NonXtal_Prot#'!A:AL,34,FALSE)-VLOOKUP(A195,'SegEnds_NonXtal_Prot#'!A:AL,31,FALSE)</f>
        <v>43</v>
      </c>
      <c r="AJ195" s="1" t="str">
        <f>IF(ISERROR(MATCH(A195,'SegEnds_Xtal_Prot#'!B:B, 0)), "NoXtal", "Xtal")</f>
        <v>Xtal</v>
      </c>
    </row>
    <row r="196" spans="1:36" x14ac:dyDescent="0.2">
      <c r="A196" s="1" t="s">
        <v>330</v>
      </c>
      <c r="B196" s="1" t="str">
        <f>VLOOKUP(A196,Xtal_Templ!A:B,2,FALSE)</f>
        <v>ntr1_rat</v>
      </c>
      <c r="C196" s="5">
        <f>VLOOKUP($B196&amp;"__wt",'SegEnds_Xtal_BW#'!$A:$Z,3,FALSE)</f>
        <v>29</v>
      </c>
      <c r="D196" s="1">
        <f>VLOOKUP($B196&amp;"__wt",'SegEnds_Xtal_BW#'!$A:$Z,4,FALSE)</f>
        <v>60</v>
      </c>
      <c r="E196" s="1">
        <f>VLOOKUP($B196&amp;"__wt",'SegEnds_Xtal_BW#'!$A:$Z,5,FALSE)</f>
        <v>48</v>
      </c>
      <c r="F196" s="1">
        <f>VLOOKUP($B196&amp;"__wt",'SegEnds_Xtal_BW#'!$A:$Z,6,FALSE)</f>
        <v>51</v>
      </c>
      <c r="G196" s="1">
        <v>37</v>
      </c>
      <c r="H196" s="12">
        <f>VLOOKUP($B196&amp;"__wt",'SegEnds_Xtal_BW#'!$A:$Z,8,FALSE)</f>
        <v>68</v>
      </c>
      <c r="I196" s="1">
        <f>VLOOKUP($B196&amp;"__wt",'SegEnds_Xtal_BW#'!$A:$Z,9,FALSE)</f>
        <v>49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9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32</v>
      </c>
      <c r="T196" s="1">
        <f t="array" ref="T196">INDEX('ICL3'!$G$2:$G$40,MATCH(MIN(ABS(AH196-'ICL3'!$F$2:$F$40)),ABS(AH196-'ICL3'!$F$2:$F$40),0))</f>
        <v>74</v>
      </c>
      <c r="U196" s="1">
        <f t="array" ref="U196">INDEX('ICL3'!$H$2:$H$40,MATCH(MIN(ABS(AH196-'ICL3'!$F$2:$F$40)),ABS(AH196-'ICL3'!$F$2:$F$40),0))</f>
        <v>24</v>
      </c>
      <c r="V196" s="1">
        <v>61</v>
      </c>
      <c r="W196" s="1">
        <v>24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58</v>
      </c>
      <c r="AA196" s="27" t="str">
        <f>VLOOKUP(A196,Classification!A:B,2,FALSE)</f>
        <v>A</v>
      </c>
      <c r="AB196" s="1" t="e">
        <f>VLOOKUP(A196,'SegEnds_NonXtal_Prot#'!A:AL,10,FALSE)-VLOOKUP(A196,'SegEnds_NonXtal_Prot#'!A:AL,7,FALSE)</f>
        <v>#VALUE!</v>
      </c>
      <c r="AC196" s="1">
        <f>VLOOKUP(A196,'SegEnds_NonXtal_Prot#'!A:AL,13,FALSE)-VLOOKUP(A196,'SegEnds_NonXtal_Prot#'!A:AL,10,FALSE)</f>
        <v>22</v>
      </c>
      <c r="AD196" s="1">
        <f>VLOOKUP(A196,'SegEnds_NonXtal_Prot#'!A:AL,16,FALSE)-VLOOKUP(A196,'SegEnds_NonXtal_Prot#'!A:AL,10,FALSE)</f>
        <v>54</v>
      </c>
      <c r="AE196" s="1">
        <f>VLOOKUP(A196,'SegEnds_NonXtal_Prot#'!A:AL,22,FALSE)-VLOOKUP(A196,'SegEnds_NonXtal_Prot#'!A:AL,19,FALSE)</f>
        <v>20</v>
      </c>
      <c r="AF196" s="1">
        <f>VLOOKUP(A196,'SegEnds_NonXtal_Prot#'!A:AL,28,FALSE)-VLOOKUP(A196,'SegEnds_NonXtal_Prot#'!A:AL,25,FALSE)</f>
        <v>24</v>
      </c>
      <c r="AG196" s="1">
        <f>VLOOKUP(A196,'SegEnds_NonXtal_Prot#'!A:AL,28,FALSE)-VLOOKUP(A196,'SegEnds_NonXtal_Prot#'!A:AL,22,FALSE)</f>
        <v>58</v>
      </c>
      <c r="AH196" s="1">
        <f>VLOOKUP(A196,'SegEnds_NonXtal_Prot#'!A:AL,31,FALSE)-VLOOKUP(A196,'SegEnds_NonXtal_Prot#'!A:AL,28,FALSE)</f>
        <v>94</v>
      </c>
      <c r="AI196" s="1">
        <f>VLOOKUP(A196,'SegEnds_NonXtal_Prot#'!A:AL,34,FALSE)-VLOOKUP(A196,'SegEnds_NonXtal_Prot#'!A:AL,31,FALSE)</f>
        <v>43</v>
      </c>
      <c r="AJ196" s="1" t="str">
        <f>IF(ISERROR(MATCH(A196,'SegEnds_Xtal_Prot#'!B:B, 0)), "NoXtal", "Xtal")</f>
        <v>NoXtal</v>
      </c>
    </row>
    <row r="197" spans="1:36" x14ac:dyDescent="0.2">
      <c r="A197" s="1" t="s">
        <v>331</v>
      </c>
      <c r="B197" s="1" t="str">
        <f>VLOOKUP(A197,Xtal_Templ!A:B,2,FALSE)</f>
        <v>agtr1_human</v>
      </c>
      <c r="C197" s="5">
        <f>VLOOKUP($B197&amp;"__wt",'SegEnds_Xtal_BW#'!$A:$Z,3,FALSE)</f>
        <v>30</v>
      </c>
      <c r="D197" s="1">
        <f>VLOOKUP($B197&amp;"__wt",'SegEnds_Xtal_BW#'!$A:$Z,4,FALSE)</f>
        <v>60</v>
      </c>
      <c r="E197" s="111">
        <v>48</v>
      </c>
      <c r="F197" s="111"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v>57</v>
      </c>
      <c r="O197" s="89">
        <f>VLOOKUP($B197&amp;"__wt",'SegEnds_Xtal_BW#'!$A:$Z,15,FALSE)</f>
        <v>38</v>
      </c>
      <c r="P197" s="1">
        <f>VLOOKUP($B197&amp;"__wt",'SegEnds_Xtal_BW#'!$A:$Z,16,FALSE)</f>
        <v>64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34</v>
      </c>
      <c r="T197" s="1">
        <f t="array" ref="T197">INDEX('ICL3'!$G$2:$G$40,MATCH(MIN(ABS(AH197-'ICL3'!$F$2:$F$40)),ABS(AH197-'ICL3'!$F$2:$F$40),0))</f>
        <v>67</v>
      </c>
      <c r="U197" s="1">
        <f t="array" ref="U197">INDEX('ICL3'!$H$2:$H$40,MATCH(MIN(ABS(AH197-'ICL3'!$F$2:$F$40)),ABS(AH197-'ICL3'!$F$2:$F$40),0))</f>
        <v>26</v>
      </c>
      <c r="V197" s="1">
        <v>61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VLOOKUP(A197,'SegEnds_NonXtal_Prot#'!A:AL,10,FALSE)-VLOOKUP(A197,'SegEnds_NonXtal_Prot#'!A:AL,7,FALSE)</f>
        <v>15</v>
      </c>
      <c r="AC197" s="1">
        <f>VLOOKUP(A197,'SegEnds_NonXtal_Prot#'!A:AL,13,FALSE)-VLOOKUP(A197,'SegEnds_NonXtal_Prot#'!A:AL,10,FALSE)</f>
        <v>20</v>
      </c>
      <c r="AD197" s="1">
        <f>VLOOKUP(A197,'SegEnds_NonXtal_Prot#'!A:AL,16,FALSE)-VLOOKUP(A197,'SegEnds_NonXtal_Prot#'!A:AL,10,FALSE)</f>
        <v>52</v>
      </c>
      <c r="AE197" s="1">
        <f>VLOOKUP(A197,'SegEnds_NonXtal_Prot#'!A:AL,22,FALSE)-VLOOKUP(A197,'SegEnds_NonXtal_Prot#'!A:AL,19,FALSE)</f>
        <v>20</v>
      </c>
      <c r="AF197" s="1">
        <f>VLOOKUP(A197,'SegEnds_NonXtal_Prot#'!A:AL,28,FALSE)-VLOOKUP(A197,'SegEnds_NonXtal_Prot#'!A:AL,25,FALSE)</f>
        <v>25</v>
      </c>
      <c r="AG197" s="1">
        <f>VLOOKUP(A197,'SegEnds_NonXtal_Prot#'!A:AL,28,FALSE)-VLOOKUP(A197,'SegEnds_NonXtal_Prot#'!A:AL,22,FALSE)</f>
        <v>51</v>
      </c>
      <c r="AH197" s="1">
        <f>VLOOKUP(A197,'SegEnds_NonXtal_Prot#'!A:AL,31,FALSE)-VLOOKUP(A197,'SegEnds_NonXtal_Prot#'!A:AL,28,FALSE)</f>
        <v>46</v>
      </c>
      <c r="AI197" s="1">
        <f>VLOOKUP(A197,'SegEnds_NonXtal_Prot#'!A:AL,34,FALSE)-VLOOKUP(A197,'SegEnds_NonXtal_Prot#'!A:AL,31,FALSE)</f>
        <v>40</v>
      </c>
      <c r="AJ197" s="1" t="str">
        <f>IF(ISERROR(MATCH(A197,'SegEnds_Xtal_Prot#'!B:B, 0)), "NoXtal", "Xtal")</f>
        <v>NoXtal</v>
      </c>
    </row>
    <row r="198" spans="1:36" x14ac:dyDescent="0.2">
      <c r="A198" s="1" t="s">
        <v>333</v>
      </c>
      <c r="B198" s="1" t="str">
        <f>VLOOKUP(A198,Xtal_Templ!A:B,2,FALSE)</f>
        <v>opsd_human</v>
      </c>
      <c r="C198" s="5">
        <f>VLOOKUP($B198&amp;"__wt",'SegEnds_Xtal_BW#'!$A:$Z,3,FALSE)</f>
        <v>29</v>
      </c>
      <c r="D198" s="1">
        <f>VLOOKUP($B198&amp;"__wt",'SegEnds_Xtal_BW#'!$A:$Z,4,FALSE)</f>
        <v>60</v>
      </c>
      <c r="E198" s="1">
        <f>VLOOKUP($B198&amp;"__wt",'SegEnds_Xtal_BW#'!$A:$Z,5,FALSE)</f>
        <v>48</v>
      </c>
      <c r="F198" s="1">
        <f>VLOOKUP($B198&amp;"__wt",'SegEnds_Xtal_BW#'!$A:$Z,6,FALSE)</f>
        <v>51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9">
        <f>VLOOKUP($B198&amp;"__wt",'SegEnds_Xtal_BW#'!$A:$Z,15,FALSE)</f>
        <v>38</v>
      </c>
      <c r="P198" s="1">
        <f>VLOOKUP($B198&amp;"__wt",'SegEnds_Xtal_BW#'!$A:$Z,16,FALSE)</f>
        <v>62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34</v>
      </c>
      <c r="T198" s="1">
        <f t="array" ref="T198">INDEX('ICL3'!$G$2:$G$40,MATCH(MIN(ABS(AH198-'ICL3'!$F$2:$F$40)),ABS(AH198-'ICL3'!$F$2:$F$40),0))</f>
        <v>74</v>
      </c>
      <c r="U198" s="1">
        <f t="array" ref="U198">INDEX('ICL3'!$H$2:$H$40,MATCH(MIN(ABS(AH198-'ICL3'!$F$2:$F$40)),ABS(AH198-'ICL3'!$F$2:$F$40),0))</f>
        <v>21</v>
      </c>
      <c r="V198" s="1">
        <v>61</v>
      </c>
      <c r="W198" s="1">
        <v>31</v>
      </c>
      <c r="X198" s="1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59</v>
      </c>
      <c r="AA198" s="27" t="str">
        <f>VLOOKUP(A198,Classification!A:B,2,FALSE)</f>
        <v>A</v>
      </c>
      <c r="AB198" s="1">
        <f>VLOOKUP(A198,'SegEnds_NonXtal_Prot#'!A:AL,10,FALSE)-VLOOKUP(A198,'SegEnds_NonXtal_Prot#'!A:AL,7,FALSE)</f>
        <v>15</v>
      </c>
      <c r="AC198" s="1">
        <f>VLOOKUP(A198,'SegEnds_NonXtal_Prot#'!A:AL,13,FALSE)-VLOOKUP(A198,'SegEnds_NonXtal_Prot#'!A:AL,10,FALSE)</f>
        <v>20</v>
      </c>
      <c r="AD198" s="1">
        <f>VLOOKUP(A198,'SegEnds_NonXtal_Prot#'!A:AL,16,FALSE)-VLOOKUP(A198,'SegEnds_NonXtal_Prot#'!A:AL,10,FALSE)</f>
        <v>52</v>
      </c>
      <c r="AE198" s="1">
        <f>VLOOKUP(A198,'SegEnds_NonXtal_Prot#'!A:AL,22,FALSE)-VLOOKUP(A198,'SegEnds_NonXtal_Prot#'!A:AL,19,FALSE)</f>
        <v>20</v>
      </c>
      <c r="AF198" s="1">
        <f>VLOOKUP(A198,'SegEnds_NonXtal_Prot#'!A:AL,28,FALSE)-VLOOKUP(A198,'SegEnds_NonXtal_Prot#'!A:AL,25,FALSE)</f>
        <v>26</v>
      </c>
      <c r="AG198" s="1">
        <f>VLOOKUP(A198,'SegEnds_NonXtal_Prot#'!A:AL,28,FALSE)-VLOOKUP(A198,'SegEnds_NonXtal_Prot#'!A:AL,22,FALSE)</f>
        <v>52</v>
      </c>
      <c r="AH198" s="1">
        <f>VLOOKUP(A198,'SegEnds_NonXtal_Prot#'!A:AL,31,FALSE)-VLOOKUP(A198,'SegEnds_NonXtal_Prot#'!A:AL,28,FALSE)</f>
        <v>64</v>
      </c>
      <c r="AI198" s="1">
        <f>VLOOKUP(A198,'SegEnds_NonXtal_Prot#'!A:AL,34,FALSE)-VLOOKUP(A198,'SegEnds_NonXtal_Prot#'!A:AL,31,FALSE)</f>
        <v>36</v>
      </c>
      <c r="AJ198" s="1" t="str">
        <f>IF(ISERROR(MATCH(A198,'SegEnds_Xtal_Prot#'!B:B, 0)), "NoXtal", "Xtal")</f>
        <v>NoXtal</v>
      </c>
    </row>
    <row r="199" spans="1:36" x14ac:dyDescent="0.2">
      <c r="A199" s="1" t="s">
        <v>335</v>
      </c>
      <c r="B199" s="1" t="str">
        <f>VLOOKUP(A199,Xtal_Templ!A:B,2,FALSE)</f>
        <v>oprd_human</v>
      </c>
      <c r="C199" s="5">
        <f>VLOOKUP($B199&amp;"__wt",'SegEnds_Xtal_BW#'!$A:$Z,3,FALSE)</f>
        <v>22</v>
      </c>
      <c r="D199" s="1">
        <f>VLOOKUP($B199&amp;"__wt",'SegEnds_Xtal_BW#'!$A:$Z,4,FALSE)</f>
        <v>60</v>
      </c>
      <c r="E199" s="1">
        <f>VLOOKUP($B199&amp;"__wt",'SegEnds_Xtal_BW#'!$A:$Z,5,FALSE)</f>
        <v>48</v>
      </c>
      <c r="F199" s="1">
        <f>VLOOKUP($B199&amp;"__wt",'SegEnds_Xtal_BW#'!$A:$Z,6,FALSE)</f>
        <v>51</v>
      </c>
      <c r="G199" s="1">
        <v>37</v>
      </c>
      <c r="H199" s="12">
        <v>66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f>VLOOKUP($B199&amp;"__wt",'SegEnds_Xtal_BW#'!$A:$Z,11,FALSE)</f>
        <v>21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f>VLOOKUP($B199&amp;"__wt",'SegEnds_Xtal_BW#'!$A:$Z,14,FALSE)</f>
        <v>57</v>
      </c>
      <c r="O199" s="89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31</v>
      </c>
      <c r="T199" s="1">
        <f t="array" ref="T199">INDEX('ICL3'!$G$2:$G$40,MATCH(MIN(ABS(AH199-'ICL3'!$F$2:$F$40)),ABS(AH199-'ICL3'!$F$2:$F$40),0))</f>
        <v>68</v>
      </c>
      <c r="U199" s="1">
        <f t="array" ref="U199">INDEX('ICL3'!$H$2:$H$40,MATCH(MIN(ABS(AH199-'ICL3'!$F$2:$F$40)),ABS(AH199-'ICL3'!$F$2:$F$40),0))</f>
        <v>23</v>
      </c>
      <c r="V199" s="1">
        <v>61</v>
      </c>
      <c r="W199" s="1">
        <v>28</v>
      </c>
      <c r="X199" s="1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60</v>
      </c>
      <c r="AA199" s="27" t="str">
        <f>VLOOKUP(A199,Classification!A:B,2,FALSE)</f>
        <v>A</v>
      </c>
      <c r="AB199" s="1">
        <f>VLOOKUP(A199,'SegEnds_NonXtal_Prot#'!A:AL,10,FALSE)-VLOOKUP(A199,'SegEnds_NonXtal_Prot#'!A:AL,7,FALSE)</f>
        <v>15</v>
      </c>
      <c r="AC199" s="1">
        <f>VLOOKUP(A199,'SegEnds_NonXtal_Prot#'!A:AL,13,FALSE)-VLOOKUP(A199,'SegEnds_NonXtal_Prot#'!A:AL,10,FALSE)</f>
        <v>19</v>
      </c>
      <c r="AD199" s="1">
        <f>VLOOKUP(A199,'SegEnds_NonXtal_Prot#'!A:AL,16,FALSE)-VLOOKUP(A199,'SegEnds_NonXtal_Prot#'!A:AL,10,FALSE)</f>
        <v>51</v>
      </c>
      <c r="AE199" s="1">
        <f>VLOOKUP(A199,'SegEnds_NonXtal_Prot#'!A:AL,22,FALSE)-VLOOKUP(A199,'SegEnds_NonXtal_Prot#'!A:AL,19,FALSE)</f>
        <v>20</v>
      </c>
      <c r="AF199" s="1">
        <f>VLOOKUP(A199,'SegEnds_NonXtal_Prot#'!A:AL,28,FALSE)-VLOOKUP(A199,'SegEnds_NonXtal_Prot#'!A:AL,25,FALSE)</f>
        <v>27</v>
      </c>
      <c r="AG199" s="1">
        <f>VLOOKUP(A199,'SegEnds_NonXtal_Prot#'!A:AL,28,FALSE)-VLOOKUP(A199,'SegEnds_NonXtal_Prot#'!A:AL,22,FALSE)</f>
        <v>52</v>
      </c>
      <c r="AH199" s="1">
        <f>VLOOKUP(A199,'SegEnds_NonXtal_Prot#'!A:AL,31,FALSE)-VLOOKUP(A199,'SegEnds_NonXtal_Prot#'!A:AL,28,FALSE)</f>
        <v>51</v>
      </c>
      <c r="AI199" s="1">
        <f>VLOOKUP(A199,'SegEnds_NonXtal_Prot#'!A:AL,34,FALSE)-VLOOKUP(A199,'SegEnds_NonXtal_Prot#'!A:AL,31,FALSE)</f>
        <v>39</v>
      </c>
      <c r="AJ199" s="1" t="str">
        <f>IF(ISERROR(MATCH(A199,'SegEnds_Xtal_Prot#'!B:B, 0)), "NoXtal", "Xtal")</f>
        <v>Xtal</v>
      </c>
    </row>
    <row r="200" spans="1:36" x14ac:dyDescent="0.2">
      <c r="A200" s="1" t="s">
        <v>916</v>
      </c>
      <c r="B200" s="1" t="str">
        <f>VLOOKUP(A200,Xtal_Templ!A:B,2,FALSE)</f>
        <v>oprd_human</v>
      </c>
      <c r="C200" s="5">
        <f>VLOOKUP($B200&amp;"__wt",'SegEnds_Xtal_BW#'!$A:$Z,3,FALSE)</f>
        <v>22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v>66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f>VLOOKUP($B200&amp;"__wt",'SegEnds_Xtal_BW#'!$A:$Z,11,FALSE)</f>
        <v>21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2">
        <f>VLOOKUP($B200&amp;"__wt",'SegEnds_Xtal_BW#'!$A:$Z,14,FALSE)</f>
        <v>57</v>
      </c>
      <c r="O200" s="89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31</v>
      </c>
      <c r="T200" s="1">
        <f t="array" ref="T200">INDEX('ICL3'!$G$2:$G$40,MATCH(MIN(ABS(AH200-'ICL3'!$F$2:$F$40)),ABS(AH200-'ICL3'!$F$2:$F$40),0))</f>
        <v>68</v>
      </c>
      <c r="U200" s="1">
        <f t="array" ref="U200">INDEX('ICL3'!$H$2:$H$40,MATCH(MIN(ABS(AH200-'ICL3'!$F$2:$F$40)),ABS(AH200-'ICL3'!$F$2:$F$40),0))</f>
        <v>23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60</v>
      </c>
      <c r="AA200" s="27" t="str">
        <f>VLOOKUP(A200,Classification!A:B,2,FALSE)</f>
        <v>A</v>
      </c>
      <c r="AB200" s="1">
        <f>VLOOKUP(A200,'SegEnds_NonXtal_Prot#'!A:AL,10,FALSE)-VLOOKUP(A200,'SegEnds_NonXtal_Prot#'!A:AL,7,FALSE)</f>
        <v>15</v>
      </c>
      <c r="AC200" s="1">
        <f>VLOOKUP(A200,'SegEnds_NonXtal_Prot#'!A:AL,13,FALSE)-VLOOKUP(A200,'SegEnds_NonXtal_Prot#'!A:AL,10,FALSE)</f>
        <v>19</v>
      </c>
      <c r="AD200" s="1">
        <f>VLOOKUP(A200,'SegEnds_NonXtal_Prot#'!A:AL,16,FALSE)-VLOOKUP(A200,'SegEnds_NonXtal_Prot#'!A:AL,10,FALSE)</f>
        <v>51</v>
      </c>
      <c r="AE200" s="1">
        <f>VLOOKUP(A200,'SegEnds_NonXtal_Prot#'!A:AL,22,FALSE)-VLOOKUP(A200,'SegEnds_NonXtal_Prot#'!A:AL,19,FALSE)</f>
        <v>20</v>
      </c>
      <c r="AF200" s="1">
        <f>VLOOKUP(A200,'SegEnds_NonXtal_Prot#'!A:AL,28,FALSE)-VLOOKUP(A200,'SegEnds_NonXtal_Prot#'!A:AL,25,FALSE)</f>
        <v>27</v>
      </c>
      <c r="AG200" s="1">
        <f>VLOOKUP(A200,'SegEnds_NonXtal_Prot#'!A:AL,28,FALSE)-VLOOKUP(A200,'SegEnds_NonXtal_Prot#'!A:AL,22,FALSE)</f>
        <v>52</v>
      </c>
      <c r="AH200" s="1">
        <f>VLOOKUP(A200,'SegEnds_NonXtal_Prot#'!A:AL,31,FALSE)-VLOOKUP(A200,'SegEnds_NonXtal_Prot#'!A:AL,28,FALSE)</f>
        <v>51</v>
      </c>
      <c r="AI200" s="1">
        <f>VLOOKUP(A200,'SegEnds_NonXtal_Prot#'!A:AL,34,FALSE)-VLOOKUP(A200,'SegEnds_NonXtal_Prot#'!A:AL,31,FALSE)</f>
        <v>39</v>
      </c>
      <c r="AJ200" s="1" t="str">
        <f>IF(ISERROR(MATCH(A200,'SegEnds_Xtal_Prot#'!B:B, 0)), "NoXtal", "Xtal")</f>
        <v>Xtal</v>
      </c>
    </row>
    <row r="201" spans="1:36" x14ac:dyDescent="0.2">
      <c r="A201" s="1" t="s">
        <v>336</v>
      </c>
      <c r="B201" s="1" t="str">
        <f>VLOOKUP(A201,Xtal_Templ!A:B,2,FALSE)</f>
        <v>oprk_human</v>
      </c>
      <c r="C201" s="5">
        <f>VLOOKUP($B201&amp;"__wt",'SegEnds_Xtal_BW#'!$A:$Z,3,FALSE)</f>
        <v>30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v>66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f>VLOOKUP($B201&amp;"__wt",'SegEnds_Xtal_BW#'!$A:$Z,11,FALSE)</f>
        <v>21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2">
        <f>VLOOKUP($B201&amp;"__wt",'SegEnds_Xtal_BW#'!$A:$Z,14,FALSE)</f>
        <v>57</v>
      </c>
      <c r="O201" s="89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31</v>
      </c>
      <c r="T201" s="1">
        <f t="array" ref="T201">INDEX('ICL3'!$G$2:$G$40,MATCH(MIN(ABS(AH201-'ICL3'!$F$2:$F$40)),ABS(AH201-'ICL3'!$F$2:$F$40),0))</f>
        <v>68</v>
      </c>
      <c r="U201" s="1">
        <f t="array" ref="U201">INDEX('ICL3'!$H$2:$H$40,MATCH(MIN(ABS(AH201-'ICL3'!$F$2:$F$40)),ABS(AH201-'ICL3'!$F$2:$F$40),0))</f>
        <v>23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59</v>
      </c>
      <c r="AA201" s="27" t="str">
        <f>VLOOKUP(A201,Classification!A:B,2,FALSE)</f>
        <v>A</v>
      </c>
      <c r="AB201" s="1">
        <f>VLOOKUP(A201,'SegEnds_NonXtal_Prot#'!A:AL,10,FALSE)-VLOOKUP(A201,'SegEnds_NonXtal_Prot#'!A:AL,7,FALSE)</f>
        <v>15</v>
      </c>
      <c r="AC201" s="1">
        <f>VLOOKUP(A201,'SegEnds_NonXtal_Prot#'!A:AL,13,FALSE)-VLOOKUP(A201,'SegEnds_NonXtal_Prot#'!A:AL,10,FALSE)</f>
        <v>19</v>
      </c>
      <c r="AD201" s="1">
        <f>VLOOKUP(A201,'SegEnds_NonXtal_Prot#'!A:AL,16,FALSE)-VLOOKUP(A201,'SegEnds_NonXtal_Prot#'!A:AL,10,FALSE)</f>
        <v>51</v>
      </c>
      <c r="AE201" s="1">
        <f>VLOOKUP(A201,'SegEnds_NonXtal_Prot#'!A:AL,22,FALSE)-VLOOKUP(A201,'SegEnds_NonXtal_Prot#'!A:AL,19,FALSE)</f>
        <v>20</v>
      </c>
      <c r="AF201" s="1">
        <f>VLOOKUP(A201,'SegEnds_NonXtal_Prot#'!A:AL,28,FALSE)-VLOOKUP(A201,'SegEnds_NonXtal_Prot#'!A:AL,25,FALSE)</f>
        <v>28</v>
      </c>
      <c r="AG201" s="1">
        <f>VLOOKUP(A201,'SegEnds_NonXtal_Prot#'!A:AL,28,FALSE)-VLOOKUP(A201,'SegEnds_NonXtal_Prot#'!A:AL,22,FALSE)</f>
        <v>55</v>
      </c>
      <c r="AH201" s="1">
        <f>VLOOKUP(A201,'SegEnds_NonXtal_Prot#'!A:AL,31,FALSE)-VLOOKUP(A201,'SegEnds_NonXtal_Prot#'!A:AL,28,FALSE)</f>
        <v>51</v>
      </c>
      <c r="AI201" s="1">
        <f>VLOOKUP(A201,'SegEnds_NonXtal_Prot#'!A:AL,34,FALSE)-VLOOKUP(A201,'SegEnds_NonXtal_Prot#'!A:AL,31,FALSE)</f>
        <v>38</v>
      </c>
      <c r="AJ201" s="1" t="str">
        <f>IF(ISERROR(MATCH(A201,'SegEnds_Xtal_Prot#'!B:B, 0)), "NoXtal", "Xtal")</f>
        <v>Xtal</v>
      </c>
    </row>
    <row r="202" spans="1:36" x14ac:dyDescent="0.2">
      <c r="A202" s="1" t="s">
        <v>337</v>
      </c>
      <c r="B202" s="1" t="str">
        <f>VLOOKUP(A202,Xtal_Templ!A:B,2,FALSE)</f>
        <v>oprm_mouse</v>
      </c>
      <c r="C202" s="5">
        <f>VLOOKUP($B202&amp;"__wt",'SegEnds_Xtal_BW#'!$A:$Z,3,FALSE)</f>
        <v>29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51</v>
      </c>
      <c r="G202" s="1">
        <v>37</v>
      </c>
      <c r="H202" s="12">
        <v>66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21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9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31</v>
      </c>
      <c r="T202" s="1">
        <f t="array" ref="T202">INDEX('ICL3'!$G$2:$G$40,MATCH(MIN(ABS(AH202-'ICL3'!$F$2:$F$40)),ABS(AH202-'ICL3'!$F$2:$F$40),0))</f>
        <v>68</v>
      </c>
      <c r="U202" s="1">
        <f t="array" ref="U202">INDEX('ICL3'!$H$2:$H$40,MATCH(MIN(ABS(AH202-'ICL3'!$F$2:$F$40)),ABS(AH202-'ICL3'!$F$2:$F$40),0))</f>
        <v>23</v>
      </c>
      <c r="V202" s="1">
        <v>61</v>
      </c>
      <c r="W202" s="1">
        <v>28</v>
      </c>
      <c r="X202" s="6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59</v>
      </c>
      <c r="AA202" s="27" t="str">
        <f>VLOOKUP(A202,Classification!A:B,2,FALSE)</f>
        <v>A</v>
      </c>
      <c r="AB202" s="1">
        <f>VLOOKUP(A202,'SegEnds_NonXtal_Prot#'!A:AL,10,FALSE)-VLOOKUP(A202,'SegEnds_NonXtal_Prot#'!A:AL,7,FALSE)</f>
        <v>15</v>
      </c>
      <c r="AC202" s="1">
        <f>VLOOKUP(A202,'SegEnds_NonXtal_Prot#'!A:AL,13,FALSE)-VLOOKUP(A202,'SegEnds_NonXtal_Prot#'!A:AL,10,FALSE)</f>
        <v>19</v>
      </c>
      <c r="AD202" s="1">
        <f>VLOOKUP(A202,'SegEnds_NonXtal_Prot#'!A:AL,16,FALSE)-VLOOKUP(A202,'SegEnds_NonXtal_Prot#'!A:AL,10,FALSE)</f>
        <v>51</v>
      </c>
      <c r="AE202" s="1">
        <f>VLOOKUP(A202,'SegEnds_NonXtal_Prot#'!A:AL,22,FALSE)-VLOOKUP(A202,'SegEnds_NonXtal_Prot#'!A:AL,19,FALSE)</f>
        <v>20</v>
      </c>
      <c r="AF202" s="1">
        <f>VLOOKUP(A202,'SegEnds_NonXtal_Prot#'!A:AL,28,FALSE)-VLOOKUP(A202,'SegEnds_NonXtal_Prot#'!A:AL,25,FALSE)</f>
        <v>27</v>
      </c>
      <c r="AG202" s="1">
        <f>VLOOKUP(A202,'SegEnds_NonXtal_Prot#'!A:AL,28,FALSE)-VLOOKUP(A202,'SegEnds_NonXtal_Prot#'!A:AL,22,FALSE)</f>
        <v>52</v>
      </c>
      <c r="AH202" s="1">
        <f>VLOOKUP(A202,'SegEnds_NonXtal_Prot#'!A:AL,31,FALSE)-VLOOKUP(A202,'SegEnds_NonXtal_Prot#'!A:AL,28,FALSE)</f>
        <v>51</v>
      </c>
      <c r="AI202" s="1">
        <f>VLOOKUP(A202,'SegEnds_NonXtal_Prot#'!A:AL,34,FALSE)-VLOOKUP(A202,'SegEnds_NonXtal_Prot#'!A:AL,31,FALSE)</f>
        <v>38</v>
      </c>
      <c r="AJ202" s="1" t="str">
        <f>IF(ISERROR(MATCH(A202,'SegEnds_Xtal_Prot#'!B:B, 0)), "NoXtal", "Xtal")</f>
        <v>NoXtal</v>
      </c>
    </row>
    <row r="203" spans="1:36" x14ac:dyDescent="0.2">
      <c r="A203" s="1" t="s">
        <v>918</v>
      </c>
      <c r="B203" s="1" t="str">
        <f>VLOOKUP(A203,Xtal_Templ!A:B,2,FALSE)</f>
        <v>oprm_mouse</v>
      </c>
      <c r="C203" s="5">
        <f>VLOOKUP($B203&amp;"__wt",'SegEnds_Xtal_BW#'!$A:$Z,3,FALSE)</f>
        <v>29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f>VLOOKUP($B203&amp;"__wt",'SegEnds_Xtal_BW#'!$A:$Z,11,FALSE)</f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f>VLOOKUP($B203&amp;"__wt",'SegEnds_Xtal_BW#'!$A:$Z,14,FALSE)</f>
        <v>57</v>
      </c>
      <c r="O203" s="89">
        <f>VLOOKUP($B203&amp;"__wt",'SegEnds_Xtal_BW#'!$A:$Z,15,FALSE)</f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f>VLOOKUP($B203&amp;"__wt",'SegEnds_Xtal_BW#'!$A:$Z,19,FALSE)</f>
        <v>31</v>
      </c>
      <c r="T203" s="1">
        <f t="array" ref="T203">INDEX('ICL3'!$G$2:$G$40,MATCH(MIN(ABS(AH203-'ICL3'!$F$2:$F$40)),ABS(AH203-'ICL3'!$F$2:$F$40),0))</f>
        <v>68</v>
      </c>
      <c r="U203" s="1">
        <f t="array" ref="U203">INDEX('ICL3'!$H$2:$H$40,MATCH(MIN(ABS(AH203-'ICL3'!$F$2:$F$40)),ABS(AH203-'ICL3'!$F$2:$F$40),0))</f>
        <v>23</v>
      </c>
      <c r="V203" s="1">
        <v>61</v>
      </c>
      <c r="W203" s="1">
        <v>28</v>
      </c>
      <c r="X203" s="1">
        <f>VLOOKUP($B203&amp;"__wt",'SegEnds_Xtal_BW#'!$A:$Z,24,FALSE)</f>
        <v>56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VLOOKUP(A203,'SegEnds_NonXtal_Prot#'!A:AL,10,FALSE)-VLOOKUP(A203,'SegEnds_NonXtal_Prot#'!A:AL,7,FALSE)</f>
        <v>15</v>
      </c>
      <c r="AC203" s="1">
        <f>VLOOKUP(A203,'SegEnds_NonXtal_Prot#'!A:AL,13,FALSE)-VLOOKUP(A203,'SegEnds_NonXtal_Prot#'!A:AL,10,FALSE)</f>
        <v>19</v>
      </c>
      <c r="AD203" s="1">
        <f>VLOOKUP(A203,'SegEnds_NonXtal_Prot#'!A:AL,16,FALSE)-VLOOKUP(A203,'SegEnds_NonXtal_Prot#'!A:AL,10,FALSE)</f>
        <v>51</v>
      </c>
      <c r="AE203" s="1">
        <f>VLOOKUP(A203,'SegEnds_NonXtal_Prot#'!A:AL,22,FALSE)-VLOOKUP(A203,'SegEnds_NonXtal_Prot#'!A:AL,19,FALSE)</f>
        <v>20</v>
      </c>
      <c r="AF203" s="1">
        <f>VLOOKUP(A203,'SegEnds_NonXtal_Prot#'!A:AL,28,FALSE)-VLOOKUP(A203,'SegEnds_NonXtal_Prot#'!A:AL,25,FALSE)</f>
        <v>27</v>
      </c>
      <c r="AG203" s="1">
        <f>VLOOKUP(A203,'SegEnds_NonXtal_Prot#'!A:AL,28,FALSE)-VLOOKUP(A203,'SegEnds_NonXtal_Prot#'!A:AL,22,FALSE)</f>
        <v>52</v>
      </c>
      <c r="AH203" s="1">
        <f>VLOOKUP(A203,'SegEnds_NonXtal_Prot#'!A:AL,31,FALSE)-VLOOKUP(A203,'SegEnds_NonXtal_Prot#'!A:AL,28,FALSE)</f>
        <v>51</v>
      </c>
      <c r="AI203" s="1">
        <f>VLOOKUP(A203,'SegEnds_NonXtal_Prot#'!A:AL,34,FALSE)-VLOOKUP(A203,'SegEnds_NonXtal_Prot#'!A:AL,31,FALSE)</f>
        <v>38</v>
      </c>
      <c r="AJ203" s="1" t="str">
        <f>IF(ISERROR(MATCH(A203,'SegEnds_Xtal_Prot#'!B:B, 0)), "NoXtal", "Xtal")</f>
        <v>Xtal</v>
      </c>
    </row>
    <row r="204" spans="1:36" x14ac:dyDescent="0.2">
      <c r="A204" s="1" t="s">
        <v>1174</v>
      </c>
      <c r="B204" s="1" t="str">
        <f>VLOOKUP(A204,Xtal_Templ!A:B,2,FALSE)</f>
        <v>oprx_human</v>
      </c>
      <c r="C204" s="5">
        <f>VLOOKUP($B204&amp;"__wt",'SegEnds_Xtal_BW#'!$A:$Z,3,FALSE)</f>
        <v>29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f>VLOOKUP($B204&amp;"__wt",'SegEnds_Xtal_BW#'!$A:$Z,11,FALSE)</f>
        <v>21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f>VLOOKUP($B204&amp;"__wt",'SegEnds_Xtal_BW#'!$A:$Z,14,FALSE)</f>
        <v>57</v>
      </c>
      <c r="O204" s="89">
        <f>VLOOKUP($B204&amp;"__wt",'SegEnds_Xtal_BW#'!$A:$Z,15,FALSE)</f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f>VLOOKUP($B204&amp;"__wt",'SegEnds_Xtal_BW#'!$A:$Z,19,FALSE)</f>
        <v>31</v>
      </c>
      <c r="T204" s="1">
        <f t="array" ref="T204">INDEX('ICL3'!$G$2:$G$40,MATCH(MIN(ABS(AH204-'ICL3'!$F$2:$F$40)),ABS(AH204-'ICL3'!$F$2:$F$40),0))</f>
        <v>68</v>
      </c>
      <c r="U204" s="1">
        <f t="array" ref="U204">INDEX('ICL3'!$H$2:$H$40,MATCH(MIN(ABS(AH204-'ICL3'!$F$2:$F$40)),ABS(AH204-'ICL3'!$F$2:$F$40),0))</f>
        <v>23</v>
      </c>
      <c r="V204" s="1">
        <v>61</v>
      </c>
      <c r="W204" s="1">
        <v>28</v>
      </c>
      <c r="X204" s="6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59</v>
      </c>
      <c r="AA204" s="27" t="str">
        <f>VLOOKUP(A204,Classification!A:B,2,FALSE)</f>
        <v>A</v>
      </c>
      <c r="AB204" s="1">
        <f>VLOOKUP(A204,'SegEnds_NonXtal_Prot#'!A:AL,10,FALSE)-VLOOKUP(A204,'SegEnds_NonXtal_Prot#'!A:AL,7,FALSE)</f>
        <v>15</v>
      </c>
      <c r="AC204" s="1">
        <f>VLOOKUP(A204,'SegEnds_NonXtal_Prot#'!A:AL,13,FALSE)-VLOOKUP(A204,'SegEnds_NonXtal_Prot#'!A:AL,10,FALSE)</f>
        <v>19</v>
      </c>
      <c r="AD204" s="1">
        <f>VLOOKUP(A204,'SegEnds_NonXtal_Prot#'!A:AL,16,FALSE)-VLOOKUP(A204,'SegEnds_NonXtal_Prot#'!A:AL,10,FALSE)</f>
        <v>51</v>
      </c>
      <c r="AE204" s="1">
        <f>VLOOKUP(A204,'SegEnds_NonXtal_Prot#'!A:AL,22,FALSE)-VLOOKUP(A204,'SegEnds_NonXtal_Prot#'!A:AL,19,FALSE)</f>
        <v>20</v>
      </c>
      <c r="AF204" s="1">
        <f>VLOOKUP(A204,'SegEnds_NonXtal_Prot#'!A:AL,28,FALSE)-VLOOKUP(A204,'SegEnds_NonXtal_Prot#'!A:AL,25,FALSE)</f>
        <v>27</v>
      </c>
      <c r="AG204" s="1">
        <f>VLOOKUP(A204,'SegEnds_NonXtal_Prot#'!A:AL,28,FALSE)-VLOOKUP(A204,'SegEnds_NonXtal_Prot#'!A:AL,22,FALSE)</f>
        <v>52</v>
      </c>
      <c r="AH204" s="1">
        <f>VLOOKUP(A204,'SegEnds_NonXtal_Prot#'!A:AL,31,FALSE)-VLOOKUP(A204,'SegEnds_NonXtal_Prot#'!A:AL,28,FALSE)</f>
        <v>51</v>
      </c>
      <c r="AI204" s="1">
        <f>VLOOKUP(A204,'SegEnds_NonXtal_Prot#'!A:AL,34,FALSE)-VLOOKUP(A204,'SegEnds_NonXtal_Prot#'!A:AL,31,FALSE)</f>
        <v>38</v>
      </c>
      <c r="AJ204" s="1" t="str">
        <f>IF(ISERROR(MATCH(A204,'SegEnds_Xtal_Prot#'!B:B, 0)), "NoXtal", "Xtal")</f>
        <v>Xtal</v>
      </c>
    </row>
    <row r="205" spans="1:36" x14ac:dyDescent="0.2">
      <c r="A205" s="1" t="s">
        <v>922</v>
      </c>
      <c r="B205" s="1" t="str">
        <f>VLOOKUP(A205,Xtal_Templ!A:B,2,FALSE)</f>
        <v>opsd_todpa</v>
      </c>
      <c r="C205" s="5">
        <f>VLOOKUP($B205&amp;"__wt",'SegEnds_Xtal_BW#'!$A:$Z,3,FALSE)</f>
        <v>29</v>
      </c>
      <c r="D205" s="1">
        <f>VLOOKUP($B205&amp;"__wt",'SegEnds_Xtal_BW#'!$A:$Z,4,FALSE)</f>
        <v>60</v>
      </c>
      <c r="E205" s="1">
        <f>VLOOKUP($B205&amp;"__wt",'SegEnds_Xtal_BW#'!$A:$Z,5,FALSE)</f>
        <v>48</v>
      </c>
      <c r="F205" s="1">
        <f>VLOOKUP($B205&amp;"__wt",'SegEnds_Xtal_BW#'!$A:$Z,6,FALSE)</f>
        <v>51</v>
      </c>
      <c r="G205" s="1">
        <v>37</v>
      </c>
      <c r="H205" s="12">
        <f>VLOOKUP($B205&amp;"__wt",'SegEnds_Xtal_BW#'!$A:$Z,8,FALSE)</f>
        <v>69</v>
      </c>
      <c r="I205" s="1">
        <f>VLOOKUP($B205&amp;"__wt",'SegEnds_Xtal_BW#'!$A:$Z,9,FALSE)</f>
        <v>49</v>
      </c>
      <c r="J205" s="1">
        <f>VLOOKUP($B205&amp;"__wt",'SegEnds_Xtal_BW#'!$A:$Z,10,FALSE)</f>
        <v>52</v>
      </c>
      <c r="K205" s="12">
        <v>18</v>
      </c>
      <c r="L205" s="1">
        <f>VLOOKUP($B205&amp;"__wt",'SegEnds_Xtal_BW#'!$A:$Z,12,FALSE)</f>
        <v>56</v>
      </c>
      <c r="M205" s="1">
        <f>VLOOKUP($B205&amp;"__wt",'SegEnds_Xtal_BW#'!$A:$Z,13,FALSE)</f>
        <v>50</v>
      </c>
      <c r="N205" s="12">
        <f>VLOOKUP($B205&amp;"__wt",'SegEnds_Xtal_BW#'!$A:$Z,14,FALSE)</f>
        <v>57</v>
      </c>
      <c r="O205" s="89">
        <f>VLOOKUP($B205&amp;"__wt",'SegEnds_Xtal_BW#'!$A:$Z,15,FALSE)</f>
        <v>38</v>
      </c>
      <c r="P205" s="1">
        <f>VLOOKUP($B205&amp;"__wt",'SegEnds_Xtal_BW#'!$A:$Z,16,FALSE)</f>
        <v>62</v>
      </c>
      <c r="Q205" s="1">
        <f>VLOOKUP($B205&amp;"__wt",'SegEnds_Xtal_BW#'!$A:$Z,17,FALSE)</f>
        <v>50</v>
      </c>
      <c r="R205" s="1">
        <f>VLOOKUP($B205&amp;"__wt",'SegEnds_Xtal_BW#'!$A:$Z,18,FALSE)</f>
        <v>52</v>
      </c>
      <c r="S205" s="1">
        <f>VLOOKUP($B205&amp;"__wt",'SegEnds_Xtal_BW#'!$A:$Z,19,FALSE)</f>
        <v>32</v>
      </c>
      <c r="T205" s="1">
        <f t="array" ref="T205">INDEX('ICL3'!$G$2:$G$40,MATCH(MIN(ABS(AH205-'ICL3'!$F$2:$F$40)),ABS(AH205-'ICL3'!$F$2:$F$40),0))</f>
        <v>74</v>
      </c>
      <c r="U205" s="1">
        <f t="array" ref="U205">INDEX('ICL3'!$H$2:$H$40,MATCH(MIN(ABS(AH205-'ICL3'!$F$2:$F$40)),ABS(AH205-'ICL3'!$F$2:$F$40),0))</f>
        <v>21</v>
      </c>
      <c r="V205" s="1">
        <v>61</v>
      </c>
      <c r="W205" s="1">
        <v>31</v>
      </c>
      <c r="X205" s="1">
        <f>VLOOKUP($B205&amp;"__wt",'SegEnds_Xtal_BW#'!$A:$Z,24,FALSE)</f>
        <v>56</v>
      </c>
      <c r="Y205" s="1">
        <f>VLOOKUP($B205&amp;"__wt",'SegEnds_Xtal_BW#'!$A:$Z,25,FALSE)</f>
        <v>47</v>
      </c>
      <c r="Z205" s="1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VLOOKUP(A205,'SegEnds_NonXtal_Prot#'!A:AL,10,FALSE)-VLOOKUP(A205,'SegEnds_NonXtal_Prot#'!A:AL,7,FALSE)</f>
        <v>15</v>
      </c>
      <c r="AC205" s="1">
        <f>VLOOKUP(A205,'SegEnds_NonXtal_Prot#'!A:AL,13,FALSE)-VLOOKUP(A205,'SegEnds_NonXtal_Prot#'!A:AL,10,FALSE)</f>
        <v>21</v>
      </c>
      <c r="AD205" s="1">
        <f>VLOOKUP(A205,'SegEnds_NonXtal_Prot#'!A:AL,16,FALSE)-VLOOKUP(A205,'SegEnds_NonXtal_Prot#'!A:AL,10,FALSE)</f>
        <v>53</v>
      </c>
      <c r="AE205" s="1">
        <f>VLOOKUP(A205,'SegEnds_NonXtal_Prot#'!A:AL,22,FALSE)-VLOOKUP(A205,'SegEnds_NonXtal_Prot#'!A:AL,19,FALSE)</f>
        <v>20</v>
      </c>
      <c r="AF205" s="1">
        <f>VLOOKUP(A205,'SegEnds_NonXtal_Prot#'!A:AL,28,FALSE)-VLOOKUP(A205,'SegEnds_NonXtal_Prot#'!A:AL,25,FALSE)</f>
        <v>26</v>
      </c>
      <c r="AG205" s="1">
        <f>VLOOKUP(A205,'SegEnds_NonXtal_Prot#'!A:AL,28,FALSE)-VLOOKUP(A205,'SegEnds_NonXtal_Prot#'!A:AL,22,FALSE)</f>
        <v>52</v>
      </c>
      <c r="AH205" s="1">
        <f>VLOOKUP(A205,'SegEnds_NonXtal_Prot#'!A:AL,31,FALSE)-VLOOKUP(A205,'SegEnds_NonXtal_Prot#'!A:AL,28,FALSE)</f>
        <v>64</v>
      </c>
      <c r="AI205" s="1">
        <f>VLOOKUP(A205,'SegEnds_NonXtal_Prot#'!A:AL,34,FALSE)-VLOOKUP(A205,'SegEnds_NonXtal_Prot#'!A:AL,31,FALSE)</f>
        <v>36</v>
      </c>
      <c r="AJ205" s="1" t="str">
        <f>IF(ISERROR(MATCH(A205,'SegEnds_Xtal_Prot#'!B:B, 0)), "NoXtal", "Xtal")</f>
        <v>Xtal</v>
      </c>
    </row>
    <row r="206" spans="1:36" x14ac:dyDescent="0.2">
      <c r="A206" s="1" t="s">
        <v>342</v>
      </c>
      <c r="B206" s="1" t="str">
        <f>VLOOKUP(A206,Xtal_Templ!A:B,2,FALSE)</f>
        <v>oprk_human</v>
      </c>
      <c r="C206" s="5">
        <f>VLOOKUP($B206&amp;"__wt",'SegEnds_Xtal_BW#'!$A:$Z,3,FALSE)</f>
        <v>30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f>VLOOKUP($B206&amp;"__wt",'SegEnds_Xtal_BW#'!$A:$Z,8,FALSE)</f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9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31</v>
      </c>
      <c r="T206" s="1">
        <f t="array" ref="T206">INDEX('ICL3'!$G$2:$G$40,MATCH(MIN(ABS(AH206-'ICL3'!$F$2:$F$40)),ABS(AH206-'ICL3'!$F$2:$F$40),0))</f>
        <v>67</v>
      </c>
      <c r="U206" s="1">
        <f t="array" ref="U206">INDEX('ICL3'!$H$2:$H$40,MATCH(MIN(ABS(AH206-'ICL3'!$F$2:$F$40)),ABS(AH206-'ICL3'!$F$2:$F$40),0))</f>
        <v>26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59</v>
      </c>
      <c r="AA206" s="27" t="str">
        <f>VLOOKUP(A206,Classification!A:B,2,FALSE)</f>
        <v>A</v>
      </c>
      <c r="AB206" s="1">
        <f>VLOOKUP(A206,'SegEnds_NonXtal_Prot#'!A:AL,10,FALSE)-VLOOKUP(A206,'SegEnds_NonXtal_Prot#'!A:AL,7,FALSE)</f>
        <v>15</v>
      </c>
      <c r="AC206" s="1">
        <f>VLOOKUP(A206,'SegEnds_NonXtal_Prot#'!A:AL,13,FALSE)-VLOOKUP(A206,'SegEnds_NonXtal_Prot#'!A:AL,10,FALSE)</f>
        <v>20</v>
      </c>
      <c r="AD206" s="1">
        <f>VLOOKUP(A206,'SegEnds_NonXtal_Prot#'!A:AL,16,FALSE)-VLOOKUP(A206,'SegEnds_NonXtal_Prot#'!A:AL,10,FALSE)</f>
        <v>52</v>
      </c>
      <c r="AE206" s="1">
        <f>VLOOKUP(A206,'SegEnds_NonXtal_Prot#'!A:AL,22,FALSE)-VLOOKUP(A206,'SegEnds_NonXtal_Prot#'!A:AL,19,FALSE)</f>
        <v>20</v>
      </c>
      <c r="AF206" s="1">
        <f>VLOOKUP(A206,'SegEnds_NonXtal_Prot#'!A:AL,28,FALSE)-VLOOKUP(A206,'SegEnds_NonXtal_Prot#'!A:AL,25,FALSE)</f>
        <v>27</v>
      </c>
      <c r="AG206" s="1">
        <f>VLOOKUP(A206,'SegEnds_NonXtal_Prot#'!A:AL,28,FALSE)-VLOOKUP(A206,'SegEnds_NonXtal_Prot#'!A:AL,22,FALSE)</f>
        <v>47</v>
      </c>
      <c r="AH206" s="1">
        <f>VLOOKUP(A206,'SegEnds_NonXtal_Prot#'!A:AL,31,FALSE)-VLOOKUP(A206,'SegEnds_NonXtal_Prot#'!A:AL,28,FALSE)</f>
        <v>46</v>
      </c>
      <c r="AI206" s="1">
        <f>VLOOKUP(A206,'SegEnds_NonXtal_Prot#'!A:AL,34,FALSE)-VLOOKUP(A206,'SegEnds_NonXtal_Prot#'!A:AL,31,FALSE)</f>
        <v>42</v>
      </c>
      <c r="AJ206" s="1" t="str">
        <f>IF(ISERROR(MATCH(A206,'SegEnds_Xtal_Prot#'!B:B, 0)), "NoXtal", "Xtal")</f>
        <v>NoXtal</v>
      </c>
    </row>
    <row r="207" spans="1:36" x14ac:dyDescent="0.2">
      <c r="A207" s="1" t="s">
        <v>343</v>
      </c>
      <c r="B207" s="1" t="str">
        <f>VLOOKUP(A207,Xtal_Templ!A:B,2,FALSE)</f>
        <v>p2ry1_human</v>
      </c>
      <c r="C207" s="5">
        <f>VLOOKUP($B207&amp;"__wt",'SegEnds_Xtal_BW#'!$A:$Z,3,FALSE)</f>
        <v>30</v>
      </c>
      <c r="D207" s="1">
        <f>VLOOKUP($B207&amp;"__wt",'SegEnds_Xtal_BW#'!$A:$Z,4,FALSE)</f>
        <v>60</v>
      </c>
      <c r="E207" s="1" t="str">
        <f>VLOOKUP($B207&amp;"__wt",'SegEnds_Xtal_BW#'!$A:$Z,5,FALSE)</f>
        <v>-</v>
      </c>
      <c r="F207" s="1" t="str">
        <f>VLOOKUP($B207&amp;"__wt",'SegEnds_Xtal_BW#'!$A:$Z,6,FALSE)</f>
        <v>-</v>
      </c>
      <c r="G207" s="1">
        <v>37</v>
      </c>
      <c r="H207" s="12">
        <f>VLOOKUP($B207&amp;"__wt",'SegEnds_Xtal_BW#'!$A:$Z,8,FALSE)</f>
        <v>66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57</v>
      </c>
      <c r="O207" s="89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INDEX('ICL3'!$G$2:$G$40,MATCH(MIN(ABS(AH207-'ICL3'!$F$2:$F$40)),ABS(AH207-'ICL3'!$F$2:$F$40),0))</f>
        <v>67</v>
      </c>
      <c r="U207" s="1">
        <f t="array" ref="U207">INDEX('ICL3'!$H$2:$H$40,MATCH(MIN(ABS(AH207-'ICL3'!$F$2:$F$40)),ABS(AH207-'ICL3'!$F$2:$F$40),0))</f>
        <v>26</v>
      </c>
      <c r="V207" s="1">
        <v>61</v>
      </c>
      <c r="W207" s="1">
        <v>24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59</v>
      </c>
      <c r="AA207" s="27" t="str">
        <f>VLOOKUP(A207,Classification!A:B,2,FALSE)</f>
        <v>A</v>
      </c>
      <c r="AB207" s="1" t="e">
        <f>VLOOKUP(A207,'SegEnds_NonXtal_Prot#'!A:AL,10,FALSE)-VLOOKUP(A207,'SegEnds_NonXtal_Prot#'!A:AL,7,FALSE)</f>
        <v>#VALUE!</v>
      </c>
      <c r="AC207" s="1">
        <f>VLOOKUP(A207,'SegEnds_NonXtal_Prot#'!A:AL,13,FALSE)-VLOOKUP(A207,'SegEnds_NonXtal_Prot#'!A:AL,10,FALSE)</f>
        <v>20</v>
      </c>
      <c r="AD207" s="1">
        <f>VLOOKUP(A207,'SegEnds_NonXtal_Prot#'!A:AL,16,FALSE)-VLOOKUP(A207,'SegEnds_NonXtal_Prot#'!A:AL,10,FALSE)</f>
        <v>52</v>
      </c>
      <c r="AE207" s="1">
        <f>VLOOKUP(A207,'SegEnds_NonXtal_Prot#'!A:AL,22,FALSE)-VLOOKUP(A207,'SegEnds_NonXtal_Prot#'!A:AL,19,FALSE)</f>
        <v>20</v>
      </c>
      <c r="AF207" s="1">
        <f>VLOOKUP(A207,'SegEnds_NonXtal_Prot#'!A:AL,28,FALSE)-VLOOKUP(A207,'SegEnds_NonXtal_Prot#'!A:AL,25,FALSE)</f>
        <v>27</v>
      </c>
      <c r="AG207" s="1">
        <f>VLOOKUP(A207,'SegEnds_NonXtal_Prot#'!A:AL,28,FALSE)-VLOOKUP(A207,'SegEnds_NonXtal_Prot#'!A:AL,22,FALSE)</f>
        <v>52</v>
      </c>
      <c r="AH207" s="1">
        <f>VLOOKUP(A207,'SegEnds_NonXtal_Prot#'!A:AL,31,FALSE)-VLOOKUP(A207,'SegEnds_NonXtal_Prot#'!A:AL,28,FALSE)</f>
        <v>46</v>
      </c>
      <c r="AI207" s="1">
        <f>VLOOKUP(A207,'SegEnds_NonXtal_Prot#'!A:AL,34,FALSE)-VLOOKUP(A207,'SegEnds_NonXtal_Prot#'!A:AL,31,FALSE)</f>
        <v>43</v>
      </c>
      <c r="AJ207" s="1" t="str">
        <f>IF(ISERROR(MATCH(A207,'SegEnds_Xtal_Prot#'!B:B, 0)), "NoXtal", "Xtal")</f>
        <v>NoXtal</v>
      </c>
    </row>
    <row r="208" spans="1:36" x14ac:dyDescent="0.2">
      <c r="A208" s="1" t="s">
        <v>345</v>
      </c>
      <c r="B208" s="1" t="str">
        <f>VLOOKUP(A208,Xtal_Templ!A:B,2,FALSE)</f>
        <v>p2ry1_human</v>
      </c>
      <c r="C208" s="5">
        <f>VLOOKUP($B208&amp;"__wt",'SegEnds_Xtal_BW#'!$A:$Z,3,FALSE)</f>
        <v>30</v>
      </c>
      <c r="D208" s="1">
        <f>VLOOKUP($B208&amp;"__wt",'SegEnds_Xtal_BW#'!$A:$Z,4,FALSE)</f>
        <v>60</v>
      </c>
      <c r="E208" s="1" t="str">
        <f>VLOOKUP($B208&amp;"__wt",'SegEnds_Xtal_BW#'!$A:$Z,5,FALSE)</f>
        <v>-</v>
      </c>
      <c r="F208" s="1" t="str">
        <f>VLOOKUP($B208&amp;"__wt",'SegEnds_Xtal_BW#'!$A:$Z,6,FALSE)</f>
        <v>-</v>
      </c>
      <c r="G208" s="1">
        <v>37</v>
      </c>
      <c r="H208" s="12">
        <f>VLOOKUP($B208&amp;"__wt",'SegEnds_Xtal_BW#'!$A:$Z,8,FALSE)</f>
        <v>66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f>VLOOKUP($B208&amp;"__wt",'SegEnds_Xtal_BW#'!$A:$Z,14,FALSE)</f>
        <v>57</v>
      </c>
      <c r="O208" s="89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v>68</v>
      </c>
      <c r="U208" s="1">
        <v>28</v>
      </c>
      <c r="V208" s="1">
        <v>64</v>
      </c>
      <c r="W208" s="1">
        <v>24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59</v>
      </c>
      <c r="AA208" s="27" t="str">
        <f>VLOOKUP(A208,Classification!A:B,2,FALSE)</f>
        <v>A</v>
      </c>
      <c r="AB208" s="1" t="e">
        <f>VLOOKUP(A208,'SegEnds_NonXtal_Prot#'!A:AL,10,FALSE)-VLOOKUP(A208,'SegEnds_NonXtal_Prot#'!A:AL,7,FALSE)</f>
        <v>#VALUE!</v>
      </c>
      <c r="AC208" s="1">
        <f>VLOOKUP(A208,'SegEnds_NonXtal_Prot#'!A:AL,13,FALSE)-VLOOKUP(A208,'SegEnds_NonXtal_Prot#'!A:AL,10,FALSE)</f>
        <v>20</v>
      </c>
      <c r="AD208" s="1">
        <f>VLOOKUP(A208,'SegEnds_NonXtal_Prot#'!A:AL,16,FALSE)-VLOOKUP(A208,'SegEnds_NonXtal_Prot#'!A:AL,10,FALSE)</f>
        <v>52</v>
      </c>
      <c r="AE208" s="1">
        <f>VLOOKUP(A208,'SegEnds_NonXtal_Prot#'!A:AL,22,FALSE)-VLOOKUP(A208,'SegEnds_NonXtal_Prot#'!A:AL,19,FALSE)</f>
        <v>20</v>
      </c>
      <c r="AF208" s="1">
        <f>VLOOKUP(A208,'SegEnds_NonXtal_Prot#'!A:AL,28,FALSE)-VLOOKUP(A208,'SegEnds_NonXtal_Prot#'!A:AL,25,FALSE)</f>
        <v>27</v>
      </c>
      <c r="AG208" s="1">
        <f>VLOOKUP(A208,'SegEnds_NonXtal_Prot#'!A:AL,28,FALSE)-VLOOKUP(A208,'SegEnds_NonXtal_Prot#'!A:AL,22,FALSE)</f>
        <v>53</v>
      </c>
      <c r="AH208" s="1">
        <f>VLOOKUP(A208,'SegEnds_NonXtal_Prot#'!A:AL,31,FALSE)-VLOOKUP(A208,'SegEnds_NonXtal_Prot#'!A:AL,28,FALSE)</f>
        <v>46</v>
      </c>
      <c r="AI208" s="1">
        <f>VLOOKUP(A208,'SegEnds_NonXtal_Prot#'!A:AL,34,FALSE)-VLOOKUP(A208,'SegEnds_NonXtal_Prot#'!A:AL,31,FALSE)</f>
        <v>46</v>
      </c>
      <c r="AJ208" s="1" t="str">
        <f>IF(ISERROR(MATCH(A208,'SegEnds_Xtal_Prot#'!B:B, 0)), "NoXtal", "Xtal")</f>
        <v>Xtal</v>
      </c>
    </row>
    <row r="209" spans="1:36" x14ac:dyDescent="0.2">
      <c r="A209" s="1" t="s">
        <v>346</v>
      </c>
      <c r="B209" s="1" t="str">
        <f>VLOOKUP(A209,Xtal_Templ!A:B,2,FALSE)</f>
        <v>p2ry1_human</v>
      </c>
      <c r="C209" s="5">
        <f>VLOOKUP($B209&amp;"__wt",'SegEnds_Xtal_BW#'!$A:$Z,3,FALSE)</f>
        <v>30</v>
      </c>
      <c r="D209" s="1">
        <f>VLOOKUP($B209&amp;"__wt",'SegEnds_Xtal_BW#'!$A:$Z,4,FALSE)</f>
        <v>60</v>
      </c>
      <c r="E209" s="1" t="str">
        <f>VLOOKUP($B209&amp;"__wt",'SegEnds_Xtal_BW#'!$A:$Z,5,FALSE)</f>
        <v>-</v>
      </c>
      <c r="F209" s="1" t="str">
        <f>VLOOKUP($B209&amp;"__wt",'SegEnds_Xtal_BW#'!$A:$Z,6,FALSE)</f>
        <v>-</v>
      </c>
      <c r="G209" s="1">
        <v>37</v>
      </c>
      <c r="H209" s="12">
        <f>VLOOKUP($B209&amp;"__wt",'SegEnds_Xtal_BW#'!$A:$Z,8,FALSE)</f>
        <v>66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9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32</v>
      </c>
      <c r="T209" s="1">
        <f t="array" ref="T209">INDEX('ICL3'!$G$2:$G$40,MATCH(MIN(ABS(AH209-'ICL3'!$F$2:$F$40)),ABS(AH209-'ICL3'!$F$2:$F$40),0))</f>
        <v>72</v>
      </c>
      <c r="U209" s="1">
        <f t="array" ref="U209">INDEX('ICL3'!$H$2:$H$40,MATCH(MIN(ABS(AH209-'ICL3'!$F$2:$F$40)),ABS(AH209-'ICL3'!$F$2:$F$40),0))</f>
        <v>29</v>
      </c>
      <c r="V209" s="1">
        <v>61</v>
      </c>
      <c r="W209" s="1">
        <v>24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59</v>
      </c>
      <c r="AA209" s="27" t="str">
        <f>VLOOKUP(A209,Classification!A:B,2,FALSE)</f>
        <v>A</v>
      </c>
      <c r="AB209" s="1" t="e">
        <f>VLOOKUP(A209,'SegEnds_NonXtal_Prot#'!A:AL,10,FALSE)-VLOOKUP(A209,'SegEnds_NonXtal_Prot#'!A:AL,7,FALSE)</f>
        <v>#VALUE!</v>
      </c>
      <c r="AC209" s="1">
        <f>VLOOKUP(A209,'SegEnds_NonXtal_Prot#'!A:AL,13,FALSE)-VLOOKUP(A209,'SegEnds_NonXtal_Prot#'!A:AL,10,FALSE)</f>
        <v>20</v>
      </c>
      <c r="AD209" s="1">
        <f>VLOOKUP(A209,'SegEnds_NonXtal_Prot#'!A:AL,16,FALSE)-VLOOKUP(A209,'SegEnds_NonXtal_Prot#'!A:AL,10,FALSE)</f>
        <v>52</v>
      </c>
      <c r="AE209" s="1">
        <f>VLOOKUP(A209,'SegEnds_NonXtal_Prot#'!A:AL,22,FALSE)-VLOOKUP(A209,'SegEnds_NonXtal_Prot#'!A:AL,19,FALSE)</f>
        <v>20</v>
      </c>
      <c r="AF209" s="1">
        <f>VLOOKUP(A209,'SegEnds_NonXtal_Prot#'!A:AL,28,FALSE)-VLOOKUP(A209,'SegEnds_NonXtal_Prot#'!A:AL,25,FALSE)</f>
        <v>27</v>
      </c>
      <c r="AG209" s="1">
        <f>VLOOKUP(A209,'SegEnds_NonXtal_Prot#'!A:AL,28,FALSE)-VLOOKUP(A209,'SegEnds_NonXtal_Prot#'!A:AL,22,FALSE)</f>
        <v>52</v>
      </c>
      <c r="AH209" s="1">
        <f>VLOOKUP(A209,'SegEnds_NonXtal_Prot#'!A:AL,31,FALSE)-VLOOKUP(A209,'SegEnds_NonXtal_Prot#'!A:AL,28,FALSE)</f>
        <v>50</v>
      </c>
      <c r="AI209" s="1">
        <f>VLOOKUP(A209,'SegEnds_NonXtal_Prot#'!A:AL,34,FALSE)-VLOOKUP(A209,'SegEnds_NonXtal_Prot#'!A:AL,31,FALSE)</f>
        <v>43</v>
      </c>
      <c r="AJ209" s="1" t="str">
        <f>IF(ISERROR(MATCH(A209,'SegEnds_Xtal_Prot#'!B:B, 0)), "NoXtal", "Xtal")</f>
        <v>NoXtal</v>
      </c>
    </row>
    <row r="210" spans="1:36" x14ac:dyDescent="0.2">
      <c r="A210" s="1" t="s">
        <v>347</v>
      </c>
      <c r="B210" s="1" t="str">
        <f>VLOOKUP(A210,Xtal_Templ!A:B,2,FALSE)</f>
        <v>p2ry1_human</v>
      </c>
      <c r="C210" s="5">
        <f>VLOOKUP($B210&amp;"__wt",'SegEnds_Xtal_BW#'!$A:$Z,3,FALSE)</f>
        <v>30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66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9">
        <f>VLOOKUP($B210&amp;"__wt",'SegEnds_Xtal_BW#'!$A:$Z,15,FALSE)</f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32</v>
      </c>
      <c r="T210" s="1">
        <f t="array" ref="T210">INDEX('ICL3'!$G$2:$G$40,MATCH(MIN(ABS(AH210-'ICL3'!$F$2:$F$40)),ABS(AH210-'ICL3'!$F$2:$F$40),0))</f>
        <v>68</v>
      </c>
      <c r="U210" s="1">
        <f t="array" ref="U210">INDEX('ICL3'!$H$2:$H$40,MATCH(MIN(ABS(AH210-'ICL3'!$F$2:$F$40)),ABS(AH210-'ICL3'!$F$2:$F$40),0))</f>
        <v>24</v>
      </c>
      <c r="V210" s="1">
        <v>61</v>
      </c>
      <c r="W210" s="1">
        <v>24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59</v>
      </c>
      <c r="AA210" s="27" t="str">
        <f>VLOOKUP(A210,Classification!A:B,2,FALSE)</f>
        <v>A</v>
      </c>
      <c r="AB210" s="1" t="e">
        <f>VLOOKUP(A210,'SegEnds_NonXtal_Prot#'!A:AL,10,FALSE)-VLOOKUP(A210,'SegEnds_NonXtal_Prot#'!A:AL,7,FALSE)</f>
        <v>#VALUE!</v>
      </c>
      <c r="AC210" s="1">
        <f>VLOOKUP(A210,'SegEnds_NonXtal_Prot#'!A:AL,13,FALSE)-VLOOKUP(A210,'SegEnds_NonXtal_Prot#'!A:AL,10,FALSE)</f>
        <v>20</v>
      </c>
      <c r="AD210" s="1">
        <f>VLOOKUP(A210,'SegEnds_NonXtal_Prot#'!A:AL,16,FALSE)-VLOOKUP(A210,'SegEnds_NonXtal_Prot#'!A:AL,10,FALSE)</f>
        <v>52</v>
      </c>
      <c r="AE210" s="1">
        <f>VLOOKUP(A210,'SegEnds_NonXtal_Prot#'!A:AL,22,FALSE)-VLOOKUP(A210,'SegEnds_NonXtal_Prot#'!A:AL,19,FALSE)</f>
        <v>20</v>
      </c>
      <c r="AF210" s="1">
        <f>VLOOKUP(A210,'SegEnds_NonXtal_Prot#'!A:AL,28,FALSE)-VLOOKUP(A210,'SegEnds_NonXtal_Prot#'!A:AL,25,FALSE)</f>
        <v>27</v>
      </c>
      <c r="AG210" s="1">
        <f>VLOOKUP(A210,'SegEnds_NonXtal_Prot#'!A:AL,28,FALSE)-VLOOKUP(A210,'SegEnds_NonXtal_Prot#'!A:AL,22,FALSE)</f>
        <v>52</v>
      </c>
      <c r="AH210" s="1">
        <f>VLOOKUP(A210,'SegEnds_NonXtal_Prot#'!A:AL,31,FALSE)-VLOOKUP(A210,'SegEnds_NonXtal_Prot#'!A:AL,28,FALSE)</f>
        <v>48</v>
      </c>
      <c r="AI210" s="1">
        <f>VLOOKUP(A210,'SegEnds_NonXtal_Prot#'!A:AL,34,FALSE)-VLOOKUP(A210,'SegEnds_NonXtal_Prot#'!A:AL,31,FALSE)</f>
        <v>43</v>
      </c>
      <c r="AJ210" s="1" t="str">
        <f>IF(ISERROR(MATCH(A210,'SegEnds_Xtal_Prot#'!B:B, 0)), "NoXtal", "Xtal")</f>
        <v>NoXtal</v>
      </c>
    </row>
    <row r="211" spans="1:36" x14ac:dyDescent="0.2">
      <c r="A211" s="1" t="s">
        <v>349</v>
      </c>
      <c r="B211" s="1" t="str">
        <f>VLOOKUP(A211,Xtal_Templ!A:B,2,FALSE)</f>
        <v>par1_human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f>VLOOKUP($B211&amp;"__wt",'SegEnds_Xtal_BW#'!$A:$Z,8,FALSE)</f>
        <v>66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9">
        <f>VLOOKUP($B211&amp;"__wt",'SegEnds_Xtal_BW#'!$A:$Z,15,FALSE)</f>
        <v>38</v>
      </c>
      <c r="P211" s="1">
        <f>VLOOKUP($B211&amp;"__wt",'SegEnds_Xtal_BW#'!$A:$Z,16,FALSE)</f>
        <v>63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INDEX('ICL3'!$G$2:$G$40,MATCH(MIN(ABS(AH211-'ICL3'!$F$2:$F$40)),ABS(AH211-'ICL3'!$F$2:$F$40),0))</f>
        <v>67</v>
      </c>
      <c r="U211" s="1">
        <f t="array" ref="U211">INDEX('ICL3'!$H$2:$H$40,MATCH(MIN(ABS(AH211-'ICL3'!$F$2:$F$40)),ABS(AH211-'ICL3'!$F$2:$F$40),0))</f>
        <v>26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61</v>
      </c>
      <c r="AA211" s="27" t="str">
        <f>VLOOKUP(A211,Classification!A:B,2,FALSE)</f>
        <v>A</v>
      </c>
      <c r="AB211" s="1" t="e">
        <f>VLOOKUP(A211,'SegEnds_NonXtal_Prot#'!A:AL,10,FALSE)-VLOOKUP(A211,'SegEnds_NonXtal_Prot#'!A:AL,7,FALSE)</f>
        <v>#VALUE!</v>
      </c>
      <c r="AC211" s="1">
        <f>VLOOKUP(A211,'SegEnds_NonXtal_Prot#'!A:AL,13,FALSE)-VLOOKUP(A211,'SegEnds_NonXtal_Prot#'!A:AL,10,FALSE)</f>
        <v>20</v>
      </c>
      <c r="AD211" s="1">
        <f>VLOOKUP(A211,'SegEnds_NonXtal_Prot#'!A:AL,16,FALSE)-VLOOKUP(A211,'SegEnds_NonXtal_Prot#'!A:AL,10,FALSE)</f>
        <v>52</v>
      </c>
      <c r="AE211" s="1">
        <f>VLOOKUP(A211,'SegEnds_NonXtal_Prot#'!A:AL,22,FALSE)-VLOOKUP(A211,'SegEnds_NonXtal_Prot#'!A:AL,19,FALSE)</f>
        <v>20</v>
      </c>
      <c r="AF211" s="1">
        <f>VLOOKUP(A211,'SegEnds_NonXtal_Prot#'!A:AL,28,FALSE)-VLOOKUP(A211,'SegEnds_NonXtal_Prot#'!A:AL,25,FALSE)</f>
        <v>30</v>
      </c>
      <c r="AG211" s="1">
        <f>VLOOKUP(A211,'SegEnds_NonXtal_Prot#'!A:AL,28,FALSE)-VLOOKUP(A211,'SegEnds_NonXtal_Prot#'!A:AL,22,FALSE)</f>
        <v>57</v>
      </c>
      <c r="AH211" s="1">
        <f>VLOOKUP(A211,'SegEnds_NonXtal_Prot#'!A:AL,31,FALSE)-VLOOKUP(A211,'SegEnds_NonXtal_Prot#'!A:AL,28,FALSE)</f>
        <v>47</v>
      </c>
      <c r="AI211" s="1">
        <f>VLOOKUP(A211,'SegEnds_NonXtal_Prot#'!A:AL,34,FALSE)-VLOOKUP(A211,'SegEnds_NonXtal_Prot#'!A:AL,31,FALSE)</f>
        <v>38</v>
      </c>
      <c r="AJ211" s="1" t="str">
        <f>IF(ISERROR(MATCH(A211,'SegEnds_Xtal_Prot#'!B:B, 0)), "NoXtal", "Xtal")</f>
        <v>NoXtal</v>
      </c>
    </row>
    <row r="212" spans="1:36" x14ac:dyDescent="0.2">
      <c r="A212" s="1" t="s">
        <v>351</v>
      </c>
      <c r="B212" s="1" t="str">
        <f>VLOOKUP(A212,Xtal_Templ!A:B,2,FALSE)</f>
        <v>p2ry1_human</v>
      </c>
      <c r="C212" s="5">
        <f>VLOOKUP($B212&amp;"__wt",'SegEnds_Xtal_BW#'!$A:$Z,3,FALSE)</f>
        <v>30</v>
      </c>
      <c r="D212" s="1">
        <f>VLOOKUP($B212&amp;"__wt",'SegEnds_Xtal_BW#'!$A:$Z,4,FALSE)</f>
        <v>60</v>
      </c>
      <c r="E212" s="1" t="str">
        <f>VLOOKUP($B212&amp;"__wt",'SegEnds_Xtal_BW#'!$A:$Z,5,FALSE)</f>
        <v>-</v>
      </c>
      <c r="F212" s="1" t="str">
        <f>VLOOKUP($B212&amp;"__wt",'SegEnds_Xtal_BW#'!$A:$Z,6,FALSE)</f>
        <v>-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9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32</v>
      </c>
      <c r="T212" s="1">
        <f t="array" ref="T212">INDEX('ICL3'!$G$2:$G$40,MATCH(MIN(ABS(AH212-'ICL3'!$F$2:$F$40)),ABS(AH212-'ICL3'!$F$2:$F$40),0))</f>
        <v>67</v>
      </c>
      <c r="U212" s="1">
        <f t="array" ref="U212">INDEX('ICL3'!$H$2:$H$40,MATCH(MIN(ABS(AH212-'ICL3'!$F$2:$F$40)),ABS(AH212-'ICL3'!$F$2:$F$40),0))</f>
        <v>26</v>
      </c>
      <c r="V212" s="1">
        <v>64</v>
      </c>
      <c r="W212" s="1">
        <v>24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59</v>
      </c>
      <c r="AA212" s="27" t="str">
        <f>VLOOKUP(A212,Classification!A:B,2,FALSE)</f>
        <v>A</v>
      </c>
      <c r="AB212" s="1" t="e">
        <f>VLOOKUP(A212,'SegEnds_NonXtal_Prot#'!A:AL,10,FALSE)-VLOOKUP(A212,'SegEnds_NonXtal_Prot#'!A:AL,7,FALSE)</f>
        <v>#VALUE!</v>
      </c>
      <c r="AC212" s="1">
        <f>VLOOKUP(A212,'SegEnds_NonXtal_Prot#'!A:AL,13,FALSE)-VLOOKUP(A212,'SegEnds_NonXtal_Prot#'!A:AL,10,FALSE)</f>
        <v>20</v>
      </c>
      <c r="AD212" s="1">
        <f>VLOOKUP(A212,'SegEnds_NonXtal_Prot#'!A:AL,16,FALSE)-VLOOKUP(A212,'SegEnds_NonXtal_Prot#'!A:AL,10,FALSE)</f>
        <v>52</v>
      </c>
      <c r="AE212" s="1">
        <f>VLOOKUP(A212,'SegEnds_NonXtal_Prot#'!A:AL,22,FALSE)-VLOOKUP(A212,'SegEnds_NonXtal_Prot#'!A:AL,19,FALSE)</f>
        <v>20</v>
      </c>
      <c r="AF212" s="1">
        <f>VLOOKUP(A212,'SegEnds_NonXtal_Prot#'!A:AL,28,FALSE)-VLOOKUP(A212,'SegEnds_NonXtal_Prot#'!A:AL,25,FALSE)</f>
        <v>26</v>
      </c>
      <c r="AG212" s="1">
        <f>VLOOKUP(A212,'SegEnds_NonXtal_Prot#'!A:AL,28,FALSE)-VLOOKUP(A212,'SegEnds_NonXtal_Prot#'!A:AL,22,FALSE)</f>
        <v>63</v>
      </c>
      <c r="AH212" s="1">
        <f>VLOOKUP(A212,'SegEnds_NonXtal_Prot#'!A:AL,31,FALSE)-VLOOKUP(A212,'SegEnds_NonXtal_Prot#'!A:AL,28,FALSE)</f>
        <v>46</v>
      </c>
      <c r="AI212" s="1">
        <f>VLOOKUP(A212,'SegEnds_NonXtal_Prot#'!A:AL,34,FALSE)-VLOOKUP(A212,'SegEnds_NonXtal_Prot#'!A:AL,31,FALSE)</f>
        <v>55</v>
      </c>
      <c r="AJ212" s="1" t="str">
        <f>IF(ISERROR(MATCH(A212,'SegEnds_Xtal_Prot#'!B:B, 0)), "NoXtal", "Xtal")</f>
        <v>NoXtal</v>
      </c>
    </row>
    <row r="213" spans="1:36" x14ac:dyDescent="0.2">
      <c r="A213" s="1" t="s">
        <v>352</v>
      </c>
      <c r="B213" s="1" t="str">
        <f>VLOOKUP(A213,Xtal_Templ!A:B,2,FALSE)</f>
        <v>p2y12_human</v>
      </c>
      <c r="C213" s="5">
        <f>VLOOKUP($B213&amp;"__wt",'SegEnds_Xtal_BW#'!$A:$Z,3,FALSE)</f>
        <v>28</v>
      </c>
      <c r="D213" s="1">
        <f>VLOOKUP($B213&amp;"__wt",'SegEnds_Xtal_BW#'!$A:$Z,4,FALSE)</f>
        <v>60</v>
      </c>
      <c r="E213" s="1" t="str">
        <f>VLOOKUP($B213&amp;"__wt",'SegEnds_Xtal_BW#'!$A:$Z,5,FALSE)</f>
        <v>-</v>
      </c>
      <c r="F213" s="1" t="str">
        <f>VLOOKUP($B213&amp;"__wt",'SegEnds_Xtal_BW#'!$A:$Z,6,FALSE)</f>
        <v>-</v>
      </c>
      <c r="G213" s="1">
        <v>37</v>
      </c>
      <c r="H213" s="12">
        <f>VLOOKUP($B213&amp;"__wt",'SegEnds_Xtal_BW#'!$A:$Z,8,FALSE)</f>
        <v>66</v>
      </c>
      <c r="I213" s="1" t="str">
        <f>VLOOKUP($B213&amp;"__wt",'SegEnds_Xtal_BW#'!$A:$Z,9,FALSE)</f>
        <v>-</v>
      </c>
      <c r="J213" s="1" t="str">
        <f>VLOOKUP($B213&amp;"__wt",'SegEnds_Xtal_BW#'!$A:$Z,10,FALSE)</f>
        <v>-</v>
      </c>
      <c r="K213" s="12">
        <v>18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f>VLOOKUP($B213&amp;"__wt",'SegEnds_Xtal_BW#'!$A:$Z,14,FALSE)</f>
        <v>57</v>
      </c>
      <c r="O213" s="89">
        <f>VLOOKUP($B213&amp;"__wt",'SegEnds_Xtal_BW#'!$A:$Z,15,FALSE)</f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30</v>
      </c>
      <c r="T213" s="1">
        <f t="array" ref="T213">INDEX('ICL3'!$G$2:$G$40,MATCH(MIN(ABS(AH213-'ICL3'!$F$2:$F$40)),ABS(AH213-'ICL3'!$F$2:$F$40),0))</f>
        <v>72</v>
      </c>
      <c r="U213" s="1">
        <f t="array" ref="U213">INDEX('ICL3'!$H$2:$H$40,MATCH(MIN(ABS(AH213-'ICL3'!$F$2:$F$40)),ABS(AH213-'ICL3'!$F$2:$F$40),0))</f>
        <v>29</v>
      </c>
      <c r="V213" s="1">
        <v>64</v>
      </c>
      <c r="W213" s="1">
        <v>24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57</v>
      </c>
      <c r="AA213" s="27" t="str">
        <f>VLOOKUP(A213,Classification!A:B,2,FALSE)</f>
        <v>A</v>
      </c>
      <c r="AB213" s="1" t="e">
        <f>VLOOKUP(A213,'SegEnds_NonXtal_Prot#'!A:AL,10,FALSE)-VLOOKUP(A213,'SegEnds_NonXtal_Prot#'!A:AL,7,FALSE)</f>
        <v>#VALUE!</v>
      </c>
      <c r="AC213" s="1" t="e">
        <f>VLOOKUP(A213,'SegEnds_NonXtal_Prot#'!A:AL,13,FALSE)-VLOOKUP(A213,'SegEnds_NonXtal_Prot#'!A:AL,10,FALSE)</f>
        <v>#VALUE!</v>
      </c>
      <c r="AD213" s="1">
        <f>VLOOKUP(A213,'SegEnds_NonXtal_Prot#'!A:AL,16,FALSE)-VLOOKUP(A213,'SegEnds_NonXtal_Prot#'!A:AL,10,FALSE)</f>
        <v>52</v>
      </c>
      <c r="AE213" s="1">
        <f>VLOOKUP(A213,'SegEnds_NonXtal_Prot#'!A:AL,22,FALSE)-VLOOKUP(A213,'SegEnds_NonXtal_Prot#'!A:AL,19,FALSE)</f>
        <v>20</v>
      </c>
      <c r="AF213" s="1">
        <f>VLOOKUP(A213,'SegEnds_NonXtal_Prot#'!A:AL,28,FALSE)-VLOOKUP(A213,'SegEnds_NonXtal_Prot#'!A:AL,25,FALSE)</f>
        <v>26</v>
      </c>
      <c r="AG213" s="1">
        <f>VLOOKUP(A213,'SegEnds_NonXtal_Prot#'!A:AL,28,FALSE)-VLOOKUP(A213,'SegEnds_NonXtal_Prot#'!A:AL,22,FALSE)</f>
        <v>52</v>
      </c>
      <c r="AH213" s="1">
        <f>VLOOKUP(A213,'SegEnds_NonXtal_Prot#'!A:AL,31,FALSE)-VLOOKUP(A213,'SegEnds_NonXtal_Prot#'!A:AL,28,FALSE)</f>
        <v>50</v>
      </c>
      <c r="AI213" s="1">
        <f>VLOOKUP(A213,'SegEnds_NonXtal_Prot#'!A:AL,34,FALSE)-VLOOKUP(A213,'SegEnds_NonXtal_Prot#'!A:AL,31,FALSE)</f>
        <v>44</v>
      </c>
      <c r="AJ213" s="1" t="str">
        <f>IF(ISERROR(MATCH(A213,'SegEnds_Xtal_Prot#'!B:B, 0)), "NoXtal", "Xtal")</f>
        <v>Xtal</v>
      </c>
    </row>
    <row r="214" spans="1:36" x14ac:dyDescent="0.2">
      <c r="A214" s="1" t="s">
        <v>353</v>
      </c>
      <c r="B214" s="1" t="str">
        <f>VLOOKUP(A214,Xtal_Templ!A:B,2,FALSE)</f>
        <v>p2y12_human</v>
      </c>
      <c r="C214" s="5">
        <f>VLOOKUP($B214&amp;"__wt",'SegEnds_Xtal_BW#'!$A:$Z,3,FALSE)</f>
        <v>28</v>
      </c>
      <c r="D214" s="1">
        <f>VLOOKUP($B214&amp;"__wt",'SegEnds_Xtal_BW#'!$A:$Z,4,FALSE)</f>
        <v>60</v>
      </c>
      <c r="E214" s="1" t="str">
        <f>VLOOKUP($B214&amp;"__wt",'SegEnds_Xtal_BW#'!$A:$Z,5,FALSE)</f>
        <v>-</v>
      </c>
      <c r="F214" s="1" t="str">
        <f>VLOOKUP($B214&amp;"__wt",'SegEnds_Xtal_BW#'!$A:$Z,6,FALSE)</f>
        <v>-</v>
      </c>
      <c r="G214" s="1">
        <v>37</v>
      </c>
      <c r="H214" s="12">
        <f>VLOOKUP($B214&amp;"__wt",'SegEnds_Xtal_BW#'!$A:$Z,8,FALSE)</f>
        <v>66</v>
      </c>
      <c r="I214" s="1" t="str">
        <f>VLOOKUP($B214&amp;"__wt",'SegEnds_Xtal_BW#'!$A:$Z,9,FALSE)</f>
        <v>-</v>
      </c>
      <c r="J214" s="1" t="str">
        <f>VLOOKUP($B214&amp;"__wt",'SegEnds_Xtal_BW#'!$A:$Z,10,FALSE)</f>
        <v>-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9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30</v>
      </c>
      <c r="T214" s="1">
        <f t="array" ref="T214">INDEX('ICL3'!$G$2:$G$40,MATCH(MIN(ABS(AH214-'ICL3'!$F$2:$F$40)),ABS(AH214-'ICL3'!$F$2:$F$40),0))</f>
        <v>72</v>
      </c>
      <c r="U214" s="1">
        <f t="array" ref="U214">INDEX('ICL3'!$H$2:$H$40,MATCH(MIN(ABS(AH214-'ICL3'!$F$2:$F$40)),ABS(AH214-'ICL3'!$F$2:$F$40),0))</f>
        <v>29</v>
      </c>
      <c r="V214" s="1">
        <v>64</v>
      </c>
      <c r="W214" s="1">
        <v>24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57</v>
      </c>
      <c r="AA214" s="27" t="str">
        <f>VLOOKUP(A214,Classification!A:B,2,FALSE)</f>
        <v>A</v>
      </c>
      <c r="AB214" s="1" t="e">
        <f>VLOOKUP(A214,'SegEnds_NonXtal_Prot#'!A:AL,10,FALSE)-VLOOKUP(A214,'SegEnds_NonXtal_Prot#'!A:AL,7,FALSE)</f>
        <v>#VALUE!</v>
      </c>
      <c r="AC214" s="1" t="e">
        <f>VLOOKUP(A214,'SegEnds_NonXtal_Prot#'!A:AL,13,FALSE)-VLOOKUP(A214,'SegEnds_NonXtal_Prot#'!A:AL,10,FALSE)</f>
        <v>#VALUE!</v>
      </c>
      <c r="AD214" s="1">
        <f>VLOOKUP(A214,'SegEnds_NonXtal_Prot#'!A:AL,16,FALSE)-VLOOKUP(A214,'SegEnds_NonXtal_Prot#'!A:AL,10,FALSE)</f>
        <v>52</v>
      </c>
      <c r="AE214" s="1">
        <f>VLOOKUP(A214,'SegEnds_NonXtal_Prot#'!A:AL,22,FALSE)-VLOOKUP(A214,'SegEnds_NonXtal_Prot#'!A:AL,19,FALSE)</f>
        <v>20</v>
      </c>
      <c r="AF214" s="1">
        <f>VLOOKUP(A214,'SegEnds_NonXtal_Prot#'!A:AL,28,FALSE)-VLOOKUP(A214,'SegEnds_NonXtal_Prot#'!A:AL,25,FALSE)</f>
        <v>26</v>
      </c>
      <c r="AG214" s="1">
        <f>VLOOKUP(A214,'SegEnds_NonXtal_Prot#'!A:AL,28,FALSE)-VLOOKUP(A214,'SegEnds_NonXtal_Prot#'!A:AL,22,FALSE)</f>
        <v>52</v>
      </c>
      <c r="AH214" s="1">
        <f>VLOOKUP(A214,'SegEnds_NonXtal_Prot#'!A:AL,31,FALSE)-VLOOKUP(A214,'SegEnds_NonXtal_Prot#'!A:AL,28,FALSE)</f>
        <v>50</v>
      </c>
      <c r="AI214" s="1">
        <f>VLOOKUP(A214,'SegEnds_NonXtal_Prot#'!A:AL,34,FALSE)-VLOOKUP(A214,'SegEnds_NonXtal_Prot#'!A:AL,31,FALSE)</f>
        <v>44</v>
      </c>
      <c r="AJ214" s="1" t="str">
        <f>IF(ISERROR(MATCH(A214,'SegEnds_Xtal_Prot#'!B:B, 0)), "NoXtal", "Xtal")</f>
        <v>NoXtal</v>
      </c>
    </row>
    <row r="215" spans="1:36" x14ac:dyDescent="0.2">
      <c r="A215" s="1" t="s">
        <v>354</v>
      </c>
      <c r="B215" s="1" t="str">
        <f>VLOOKUP(A215,Xtal_Templ!A:B,2,FALSE)</f>
        <v>p2y12_human</v>
      </c>
      <c r="C215" s="5">
        <f>VLOOKUP($B215&amp;"__wt",'SegEnds_Xtal_BW#'!$A:$Z,3,FALSE)</f>
        <v>28</v>
      </c>
      <c r="D215" s="1">
        <f>VLOOKUP($B215&amp;"__wt",'SegEnds_Xtal_BW#'!$A:$Z,4,FALSE)</f>
        <v>60</v>
      </c>
      <c r="E215" s="1" t="str">
        <f>VLOOKUP($B215&amp;"__wt",'SegEnds_Xtal_BW#'!$A:$Z,5,FALSE)</f>
        <v>-</v>
      </c>
      <c r="F215" s="1" t="str">
        <f>VLOOKUP($B215&amp;"__wt",'SegEnds_Xtal_BW#'!$A:$Z,6,FALSE)</f>
        <v>-</v>
      </c>
      <c r="G215" s="1">
        <v>37</v>
      </c>
      <c r="H215" s="12">
        <f>VLOOKUP($B215&amp;"__wt",'SegEnds_Xtal_BW#'!$A:$Z,8,FALSE)</f>
        <v>66</v>
      </c>
      <c r="I215" s="1" t="str">
        <f>VLOOKUP($B215&amp;"__wt",'SegEnds_Xtal_BW#'!$A:$Z,9,FALSE)</f>
        <v>-</v>
      </c>
      <c r="J215" s="1" t="str">
        <f>VLOOKUP($B215&amp;"__wt",'SegEnds_Xtal_BW#'!$A:$Z,10,FALSE)</f>
        <v>-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9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INDEX('ICL3'!$G$2:$G$40,MATCH(MIN(ABS(AH215-'ICL3'!$F$2:$F$40)),ABS(AH215-'ICL3'!$F$2:$F$40),0))</f>
        <v>72</v>
      </c>
      <c r="U215" s="1">
        <f t="array" ref="U215">INDEX('ICL3'!$H$2:$H$40,MATCH(MIN(ABS(AH215-'ICL3'!$F$2:$F$40)),ABS(AH215-'ICL3'!$F$2:$F$40),0))</f>
        <v>29</v>
      </c>
      <c r="V215" s="1">
        <v>64</v>
      </c>
      <c r="W215" s="1">
        <v>24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57</v>
      </c>
      <c r="AA215" s="27" t="str">
        <f>VLOOKUP(A215,Classification!A:B,2,FALSE)</f>
        <v>A</v>
      </c>
      <c r="AB215" s="1" t="e">
        <f>VLOOKUP(A215,'SegEnds_NonXtal_Prot#'!A:AL,10,FALSE)-VLOOKUP(A215,'SegEnds_NonXtal_Prot#'!A:AL,7,FALSE)</f>
        <v>#VALUE!</v>
      </c>
      <c r="AC215" s="1" t="e">
        <f>VLOOKUP(A215,'SegEnds_NonXtal_Prot#'!A:AL,13,FALSE)-VLOOKUP(A215,'SegEnds_NonXtal_Prot#'!A:AL,10,FALSE)</f>
        <v>#VALUE!</v>
      </c>
      <c r="AD215" s="1">
        <f>VLOOKUP(A215,'SegEnds_NonXtal_Prot#'!A:AL,16,FALSE)-VLOOKUP(A215,'SegEnds_NonXtal_Prot#'!A:AL,10,FALSE)</f>
        <v>52</v>
      </c>
      <c r="AE215" s="1">
        <f>VLOOKUP(A215,'SegEnds_NonXtal_Prot#'!A:AL,22,FALSE)-VLOOKUP(A215,'SegEnds_NonXtal_Prot#'!A:AL,19,FALSE)</f>
        <v>20</v>
      </c>
      <c r="AF215" s="1">
        <f>VLOOKUP(A215,'SegEnds_NonXtal_Prot#'!A:AL,28,FALSE)-VLOOKUP(A215,'SegEnds_NonXtal_Prot#'!A:AL,25,FALSE)</f>
        <v>26</v>
      </c>
      <c r="AG215" s="1">
        <f>VLOOKUP(A215,'SegEnds_NonXtal_Prot#'!A:AL,28,FALSE)-VLOOKUP(A215,'SegEnds_NonXtal_Prot#'!A:AL,22,FALSE)</f>
        <v>52</v>
      </c>
      <c r="AH215" s="1">
        <f>VLOOKUP(A215,'SegEnds_NonXtal_Prot#'!A:AL,31,FALSE)-VLOOKUP(A215,'SegEnds_NonXtal_Prot#'!A:AL,28,FALSE)</f>
        <v>50</v>
      </c>
      <c r="AI215" s="1">
        <f>VLOOKUP(A215,'SegEnds_NonXtal_Prot#'!A:AL,34,FALSE)-VLOOKUP(A215,'SegEnds_NonXtal_Prot#'!A:AL,31,FALSE)</f>
        <v>44</v>
      </c>
      <c r="AJ215" s="1" t="str">
        <f>IF(ISERROR(MATCH(A215,'SegEnds_Xtal_Prot#'!B:B, 0)), "NoXtal", "Xtal")</f>
        <v>NoXtal</v>
      </c>
    </row>
    <row r="216" spans="1:36" x14ac:dyDescent="0.2">
      <c r="A216" s="1" t="s">
        <v>355</v>
      </c>
      <c r="B216" s="1" t="str">
        <f>VLOOKUP(A216,Xtal_Templ!A:B,2,FALSE)</f>
        <v>par1_human</v>
      </c>
      <c r="C216" s="5">
        <f>VLOOKUP($B216&amp;"__wt",'SegEnds_Xtal_BW#'!$A:$Z,3,FALSE)</f>
        <v>29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66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57</v>
      </c>
      <c r="O216" s="89">
        <f>VLOOKUP($B216&amp;"__wt",'SegEnds_Xtal_BW#'!$A:$Z,15,FALSE)</f>
        <v>38</v>
      </c>
      <c r="P216" s="1">
        <f>VLOOKUP($B216&amp;"__wt",'SegEnds_Xtal_BW#'!$A:$Z,16,FALSE)</f>
        <v>63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INDEX('ICL3'!$G$2:$G$40,MATCH(MIN(ABS(AH216-'ICL3'!$F$2:$F$40)),ABS(AH216-'ICL3'!$F$2:$F$40),0))</f>
        <v>67</v>
      </c>
      <c r="U216" s="1">
        <f t="array" ref="U216">INDEX('ICL3'!$H$2:$H$40,MATCH(MIN(ABS(AH216-'ICL3'!$F$2:$F$40)),ABS(AH216-'ICL3'!$F$2:$F$40),0))</f>
        <v>26</v>
      </c>
      <c r="V216" s="1">
        <v>62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61</v>
      </c>
      <c r="AA216" s="27" t="str">
        <f>VLOOKUP(A216,Classification!A:B,2,FALSE)</f>
        <v>A</v>
      </c>
      <c r="AB216" s="1">
        <f>VLOOKUP(A216,'SegEnds_NonXtal_Prot#'!A:AL,10,FALSE)-VLOOKUP(A216,'SegEnds_NonXtal_Prot#'!A:AL,7,FALSE)</f>
        <v>15</v>
      </c>
      <c r="AC216" s="1">
        <f>VLOOKUP(A216,'SegEnds_NonXtal_Prot#'!A:AL,13,FALSE)-VLOOKUP(A216,'SegEnds_NonXtal_Prot#'!A:AL,10,FALSE)</f>
        <v>20</v>
      </c>
      <c r="AD216" s="1">
        <f>VLOOKUP(A216,'SegEnds_NonXtal_Prot#'!A:AL,16,FALSE)-VLOOKUP(A216,'SegEnds_NonXtal_Prot#'!A:AL,10,FALSE)</f>
        <v>52</v>
      </c>
      <c r="AE216" s="1">
        <f>VLOOKUP(A216,'SegEnds_NonXtal_Prot#'!A:AL,22,FALSE)-VLOOKUP(A216,'SegEnds_NonXtal_Prot#'!A:AL,19,FALSE)</f>
        <v>20</v>
      </c>
      <c r="AF216" s="1">
        <f>VLOOKUP(A216,'SegEnds_NonXtal_Prot#'!A:AL,28,FALSE)-VLOOKUP(A216,'SegEnds_NonXtal_Prot#'!A:AL,25,FALSE)</f>
        <v>28</v>
      </c>
      <c r="AG216" s="1">
        <f>VLOOKUP(A216,'SegEnds_NonXtal_Prot#'!A:AL,28,FALSE)-VLOOKUP(A216,'SegEnds_NonXtal_Prot#'!A:AL,22,FALSE)</f>
        <v>55</v>
      </c>
      <c r="AH216" s="1">
        <f>VLOOKUP(A216,'SegEnds_NonXtal_Prot#'!A:AL,31,FALSE)-VLOOKUP(A216,'SegEnds_NonXtal_Prot#'!A:AL,28,FALSE)</f>
        <v>46</v>
      </c>
      <c r="AI216" s="1">
        <f>VLOOKUP(A216,'SegEnds_NonXtal_Prot#'!A:AL,34,FALSE)-VLOOKUP(A216,'SegEnds_NonXtal_Prot#'!A:AL,31,FALSE)</f>
        <v>40</v>
      </c>
      <c r="AJ216" s="1" t="str">
        <f>IF(ISERROR(MATCH(A216,'SegEnds_Xtal_Prot#'!B:B, 0)), "NoXtal", "Xtal")</f>
        <v>Xtal</v>
      </c>
    </row>
    <row r="217" spans="1:36" x14ac:dyDescent="0.2">
      <c r="A217" s="1" t="s">
        <v>357</v>
      </c>
      <c r="B217" s="1" t="str">
        <f>VLOOKUP(A217,Xtal_Templ!A:B,2,FALSE)</f>
        <v>par2_human</v>
      </c>
      <c r="C217" s="5">
        <f>VLOOKUP($B217&amp;"__wt",'SegEnds_Xtal_BW#'!$A:$Z,3,FALSE)</f>
        <v>28</v>
      </c>
      <c r="D217" s="1">
        <f>VLOOKUP($B217&amp;"__wt",'SegEnds_Xtal_BW#'!$A:$Z,4,FALSE)</f>
        <v>60</v>
      </c>
      <c r="E217" s="1" t="str">
        <f>VLOOKUP($B217&amp;"__wt",'SegEnds_Xtal_BW#'!$A:$Z,5,FALSE)</f>
        <v>-</v>
      </c>
      <c r="F217" s="1" t="str">
        <f>VLOOKUP($B217&amp;"__wt",'SegEnds_Xtal_BW#'!$A:$Z,6,FALSE)</f>
        <v>-</v>
      </c>
      <c r="G217" s="1">
        <v>37</v>
      </c>
      <c r="H217" s="12">
        <f>VLOOKUP($B217&amp;"__wt",'SegEnds_Xtal_BW#'!$A:$Z,8,FALSE)</f>
        <v>66</v>
      </c>
      <c r="I217" s="1">
        <f>VLOOKUP($B217&amp;"__wt",'SegEnds_Xtal_BW#'!$A:$Z,9,FALSE)</f>
        <v>47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v>57</v>
      </c>
      <c r="O217" s="89">
        <f>VLOOKUP($B217&amp;"__wt",'SegEnds_Xtal_BW#'!$A:$Z,15,FALSE)</f>
        <v>38</v>
      </c>
      <c r="P217" s="1">
        <f>VLOOKUP($B217&amp;"__wt",'SegEnds_Xtal_BW#'!$A:$Z,16,FALSE)</f>
        <v>62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v>35</v>
      </c>
      <c r="T217" s="1">
        <f t="array" ref="T217">INDEX('ICL3'!$G$2:$G$40,MATCH(MIN(ABS(AH217-'ICL3'!$F$2:$F$40)),ABS(AH217-'ICL3'!$F$2:$F$40),0))</f>
        <v>68</v>
      </c>
      <c r="U217" s="1">
        <f t="array" ref="U217">INDEX('ICL3'!$H$2:$H$40,MATCH(MIN(ABS(AH217-'ICL3'!$F$2:$F$40)),ABS(AH217-'ICL3'!$F$2:$F$40),0))</f>
        <v>30</v>
      </c>
      <c r="V217" s="1">
        <v>62</v>
      </c>
      <c r="W217" s="1">
        <v>28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61</v>
      </c>
      <c r="AA217" s="27" t="str">
        <f>VLOOKUP(A217,Classification!A:B,2,FALSE)</f>
        <v>A</v>
      </c>
      <c r="AB217" s="1" t="e">
        <f>VLOOKUP(A217,'SegEnds_NonXtal_Prot#'!A:AL,10,FALSE)-VLOOKUP(A217,'SegEnds_NonXtal_Prot#'!A:AL,7,FALSE)</f>
        <v>#VALUE!</v>
      </c>
      <c r="AC217" s="1">
        <f>VLOOKUP(A217,'SegEnds_NonXtal_Prot#'!A:AL,13,FALSE)-VLOOKUP(A217,'SegEnds_NonXtal_Prot#'!A:AL,10,FALSE)</f>
        <v>20</v>
      </c>
      <c r="AD217" s="1">
        <f>VLOOKUP(A217,'SegEnds_NonXtal_Prot#'!A:AL,16,FALSE)-VLOOKUP(A217,'SegEnds_NonXtal_Prot#'!A:AL,10,FALSE)</f>
        <v>52</v>
      </c>
      <c r="AE217" s="1">
        <f>VLOOKUP(A217,'SegEnds_NonXtal_Prot#'!A:AL,22,FALSE)-VLOOKUP(A217,'SegEnds_NonXtal_Prot#'!A:AL,19,FALSE)</f>
        <v>20</v>
      </c>
      <c r="AF217" s="1">
        <f>VLOOKUP(A217,'SegEnds_NonXtal_Prot#'!A:AL,28,FALSE)-VLOOKUP(A217,'SegEnds_NonXtal_Prot#'!A:AL,25,FALSE)</f>
        <v>22</v>
      </c>
      <c r="AG217" s="1">
        <f>VLOOKUP(A217,'SegEnds_NonXtal_Prot#'!A:AL,28,FALSE)-VLOOKUP(A217,'SegEnds_NonXtal_Prot#'!A:AL,22,FALSE)</f>
        <v>56</v>
      </c>
      <c r="AH217" s="1">
        <f>VLOOKUP(A217,'SegEnds_NonXtal_Prot#'!A:AL,31,FALSE)-VLOOKUP(A217,'SegEnds_NonXtal_Prot#'!A:AL,28,FALSE)</f>
        <v>42</v>
      </c>
      <c r="AI217" s="1">
        <f>VLOOKUP(A217,'SegEnds_NonXtal_Prot#'!A:AL,34,FALSE)-VLOOKUP(A217,'SegEnds_NonXtal_Prot#'!A:AL,31,FALSE)</f>
        <v>39</v>
      </c>
      <c r="AJ217" s="1" t="str">
        <f>IF(ISERROR(MATCH(A217,'SegEnds_Xtal_Prot#'!B:B, 0)), "NoXtal", "Xtal")</f>
        <v>NoXtal</v>
      </c>
    </row>
    <row r="218" spans="1:36" x14ac:dyDescent="0.2">
      <c r="A218" s="1" t="s">
        <v>358</v>
      </c>
      <c r="B218" s="1" t="str">
        <f>VLOOKUP(A218,Xtal_Templ!A:B,2,FALSE)</f>
        <v>par2_human</v>
      </c>
      <c r="C218" s="5">
        <f>VLOOKUP($B218&amp;"__wt",'SegEnds_Xtal_BW#'!$A:$Z,3,FALSE)</f>
        <v>28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66</v>
      </c>
      <c r="I218" s="1">
        <f>VLOOKUP($B218&amp;"__wt",'SegEnds_Xtal_BW#'!$A:$Z,9,FALSE)</f>
        <v>47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v>57</v>
      </c>
      <c r="O218" s="89">
        <f>VLOOKUP($B218&amp;"__wt",'SegEnds_Xtal_BW#'!$A:$Z,15,FALSE)</f>
        <v>38</v>
      </c>
      <c r="P218" s="1">
        <f>VLOOKUP($B218&amp;"__wt",'SegEnds_Xtal_BW#'!$A:$Z,16,FALSE)</f>
        <v>62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31</v>
      </c>
      <c r="T218" s="1">
        <f t="array" ref="T218">INDEX('ICL3'!$G$2:$G$40,MATCH(MIN(ABS(AH218-'ICL3'!$F$2:$F$40)),ABS(AH218-'ICL3'!$F$2:$F$40),0))</f>
        <v>68</v>
      </c>
      <c r="U218" s="1">
        <f t="array" ref="U218">INDEX('ICL3'!$H$2:$H$40,MATCH(MIN(ABS(AH218-'ICL3'!$F$2:$F$40)),ABS(AH218-'ICL3'!$F$2:$F$40),0))</f>
        <v>30</v>
      </c>
      <c r="V218" s="1">
        <v>62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61</v>
      </c>
      <c r="AA218" s="27" t="str">
        <f>VLOOKUP(A218,Classification!A:B,2,FALSE)</f>
        <v>A</v>
      </c>
      <c r="AB218" s="1" t="e">
        <f>VLOOKUP(A218,'SegEnds_NonXtal_Prot#'!A:AL,10,FALSE)-VLOOKUP(A218,'SegEnds_NonXtal_Prot#'!A:AL,7,FALSE)</f>
        <v>#VALUE!</v>
      </c>
      <c r="AC218" s="1">
        <f>VLOOKUP(A218,'SegEnds_NonXtal_Prot#'!A:AL,13,FALSE)-VLOOKUP(A218,'SegEnds_NonXtal_Prot#'!A:AL,10,FALSE)</f>
        <v>20</v>
      </c>
      <c r="AD218" s="1">
        <f>VLOOKUP(A218,'SegEnds_NonXtal_Prot#'!A:AL,16,FALSE)-VLOOKUP(A218,'SegEnds_NonXtal_Prot#'!A:AL,10,FALSE)</f>
        <v>52</v>
      </c>
      <c r="AE218" s="1">
        <f>VLOOKUP(A218,'SegEnds_NonXtal_Prot#'!A:AL,22,FALSE)-VLOOKUP(A218,'SegEnds_NonXtal_Prot#'!A:AL,19,FALSE)</f>
        <v>20</v>
      </c>
      <c r="AF218" s="1">
        <f>VLOOKUP(A218,'SegEnds_NonXtal_Prot#'!A:AL,28,FALSE)-VLOOKUP(A218,'SegEnds_NonXtal_Prot#'!A:AL,25,FALSE)</f>
        <v>28</v>
      </c>
      <c r="AG218" s="1">
        <f>VLOOKUP(A218,'SegEnds_NonXtal_Prot#'!A:AL,28,FALSE)-VLOOKUP(A218,'SegEnds_NonXtal_Prot#'!A:AL,22,FALSE)</f>
        <v>55</v>
      </c>
      <c r="AH218" s="1">
        <f>VLOOKUP(A218,'SegEnds_NonXtal_Prot#'!A:AL,31,FALSE)-VLOOKUP(A218,'SegEnds_NonXtal_Prot#'!A:AL,28,FALSE)</f>
        <v>42</v>
      </c>
      <c r="AI218" s="1">
        <f>VLOOKUP(A218,'SegEnds_NonXtal_Prot#'!A:AL,34,FALSE)-VLOOKUP(A218,'SegEnds_NonXtal_Prot#'!A:AL,31,FALSE)</f>
        <v>39</v>
      </c>
      <c r="AJ218" s="1" t="str">
        <f>IF(ISERROR(MATCH(A218,'SegEnds_Xtal_Prot#'!B:B, 0)), "NoXtal", "Xtal")</f>
        <v>NoXtal</v>
      </c>
    </row>
    <row r="219" spans="1:36" x14ac:dyDescent="0.2">
      <c r="A219" s="1" t="s">
        <v>359</v>
      </c>
      <c r="B219" s="1" t="str">
        <f>VLOOKUP(A219,Xtal_Templ!A:B,2,FALSE)</f>
        <v>ntr1_rat</v>
      </c>
      <c r="C219" s="5">
        <f>VLOOKUP($B219&amp;"__wt",'SegEnds_Xtal_BW#'!$A:$Z,3,FALSE)</f>
        <v>29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51</v>
      </c>
      <c r="G219" s="1">
        <v>37</v>
      </c>
      <c r="H219" s="12">
        <f>VLOOKUP($B219&amp;"__wt",'SegEnds_Xtal_BW#'!$A:$Z,8,FALSE)</f>
        <v>68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v>57</v>
      </c>
      <c r="O219" s="89">
        <f>VLOOKUP($B219&amp;"__wt",'SegEnds_Xtal_BW#'!$A:$Z,15,FALSE)</f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32</v>
      </c>
      <c r="T219" s="1">
        <f t="array" ref="T219">INDEX('ICL3'!$G$2:$G$40,MATCH(MIN(ABS(AH219-'ICL3'!$F$2:$F$40)),ABS(AH219-'ICL3'!$F$2:$F$40),0))</f>
        <v>76</v>
      </c>
      <c r="U219" s="1">
        <f t="array" ref="U219">INDEX('ICL3'!$H$2:$H$40,MATCH(MIN(ABS(AH219-'ICL3'!$F$2:$F$40)),ABS(AH219-'ICL3'!$F$2:$F$40),0))</f>
        <v>24</v>
      </c>
      <c r="V219" s="1">
        <v>61</v>
      </c>
      <c r="W219" s="1">
        <v>28</v>
      </c>
      <c r="X219" s="6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58</v>
      </c>
      <c r="AA219" s="27" t="str">
        <f>VLOOKUP(A219,Classification!A:B,2,FALSE)</f>
        <v>A</v>
      </c>
      <c r="AB219" s="1" t="e">
        <f>VLOOKUP(A219,'SegEnds_NonXtal_Prot#'!A:AL,10,FALSE)-VLOOKUP(A219,'SegEnds_NonXtal_Prot#'!A:AL,7,FALSE)</f>
        <v>#VALUE!</v>
      </c>
      <c r="AC219" s="1" t="e">
        <f>VLOOKUP(A219,'SegEnds_NonXtal_Prot#'!A:AL,13,FALSE)-VLOOKUP(A219,'SegEnds_NonXtal_Prot#'!A:AL,10,FALSE)</f>
        <v>#VALUE!</v>
      </c>
      <c r="AD219" s="1">
        <f>VLOOKUP(A219,'SegEnds_NonXtal_Prot#'!A:AL,16,FALSE)-VLOOKUP(A219,'SegEnds_NonXtal_Prot#'!A:AL,10,FALSE)</f>
        <v>58</v>
      </c>
      <c r="AE219" s="1">
        <f>VLOOKUP(A219,'SegEnds_NonXtal_Prot#'!A:AL,22,FALSE)-VLOOKUP(A219,'SegEnds_NonXtal_Prot#'!A:AL,19,FALSE)</f>
        <v>20</v>
      </c>
      <c r="AF219" s="1">
        <f>VLOOKUP(A219,'SegEnds_NonXtal_Prot#'!A:AL,28,FALSE)-VLOOKUP(A219,'SegEnds_NonXtal_Prot#'!A:AL,25,FALSE)</f>
        <v>29</v>
      </c>
      <c r="AG219" s="1">
        <f>VLOOKUP(A219,'SegEnds_NonXtal_Prot#'!A:AL,28,FALSE)-VLOOKUP(A219,'SegEnds_NonXtal_Prot#'!A:AL,22,FALSE)</f>
        <v>55</v>
      </c>
      <c r="AH219" s="1">
        <f>VLOOKUP(A219,'SegEnds_NonXtal_Prot#'!A:AL,31,FALSE)-VLOOKUP(A219,'SegEnds_NonXtal_Prot#'!A:AL,28,FALSE)</f>
        <v>68</v>
      </c>
      <c r="AI219" s="1">
        <f>VLOOKUP(A219,'SegEnds_NonXtal_Prot#'!A:AL,34,FALSE)-VLOOKUP(A219,'SegEnds_NonXtal_Prot#'!A:AL,31,FALSE)</f>
        <v>40</v>
      </c>
      <c r="AJ219" s="1" t="str">
        <f>IF(ISERROR(MATCH(A219,'SegEnds_Xtal_Prot#'!B:B, 0)), "NoXtal", "Xtal")</f>
        <v>NoXtal</v>
      </c>
    </row>
    <row r="220" spans="1:36" x14ac:dyDescent="0.2">
      <c r="A220" s="1" t="s">
        <v>360</v>
      </c>
      <c r="B220" s="1" t="str">
        <f>VLOOKUP(A220,Xtal_Templ!A:B,2,FALSE)</f>
        <v>agtr2_human</v>
      </c>
      <c r="C220" s="5">
        <f>VLOOKUP($B220&amp;"__wt",'SegEnds_Xtal_BW#'!$A:$Z,3,FALSE)</f>
        <v>33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66</v>
      </c>
      <c r="I220" s="1">
        <f>VLOOKUP($B220&amp;"__wt",'SegEnds_Xtal_BW#'!$A:$Z,9,FALSE)</f>
        <v>47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v>57</v>
      </c>
      <c r="O220" s="89">
        <f>VLOOKUP($B220&amp;"__wt",'SegEnds_Xtal_BW#'!$A:$Z,15,FALSE)</f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30</v>
      </c>
      <c r="T220" s="1">
        <f t="array" ref="T220">INDEX('ICL3'!$G$2:$G$40,MATCH(MIN(ABS(AH220-'ICL3'!$F$2:$F$40)),ABS(AH220-'ICL3'!$F$2:$F$40),0))</f>
        <v>68</v>
      </c>
      <c r="U220" s="1">
        <f t="array" ref="U220">INDEX('ICL3'!$H$2:$H$40,MATCH(MIN(ABS(AH220-'ICL3'!$F$2:$F$40)),ABS(AH220-'ICL3'!$F$2:$F$40),0))</f>
        <v>30</v>
      </c>
      <c r="V220" s="1">
        <v>61</v>
      </c>
      <c r="W220" s="1">
        <v>28</v>
      </c>
      <c r="X220" s="1">
        <f>VLOOKUP($B220&amp;"__wt",'SegEnds_Xtal_BW#'!$A:$Z,24,FALSE)</f>
        <v>56</v>
      </c>
      <c r="Y220" s="1">
        <f>VLOOKUP($B220&amp;"__wt",'SegEnds_Xtal_BW#'!$A:$Z,25,FALSE)</f>
        <v>47</v>
      </c>
      <c r="Z220" s="1">
        <f>VLOOKUP($B220&amp;"__wt",'SegEnds_Xtal_BW#'!$A:$Z,26,FALSE)</f>
        <v>61</v>
      </c>
      <c r="AA220" s="27" t="str">
        <f>VLOOKUP(A220,Classification!A:B,2,FALSE)</f>
        <v>A</v>
      </c>
      <c r="AB220" s="1" t="e">
        <f>VLOOKUP(A220,'SegEnds_NonXtal_Prot#'!A:AL,10,FALSE)-VLOOKUP(A220,'SegEnds_NonXtal_Prot#'!A:AL,7,FALSE)</f>
        <v>#VALUE!</v>
      </c>
      <c r="AC220" s="1">
        <f>VLOOKUP(A220,'SegEnds_NonXtal_Prot#'!A:AL,13,FALSE)-VLOOKUP(A220,'SegEnds_NonXtal_Prot#'!A:AL,10,FALSE)</f>
        <v>20</v>
      </c>
      <c r="AD220" s="1">
        <f>VLOOKUP(A220,'SegEnds_NonXtal_Prot#'!A:AL,16,FALSE)-VLOOKUP(A220,'SegEnds_NonXtal_Prot#'!A:AL,10,FALSE)</f>
        <v>52</v>
      </c>
      <c r="AE220" s="1">
        <f>VLOOKUP(A220,'SegEnds_NonXtal_Prot#'!A:AL,22,FALSE)-VLOOKUP(A220,'SegEnds_NonXtal_Prot#'!A:AL,19,FALSE)</f>
        <v>20</v>
      </c>
      <c r="AF220" s="1">
        <f>VLOOKUP(A220,'SegEnds_NonXtal_Prot#'!A:AL,28,FALSE)-VLOOKUP(A220,'SegEnds_NonXtal_Prot#'!A:AL,25,FALSE)</f>
        <v>36</v>
      </c>
      <c r="AG220" s="1">
        <f>VLOOKUP(A220,'SegEnds_NonXtal_Prot#'!A:AL,28,FALSE)-VLOOKUP(A220,'SegEnds_NonXtal_Prot#'!A:AL,22,FALSE)</f>
        <v>62</v>
      </c>
      <c r="AH220" s="1">
        <f>VLOOKUP(A220,'SegEnds_NonXtal_Prot#'!A:AL,31,FALSE)-VLOOKUP(A220,'SegEnds_NonXtal_Prot#'!A:AL,28,FALSE)</f>
        <v>43</v>
      </c>
      <c r="AI220" s="1">
        <f>VLOOKUP(A220,'SegEnds_NonXtal_Prot#'!A:AL,34,FALSE)-VLOOKUP(A220,'SegEnds_NonXtal_Prot#'!A:AL,31,FALSE)</f>
        <v>40</v>
      </c>
      <c r="AJ220" s="1" t="str">
        <f>IF(ISERROR(MATCH(A220,'SegEnds_Xtal_Prot#'!B:B, 0)), "NoXtal", "Xtal")</f>
        <v>NoXtal</v>
      </c>
    </row>
    <row r="221" spans="1:36" x14ac:dyDescent="0.2">
      <c r="A221" s="1" t="s">
        <v>361</v>
      </c>
      <c r="B221" s="1" t="str">
        <f>VLOOKUP(A221,Xtal_Templ!A:B,2,FALSE)</f>
        <v>cnr1_human</v>
      </c>
      <c r="C221" s="5">
        <f>VLOOKUP($B221&amp;"__wt",'SegEnds_Xtal_BW#'!$A:$Z,3,FALSE)</f>
        <v>28</v>
      </c>
      <c r="D221" s="1">
        <f>VLOOKUP($B221&amp;"__wt",'SegEnds_Xtal_BW#'!$A:$Z,4,FALSE)</f>
        <v>60</v>
      </c>
      <c r="E221" s="1">
        <f>VLOOKUP($B221&amp;"__wt",'SegEnds_Xtal_BW#'!$A:$Z,5,FALSE)</f>
        <v>48</v>
      </c>
      <c r="F221" s="1">
        <f>VLOOKUP($B221&amp;"__wt",'SegEnds_Xtal_BW#'!$A:$Z,6,FALSE)</f>
        <v>51</v>
      </c>
      <c r="G221" s="1">
        <v>37</v>
      </c>
      <c r="H221" s="12">
        <v>66</v>
      </c>
      <c r="I221" s="1" t="str">
        <f>VLOOKUP($B221&amp;"__wt",'SegEnds_Xtal_BW#'!$A:$Z,9,FALSE)</f>
        <v>-</v>
      </c>
      <c r="J221" s="1" t="str">
        <f>VLOOKUP($B221&amp;"__wt",'SegEnds_Xtal_BW#'!$A:$Z,10,FALSE)</f>
        <v>-</v>
      </c>
      <c r="K221" s="12">
        <v>21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v>57</v>
      </c>
      <c r="O221" s="89">
        <f>VLOOKUP($B221&amp;"__wt",'SegEnds_Xtal_BW#'!$A:$Z,15,FALSE)</f>
        <v>38</v>
      </c>
      <c r="P221" s="1">
        <f>VLOOKUP($B221&amp;"__wt",'SegEnds_Xtal_BW#'!$A:$Z,16,FALSE)</f>
        <v>63</v>
      </c>
      <c r="Q221" s="111">
        <v>50</v>
      </c>
      <c r="R221" s="111">
        <v>52</v>
      </c>
      <c r="S221" s="1">
        <f>VLOOKUP($B221&amp;"__wt",'SegEnds_Xtal_BW#'!$A:$Z,19,FALSE)</f>
        <v>36</v>
      </c>
      <c r="T221" s="1">
        <f t="array" ref="T221">INDEX('ICL3'!$G$2:$G$40,MATCH(MIN(ABS(AH221-'ICL3'!$F$2:$F$40)),ABS(AH221-'ICL3'!$F$2:$F$40),0))</f>
        <v>74</v>
      </c>
      <c r="U221" s="1">
        <f t="array" ref="U221">INDEX('ICL3'!$H$2:$H$40,MATCH(MIN(ABS(AH221-'ICL3'!$F$2:$F$40)),ABS(AH221-'ICL3'!$F$2:$F$40),0))</f>
        <v>24</v>
      </c>
      <c r="V221" s="1">
        <v>61</v>
      </c>
      <c r="W221" s="1">
        <v>31</v>
      </c>
      <c r="X221" s="1">
        <f>VLOOKUP($B221&amp;"__wt",'SegEnds_Xtal_BW#'!$A:$Z,24,FALSE)</f>
        <v>56</v>
      </c>
      <c r="Y221" s="1">
        <f>VLOOKUP($B221&amp;"__wt",'SegEnds_Xtal_BW#'!$A:$Z,25,FALSE)</f>
        <v>47</v>
      </c>
      <c r="Z221" s="1">
        <f>VLOOKUP($B221&amp;"__wt",'SegEnds_Xtal_BW#'!$A:$Z,26,FALSE)</f>
        <v>59</v>
      </c>
      <c r="AA221" s="27" t="str">
        <f>VLOOKUP(A221,Classification!A:B,2,FALSE)</f>
        <v>A</v>
      </c>
      <c r="AB221" s="1">
        <f>VLOOKUP(A221,'SegEnds_NonXtal_Prot#'!A:AL,10,FALSE)-VLOOKUP(A221,'SegEnds_NonXtal_Prot#'!A:AL,7,FALSE)</f>
        <v>20</v>
      </c>
      <c r="AC221" s="1">
        <f>VLOOKUP(A221,'SegEnds_NonXtal_Prot#'!A:AL,13,FALSE)-VLOOKUP(A221,'SegEnds_NonXtal_Prot#'!A:AL,10,FALSE)</f>
        <v>20</v>
      </c>
      <c r="AD221" s="1">
        <f>VLOOKUP(A221,'SegEnds_NonXtal_Prot#'!A:AL,16,FALSE)-VLOOKUP(A221,'SegEnds_NonXtal_Prot#'!A:AL,10,FALSE)</f>
        <v>51</v>
      </c>
      <c r="AE221" s="1">
        <f>VLOOKUP(A221,'SegEnds_NonXtal_Prot#'!A:AL,22,FALSE)-VLOOKUP(A221,'SegEnds_NonXtal_Prot#'!A:AL,19,FALSE)</f>
        <v>20</v>
      </c>
      <c r="AF221" s="1">
        <f>VLOOKUP(A221,'SegEnds_NonXtal_Prot#'!A:AL,28,FALSE)-VLOOKUP(A221,'SegEnds_NonXtal_Prot#'!A:AL,25,FALSE)</f>
        <v>28</v>
      </c>
      <c r="AG221" s="1">
        <f>VLOOKUP(A221,'SegEnds_NonXtal_Prot#'!A:AL,28,FALSE)-VLOOKUP(A221,'SegEnds_NonXtal_Prot#'!A:AL,22,FALSE)</f>
        <v>54</v>
      </c>
      <c r="AH221" s="1">
        <f>VLOOKUP(A221,'SegEnds_NonXtal_Prot#'!A:AL,31,FALSE)-VLOOKUP(A221,'SegEnds_NonXtal_Prot#'!A:AL,28,FALSE)</f>
        <v>96</v>
      </c>
      <c r="AI221" s="1">
        <f>VLOOKUP(A221,'SegEnds_NonXtal_Prot#'!A:AL,34,FALSE)-VLOOKUP(A221,'SegEnds_NonXtal_Prot#'!A:AL,31,FALSE)</f>
        <v>36</v>
      </c>
      <c r="AJ221" s="1" t="str">
        <f>IF(ISERROR(MATCH(A221,'SegEnds_Xtal_Prot#'!B:B, 0)), "NoXtal", "Xtal")</f>
        <v>NoXtal</v>
      </c>
    </row>
    <row r="222" spans="1:36" x14ac:dyDescent="0.2">
      <c r="A222" s="1" t="s">
        <v>362</v>
      </c>
      <c r="B222" s="1" t="str">
        <f>VLOOKUP(A222,Xtal_Templ!A:B,2,FALSE)</f>
        <v>ntr1_rat</v>
      </c>
      <c r="C222" s="5">
        <f>VLOOKUP($B222&amp;"__wt",'SegEnds_Xtal_BW#'!$A:$Z,3,FALSE)</f>
        <v>29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68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v>57</v>
      </c>
      <c r="O222" s="89">
        <f>VLOOKUP($B222&amp;"__wt",'SegEnds_Xtal_BW#'!$A:$Z,15,FALSE)</f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v>35</v>
      </c>
      <c r="T222" s="1">
        <f t="array" ref="T222">INDEX('ICL3'!$G$2:$G$40,MATCH(MIN(ABS(AH222-'ICL3'!$F$2:$F$40)),ABS(AH222-'ICL3'!$F$2:$F$40),0))</f>
        <v>76</v>
      </c>
      <c r="U222" s="1">
        <f t="array" ref="U222">INDEX('ICL3'!$H$2:$H$40,MATCH(MIN(ABS(AH222-'ICL3'!$F$2:$F$40)),ABS(AH222-'ICL3'!$F$2:$F$40),0))</f>
        <v>24</v>
      </c>
      <c r="V222" s="1">
        <v>61</v>
      </c>
      <c r="W222" s="1">
        <v>33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58</v>
      </c>
      <c r="AA222" s="27" t="str">
        <f>VLOOKUP(A222,Classification!A:B,2,FALSE)</f>
        <v>A</v>
      </c>
      <c r="AB222" s="1">
        <f>VLOOKUP(A222,'SegEnds_NonXtal_Prot#'!A:AL,10,FALSE)-VLOOKUP(A222,'SegEnds_NonXtal_Prot#'!A:AL,7,FALSE)</f>
        <v>20</v>
      </c>
      <c r="AC222" s="1" t="e">
        <f>VLOOKUP(A222,'SegEnds_NonXtal_Prot#'!A:AL,13,FALSE)-VLOOKUP(A222,'SegEnds_NonXtal_Prot#'!A:AL,10,FALSE)</f>
        <v>#VALUE!</v>
      </c>
      <c r="AD222" s="1">
        <f>VLOOKUP(A222,'SegEnds_NonXtal_Prot#'!A:AL,16,FALSE)-VLOOKUP(A222,'SegEnds_NonXtal_Prot#'!A:AL,10,FALSE)</f>
        <v>56</v>
      </c>
      <c r="AE222" s="1">
        <f>VLOOKUP(A222,'SegEnds_NonXtal_Prot#'!A:AL,22,FALSE)-VLOOKUP(A222,'SegEnds_NonXtal_Prot#'!A:AL,19,FALSE)</f>
        <v>20</v>
      </c>
      <c r="AF222" s="1">
        <f>VLOOKUP(A222,'SegEnds_NonXtal_Prot#'!A:AL,28,FALSE)-VLOOKUP(A222,'SegEnds_NonXtal_Prot#'!A:AL,25,FALSE)</f>
        <v>22</v>
      </c>
      <c r="AG222" s="1">
        <f>VLOOKUP(A222,'SegEnds_NonXtal_Prot#'!A:AL,28,FALSE)-VLOOKUP(A222,'SegEnds_NonXtal_Prot#'!A:AL,22,FALSE)</f>
        <v>48</v>
      </c>
      <c r="AH222" s="1">
        <f>VLOOKUP(A222,'SegEnds_NonXtal_Prot#'!A:AL,31,FALSE)-VLOOKUP(A222,'SegEnds_NonXtal_Prot#'!A:AL,28,FALSE)</f>
        <v>70</v>
      </c>
      <c r="AI222" s="1">
        <f>VLOOKUP(A222,'SegEnds_NonXtal_Prot#'!A:AL,34,FALSE)-VLOOKUP(A222,'SegEnds_NonXtal_Prot#'!A:AL,31,FALSE)</f>
        <v>33</v>
      </c>
      <c r="AJ222" s="1" t="str">
        <f>IF(ISERROR(MATCH(A222,'SegEnds_Xtal_Prot#'!B:B, 0)), "NoXtal", "Xtal")</f>
        <v>NoXtal</v>
      </c>
    </row>
    <row r="223" spans="1:36" x14ac:dyDescent="0.2">
      <c r="A223" s="1" t="s">
        <v>363</v>
      </c>
      <c r="B223" s="1" t="str">
        <f>VLOOKUP(A223,Xtal_Templ!A:B,2,FALSE)</f>
        <v>s1pr1_human</v>
      </c>
      <c r="C223" s="5">
        <f>VLOOKUP($B223&amp;"__wt",'SegEnds_Xtal_BW#'!$A:$Z,3,FALSE)</f>
        <v>29</v>
      </c>
      <c r="D223" s="1">
        <f>VLOOKUP($B223&amp;"__wt",'SegEnds_Xtal_BW#'!$A:$Z,4,FALSE)</f>
        <v>60</v>
      </c>
      <c r="E223" s="1">
        <f>VLOOKUP($B223&amp;"__wt",'SegEnds_Xtal_BW#'!$A:$Z,5,FALSE)</f>
        <v>48</v>
      </c>
      <c r="F223" s="1">
        <f>VLOOKUP($B223&amp;"__wt",'SegEnds_Xtal_BW#'!$A:$Z,6,FALSE)</f>
        <v>51</v>
      </c>
      <c r="G223" s="1">
        <v>37</v>
      </c>
      <c r="H223" s="12">
        <f>VLOOKUP($B223&amp;"__wt",'SegEnds_Xtal_BW#'!$A:$Z,8,FALSE)</f>
        <v>63</v>
      </c>
      <c r="I223" s="1">
        <v>49</v>
      </c>
      <c r="J223" s="1">
        <f>VLOOKUP($B223&amp;"__wt",'SegEnds_Xtal_BW#'!$A:$Z,10,FALSE)</f>
        <v>53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v>57</v>
      </c>
      <c r="O223" s="89">
        <f>VLOOKUP($B223&amp;"__wt",'SegEnds_Xtal_BW#'!$A:$Z,15,FALSE)</f>
        <v>38</v>
      </c>
      <c r="P223" s="1">
        <f>VLOOKUP($B223&amp;"__wt",'SegEnds_Xtal_BW#'!$A:$Z,16,FALSE)</f>
        <v>63</v>
      </c>
      <c r="Q223" s="1" t="str">
        <f>VLOOKUP($B223&amp;"__wt",'SegEnds_Xtal_BW#'!$A:$Z,17,FALSE)</f>
        <v>-</v>
      </c>
      <c r="R223" s="1" t="str">
        <f>VLOOKUP($B223&amp;"__wt",'SegEnds_Xtal_BW#'!$A:$Z,18,FALSE)</f>
        <v>-</v>
      </c>
      <c r="S223" s="1">
        <f>VLOOKUP($B223&amp;"__wt",'SegEnds_Xtal_BW#'!$A:$Z,19,FALSE)</f>
        <v>36</v>
      </c>
      <c r="T223" s="1">
        <f t="array" ref="T223">INDEX('ICL3'!$G$2:$G$40,MATCH(MIN(ABS(AH223-'ICL3'!$F$2:$F$40)),ABS(AH223-'ICL3'!$F$2:$F$40),0))</f>
        <v>72</v>
      </c>
      <c r="U223" s="1">
        <f t="array" ref="U223">INDEX('ICL3'!$H$2:$H$40,MATCH(MIN(ABS(AH223-'ICL3'!$F$2:$F$40)),ABS(AH223-'ICL3'!$F$2:$F$40),0))</f>
        <v>24</v>
      </c>
      <c r="V223" s="1">
        <v>64</v>
      </c>
      <c r="W223" s="1">
        <v>24</v>
      </c>
      <c r="X223" s="1">
        <f>VLOOKUP($B223&amp;"__wt",'SegEnds_Xtal_BW#'!$A:$Z,24,FALSE)</f>
        <v>56</v>
      </c>
      <c r="Y223" s="1">
        <f>VLOOKUP($B223&amp;"__wt",'SegEnds_Xtal_BW#'!$A:$Z,25,FALSE)</f>
        <v>47</v>
      </c>
      <c r="Z223" s="1">
        <f>VLOOKUP($B223&amp;"__wt",'SegEnds_Xtal_BW#'!$A:$Z,26,FALSE)</f>
        <v>59</v>
      </c>
      <c r="AA223" s="27" t="str">
        <f>VLOOKUP(A223,Classification!A:B,2,FALSE)</f>
        <v>A</v>
      </c>
      <c r="AB223" s="1" t="e">
        <f>VLOOKUP(A223,'SegEnds_NonXtal_Prot#'!A:AL,10,FALSE)-VLOOKUP(A223,'SegEnds_NonXtal_Prot#'!A:AL,7,FALSE)</f>
        <v>#VALUE!</v>
      </c>
      <c r="AC223" s="1">
        <f>VLOOKUP(A223,'SegEnds_NonXtal_Prot#'!A:AL,13,FALSE)-VLOOKUP(A223,'SegEnds_NonXtal_Prot#'!A:AL,10,FALSE)</f>
        <v>21</v>
      </c>
      <c r="AD223" s="1">
        <f>VLOOKUP(A223,'SegEnds_NonXtal_Prot#'!A:AL,16,FALSE)-VLOOKUP(A223,'SegEnds_NonXtal_Prot#'!A:AL,10,FALSE)</f>
        <v>56</v>
      </c>
      <c r="AE223" s="1">
        <f>VLOOKUP(A223,'SegEnds_NonXtal_Prot#'!A:AL,22,FALSE)-VLOOKUP(A223,'SegEnds_NonXtal_Prot#'!A:AL,19,FALSE)</f>
        <v>20</v>
      </c>
      <c r="AF223" s="1">
        <f>VLOOKUP(A223,'SegEnds_NonXtal_Prot#'!A:AL,28,FALSE)-VLOOKUP(A223,'SegEnds_NonXtal_Prot#'!A:AL,25,FALSE)</f>
        <v>35</v>
      </c>
      <c r="AG223" s="1">
        <f>VLOOKUP(A223,'SegEnds_NonXtal_Prot#'!A:AL,28,FALSE)-VLOOKUP(A223,'SegEnds_NonXtal_Prot#'!A:AL,22,FALSE)</f>
        <v>61</v>
      </c>
      <c r="AH223" s="1">
        <f>VLOOKUP(A223,'SegEnds_NonXtal_Prot#'!A:AL,31,FALSE)-VLOOKUP(A223,'SegEnds_NonXtal_Prot#'!A:AL,28,FALSE)</f>
        <v>54</v>
      </c>
      <c r="AI223" s="1">
        <f>VLOOKUP(A223,'SegEnds_NonXtal_Prot#'!A:AL,34,FALSE)-VLOOKUP(A223,'SegEnds_NonXtal_Prot#'!A:AL,31,FALSE)</f>
        <v>46</v>
      </c>
      <c r="AJ223" s="1" t="str">
        <f>IF(ISERROR(MATCH(A223,'SegEnds_Xtal_Prot#'!B:B, 0)), "NoXtal", "Xtal")</f>
        <v>NoXtal</v>
      </c>
    </row>
    <row r="224" spans="1:36" x14ac:dyDescent="0.2">
      <c r="A224" s="1" t="s">
        <v>364</v>
      </c>
      <c r="B224" s="1" t="str">
        <f>VLOOKUP(A224,Xtal_Templ!A:B,2,FALSE)</f>
        <v>par2_human</v>
      </c>
      <c r="C224" s="5">
        <f>VLOOKUP($B224&amp;"__wt",'SegEnds_Xtal_BW#'!$A:$Z,3,FALSE)</f>
        <v>28</v>
      </c>
      <c r="D224" s="1">
        <f>VLOOKUP($B224&amp;"__wt",'SegEnds_Xtal_BW#'!$A:$Z,4,FALSE)</f>
        <v>60</v>
      </c>
      <c r="E224" s="1" t="str">
        <f>VLOOKUP($B224&amp;"__wt",'SegEnds_Xtal_BW#'!$A:$Z,5,FALSE)</f>
        <v>-</v>
      </c>
      <c r="F224" s="1" t="str">
        <f>VLOOKUP($B224&amp;"__wt",'SegEnds_Xtal_BW#'!$A:$Z,6,FALSE)</f>
        <v>-</v>
      </c>
      <c r="G224" s="1">
        <v>37</v>
      </c>
      <c r="H224" s="12">
        <f>VLOOKUP($B224&amp;"__wt",'SegEnds_Xtal_BW#'!$A:$Z,8,FALSE)</f>
        <v>66</v>
      </c>
      <c r="I224" s="1">
        <f>VLOOKUP($B224&amp;"__wt",'SegEnds_Xtal_BW#'!$A:$Z,9,FALSE)</f>
        <v>47</v>
      </c>
      <c r="J224" s="1">
        <f>VLOOKUP($B224&amp;"__wt",'SegEnds_Xtal_BW#'!$A:$Z,10,FALSE)</f>
        <v>52</v>
      </c>
      <c r="K224" s="12">
        <v>21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v>57</v>
      </c>
      <c r="O224" s="89">
        <v>38</v>
      </c>
      <c r="P224" s="1">
        <f>VLOOKUP($B224&amp;"__wt",'SegEnds_Xtal_BW#'!$A:$Z,16,FALSE)</f>
        <v>62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f>VLOOKUP($B224&amp;"__wt",'SegEnds_Xtal_BW#'!$A:$Z,19,FALSE)</f>
        <v>31</v>
      </c>
      <c r="T224" s="1">
        <f t="array" ref="T224">INDEX('ICL3'!$G$2:$G$40,MATCH(MIN(ABS(AH224-'ICL3'!$F$2:$F$40)),ABS(AH224-'ICL3'!$F$2:$F$40),0))</f>
        <v>76</v>
      </c>
      <c r="U224" s="1">
        <f t="array" ref="U224">INDEX('ICL3'!$H$2:$H$40,MATCH(MIN(ABS(AH224-'ICL3'!$F$2:$F$40)),ABS(AH224-'ICL3'!$F$2:$F$40),0))</f>
        <v>24</v>
      </c>
      <c r="V224" s="1">
        <v>61</v>
      </c>
      <c r="W224" s="1">
        <v>28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61</v>
      </c>
      <c r="AA224" s="27" t="str">
        <f>VLOOKUP(A224,Classification!A:B,2,FALSE)</f>
        <v>A</v>
      </c>
      <c r="AB224" s="1" t="e">
        <f>VLOOKUP(A224,'SegEnds_NonXtal_Prot#'!A:AL,10,FALSE)-VLOOKUP(A224,'SegEnds_NonXtal_Prot#'!A:AL,7,FALSE)</f>
        <v>#VALUE!</v>
      </c>
      <c r="AC224" s="1" t="e">
        <f>VLOOKUP(A224,'SegEnds_NonXtal_Prot#'!A:AL,13,FALSE)-VLOOKUP(A224,'SegEnds_NonXtal_Prot#'!A:AL,10,FALSE)</f>
        <v>#VALUE!</v>
      </c>
      <c r="AD224" s="1">
        <f>VLOOKUP(A224,'SegEnds_NonXtal_Prot#'!A:AL,16,FALSE)-VLOOKUP(A224,'SegEnds_NonXtal_Prot#'!A:AL,10,FALSE)</f>
        <v>52</v>
      </c>
      <c r="AE224" s="1">
        <f>VLOOKUP(A224,'SegEnds_NonXtal_Prot#'!A:AL,22,FALSE)-VLOOKUP(A224,'SegEnds_NonXtal_Prot#'!A:AL,19,FALSE)</f>
        <v>20</v>
      </c>
      <c r="AF224" s="1">
        <f>VLOOKUP(A224,'SegEnds_NonXtal_Prot#'!A:AL,28,FALSE)-VLOOKUP(A224,'SegEnds_NonXtal_Prot#'!A:AL,25,FALSE)</f>
        <v>27</v>
      </c>
      <c r="AG224" s="1">
        <f>VLOOKUP(A224,'SegEnds_NonXtal_Prot#'!A:AL,28,FALSE)-VLOOKUP(A224,'SegEnds_NonXtal_Prot#'!A:AL,22,FALSE)</f>
        <v>53</v>
      </c>
      <c r="AH224" s="1">
        <f>VLOOKUP(A224,'SegEnds_NonXtal_Prot#'!A:AL,31,FALSE)-VLOOKUP(A224,'SegEnds_NonXtal_Prot#'!A:AL,28,FALSE)</f>
        <v>90</v>
      </c>
      <c r="AI224" s="1">
        <f>VLOOKUP(A224,'SegEnds_NonXtal_Prot#'!A:AL,34,FALSE)-VLOOKUP(A224,'SegEnds_NonXtal_Prot#'!A:AL,31,FALSE)</f>
        <v>39</v>
      </c>
      <c r="AJ224" s="1" t="str">
        <f>IF(ISERROR(MATCH(A224,'SegEnds_Xtal_Prot#'!B:B, 0)), "NoXtal", "Xtal")</f>
        <v>NoXtal</v>
      </c>
    </row>
    <row r="225" spans="1:36" x14ac:dyDescent="0.2">
      <c r="A225" s="1" t="s">
        <v>365</v>
      </c>
      <c r="B225" s="1" t="str">
        <f>VLOOKUP(A225,Xtal_Templ!A:B,2,FALSE)</f>
        <v>lpar1_human</v>
      </c>
      <c r="C225" s="5">
        <f>VLOOKUP($B225&amp;"__wt",'SegEnds_Xtal_BW#'!$A:$Z,3,FALSE)</f>
        <v>30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63</v>
      </c>
      <c r="I225" s="1">
        <f>VLOOKUP($B225&amp;"__wt",'SegEnds_Xtal_BW#'!$A:$Z,9,FALSE)</f>
        <v>47</v>
      </c>
      <c r="J225" s="1">
        <f>VLOOKUP($B225&amp;"__wt",'SegEnds_Xtal_BW#'!$A:$Z,10,FALSE)</f>
        <v>53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v>57</v>
      </c>
      <c r="O225" s="89">
        <f>VLOOKUP($B225&amp;"__wt",'SegEnds_Xtal_BW#'!$A:$Z,15,FALSE)</f>
        <v>38</v>
      </c>
      <c r="P225" s="1">
        <f>VLOOKUP($B225&amp;"__wt",'SegEnds_Xtal_BW#'!$A:$Z,16,FALSE)</f>
        <v>63</v>
      </c>
      <c r="Q225" s="111">
        <v>50</v>
      </c>
      <c r="R225" s="111">
        <v>52</v>
      </c>
      <c r="S225" s="1">
        <v>35</v>
      </c>
      <c r="T225" s="1">
        <f t="array" ref="T225">INDEX('ICL3'!$G$2:$G$40,MATCH(MIN(ABS(AH225-'ICL3'!$F$2:$F$40)),ABS(AH225-'ICL3'!$F$2:$F$40),0))</f>
        <v>72</v>
      </c>
      <c r="U225" s="1">
        <f t="array" ref="U225">INDEX('ICL3'!$H$2:$H$40,MATCH(MIN(ABS(AH225-'ICL3'!$F$2:$F$40)),ABS(AH225-'ICL3'!$F$2:$F$40),0))</f>
        <v>29</v>
      </c>
      <c r="V225" s="1">
        <v>61</v>
      </c>
      <c r="W225" s="1">
        <v>31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59</v>
      </c>
      <c r="AA225" s="27" t="str">
        <f>VLOOKUP(A225,Classification!A:B,2,FALSE)</f>
        <v>A</v>
      </c>
      <c r="AB225" s="1">
        <f>VLOOKUP(A225,'SegEnds_NonXtal_Prot#'!A:AL,10,FALSE)-VLOOKUP(A225,'SegEnds_NonXtal_Prot#'!A:AL,7,FALSE)</f>
        <v>19</v>
      </c>
      <c r="AC225" s="1">
        <f>VLOOKUP(A225,'SegEnds_NonXtal_Prot#'!A:AL,13,FALSE)-VLOOKUP(A225,'SegEnds_NonXtal_Prot#'!A:AL,10,FALSE)</f>
        <v>21</v>
      </c>
      <c r="AD225" s="1">
        <f>VLOOKUP(A225,'SegEnds_NonXtal_Prot#'!A:AL,16,FALSE)-VLOOKUP(A225,'SegEnds_NonXtal_Prot#'!A:AL,10,FALSE)</f>
        <v>56</v>
      </c>
      <c r="AE225" s="1">
        <f>VLOOKUP(A225,'SegEnds_NonXtal_Prot#'!A:AL,22,FALSE)-VLOOKUP(A225,'SegEnds_NonXtal_Prot#'!A:AL,19,FALSE)</f>
        <v>20</v>
      </c>
      <c r="AF225" s="1">
        <f>VLOOKUP(A225,'SegEnds_NonXtal_Prot#'!A:AL,28,FALSE)-VLOOKUP(A225,'SegEnds_NonXtal_Prot#'!A:AL,25,FALSE)</f>
        <v>28</v>
      </c>
      <c r="AG225" s="1">
        <f>VLOOKUP(A225,'SegEnds_NonXtal_Prot#'!A:AL,28,FALSE)-VLOOKUP(A225,'SegEnds_NonXtal_Prot#'!A:AL,22,FALSE)</f>
        <v>54</v>
      </c>
      <c r="AH225" s="1">
        <f>VLOOKUP(A225,'SegEnds_NonXtal_Prot#'!A:AL,31,FALSE)-VLOOKUP(A225,'SegEnds_NonXtal_Prot#'!A:AL,28,FALSE)</f>
        <v>50</v>
      </c>
      <c r="AI225" s="1">
        <f>VLOOKUP(A225,'SegEnds_NonXtal_Prot#'!A:AL,34,FALSE)-VLOOKUP(A225,'SegEnds_NonXtal_Prot#'!A:AL,31,FALSE)</f>
        <v>37</v>
      </c>
      <c r="AJ225" s="1" t="str">
        <f>IF(ISERROR(MATCH(A225,'SegEnds_Xtal_Prot#'!B:B, 0)), "NoXtal", "Xtal")</f>
        <v>NoXtal</v>
      </c>
    </row>
    <row r="226" spans="1:36" x14ac:dyDescent="0.2">
      <c r="A226" s="1" t="s">
        <v>366</v>
      </c>
      <c r="B226" s="1" t="str">
        <f>VLOOKUP(A226,Xtal_Templ!A:B,2,FALSE)</f>
        <v>agtr2_human</v>
      </c>
      <c r="C226" s="5">
        <f>VLOOKUP($B226&amp;"__wt",'SegEnds_Xtal_BW#'!$A:$Z,3,FALSE)</f>
        <v>33</v>
      </c>
      <c r="D226" s="1">
        <f>VLOOKUP($B226&amp;"__wt",'SegEnds_Xtal_BW#'!$A:$Z,4,FALSE)</f>
        <v>60</v>
      </c>
      <c r="E226" s="1" t="str">
        <f>VLOOKUP($B226&amp;"__wt",'SegEnds_Xtal_BW#'!$A:$Z,5,FALSE)</f>
        <v>-</v>
      </c>
      <c r="F226" s="1" t="str">
        <f>VLOOKUP($B226&amp;"__wt",'SegEnds_Xtal_BW#'!$A:$Z,6,FALSE)</f>
        <v>-</v>
      </c>
      <c r="G226" s="1">
        <v>37</v>
      </c>
      <c r="H226" s="12">
        <v>67</v>
      </c>
      <c r="I226" s="1">
        <f>VLOOKUP($B226&amp;"__wt",'SegEnds_Xtal_BW#'!$A:$Z,9,FALSE)</f>
        <v>47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v>57</v>
      </c>
      <c r="O226" s="89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30</v>
      </c>
      <c r="T226" s="1">
        <f t="array" ref="T226">INDEX('ICL3'!$G$2:$G$40,MATCH(MIN(ABS(AH226-'ICL3'!$F$2:$F$40)),ABS(AH226-'ICL3'!$F$2:$F$40),0))</f>
        <v>72</v>
      </c>
      <c r="U226" s="1">
        <f t="array" ref="U226">INDEX('ICL3'!$H$2:$H$40,MATCH(MIN(ABS(AH226-'ICL3'!$F$2:$F$40)),ABS(AH226-'ICL3'!$F$2:$F$40),0))</f>
        <v>24</v>
      </c>
      <c r="V226" s="1">
        <v>61</v>
      </c>
      <c r="W226" s="1">
        <v>31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61</v>
      </c>
      <c r="AA226" s="27" t="str">
        <f>VLOOKUP(A226,Classification!A:B,2,FALSE)</f>
        <v>A</v>
      </c>
      <c r="AB226" s="1" t="e">
        <f>VLOOKUP(A226,'SegEnds_NonXtal_Prot#'!A:AL,10,FALSE)-VLOOKUP(A226,'SegEnds_NonXtal_Prot#'!A:AL,7,FALSE)</f>
        <v>#VALUE!</v>
      </c>
      <c r="AC226" s="1" t="e">
        <f>VLOOKUP(A226,'SegEnds_NonXtal_Prot#'!A:AL,13,FALSE)-VLOOKUP(A226,'SegEnds_NonXtal_Prot#'!A:AL,10,FALSE)</f>
        <v>#VALUE!</v>
      </c>
      <c r="AD226" s="1">
        <f>VLOOKUP(A226,'SegEnds_NonXtal_Prot#'!A:AL,16,FALSE)-VLOOKUP(A226,'SegEnds_NonXtal_Prot#'!A:AL,10,FALSE)</f>
        <v>57</v>
      </c>
      <c r="AE226" s="1">
        <f>VLOOKUP(A226,'SegEnds_NonXtal_Prot#'!A:AL,22,FALSE)-VLOOKUP(A226,'SegEnds_NonXtal_Prot#'!A:AL,19,FALSE)</f>
        <v>20</v>
      </c>
      <c r="AF226" s="1">
        <f>VLOOKUP(A226,'SegEnds_NonXtal_Prot#'!A:AL,28,FALSE)-VLOOKUP(A226,'SegEnds_NonXtal_Prot#'!A:AL,25,FALSE)</f>
        <v>27</v>
      </c>
      <c r="AG226" s="1">
        <f>VLOOKUP(A226,'SegEnds_NonXtal_Prot#'!A:AL,28,FALSE)-VLOOKUP(A226,'SegEnds_NonXtal_Prot#'!A:AL,22,FALSE)</f>
        <v>53</v>
      </c>
      <c r="AH226" s="1">
        <f>VLOOKUP(A226,'SegEnds_NonXtal_Prot#'!A:AL,31,FALSE)-VLOOKUP(A226,'SegEnds_NonXtal_Prot#'!A:AL,28,FALSE)</f>
        <v>57</v>
      </c>
      <c r="AI226" s="1">
        <f>VLOOKUP(A226,'SegEnds_NonXtal_Prot#'!A:AL,34,FALSE)-VLOOKUP(A226,'SegEnds_NonXtal_Prot#'!A:AL,31,FALSE)</f>
        <v>35</v>
      </c>
      <c r="AJ226" s="1" t="str">
        <f>IF(ISERROR(MATCH(A226,'SegEnds_Xtal_Prot#'!B:B, 0)), "NoXtal", "Xtal")</f>
        <v>NoXtal</v>
      </c>
    </row>
    <row r="227" spans="1:36" x14ac:dyDescent="0.2">
      <c r="A227" s="1" t="s">
        <v>370</v>
      </c>
      <c r="B227" s="1" t="str">
        <f>VLOOKUP(A227,Xtal_Templ!A:B,2,FALSE)</f>
        <v>p2ry1_human</v>
      </c>
      <c r="C227" s="5">
        <f>VLOOKUP($B227&amp;"__wt",'SegEnds_Xtal_BW#'!$A:$Z,3,FALSE)</f>
        <v>30</v>
      </c>
      <c r="D227" s="1">
        <f>VLOOKUP($B227&amp;"__wt",'SegEnds_Xtal_BW#'!$A:$Z,4,FALSE)</f>
        <v>60</v>
      </c>
      <c r="E227" s="1" t="str">
        <f>VLOOKUP($B227&amp;"__wt",'SegEnds_Xtal_BW#'!$A:$Z,5,FALSE)</f>
        <v>-</v>
      </c>
      <c r="F227" s="1" t="str">
        <f>VLOOKUP($B227&amp;"__wt",'SegEnds_Xtal_BW#'!$A:$Z,6,FALSE)</f>
        <v>-</v>
      </c>
      <c r="G227" s="1">
        <v>37</v>
      </c>
      <c r="H227" s="12">
        <f>VLOOKUP($B227&amp;"__wt",'SegEnds_Xtal_BW#'!$A:$Z,8,FALSE)</f>
        <v>66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v>57</v>
      </c>
      <c r="O227" s="89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INDEX('ICL3'!$G$2:$G$40,MATCH(MIN(ABS(AH227-'ICL3'!$F$2:$F$40)),ABS(AH227-'ICL3'!$F$2:$F$40),0))</f>
        <v>67</v>
      </c>
      <c r="U227" s="1">
        <f t="array" ref="U227">INDEX('ICL3'!$H$2:$H$40,MATCH(MIN(ABS(AH227-'ICL3'!$F$2:$F$40)),ABS(AH227-'ICL3'!$F$2:$F$40),0))</f>
        <v>26</v>
      </c>
      <c r="V227" s="1">
        <v>64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59</v>
      </c>
      <c r="AA227" s="27" t="str">
        <f>VLOOKUP(A227,Classification!A:B,2,FALSE)</f>
        <v>A</v>
      </c>
      <c r="AB227" s="1" t="e">
        <f>VLOOKUP(A227,'SegEnds_NonXtal_Prot#'!A:AL,10,FALSE)-VLOOKUP(A227,'SegEnds_NonXtal_Prot#'!A:AL,7,FALSE)</f>
        <v>#VALUE!</v>
      </c>
      <c r="AC227" s="1">
        <f>VLOOKUP(A227,'SegEnds_NonXtal_Prot#'!A:AL,13,FALSE)-VLOOKUP(A227,'SegEnds_NonXtal_Prot#'!A:AL,10,FALSE)</f>
        <v>20</v>
      </c>
      <c r="AD227" s="1">
        <f>VLOOKUP(A227,'SegEnds_NonXtal_Prot#'!A:AL,16,FALSE)-VLOOKUP(A227,'SegEnds_NonXtal_Prot#'!A:AL,10,FALSE)</f>
        <v>52</v>
      </c>
      <c r="AE227" s="1">
        <f>VLOOKUP(A227,'SegEnds_NonXtal_Prot#'!A:AL,22,FALSE)-VLOOKUP(A227,'SegEnds_NonXtal_Prot#'!A:AL,19,FALSE)</f>
        <v>20</v>
      </c>
      <c r="AF227" s="1">
        <f>VLOOKUP(A227,'SegEnds_NonXtal_Prot#'!A:AL,28,FALSE)-VLOOKUP(A227,'SegEnds_NonXtal_Prot#'!A:AL,25,FALSE)</f>
        <v>25</v>
      </c>
      <c r="AG227" s="1">
        <f>VLOOKUP(A227,'SegEnds_NonXtal_Prot#'!A:AL,28,FALSE)-VLOOKUP(A227,'SegEnds_NonXtal_Prot#'!A:AL,22,FALSE)</f>
        <v>56</v>
      </c>
      <c r="AH227" s="1">
        <f>VLOOKUP(A227,'SegEnds_NonXtal_Prot#'!A:AL,31,FALSE)-VLOOKUP(A227,'SegEnds_NonXtal_Prot#'!A:AL,28,FALSE)</f>
        <v>46</v>
      </c>
      <c r="AI227" s="1">
        <f>VLOOKUP(A227,'SegEnds_NonXtal_Prot#'!A:AL,34,FALSE)-VLOOKUP(A227,'SegEnds_NonXtal_Prot#'!A:AL,31,FALSE)</f>
        <v>46</v>
      </c>
      <c r="AJ227" s="1" t="str">
        <f>IF(ISERROR(MATCH(A227,'SegEnds_Xtal_Prot#'!B:B, 0)), "NoXtal", "Xtal")</f>
        <v>NoXtal</v>
      </c>
    </row>
    <row r="228" spans="1:36" x14ac:dyDescent="0.2">
      <c r="A228" s="1" t="s">
        <v>371</v>
      </c>
      <c r="B228" s="1" t="str">
        <f>VLOOKUP(A228,Xtal_Templ!A:B,2,FALSE)</f>
        <v>p2y12_human</v>
      </c>
      <c r="C228" s="5">
        <f>VLOOKUP($B228&amp;"__wt",'SegEnds_Xtal_BW#'!$A:$Z,3,FALSE)</f>
        <v>28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 t="str">
        <f>VLOOKUP($B228&amp;"__wt",'SegEnds_Xtal_BW#'!$A:$Z,9,FALSE)</f>
        <v>-</v>
      </c>
      <c r="J228" s="1" t="str">
        <f>VLOOKUP($B228&amp;"__wt",'SegEnds_Xtal_BW#'!$A:$Z,10,FALSE)</f>
        <v>-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v>57</v>
      </c>
      <c r="O228" s="89"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30</v>
      </c>
      <c r="T228" s="1">
        <f t="array" ref="T228">INDEX('ICL3'!$G$2:$G$40,MATCH(MIN(ABS(AH228-'ICL3'!$F$2:$F$40)),ABS(AH228-'ICL3'!$F$2:$F$40),0))</f>
        <v>68</v>
      </c>
      <c r="U228" s="1">
        <f t="array" ref="U228">INDEX('ICL3'!$H$2:$H$40,MATCH(MIN(ABS(AH228-'ICL3'!$F$2:$F$40)),ABS(AH228-'ICL3'!$F$2:$F$40),0))</f>
        <v>24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57</v>
      </c>
      <c r="AA228" s="27" t="str">
        <f>VLOOKUP(A228,Classification!A:B,2,FALSE)</f>
        <v>A</v>
      </c>
      <c r="AB228" s="1" t="e">
        <f>VLOOKUP(A228,'SegEnds_NonXtal_Prot#'!A:AL,10,FALSE)-VLOOKUP(A228,'SegEnds_NonXtal_Prot#'!A:AL,7,FALSE)</f>
        <v>#VALUE!</v>
      </c>
      <c r="AC228" s="1">
        <f>VLOOKUP(A228,'SegEnds_NonXtal_Prot#'!A:AL,13,FALSE)-VLOOKUP(A228,'SegEnds_NonXtal_Prot#'!A:AL,10,FALSE)</f>
        <v>20</v>
      </c>
      <c r="AD228" s="1">
        <f>VLOOKUP(A228,'SegEnds_NonXtal_Prot#'!A:AL,16,FALSE)-VLOOKUP(A228,'SegEnds_NonXtal_Prot#'!A:AL,10,FALSE)</f>
        <v>52</v>
      </c>
      <c r="AE228" s="1">
        <f>VLOOKUP(A228,'SegEnds_NonXtal_Prot#'!A:AL,22,FALSE)-VLOOKUP(A228,'SegEnds_NonXtal_Prot#'!A:AL,19,FALSE)</f>
        <v>20</v>
      </c>
      <c r="AF228" s="1">
        <f>VLOOKUP(A228,'SegEnds_NonXtal_Prot#'!A:AL,28,FALSE)-VLOOKUP(A228,'SegEnds_NonXtal_Prot#'!A:AL,25,FALSE)</f>
        <v>25</v>
      </c>
      <c r="AG228" s="1">
        <f>VLOOKUP(A228,'SegEnds_NonXtal_Prot#'!A:AL,28,FALSE)-VLOOKUP(A228,'SegEnds_NonXtal_Prot#'!A:AL,22,FALSE)</f>
        <v>56</v>
      </c>
      <c r="AH228" s="1">
        <f>VLOOKUP(A228,'SegEnds_NonXtal_Prot#'!A:AL,31,FALSE)-VLOOKUP(A228,'SegEnds_NonXtal_Prot#'!A:AL,28,FALSE)</f>
        <v>49</v>
      </c>
      <c r="AI228" s="1">
        <f>VLOOKUP(A228,'SegEnds_NonXtal_Prot#'!A:AL,34,FALSE)-VLOOKUP(A228,'SegEnds_NonXtal_Prot#'!A:AL,31,FALSE)</f>
        <v>43</v>
      </c>
      <c r="AJ228" s="1" t="str">
        <f>IF(ISERROR(MATCH(A228,'SegEnds_Xtal_Prot#'!B:B, 0)), "NoXtal", "Xtal")</f>
        <v>NoXtal</v>
      </c>
    </row>
    <row r="229" spans="1:36" x14ac:dyDescent="0.2">
      <c r="A229" s="1" t="s">
        <v>372</v>
      </c>
      <c r="B229" s="1" t="str">
        <f>VLOOKUP(A229,Xtal_Templ!A:B,2,FALSE)</f>
        <v>ox2r_human</v>
      </c>
      <c r="C229" s="5">
        <f>VLOOKUP($B229&amp;"__wt",'SegEnds_Xtal_BW#'!$A:$Z,3,FALSE)</f>
        <v>31</v>
      </c>
      <c r="D229" s="1">
        <f>VLOOKUP($B229&amp;"__wt",'SegEnds_Xtal_BW#'!$A:$Z,4,FALSE)</f>
        <v>60</v>
      </c>
      <c r="E229" s="1">
        <f>VLOOKUP($B229&amp;"__wt",'SegEnds_Xtal_BW#'!$A:$Z,5,FALSE)</f>
        <v>48</v>
      </c>
      <c r="F229" s="1">
        <f>VLOOKUP($B229&amp;"__wt",'SegEnds_Xtal_BW#'!$A:$Z,6,FALSE)</f>
        <v>51</v>
      </c>
      <c r="G229" s="1">
        <v>37</v>
      </c>
      <c r="H229" s="12">
        <f>VLOOKUP($B229&amp;"__wt",'SegEnds_Xtal_BW#'!$A:$Z,8,FALSE)</f>
        <v>67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v>57</v>
      </c>
      <c r="O229" s="89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INDEX('ICL3'!$G$2:$G$40,MATCH(MIN(ABS(AH229-'ICL3'!$F$2:$F$40)),ABS(AH229-'ICL3'!$F$2:$F$40),0))</f>
        <v>74</v>
      </c>
      <c r="U229" s="1">
        <f t="array" ref="U229">INDEX('ICL3'!$H$2:$H$40,MATCH(MIN(ABS(AH229-'ICL3'!$F$2:$F$40)),ABS(AH229-'ICL3'!$F$2:$F$40),0))</f>
        <v>21</v>
      </c>
      <c r="V229" s="1">
        <v>61</v>
      </c>
      <c r="W229" s="1">
        <v>28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58</v>
      </c>
      <c r="AA229" s="27" t="str">
        <f>VLOOKUP(A229,Classification!A:B,2,FALSE)</f>
        <v>A</v>
      </c>
      <c r="AB229" s="1">
        <f>VLOOKUP(A229,'SegEnds_NonXtal_Prot#'!A:AL,10,FALSE)-VLOOKUP(A229,'SegEnds_NonXtal_Prot#'!A:AL,7,FALSE)</f>
        <v>15</v>
      </c>
      <c r="AC229" s="1">
        <f>VLOOKUP(A229,'SegEnds_NonXtal_Prot#'!A:AL,13,FALSE)-VLOOKUP(A229,'SegEnds_NonXtal_Prot#'!A:AL,10,FALSE)</f>
        <v>20</v>
      </c>
      <c r="AD229" s="1">
        <f>VLOOKUP(A229,'SegEnds_NonXtal_Prot#'!A:AL,16,FALSE)-VLOOKUP(A229,'SegEnds_NonXtal_Prot#'!A:AL,10,FALSE)</f>
        <v>52</v>
      </c>
      <c r="AE229" s="1">
        <f>VLOOKUP(A229,'SegEnds_NonXtal_Prot#'!A:AL,22,FALSE)-VLOOKUP(A229,'SegEnds_NonXtal_Prot#'!A:AL,19,FALSE)</f>
        <v>20</v>
      </c>
      <c r="AF229" s="1">
        <f>VLOOKUP(A229,'SegEnds_NonXtal_Prot#'!A:AL,28,FALSE)-VLOOKUP(A229,'SegEnds_NonXtal_Prot#'!A:AL,25,FALSE)</f>
        <v>25</v>
      </c>
      <c r="AG229" s="1">
        <f>VLOOKUP(A229,'SegEnds_NonXtal_Prot#'!A:AL,28,FALSE)-VLOOKUP(A229,'SegEnds_NonXtal_Prot#'!A:AL,22,FALSE)</f>
        <v>56</v>
      </c>
      <c r="AH229" s="1">
        <f>VLOOKUP(A229,'SegEnds_NonXtal_Prot#'!A:AL,31,FALSE)-VLOOKUP(A229,'SegEnds_NonXtal_Prot#'!A:AL,28,FALSE)</f>
        <v>62</v>
      </c>
      <c r="AI229" s="1">
        <f>VLOOKUP(A229,'SegEnds_NonXtal_Prot#'!A:AL,34,FALSE)-VLOOKUP(A229,'SegEnds_NonXtal_Prot#'!A:AL,31,FALSE)</f>
        <v>41</v>
      </c>
      <c r="AJ229" s="1" t="str">
        <f>IF(ISERROR(MATCH(A229,'SegEnds_Xtal_Prot#'!B:B, 0)), "NoXtal", "Xtal")</f>
        <v>NoXtal</v>
      </c>
    </row>
    <row r="230" spans="1:36" x14ac:dyDescent="0.2">
      <c r="A230" s="1" t="s">
        <v>374</v>
      </c>
      <c r="B230" s="1" t="str">
        <f>VLOOKUP(A230,Xtal_Templ!A:B,2,FALSE)</f>
        <v>agtr1_human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>
        <f>VLOOKUP($B230&amp;"__wt",'SegEnds_Xtal_BW#'!$A:$Z,5,FALSE)</f>
        <v>48</v>
      </c>
      <c r="F230" s="1">
        <f>VLOOKUP($B230&amp;"__wt",'SegEnds_Xtal_BW#'!$A:$Z,6,FALSE)</f>
        <v>51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v>57</v>
      </c>
      <c r="O230" s="89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34</v>
      </c>
      <c r="T230" s="1">
        <f t="array" ref="T230">INDEX('ICL3'!$G$2:$G$40,MATCH(MIN(ABS(AH230-'ICL3'!$F$2:$F$40)),ABS(AH230-'ICL3'!$F$2:$F$40),0))</f>
        <v>67</v>
      </c>
      <c r="U230" s="1">
        <f t="array" ref="U230">INDEX('ICL3'!$H$2:$H$40,MATCH(MIN(ABS(AH230-'ICL3'!$F$2:$F$40)),ABS(AH230-'ICL3'!$F$2:$F$40),0))</f>
        <v>28</v>
      </c>
      <c r="V230" s="1">
        <v>64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61</v>
      </c>
      <c r="AA230" s="27" t="str">
        <f>VLOOKUP(A230,Classification!A:B,2,FALSE)</f>
        <v>A</v>
      </c>
      <c r="AB230" s="1">
        <f>VLOOKUP(A230,'SegEnds_NonXtal_Prot#'!A:AL,10,FALSE)-VLOOKUP(A230,'SegEnds_NonXtal_Prot#'!A:AL,7,FALSE)</f>
        <v>16</v>
      </c>
      <c r="AC230" s="1">
        <f>VLOOKUP(A230,'SegEnds_NonXtal_Prot#'!A:AL,13,FALSE)-VLOOKUP(A230,'SegEnds_NonXtal_Prot#'!A:AL,10,FALSE)</f>
        <v>20</v>
      </c>
      <c r="AD230" s="1">
        <f>VLOOKUP(A230,'SegEnds_NonXtal_Prot#'!A:AL,16,FALSE)-VLOOKUP(A230,'SegEnds_NonXtal_Prot#'!A:AL,10,FALSE)</f>
        <v>52</v>
      </c>
      <c r="AE230" s="1">
        <f>VLOOKUP(A230,'SegEnds_NonXtal_Prot#'!A:AL,22,FALSE)-VLOOKUP(A230,'SegEnds_NonXtal_Prot#'!A:AL,19,FALSE)</f>
        <v>20</v>
      </c>
      <c r="AF230" s="1">
        <f>VLOOKUP(A230,'SegEnds_NonXtal_Prot#'!A:AL,28,FALSE)-VLOOKUP(A230,'SegEnds_NonXtal_Prot#'!A:AL,25,FALSE)</f>
        <v>25</v>
      </c>
      <c r="AG230" s="1">
        <f>VLOOKUP(A230,'SegEnds_NonXtal_Prot#'!A:AL,28,FALSE)-VLOOKUP(A230,'SegEnds_NonXtal_Prot#'!A:AL,22,FALSE)</f>
        <v>50</v>
      </c>
      <c r="AH230" s="1">
        <f>VLOOKUP(A230,'SegEnds_NonXtal_Prot#'!A:AL,31,FALSE)-VLOOKUP(A230,'SegEnds_NonXtal_Prot#'!A:AL,28,FALSE)</f>
        <v>45</v>
      </c>
      <c r="AI230" s="1">
        <f>VLOOKUP(A230,'SegEnds_NonXtal_Prot#'!A:AL,34,FALSE)-VLOOKUP(A230,'SegEnds_NonXtal_Prot#'!A:AL,31,FALSE)</f>
        <v>45</v>
      </c>
      <c r="AJ230" s="1" t="str">
        <f>IF(ISERROR(MATCH(A230,'SegEnds_Xtal_Prot#'!B:B, 0)), "NoXtal", "Xtal")</f>
        <v>NoXtal</v>
      </c>
    </row>
    <row r="231" spans="1:36" x14ac:dyDescent="0.2">
      <c r="A231" s="1" t="s">
        <v>379</v>
      </c>
      <c r="B231" s="1" t="str">
        <f>VLOOKUP(A231,Xtal_Templ!A:B,2,FALSE)</f>
        <v>s1pr1_human</v>
      </c>
      <c r="C231" s="5">
        <f>VLOOKUP($B231&amp;"__wt",'SegEnds_Xtal_BW#'!$A:$Z,3,FALSE)</f>
        <v>29</v>
      </c>
      <c r="D231" s="1">
        <f>VLOOKUP($B231&amp;"__wt",'SegEnds_Xtal_BW#'!$A:$Z,4,FALSE)</f>
        <v>60</v>
      </c>
      <c r="E231" s="1">
        <f>VLOOKUP($B231&amp;"__wt",'SegEnds_Xtal_BW#'!$A:$Z,5,FALSE)</f>
        <v>48</v>
      </c>
      <c r="F231" s="1">
        <f>VLOOKUP($B231&amp;"__wt",'SegEnds_Xtal_BW#'!$A:$Z,6,FALSE)</f>
        <v>51</v>
      </c>
      <c r="G231" s="1">
        <v>37</v>
      </c>
      <c r="H231" s="12">
        <v>63</v>
      </c>
      <c r="I231" s="1">
        <f>VLOOKUP($B231&amp;"__wt",'SegEnds_Xtal_BW#'!$A:$Z,9,FALSE)</f>
        <v>47</v>
      </c>
      <c r="J231" s="1">
        <f>VLOOKUP($B231&amp;"__wt",'SegEnds_Xtal_BW#'!$A:$Z,10,FALSE)</f>
        <v>53</v>
      </c>
      <c r="K231" s="12">
        <v>21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v>57</v>
      </c>
      <c r="O231" s="89">
        <v>38</v>
      </c>
      <c r="P231" s="1">
        <f>VLOOKUP($B231&amp;"__wt",'SegEnds_Xtal_BW#'!$A:$Z,16,FALSE)</f>
        <v>63</v>
      </c>
      <c r="Q231" s="1" t="str">
        <f>VLOOKUP($B231&amp;"__wt",'SegEnds_Xtal_BW#'!$A:$Z,17,FALSE)</f>
        <v>-</v>
      </c>
      <c r="R231" s="1" t="str">
        <f>VLOOKUP($B231&amp;"__wt",'SegEnds_Xtal_BW#'!$A:$Z,18,FALSE)</f>
        <v>-</v>
      </c>
      <c r="S231" s="1">
        <f>VLOOKUP($B231&amp;"__wt",'SegEnds_Xtal_BW#'!$A:$Z,19,FALSE)</f>
        <v>36</v>
      </c>
      <c r="T231" s="1">
        <f t="array" ref="T231">INDEX('ICL3'!$G$2:$G$40,MATCH(MIN(ABS(AH231-'ICL3'!$F$2:$F$40)),ABS(AH231-'ICL3'!$F$2:$F$40),0))</f>
        <v>68</v>
      </c>
      <c r="U231" s="1">
        <f t="array" ref="U231">INDEX('ICL3'!$H$2:$H$40,MATCH(MIN(ABS(AH231-'ICL3'!$F$2:$F$40)),ABS(AH231-'ICL3'!$F$2:$F$40),0))</f>
        <v>23</v>
      </c>
      <c r="V231" s="1">
        <v>61</v>
      </c>
      <c r="W231" s="1">
        <v>30</v>
      </c>
      <c r="X231" s="1">
        <f>VLOOKUP($B231&amp;"__wt",'SegEnds_Xtal_BW#'!$A:$Z,24,FALSE)</f>
        <v>56</v>
      </c>
      <c r="Y231" s="1">
        <f>VLOOKUP($B231&amp;"__wt",'SegEnds_Xtal_BW#'!$A:$Z,25,FALSE)</f>
        <v>47</v>
      </c>
      <c r="Z231" s="1">
        <f>VLOOKUP($B231&amp;"__wt",'SegEnds_Xtal_BW#'!$A:$Z,26,FALSE)</f>
        <v>59</v>
      </c>
      <c r="AA231" s="27" t="str">
        <f>VLOOKUP(A231,Classification!A:B,2,FALSE)</f>
        <v>A</v>
      </c>
      <c r="AB231" s="1">
        <f>VLOOKUP(A231,'SegEnds_NonXtal_Prot#'!A:AL,10,FALSE)-VLOOKUP(A231,'SegEnds_NonXtal_Prot#'!A:AL,7,FALSE)</f>
        <v>15</v>
      </c>
      <c r="AC231" s="1">
        <f>VLOOKUP(A231,'SegEnds_NonXtal_Prot#'!A:AL,13,FALSE)-VLOOKUP(A231,'SegEnds_NonXtal_Prot#'!A:AL,10,FALSE)</f>
        <v>18</v>
      </c>
      <c r="AD231" s="1">
        <f>VLOOKUP(A231,'SegEnds_NonXtal_Prot#'!A:AL,16,FALSE)-VLOOKUP(A231,'SegEnds_NonXtal_Prot#'!A:AL,10,FALSE)</f>
        <v>51</v>
      </c>
      <c r="AE231" s="1">
        <f>VLOOKUP(A231,'SegEnds_NonXtal_Prot#'!A:AL,22,FALSE)-VLOOKUP(A231,'SegEnds_NonXtal_Prot#'!A:AL,19,FALSE)</f>
        <v>20</v>
      </c>
      <c r="AF231" s="1" t="e">
        <f>VLOOKUP(A231,'SegEnds_NonXtal_Prot#'!A:AL,28,FALSE)-VLOOKUP(A231,'SegEnds_NonXtal_Prot#'!A:AL,25,FALSE)</f>
        <v>#VALUE!</v>
      </c>
      <c r="AG231" s="1">
        <f>VLOOKUP(A231,'SegEnds_NonXtal_Prot#'!A:AL,28,FALSE)-VLOOKUP(A231,'SegEnds_NonXtal_Prot#'!A:AL,22,FALSE)</f>
        <v>45</v>
      </c>
      <c r="AH231" s="1">
        <f>VLOOKUP(A231,'SegEnds_NonXtal_Prot#'!A:AL,31,FALSE)-VLOOKUP(A231,'SegEnds_NonXtal_Prot#'!A:AL,28,FALSE)</f>
        <v>51</v>
      </c>
      <c r="AI231" s="1">
        <f>VLOOKUP(A231,'SegEnds_NonXtal_Prot#'!A:AL,34,FALSE)-VLOOKUP(A231,'SegEnds_NonXtal_Prot#'!A:AL,31,FALSE)</f>
        <v>38</v>
      </c>
      <c r="AJ231" s="1" t="str">
        <f>IF(ISERROR(MATCH(A231,'SegEnds_Xtal_Prot#'!B:B, 0)), "NoXtal", "Xtal")</f>
        <v>NoXtal</v>
      </c>
    </row>
    <row r="232" spans="1:36" x14ac:dyDescent="0.2">
      <c r="A232" s="1" t="s">
        <v>381</v>
      </c>
      <c r="B232" s="1" t="str">
        <f>VLOOKUP(A232,Xtal_Templ!A:B,2,FALSE)</f>
        <v>oprk_human</v>
      </c>
      <c r="C232" s="5">
        <f>VLOOKUP($B232&amp;"__wt",'SegEnds_Xtal_BW#'!$A:$Z,3,FALSE)</f>
        <v>30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v>66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v>57</v>
      </c>
      <c r="O232" s="89"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INDEX('ICL3'!$G$2:$G$40,MATCH(MIN(ABS(AH232-'ICL3'!$F$2:$F$40)),ABS(AH232-'ICL3'!$F$2:$F$40),0))</f>
        <v>68</v>
      </c>
      <c r="U232" s="1">
        <f t="array" ref="U232">INDEX('ICL3'!$H$2:$H$40,MATCH(MIN(ABS(AH232-'ICL3'!$F$2:$F$40)),ABS(AH232-'ICL3'!$F$2:$F$40),0))</f>
        <v>23</v>
      </c>
      <c r="V232" s="1">
        <v>61</v>
      </c>
      <c r="W232" s="1">
        <v>32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59</v>
      </c>
      <c r="AA232" s="27" t="str">
        <f>VLOOKUP(A232,Classification!A:B,2,FALSE)</f>
        <v>A</v>
      </c>
      <c r="AB232" s="1">
        <f>VLOOKUP(A232,'SegEnds_NonXtal_Prot#'!A:AL,10,FALSE)-VLOOKUP(A232,'SegEnds_NonXtal_Prot#'!A:AL,7,FALSE)</f>
        <v>15</v>
      </c>
      <c r="AC232" s="1">
        <f>VLOOKUP(A232,'SegEnds_NonXtal_Prot#'!A:AL,13,FALSE)-VLOOKUP(A232,'SegEnds_NonXtal_Prot#'!A:AL,10,FALSE)</f>
        <v>19</v>
      </c>
      <c r="AD232" s="1">
        <f>VLOOKUP(A232,'SegEnds_NonXtal_Prot#'!A:AL,16,FALSE)-VLOOKUP(A232,'SegEnds_NonXtal_Prot#'!A:AL,10,FALSE)</f>
        <v>51</v>
      </c>
      <c r="AE232" s="1">
        <f>VLOOKUP(A232,'SegEnds_NonXtal_Prot#'!A:AL,22,FALSE)-VLOOKUP(A232,'SegEnds_NonXtal_Prot#'!A:AL,19,FALSE)</f>
        <v>20</v>
      </c>
      <c r="AF232" s="1">
        <f>VLOOKUP(A232,'SegEnds_NonXtal_Prot#'!A:AL,28,FALSE)-VLOOKUP(A232,'SegEnds_NonXtal_Prot#'!A:AL,25,FALSE)</f>
        <v>27</v>
      </c>
      <c r="AG232" s="1">
        <f>VLOOKUP(A232,'SegEnds_NonXtal_Prot#'!A:AL,28,FALSE)-VLOOKUP(A232,'SegEnds_NonXtal_Prot#'!A:AL,22,FALSE)</f>
        <v>53</v>
      </c>
      <c r="AH232" s="1">
        <f>VLOOKUP(A232,'SegEnds_NonXtal_Prot#'!A:AL,31,FALSE)-VLOOKUP(A232,'SegEnds_NonXtal_Prot#'!A:AL,28,FALSE)</f>
        <v>51</v>
      </c>
      <c r="AI232" s="1">
        <f>VLOOKUP(A232,'SegEnds_NonXtal_Prot#'!A:AL,34,FALSE)-VLOOKUP(A232,'SegEnds_NonXtal_Prot#'!A:AL,31,FALSE)</f>
        <v>34</v>
      </c>
      <c r="AJ232" s="1" t="str">
        <f>IF(ISERROR(MATCH(A232,'SegEnds_Xtal_Prot#'!B:B, 0)), "NoXtal", "Xtal")</f>
        <v>NoXtal</v>
      </c>
    </row>
    <row r="233" spans="1:36" x14ac:dyDescent="0.2">
      <c r="A233" s="1" t="s">
        <v>382</v>
      </c>
      <c r="B233" s="1" t="str">
        <f>VLOOKUP(A233,Xtal_Templ!A:B,2,FALSE)</f>
        <v>oprk_human</v>
      </c>
      <c r="C233" s="5">
        <f>VLOOKUP($B233&amp;"__wt",'SegEnds_Xtal_BW#'!$A:$Z,3,FALSE)</f>
        <v>30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2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v>57</v>
      </c>
      <c r="O233" s="89"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31</v>
      </c>
      <c r="T233" s="1">
        <f t="array" ref="T233">INDEX('ICL3'!$G$2:$G$40,MATCH(MIN(ABS(AH233-'ICL3'!$F$2:$F$40)),ABS(AH233-'ICL3'!$F$2:$F$40),0))</f>
        <v>68</v>
      </c>
      <c r="U233" s="1">
        <f t="array" ref="U233">INDEX('ICL3'!$H$2:$H$40,MATCH(MIN(ABS(AH233-'ICL3'!$F$2:$F$40)),ABS(AH233-'ICL3'!$F$2:$F$40),0))</f>
        <v>23</v>
      </c>
      <c r="V233" s="1">
        <v>61</v>
      </c>
      <c r="W233" s="1">
        <v>28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VLOOKUP(A233,'SegEnds_NonXtal_Prot#'!A:AL,10,FALSE)-VLOOKUP(A233,'SegEnds_NonXtal_Prot#'!A:AL,7,FALSE)</f>
        <v>15</v>
      </c>
      <c r="AC233" s="1">
        <f>VLOOKUP(A233,'SegEnds_NonXtal_Prot#'!A:AL,13,FALSE)-VLOOKUP(A233,'SegEnds_NonXtal_Prot#'!A:AL,10,FALSE)</f>
        <v>19</v>
      </c>
      <c r="AD233" s="1">
        <f>VLOOKUP(A233,'SegEnds_NonXtal_Prot#'!A:AL,16,FALSE)-VLOOKUP(A233,'SegEnds_NonXtal_Prot#'!A:AL,10,FALSE)</f>
        <v>51</v>
      </c>
      <c r="AE233" s="1">
        <f>VLOOKUP(A233,'SegEnds_NonXtal_Prot#'!A:AL,22,FALSE)-VLOOKUP(A233,'SegEnds_NonXtal_Prot#'!A:AL,19,FALSE)</f>
        <v>20</v>
      </c>
      <c r="AF233" s="1">
        <f>VLOOKUP(A233,'SegEnds_NonXtal_Prot#'!A:AL,28,FALSE)-VLOOKUP(A233,'SegEnds_NonXtal_Prot#'!A:AL,25,FALSE)</f>
        <v>27</v>
      </c>
      <c r="AG233" s="1">
        <f>VLOOKUP(A233,'SegEnds_NonXtal_Prot#'!A:AL,28,FALSE)-VLOOKUP(A233,'SegEnds_NonXtal_Prot#'!A:AL,22,FALSE)</f>
        <v>53</v>
      </c>
      <c r="AH233" s="1">
        <f>VLOOKUP(A233,'SegEnds_NonXtal_Prot#'!A:AL,31,FALSE)-VLOOKUP(A233,'SegEnds_NonXtal_Prot#'!A:AL,28,FALSE)</f>
        <v>51</v>
      </c>
      <c r="AI233" s="1">
        <f>VLOOKUP(A233,'SegEnds_NonXtal_Prot#'!A:AL,34,FALSE)-VLOOKUP(A233,'SegEnds_NonXtal_Prot#'!A:AL,31,FALSE)</f>
        <v>38</v>
      </c>
      <c r="AJ233" s="1" t="str">
        <f>IF(ISERROR(MATCH(A233,'SegEnds_Xtal_Prot#'!B:B, 0)), "NoXtal", "Xtal")</f>
        <v>NoXtal</v>
      </c>
    </row>
    <row r="234" spans="1:36" x14ac:dyDescent="0.2">
      <c r="A234" s="1" t="s">
        <v>383</v>
      </c>
      <c r="B234" s="1" t="str">
        <f>VLOOKUP(A234,Xtal_Templ!A:B,2,FALSE)</f>
        <v>oprk_human</v>
      </c>
      <c r="C234" s="5">
        <f>VLOOKUP($B234&amp;"__wt",'SegEnds_Xtal_BW#'!$A:$Z,3,FALSE)</f>
        <v>30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21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v>57</v>
      </c>
      <c r="O234" s="89"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31</v>
      </c>
      <c r="T234" s="1">
        <f t="array" ref="T234">INDEX('ICL3'!$G$2:$G$40,MATCH(MIN(ABS(AH234-'ICL3'!$F$2:$F$40)),ABS(AH234-'ICL3'!$F$2:$F$40),0))</f>
        <v>72</v>
      </c>
      <c r="U234" s="1">
        <f t="array" ref="U234">INDEX('ICL3'!$H$2:$H$40,MATCH(MIN(ABS(AH234-'ICL3'!$F$2:$F$40)),ABS(AH234-'ICL3'!$F$2:$F$40),0))</f>
        <v>24</v>
      </c>
      <c r="V234" s="1">
        <v>61</v>
      </c>
      <c r="W234" s="1">
        <v>28</v>
      </c>
      <c r="X234" s="1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59</v>
      </c>
      <c r="AA234" s="27" t="str">
        <f>VLOOKUP(A234,Classification!A:B,2,FALSE)</f>
        <v>A</v>
      </c>
      <c r="AB234" s="1">
        <f>VLOOKUP(A234,'SegEnds_NonXtal_Prot#'!A:AL,10,FALSE)-VLOOKUP(A234,'SegEnds_NonXtal_Prot#'!A:AL,7,FALSE)</f>
        <v>15</v>
      </c>
      <c r="AC234" s="1">
        <f>VLOOKUP(A234,'SegEnds_NonXtal_Prot#'!A:AL,13,FALSE)-VLOOKUP(A234,'SegEnds_NonXtal_Prot#'!A:AL,10,FALSE)</f>
        <v>19</v>
      </c>
      <c r="AD234" s="1">
        <f>VLOOKUP(A234,'SegEnds_NonXtal_Prot#'!A:AL,16,FALSE)-VLOOKUP(A234,'SegEnds_NonXtal_Prot#'!A:AL,10,FALSE)</f>
        <v>51</v>
      </c>
      <c r="AE234" s="1">
        <f>VLOOKUP(A234,'SegEnds_NonXtal_Prot#'!A:AL,22,FALSE)-VLOOKUP(A234,'SegEnds_NonXtal_Prot#'!A:AL,19,FALSE)</f>
        <v>20</v>
      </c>
      <c r="AF234" s="1">
        <f>VLOOKUP(A234,'SegEnds_NonXtal_Prot#'!A:AL,28,FALSE)-VLOOKUP(A234,'SegEnds_NonXtal_Prot#'!A:AL,25,FALSE)</f>
        <v>27</v>
      </c>
      <c r="AG234" s="1">
        <f>VLOOKUP(A234,'SegEnds_NonXtal_Prot#'!A:AL,28,FALSE)-VLOOKUP(A234,'SegEnds_NonXtal_Prot#'!A:AL,22,FALSE)</f>
        <v>50</v>
      </c>
      <c r="AH234" s="1">
        <f>VLOOKUP(A234,'SegEnds_NonXtal_Prot#'!A:AL,31,FALSE)-VLOOKUP(A234,'SegEnds_NonXtal_Prot#'!A:AL,28,FALSE)</f>
        <v>54</v>
      </c>
      <c r="AI234" s="1">
        <f>VLOOKUP(A234,'SegEnds_NonXtal_Prot#'!A:AL,34,FALSE)-VLOOKUP(A234,'SegEnds_NonXtal_Prot#'!A:AL,31,FALSE)</f>
        <v>38</v>
      </c>
      <c r="AJ234" s="1" t="str">
        <f>IF(ISERROR(MATCH(A234,'SegEnds_Xtal_Prot#'!B:B, 0)), "NoXtal", "Xtal")</f>
        <v>NoXtal</v>
      </c>
    </row>
    <row r="235" spans="1:36" x14ac:dyDescent="0.2">
      <c r="A235" s="1" t="s">
        <v>384</v>
      </c>
      <c r="B235" s="1" t="str">
        <f>VLOOKUP(A235,Xtal_Templ!A:B,2,FALSE)</f>
        <v>oprd_human</v>
      </c>
      <c r="C235" s="5">
        <f>VLOOKUP($B235&amp;"__wt",'SegEnds_Xtal_BW#'!$A:$Z,3,FALSE)</f>
        <v>22</v>
      </c>
      <c r="D235" s="1">
        <f>VLOOKUP($B235&amp;"__wt",'SegEnds_Xtal_BW#'!$A:$Z,4,FALSE)</f>
        <v>60</v>
      </c>
      <c r="E235" s="1">
        <f>VLOOKUP($B235&amp;"__wt",'SegEnds_Xtal_BW#'!$A:$Z,5,FALSE)</f>
        <v>48</v>
      </c>
      <c r="F235" s="1">
        <f>VLOOKUP($B235&amp;"__wt",'SegEnds_Xtal_BW#'!$A:$Z,6,FALSE)</f>
        <v>51</v>
      </c>
      <c r="G235" s="1">
        <v>37</v>
      </c>
      <c r="H235" s="12">
        <v>66</v>
      </c>
      <c r="I235" s="1">
        <f>VLOOKUP($B235&amp;"__wt",'SegEnds_Xtal_BW#'!$A:$Z,9,FALSE)</f>
        <v>49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v>57</v>
      </c>
      <c r="O235" s="89"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31</v>
      </c>
      <c r="T235" s="1">
        <f t="array" ref="T235">INDEX('ICL3'!$G$2:$G$40,MATCH(MIN(ABS(AH235-'ICL3'!$F$2:$F$40)),ABS(AH235-'ICL3'!$F$2:$F$40),0))</f>
        <v>68</v>
      </c>
      <c r="U235" s="1">
        <f t="array" ref="U235">INDEX('ICL3'!$H$2:$H$40,MATCH(MIN(ABS(AH235-'ICL3'!$F$2:$F$40)),ABS(AH235-'ICL3'!$F$2:$F$40),0))</f>
        <v>23</v>
      </c>
      <c r="V235" s="1">
        <v>61</v>
      </c>
      <c r="W235" s="1">
        <v>32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60</v>
      </c>
      <c r="AA235" s="27" t="str">
        <f>VLOOKUP(A235,Classification!A:B,2,FALSE)</f>
        <v>A</v>
      </c>
      <c r="AB235" s="1">
        <f>VLOOKUP(A235,'SegEnds_NonXtal_Prot#'!A:AL,10,FALSE)-VLOOKUP(A235,'SegEnds_NonXtal_Prot#'!A:AL,7,FALSE)</f>
        <v>15</v>
      </c>
      <c r="AC235" s="1">
        <f>VLOOKUP(A235,'SegEnds_NonXtal_Prot#'!A:AL,13,FALSE)-VLOOKUP(A235,'SegEnds_NonXtal_Prot#'!A:AL,10,FALSE)</f>
        <v>19</v>
      </c>
      <c r="AD235" s="1">
        <f>VLOOKUP(A235,'SegEnds_NonXtal_Prot#'!A:AL,16,FALSE)-VLOOKUP(A235,'SegEnds_NonXtal_Prot#'!A:AL,10,FALSE)</f>
        <v>51</v>
      </c>
      <c r="AE235" s="1">
        <f>VLOOKUP(A235,'SegEnds_NonXtal_Prot#'!A:AL,22,FALSE)-VLOOKUP(A235,'SegEnds_NonXtal_Prot#'!A:AL,19,FALSE)</f>
        <v>20</v>
      </c>
      <c r="AF235" s="1">
        <f>VLOOKUP(A235,'SegEnds_NonXtal_Prot#'!A:AL,28,FALSE)-VLOOKUP(A235,'SegEnds_NonXtal_Prot#'!A:AL,25,FALSE)</f>
        <v>25</v>
      </c>
      <c r="AG235" s="1">
        <f>VLOOKUP(A235,'SegEnds_NonXtal_Prot#'!A:AL,28,FALSE)-VLOOKUP(A235,'SegEnds_NonXtal_Prot#'!A:AL,22,FALSE)</f>
        <v>52</v>
      </c>
      <c r="AH235" s="1">
        <f>VLOOKUP(A235,'SegEnds_NonXtal_Prot#'!A:AL,31,FALSE)-VLOOKUP(A235,'SegEnds_NonXtal_Prot#'!A:AL,28,FALSE)</f>
        <v>51</v>
      </c>
      <c r="AI235" s="1">
        <f>VLOOKUP(A235,'SegEnds_NonXtal_Prot#'!A:AL,34,FALSE)-VLOOKUP(A235,'SegEnds_NonXtal_Prot#'!A:AL,31,FALSE)</f>
        <v>34</v>
      </c>
      <c r="AJ235" s="1" t="str">
        <f>IF(ISERROR(MATCH(A235,'SegEnds_Xtal_Prot#'!B:B, 0)), "NoXtal", "Xtal")</f>
        <v>NoXtal</v>
      </c>
    </row>
    <row r="236" spans="1:36" x14ac:dyDescent="0.2">
      <c r="A236" s="1" t="s">
        <v>385</v>
      </c>
      <c r="B236" s="1" t="str">
        <f>VLOOKUP(A236,Xtal_Templ!A:B,2,FALSE)</f>
        <v>oprk_human</v>
      </c>
      <c r="C236" s="5">
        <f>VLOOKUP($B236&amp;"__wt",'SegEnds_Xtal_BW#'!$A:$Z,3,FALSE)</f>
        <v>30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21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v>57</v>
      </c>
      <c r="O236" s="89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31</v>
      </c>
      <c r="T236" s="1">
        <f t="array" ref="T236">INDEX('ICL3'!$G$2:$G$40,MATCH(MIN(ABS(AH236-'ICL3'!$F$2:$F$40)),ABS(AH236-'ICL3'!$F$2:$F$40),0))</f>
        <v>72</v>
      </c>
      <c r="U236" s="1">
        <f t="array" ref="U236">INDEX('ICL3'!$H$2:$H$40,MATCH(MIN(ABS(AH236-'ICL3'!$F$2:$F$40)),ABS(AH236-'ICL3'!$F$2:$F$40),0))</f>
        <v>29</v>
      </c>
      <c r="V236" s="1">
        <v>61</v>
      </c>
      <c r="W236" s="1">
        <v>28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59</v>
      </c>
      <c r="AA236" s="27" t="str">
        <f>VLOOKUP(A236,Classification!A:B,2,FALSE)</f>
        <v>A</v>
      </c>
      <c r="AB236" s="1">
        <f>VLOOKUP(A236,'SegEnds_NonXtal_Prot#'!A:AL,10,FALSE)-VLOOKUP(A236,'SegEnds_NonXtal_Prot#'!A:AL,7,FALSE)</f>
        <v>15</v>
      </c>
      <c r="AC236" s="1">
        <f>VLOOKUP(A236,'SegEnds_NonXtal_Prot#'!A:AL,13,FALSE)-VLOOKUP(A236,'SegEnds_NonXtal_Prot#'!A:AL,10,FALSE)</f>
        <v>19</v>
      </c>
      <c r="AD236" s="1">
        <f>VLOOKUP(A236,'SegEnds_NonXtal_Prot#'!A:AL,16,FALSE)-VLOOKUP(A236,'SegEnds_NonXtal_Prot#'!A:AL,10,FALSE)</f>
        <v>51</v>
      </c>
      <c r="AE236" s="1">
        <f>VLOOKUP(A236,'SegEnds_NonXtal_Prot#'!A:AL,22,FALSE)-VLOOKUP(A236,'SegEnds_NonXtal_Prot#'!A:AL,19,FALSE)</f>
        <v>20</v>
      </c>
      <c r="AF236" s="1">
        <f>VLOOKUP(A236,'SegEnds_NonXtal_Prot#'!A:AL,28,FALSE)-VLOOKUP(A236,'SegEnds_NonXtal_Prot#'!A:AL,25,FALSE)</f>
        <v>27</v>
      </c>
      <c r="AG236" s="1">
        <f>VLOOKUP(A236,'SegEnds_NonXtal_Prot#'!A:AL,28,FALSE)-VLOOKUP(A236,'SegEnds_NonXtal_Prot#'!A:AL,22,FALSE)</f>
        <v>49</v>
      </c>
      <c r="AH236" s="1">
        <f>VLOOKUP(A236,'SegEnds_NonXtal_Prot#'!A:AL,31,FALSE)-VLOOKUP(A236,'SegEnds_NonXtal_Prot#'!A:AL,28,FALSE)</f>
        <v>50</v>
      </c>
      <c r="AI236" s="1">
        <f>VLOOKUP(A236,'SegEnds_NonXtal_Prot#'!A:AL,34,FALSE)-VLOOKUP(A236,'SegEnds_NonXtal_Prot#'!A:AL,31,FALSE)</f>
        <v>38</v>
      </c>
      <c r="AJ236" s="1" t="str">
        <f>IF(ISERROR(MATCH(A236,'SegEnds_Xtal_Prot#'!B:B, 0)), "NoXtal", "Xtal")</f>
        <v>NoXtal</v>
      </c>
    </row>
    <row r="237" spans="1:36" x14ac:dyDescent="0.2">
      <c r="A237" s="1" t="s">
        <v>386</v>
      </c>
      <c r="B237" s="1" t="str">
        <f>VLOOKUP(A237,Xtal_Templ!A:B,2,FALSE)</f>
        <v>p2ry1_human</v>
      </c>
      <c r="C237" s="5">
        <f>VLOOKUP($B237&amp;"__wt",'SegEnds_Xtal_BW#'!$A:$Z,3,FALSE)</f>
        <v>30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v>66</v>
      </c>
      <c r="I237" s="1">
        <f>VLOOKUP($B237&amp;"__wt",'SegEnds_Xtal_BW#'!$A:$Z,9,FALSE)</f>
        <v>49</v>
      </c>
      <c r="J237" s="1">
        <f>VLOOKUP($B237&amp;"__wt",'SegEnds_Xtal_BW#'!$A:$Z,10,FALSE)</f>
        <v>52</v>
      </c>
      <c r="K237" s="12">
        <v>21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2">
        <v>57</v>
      </c>
      <c r="O237" s="89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32</v>
      </c>
      <c r="T237" s="1">
        <f t="array" ref="T237">INDEX('ICL3'!$G$2:$G$40,MATCH(MIN(ABS(AH237-'ICL3'!$F$2:$F$40)),ABS(AH237-'ICL3'!$F$2:$F$40),0))</f>
        <v>68</v>
      </c>
      <c r="U237" s="1">
        <f t="array" ref="U237">INDEX('ICL3'!$H$2:$H$40,MATCH(MIN(ABS(AH237-'ICL3'!$F$2:$F$40)),ABS(AH237-'ICL3'!$F$2:$F$40),0))</f>
        <v>24</v>
      </c>
      <c r="V237" s="1">
        <v>64</v>
      </c>
      <c r="W237" s="1">
        <v>24</v>
      </c>
      <c r="X237" s="6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59</v>
      </c>
      <c r="AA237" s="27" t="str">
        <f>VLOOKUP(A237,Classification!A:B,2,FALSE)</f>
        <v>A</v>
      </c>
      <c r="AB237" s="1" t="e">
        <f>VLOOKUP(A237,'SegEnds_NonXtal_Prot#'!A:AL,10,FALSE)-VLOOKUP(A237,'SegEnds_NonXtal_Prot#'!A:AL,7,FALSE)</f>
        <v>#VALUE!</v>
      </c>
      <c r="AC237" s="1">
        <f>VLOOKUP(A237,'SegEnds_NonXtal_Prot#'!A:AL,13,FALSE)-VLOOKUP(A237,'SegEnds_NonXtal_Prot#'!A:AL,10,FALSE)</f>
        <v>19</v>
      </c>
      <c r="AD237" s="1">
        <f>VLOOKUP(A237,'SegEnds_NonXtal_Prot#'!A:AL,16,FALSE)-VLOOKUP(A237,'SegEnds_NonXtal_Prot#'!A:AL,10,FALSE)</f>
        <v>51</v>
      </c>
      <c r="AE237" s="1">
        <f>VLOOKUP(A237,'SegEnds_NonXtal_Prot#'!A:AL,22,FALSE)-VLOOKUP(A237,'SegEnds_NonXtal_Prot#'!A:AL,19,FALSE)</f>
        <v>20</v>
      </c>
      <c r="AF237" s="1">
        <f>VLOOKUP(A237,'SegEnds_NonXtal_Prot#'!A:AL,28,FALSE)-VLOOKUP(A237,'SegEnds_NonXtal_Prot#'!A:AL,25,FALSE)</f>
        <v>27</v>
      </c>
      <c r="AG237" s="1">
        <f>VLOOKUP(A237,'SegEnds_NonXtal_Prot#'!A:AL,28,FALSE)-VLOOKUP(A237,'SegEnds_NonXtal_Prot#'!A:AL,22,FALSE)</f>
        <v>52</v>
      </c>
      <c r="AH237" s="1">
        <f>VLOOKUP(A237,'SegEnds_NonXtal_Prot#'!A:AL,31,FALSE)-VLOOKUP(A237,'SegEnds_NonXtal_Prot#'!A:AL,28,FALSE)</f>
        <v>48</v>
      </c>
      <c r="AI237" s="1">
        <f>VLOOKUP(A237,'SegEnds_NonXtal_Prot#'!A:AL,34,FALSE)-VLOOKUP(A237,'SegEnds_NonXtal_Prot#'!A:AL,31,FALSE)</f>
        <v>45</v>
      </c>
      <c r="AJ237" s="1" t="str">
        <f>IF(ISERROR(MATCH(A237,'SegEnds_Xtal_Prot#'!B:B, 0)), "NoXtal", "Xtal")</f>
        <v>NoXtal</v>
      </c>
    </row>
    <row r="238" spans="1:36" x14ac:dyDescent="0.2">
      <c r="A238" s="1" t="s">
        <v>473</v>
      </c>
      <c r="B238" s="1" t="str">
        <f>VLOOKUP(A238,Xtal_Templ!A:B,2,FALSE)</f>
        <v>cnr1_human</v>
      </c>
      <c r="C238" s="5">
        <f>VLOOKUP($B238&amp;"__wt",'SegEnds_Xtal_BW#'!$A:$Z,3,FALSE)</f>
        <v>28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67</v>
      </c>
      <c r="I238" s="1" t="str">
        <f>VLOOKUP($B238&amp;"__wt",'SegEnds_Xtal_BW#'!$A:$Z,9,FALSE)</f>
        <v>-</v>
      </c>
      <c r="J238" s="1" t="str">
        <f>VLOOKUP($B238&amp;"__wt",'SegEnds_Xtal_BW#'!$A:$Z,10,FALSE)</f>
        <v>-</v>
      </c>
      <c r="K238" s="12">
        <v>18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v>57</v>
      </c>
      <c r="O238" s="89">
        <f>VLOOKUP($B238&amp;"__wt",'SegEnds_Xtal_BW#'!$A:$Z,15,FALSE)</f>
        <v>38</v>
      </c>
      <c r="P238" s="1">
        <f>VLOOKUP($B238&amp;"__wt",'SegEnds_Xtal_BW#'!$A:$Z,16,FALSE)</f>
        <v>63</v>
      </c>
      <c r="Q238" s="1" t="str">
        <f>VLOOKUP($B238&amp;"__wt",'SegEnds_Xtal_BW#'!$A:$Z,17,FALSE)</f>
        <v>-</v>
      </c>
      <c r="R238" s="1" t="str">
        <f>VLOOKUP($B238&amp;"__wt",'SegEnds_Xtal_BW#'!$A:$Z,18,FALSE)</f>
        <v>-</v>
      </c>
      <c r="S238" s="1">
        <f>VLOOKUP($B238&amp;"__wt",'SegEnds_Xtal_BW#'!$A:$Z,19,FALSE)</f>
        <v>36</v>
      </c>
      <c r="T238" s="1">
        <f t="array" ref="T238">INDEX('ICL3'!$G$2:$G$40,MATCH(MIN(ABS(AH238-'ICL3'!$F$2:$F$40)),ABS(AH238-'ICL3'!$F$2:$F$40),0))</f>
        <v>68</v>
      </c>
      <c r="U238" s="1">
        <f t="array" ref="U238">INDEX('ICL3'!$H$2:$H$40,MATCH(MIN(ABS(AH238-'ICL3'!$F$2:$F$40)),ABS(AH238-'ICL3'!$F$2:$F$40),0))</f>
        <v>30</v>
      </c>
      <c r="V238" s="1">
        <v>64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 t="e">
        <f>VLOOKUP(A238,'SegEnds_NonXtal_Prot#'!A:AL,10,FALSE)-VLOOKUP(A238,'SegEnds_NonXtal_Prot#'!A:AL,7,FALSE)</f>
        <v>#VALUE!</v>
      </c>
      <c r="AC238" s="1">
        <f>VLOOKUP(A238,'SegEnds_NonXtal_Prot#'!A:AL,13,FALSE)-VLOOKUP(A238,'SegEnds_NonXtal_Prot#'!A:AL,10,FALSE)</f>
        <v>21</v>
      </c>
      <c r="AD238" s="1">
        <f>VLOOKUP(A238,'SegEnds_NonXtal_Prot#'!A:AL,16,FALSE)-VLOOKUP(A238,'SegEnds_NonXtal_Prot#'!A:AL,10,FALSE)</f>
        <v>56</v>
      </c>
      <c r="AE238" s="1">
        <f>VLOOKUP(A238,'SegEnds_NonXtal_Prot#'!A:AL,22,FALSE)-VLOOKUP(A238,'SegEnds_NonXtal_Prot#'!A:AL,19,FALSE)</f>
        <v>20</v>
      </c>
      <c r="AF238" s="1">
        <f>VLOOKUP(A238,'SegEnds_NonXtal_Prot#'!A:AL,28,FALSE)-VLOOKUP(A238,'SegEnds_NonXtal_Prot#'!A:AL,25,FALSE)</f>
        <v>35</v>
      </c>
      <c r="AG238" s="1">
        <f>VLOOKUP(A238,'SegEnds_NonXtal_Prot#'!A:AL,28,FALSE)-VLOOKUP(A238,'SegEnds_NonXtal_Prot#'!A:AL,22,FALSE)</f>
        <v>61</v>
      </c>
      <c r="AH238" s="1">
        <f>VLOOKUP(A238,'SegEnds_NonXtal_Prot#'!A:AL,31,FALSE)-VLOOKUP(A238,'SegEnds_NonXtal_Prot#'!A:AL,28,FALSE)</f>
        <v>42</v>
      </c>
      <c r="AI238" s="1">
        <f>VLOOKUP(A238,'SegEnds_NonXtal_Prot#'!A:AL,34,FALSE)-VLOOKUP(A238,'SegEnds_NonXtal_Prot#'!A:AL,31,FALSE)</f>
        <v>45</v>
      </c>
      <c r="AJ238" s="1" t="str">
        <f>IF(ISERROR(MATCH(A238,'SegEnds_Xtal_Prot#'!B:B, 0)), "NoXtal", "Xtal")</f>
        <v>NoXtal</v>
      </c>
    </row>
    <row r="239" spans="1:36" x14ac:dyDescent="0.2">
      <c r="A239" s="1" t="s">
        <v>387</v>
      </c>
      <c r="B239" s="1" t="str">
        <f>VLOOKUP(A239,Xtal_Templ!A:B,2,FALSE)</f>
        <v>5ht1b_human</v>
      </c>
      <c r="C239" s="5">
        <f>VLOOKUP($B239&amp;"__wt",'SegEnds_Xtal_BW#'!$A:$Z,3,FALSE)</f>
        <v>29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f>VLOOKUP($B239&amp;"__wt",'SegEnds_Xtal_BW#'!$A:$Z,8,FALSE)</f>
        <v>67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18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v>57</v>
      </c>
      <c r="O239" s="89">
        <v>38</v>
      </c>
      <c r="P239" s="1">
        <f>VLOOKUP($B239&amp;"__wt",'SegEnds_Xtal_BW#'!$A:$Z,16,FALSE)</f>
        <v>63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v>35</v>
      </c>
      <c r="T239" s="1">
        <f t="array" ref="T239">INDEX('ICL3'!$G$2:$G$40,MATCH(MIN(ABS(AH239-'ICL3'!$F$2:$F$40)),ABS(AH239-'ICL3'!$F$2:$F$40),0))</f>
        <v>74</v>
      </c>
      <c r="U239" s="1">
        <f t="array" ref="U239">INDEX('ICL3'!$H$2:$H$40,MATCH(MIN(ABS(AH239-'ICL3'!$F$2:$F$40)),ABS(AH239-'ICL3'!$F$2:$F$40),0))</f>
        <v>21</v>
      </c>
      <c r="V239" s="1">
        <v>61</v>
      </c>
      <c r="W239" s="1">
        <v>31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VLOOKUP(A239,'SegEnds_NonXtal_Prot#'!A:AL,10,FALSE)-VLOOKUP(A239,'SegEnds_NonXtal_Prot#'!A:AL,7,FALSE)</f>
        <v>15</v>
      </c>
      <c r="AC239" s="1">
        <f>VLOOKUP(A239,'SegEnds_NonXtal_Prot#'!A:AL,13,FALSE)-VLOOKUP(A239,'SegEnds_NonXtal_Prot#'!A:AL,10,FALSE)</f>
        <v>20</v>
      </c>
      <c r="AD239" s="1">
        <f>VLOOKUP(A239,'SegEnds_NonXtal_Prot#'!A:AL,16,FALSE)-VLOOKUP(A239,'SegEnds_NonXtal_Prot#'!A:AL,10,FALSE)</f>
        <v>52</v>
      </c>
      <c r="AE239" s="1">
        <f>VLOOKUP(A239,'SegEnds_NonXtal_Prot#'!A:AL,22,FALSE)-VLOOKUP(A239,'SegEnds_NonXtal_Prot#'!A:AL,19,FALSE)</f>
        <v>20</v>
      </c>
      <c r="AF239" s="1">
        <f>VLOOKUP(A239,'SegEnds_NonXtal_Prot#'!A:AL,28,FALSE)-VLOOKUP(A239,'SegEnds_NonXtal_Prot#'!A:AL,25,FALSE)</f>
        <v>20</v>
      </c>
      <c r="AG239" s="1">
        <f>VLOOKUP(A239,'SegEnds_NonXtal_Prot#'!A:AL,28,FALSE)-VLOOKUP(A239,'SegEnds_NonXtal_Prot#'!A:AL,22,FALSE)</f>
        <v>54</v>
      </c>
      <c r="AH239" s="1">
        <f>VLOOKUP(A239,'SegEnds_NonXtal_Prot#'!A:AL,31,FALSE)-VLOOKUP(A239,'SegEnds_NonXtal_Prot#'!A:AL,28,FALSE)</f>
        <v>64</v>
      </c>
      <c r="AI239" s="1">
        <f>VLOOKUP(A239,'SegEnds_NonXtal_Prot#'!A:AL,34,FALSE)-VLOOKUP(A239,'SegEnds_NonXtal_Prot#'!A:AL,31,FALSE)</f>
        <v>35</v>
      </c>
      <c r="AJ239" s="1" t="str">
        <f>IF(ISERROR(MATCH(A239,'SegEnds_Xtal_Prot#'!B:B, 0)), "NoXtal", "Xtal")</f>
        <v>NoXtal</v>
      </c>
    </row>
    <row r="240" spans="1:36" x14ac:dyDescent="0.2">
      <c r="A240" s="1" t="s">
        <v>388</v>
      </c>
      <c r="B240" s="1" t="str">
        <f>VLOOKUP(A240,Xtal_Templ!A:B,2,FALSE)</f>
        <v>adrb2_human</v>
      </c>
      <c r="C240" s="5">
        <f>VLOOKUP($B240&amp;"__wt",'SegEnds_Xtal_BW#'!$A:$Z,3,FALSE)</f>
        <v>25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f>VLOOKUP($B240&amp;"__wt",'SegEnds_Xtal_BW#'!$A:$Z,8,FALSE)</f>
        <v>67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18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v>57</v>
      </c>
      <c r="O240" s="89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v>35</v>
      </c>
      <c r="T240" s="1">
        <f t="array" ref="T240">INDEX('ICL3'!$G$2:$G$40,MATCH(MIN(ABS(AH240-'ICL3'!$F$2:$F$40)),ABS(AH240-'ICL3'!$F$2:$F$40),0))</f>
        <v>73</v>
      </c>
      <c r="U240" s="1">
        <f t="array" ref="U240">INDEX('ICL3'!$H$2:$H$40,MATCH(MIN(ABS(AH240-'ICL3'!$F$2:$F$40)),ABS(AH240-'ICL3'!$F$2:$F$40),0))</f>
        <v>22</v>
      </c>
      <c r="V240" s="1">
        <v>61</v>
      </c>
      <c r="W240" s="1">
        <v>31</v>
      </c>
      <c r="X240" s="1">
        <f>VLOOKUP($B240&amp;"__wt",'SegEnds_Xtal_BW#'!$A:$Z,24,FALSE)</f>
        <v>55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VLOOKUP(A240,'SegEnds_NonXtal_Prot#'!A:AL,10,FALSE)-VLOOKUP(A240,'SegEnds_NonXtal_Prot#'!A:AL,7,FALSE)</f>
        <v>15</v>
      </c>
      <c r="AC240" s="1">
        <f>VLOOKUP(A240,'SegEnds_NonXtal_Prot#'!A:AL,13,FALSE)-VLOOKUP(A240,'SegEnds_NonXtal_Prot#'!A:AL,10,FALSE)</f>
        <v>20</v>
      </c>
      <c r="AD240" s="1">
        <f>VLOOKUP(A240,'SegEnds_NonXtal_Prot#'!A:AL,16,FALSE)-VLOOKUP(A240,'SegEnds_NonXtal_Prot#'!A:AL,10,FALSE)</f>
        <v>52</v>
      </c>
      <c r="AE240" s="1">
        <f>VLOOKUP(A240,'SegEnds_NonXtal_Prot#'!A:AL,22,FALSE)-VLOOKUP(A240,'SegEnds_NonXtal_Prot#'!A:AL,19,FALSE)</f>
        <v>20</v>
      </c>
      <c r="AF240" s="1">
        <f>VLOOKUP(A240,'SegEnds_NonXtal_Prot#'!A:AL,28,FALSE)-VLOOKUP(A240,'SegEnds_NonXtal_Prot#'!A:AL,25,FALSE)</f>
        <v>20</v>
      </c>
      <c r="AG240" s="1">
        <f>VLOOKUP(A240,'SegEnds_NonXtal_Prot#'!A:AL,28,FALSE)-VLOOKUP(A240,'SegEnds_NonXtal_Prot#'!A:AL,22,FALSE)</f>
        <v>53</v>
      </c>
      <c r="AH240" s="1">
        <f>VLOOKUP(A240,'SegEnds_NonXtal_Prot#'!A:AL,31,FALSE)-VLOOKUP(A240,'SegEnds_NonXtal_Prot#'!A:AL,28,FALSE)</f>
        <v>56</v>
      </c>
      <c r="AI240" s="1">
        <f>VLOOKUP(A240,'SegEnds_NonXtal_Prot#'!A:AL,34,FALSE)-VLOOKUP(A240,'SegEnds_NonXtal_Prot#'!A:AL,31,FALSE)</f>
        <v>35</v>
      </c>
      <c r="AJ240" s="1" t="str">
        <f>IF(ISERROR(MATCH(A240,'SegEnds_Xtal_Prot#'!B:B, 0)), "NoXtal", "Xtal")</f>
        <v>NoXtal</v>
      </c>
    </row>
    <row r="241" spans="1:36" x14ac:dyDescent="0.2">
      <c r="A241" s="1" t="s">
        <v>389</v>
      </c>
      <c r="B241" s="1" t="str">
        <f>VLOOKUP(A241,Xtal_Templ!A:B,2,FALSE)</f>
        <v>adrb2_human</v>
      </c>
      <c r="C241" s="5">
        <f>VLOOKUP($B241&amp;"__wt",'SegEnds_Xtal_BW#'!$A:$Z,3,FALSE)</f>
        <v>25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f>VLOOKUP($B241&amp;"__wt",'SegEnds_Xtal_BW#'!$A:$Z,8,FALSE)</f>
        <v>67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18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v>57</v>
      </c>
      <c r="O241" s="89">
        <f>VLOOKUP($B241&amp;"__wt",'SegEnds_Xtal_BW#'!$A:$Z,15,FALSE)</f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v>35</v>
      </c>
      <c r="T241" s="1">
        <f t="array" ref="T241">INDEX('ICL3'!$G$2:$G$40,MATCH(MIN(ABS(AH241-'ICL3'!$F$2:$F$40)),ABS(AH241-'ICL3'!$F$2:$F$40),0))</f>
        <v>74</v>
      </c>
      <c r="U241" s="1">
        <f t="array" ref="U241">INDEX('ICL3'!$H$2:$H$40,MATCH(MIN(ABS(AH241-'ICL3'!$F$2:$F$40)),ABS(AH241-'ICL3'!$F$2:$F$40),0))</f>
        <v>21</v>
      </c>
      <c r="V241" s="1">
        <v>61</v>
      </c>
      <c r="W241" s="1">
        <v>31</v>
      </c>
      <c r="X241" s="1">
        <f>VLOOKUP($B241&amp;"__wt",'SegEnds_Xtal_BW#'!$A:$Z,24,FALSE)</f>
        <v>55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VLOOKUP(A241,'SegEnds_NonXtal_Prot#'!A:AL,10,FALSE)-VLOOKUP(A241,'SegEnds_NonXtal_Prot#'!A:AL,7,FALSE)</f>
        <v>15</v>
      </c>
      <c r="AC241" s="1">
        <f>VLOOKUP(A241,'SegEnds_NonXtal_Prot#'!A:AL,13,FALSE)-VLOOKUP(A241,'SegEnds_NonXtal_Prot#'!A:AL,10,FALSE)</f>
        <v>20</v>
      </c>
      <c r="AD241" s="1">
        <f>VLOOKUP(A241,'SegEnds_NonXtal_Prot#'!A:AL,16,FALSE)-VLOOKUP(A241,'SegEnds_NonXtal_Prot#'!A:AL,10,FALSE)</f>
        <v>52</v>
      </c>
      <c r="AE241" s="1">
        <f>VLOOKUP(A241,'SegEnds_NonXtal_Prot#'!A:AL,22,FALSE)-VLOOKUP(A241,'SegEnds_NonXtal_Prot#'!A:AL,19,FALSE)</f>
        <v>20</v>
      </c>
      <c r="AF241" s="1">
        <f>VLOOKUP(A241,'SegEnds_NonXtal_Prot#'!A:AL,28,FALSE)-VLOOKUP(A241,'SegEnds_NonXtal_Prot#'!A:AL,25,FALSE)</f>
        <v>20</v>
      </c>
      <c r="AG241" s="1">
        <f>VLOOKUP(A241,'SegEnds_NonXtal_Prot#'!A:AL,28,FALSE)-VLOOKUP(A241,'SegEnds_NonXtal_Prot#'!A:AL,22,FALSE)</f>
        <v>53</v>
      </c>
      <c r="AH241" s="1">
        <f>VLOOKUP(A241,'SegEnds_NonXtal_Prot#'!A:AL,31,FALSE)-VLOOKUP(A241,'SegEnds_NonXtal_Prot#'!A:AL,28,FALSE)</f>
        <v>62</v>
      </c>
      <c r="AI241" s="1">
        <f>VLOOKUP(A241,'SegEnds_NonXtal_Prot#'!A:AL,34,FALSE)-VLOOKUP(A241,'SegEnds_NonXtal_Prot#'!A:AL,31,FALSE)</f>
        <v>35</v>
      </c>
      <c r="AJ241" s="1" t="str">
        <f>IF(ISERROR(MATCH(A241,'SegEnds_Xtal_Prot#'!B:B, 0)), "NoXtal", "Xtal")</f>
        <v>NoXtal</v>
      </c>
    </row>
    <row r="242" spans="1:36" x14ac:dyDescent="0.2">
      <c r="A242" s="1" t="s">
        <v>390</v>
      </c>
      <c r="B242" s="1" t="str">
        <f>VLOOKUP(A242,Xtal_Templ!A:B,2,FALSE)</f>
        <v>5ht1b_human</v>
      </c>
      <c r="C242" s="5">
        <f>VLOOKUP($B242&amp;"__wt",'SegEnds_Xtal_BW#'!$A:$Z,3,FALSE)</f>
        <v>29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f>VLOOKUP($B242&amp;"__wt",'SegEnds_Xtal_BW#'!$A:$Z,8,FALSE)</f>
        <v>67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18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v>57</v>
      </c>
      <c r="O242" s="89">
        <v>38</v>
      </c>
      <c r="P242" s="1">
        <f>VLOOKUP($B242&amp;"__wt",'SegEnds_Xtal_BW#'!$A:$Z,16,FALSE)</f>
        <v>63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v>35</v>
      </c>
      <c r="T242" s="1">
        <f t="array" ref="T242">INDEX('ICL3'!$G$2:$G$40,MATCH(MIN(ABS(AH242-'ICL3'!$F$2:$F$40)),ABS(AH242-'ICL3'!$F$2:$F$40),0))</f>
        <v>73</v>
      </c>
      <c r="U242" s="1">
        <f t="array" ref="U242">INDEX('ICL3'!$H$2:$H$40,MATCH(MIN(ABS(AH242-'ICL3'!$F$2:$F$40)),ABS(AH242-'ICL3'!$F$2:$F$40),0))</f>
        <v>22</v>
      </c>
      <c r="V242" s="1">
        <v>61</v>
      </c>
      <c r="W242" s="1">
        <v>31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58</v>
      </c>
      <c r="AA242" s="27" t="str">
        <f>VLOOKUP(A242,Classification!A:B,2,FALSE)</f>
        <v>A</v>
      </c>
      <c r="AB242" s="1">
        <f>VLOOKUP(A242,'SegEnds_NonXtal_Prot#'!A:AL,10,FALSE)-VLOOKUP(A242,'SegEnds_NonXtal_Prot#'!A:AL,7,FALSE)</f>
        <v>15</v>
      </c>
      <c r="AC242" s="1">
        <f>VLOOKUP(A242,'SegEnds_NonXtal_Prot#'!A:AL,13,FALSE)-VLOOKUP(A242,'SegEnds_NonXtal_Prot#'!A:AL,10,FALSE)</f>
        <v>20</v>
      </c>
      <c r="AD242" s="1">
        <f>VLOOKUP(A242,'SegEnds_NonXtal_Prot#'!A:AL,16,FALSE)-VLOOKUP(A242,'SegEnds_NonXtal_Prot#'!A:AL,10,FALSE)</f>
        <v>52</v>
      </c>
      <c r="AE242" s="1">
        <f>VLOOKUP(A242,'SegEnds_NonXtal_Prot#'!A:AL,22,FALSE)-VLOOKUP(A242,'SegEnds_NonXtal_Prot#'!A:AL,19,FALSE)</f>
        <v>20</v>
      </c>
      <c r="AF242" s="1">
        <f>VLOOKUP(A242,'SegEnds_NonXtal_Prot#'!A:AL,28,FALSE)-VLOOKUP(A242,'SegEnds_NonXtal_Prot#'!A:AL,25,FALSE)</f>
        <v>19</v>
      </c>
      <c r="AG242" s="1">
        <f>VLOOKUP(A242,'SegEnds_NonXtal_Prot#'!A:AL,28,FALSE)-VLOOKUP(A242,'SegEnds_NonXtal_Prot#'!A:AL,22,FALSE)</f>
        <v>52</v>
      </c>
      <c r="AH242" s="1">
        <f>VLOOKUP(A242,'SegEnds_NonXtal_Prot#'!A:AL,31,FALSE)-VLOOKUP(A242,'SegEnds_NonXtal_Prot#'!A:AL,28,FALSE)</f>
        <v>56</v>
      </c>
      <c r="AI242" s="1">
        <f>VLOOKUP(A242,'SegEnds_NonXtal_Prot#'!A:AL,34,FALSE)-VLOOKUP(A242,'SegEnds_NonXtal_Prot#'!A:AL,31,FALSE)</f>
        <v>35</v>
      </c>
      <c r="AJ242" s="1" t="str">
        <f>IF(ISERROR(MATCH(A242,'SegEnds_Xtal_Prot#'!B:B, 0)), "NoXtal", "Xtal")</f>
        <v>NoXtal</v>
      </c>
    </row>
    <row r="243" spans="1:36" x14ac:dyDescent="0.2">
      <c r="A243" s="1" t="s">
        <v>391</v>
      </c>
      <c r="B243" s="1" t="str">
        <f>VLOOKUP(A243,Xtal_Templ!A:B,2,FALSE)</f>
        <v>5ht1b_human</v>
      </c>
      <c r="C243" s="5">
        <f>VLOOKUP($B243&amp;"__wt",'SegEnds_Xtal_BW#'!$A:$Z,3,FALSE)</f>
        <v>29</v>
      </c>
      <c r="D243" s="1">
        <f>VLOOKUP($B243&amp;"__wt",'SegEnds_Xtal_BW#'!$A:$Z,4,FALSE)</f>
        <v>60</v>
      </c>
      <c r="E243" s="1">
        <f>VLOOKUP($B243&amp;"__wt",'SegEnds_Xtal_BW#'!$A:$Z,5,FALSE)</f>
        <v>48</v>
      </c>
      <c r="F243" s="1">
        <f>VLOOKUP($B243&amp;"__wt",'SegEnds_Xtal_BW#'!$A:$Z,6,FALSE)</f>
        <v>51</v>
      </c>
      <c r="G243" s="1">
        <v>37</v>
      </c>
      <c r="H243" s="12">
        <f>VLOOKUP($B243&amp;"__wt",'SegEnds_Xtal_BW#'!$A:$Z,8,FALSE)</f>
        <v>67</v>
      </c>
      <c r="I243" s="1">
        <f>VLOOKUP($B243&amp;"__wt",'SegEnds_Xtal_BW#'!$A:$Z,9,FALSE)</f>
        <v>49</v>
      </c>
      <c r="J243" s="1">
        <f>VLOOKUP($B243&amp;"__wt",'SegEnds_Xtal_BW#'!$A:$Z,10,FALSE)</f>
        <v>52</v>
      </c>
      <c r="K243" s="12">
        <v>18</v>
      </c>
      <c r="L243" s="1">
        <f>VLOOKUP($B243&amp;"__wt",'SegEnds_Xtal_BW#'!$A:$Z,12,FALSE)</f>
        <v>56</v>
      </c>
      <c r="M243" s="1">
        <f>VLOOKUP($B243&amp;"__wt",'SegEnds_Xtal_BW#'!$A:$Z,13,FALSE)</f>
        <v>50</v>
      </c>
      <c r="N243" s="12">
        <v>57</v>
      </c>
      <c r="O243" s="89">
        <v>38</v>
      </c>
      <c r="P243" s="1">
        <f>VLOOKUP($B243&amp;"__wt",'SegEnds_Xtal_BW#'!$A:$Z,16,FALSE)</f>
        <v>63</v>
      </c>
      <c r="Q243" s="1">
        <f>VLOOKUP($B243&amp;"__wt",'SegEnds_Xtal_BW#'!$A:$Z,17,FALSE)</f>
        <v>50</v>
      </c>
      <c r="R243" s="1">
        <f>VLOOKUP($B243&amp;"__wt",'SegEnds_Xtal_BW#'!$A:$Z,18,FALSE)</f>
        <v>52</v>
      </c>
      <c r="S243" s="1">
        <v>35</v>
      </c>
      <c r="T243" s="1">
        <f t="array" ref="T243">INDEX('ICL3'!$G$2:$G$40,MATCH(MIN(ABS(AH243-'ICL3'!$F$2:$F$40)),ABS(AH243-'ICL3'!$F$2:$F$40),0))</f>
        <v>74</v>
      </c>
      <c r="U243" s="1">
        <f t="array" ref="U243">INDEX('ICL3'!$H$2:$H$40,MATCH(MIN(ABS(AH243-'ICL3'!$F$2:$F$40)),ABS(AH243-'ICL3'!$F$2:$F$40),0))</f>
        <v>21</v>
      </c>
      <c r="V243" s="1">
        <v>61</v>
      </c>
      <c r="W243" s="1">
        <v>31</v>
      </c>
      <c r="X243" s="1">
        <f>VLOOKUP($B243&amp;"__wt",'SegEnds_Xtal_BW#'!$A:$Z,24,FALSE)</f>
        <v>56</v>
      </c>
      <c r="Y243" s="1">
        <f>VLOOKUP($B243&amp;"__wt",'SegEnds_Xtal_BW#'!$A:$Z,25,FALSE)</f>
        <v>47</v>
      </c>
      <c r="Z243" s="1">
        <f>VLOOKUP($B243&amp;"__wt",'SegEnds_Xtal_BW#'!$A:$Z,26,FALSE)</f>
        <v>58</v>
      </c>
      <c r="AA243" s="27" t="str">
        <f>VLOOKUP(A243,Classification!A:B,2,FALSE)</f>
        <v>A</v>
      </c>
      <c r="AB243" s="1">
        <f>VLOOKUP(A243,'SegEnds_NonXtal_Prot#'!A:AL,10,FALSE)-VLOOKUP(A243,'SegEnds_NonXtal_Prot#'!A:AL,7,FALSE)</f>
        <v>15</v>
      </c>
      <c r="AC243" s="1">
        <f>VLOOKUP(A243,'SegEnds_NonXtal_Prot#'!A:AL,13,FALSE)-VLOOKUP(A243,'SegEnds_NonXtal_Prot#'!A:AL,10,FALSE)</f>
        <v>20</v>
      </c>
      <c r="AD243" s="1">
        <f>VLOOKUP(A243,'SegEnds_NonXtal_Prot#'!A:AL,16,FALSE)-VLOOKUP(A243,'SegEnds_NonXtal_Prot#'!A:AL,10,FALSE)</f>
        <v>52</v>
      </c>
      <c r="AE243" s="1">
        <f>VLOOKUP(A243,'SegEnds_NonXtal_Prot#'!A:AL,22,FALSE)-VLOOKUP(A243,'SegEnds_NonXtal_Prot#'!A:AL,19,FALSE)</f>
        <v>20</v>
      </c>
      <c r="AF243" s="1">
        <f>VLOOKUP(A243,'SegEnds_NonXtal_Prot#'!A:AL,28,FALSE)-VLOOKUP(A243,'SegEnds_NonXtal_Prot#'!A:AL,25,FALSE)</f>
        <v>19</v>
      </c>
      <c r="AG243" s="1">
        <f>VLOOKUP(A243,'SegEnds_NonXtal_Prot#'!A:AL,28,FALSE)-VLOOKUP(A243,'SegEnds_NonXtal_Prot#'!A:AL,22,FALSE)</f>
        <v>52</v>
      </c>
      <c r="AH243" s="1">
        <f>VLOOKUP(A243,'SegEnds_NonXtal_Prot#'!A:AL,31,FALSE)-VLOOKUP(A243,'SegEnds_NonXtal_Prot#'!A:AL,28,FALSE)</f>
        <v>64</v>
      </c>
      <c r="AI243" s="1">
        <f>VLOOKUP(A243,'SegEnds_NonXtal_Prot#'!A:AL,34,FALSE)-VLOOKUP(A243,'SegEnds_NonXtal_Prot#'!A:AL,31,FALSE)</f>
        <v>35</v>
      </c>
      <c r="AJ243" s="1" t="str">
        <f>IF(ISERROR(MATCH(A243,'SegEnds_Xtal_Prot#'!B:B, 0)), "NoXtal", "Xtal")</f>
        <v>NoXtal</v>
      </c>
    </row>
    <row r="244" spans="1:36" x14ac:dyDescent="0.2">
      <c r="A244" s="1" t="s">
        <v>392</v>
      </c>
      <c r="B244" s="1" t="str">
        <f>VLOOKUP(A244,Xtal_Templ!A:B,2,FALSE)</f>
        <v>5ht1b_human</v>
      </c>
      <c r="C244" s="5">
        <f>VLOOKUP($B244&amp;"__wt",'SegEnds_Xtal_BW#'!$A:$Z,3,FALSE)</f>
        <v>29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f>VLOOKUP($B244&amp;"__wt",'SegEnds_Xtal_BW#'!$A:$Z,8,FALSE)</f>
        <v>67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18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9">
        <v>38</v>
      </c>
      <c r="P244" s="1">
        <f>VLOOKUP($B244&amp;"__wt",'SegEnds_Xtal_BW#'!$A:$Z,16,FALSE)</f>
        <v>63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v>35</v>
      </c>
      <c r="T244" s="1">
        <f t="array" ref="T244">INDEX('ICL3'!$G$2:$G$40,MATCH(MIN(ABS(AH244-'ICL3'!$F$2:$F$40)),ABS(AH244-'ICL3'!$F$2:$F$40),0))</f>
        <v>74</v>
      </c>
      <c r="U244" s="1">
        <f t="array" ref="U244">INDEX('ICL3'!$H$2:$H$40,MATCH(MIN(ABS(AH244-'ICL3'!$F$2:$F$40)),ABS(AH244-'ICL3'!$F$2:$F$40),0))</f>
        <v>21</v>
      </c>
      <c r="V244" s="1">
        <v>61</v>
      </c>
      <c r="W244" s="1">
        <v>31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58</v>
      </c>
      <c r="AA244" s="27" t="str">
        <f>VLOOKUP(A244,Classification!A:B,2,FALSE)</f>
        <v>A</v>
      </c>
      <c r="AB244" s="1">
        <f>VLOOKUP(A244,'SegEnds_NonXtal_Prot#'!A:AL,10,FALSE)-VLOOKUP(A244,'SegEnds_NonXtal_Prot#'!A:AL,7,FALSE)</f>
        <v>15</v>
      </c>
      <c r="AC244" s="1">
        <f>VLOOKUP(A244,'SegEnds_NonXtal_Prot#'!A:AL,13,FALSE)-VLOOKUP(A244,'SegEnds_NonXtal_Prot#'!A:AL,10,FALSE)</f>
        <v>20</v>
      </c>
      <c r="AD244" s="1">
        <f>VLOOKUP(A244,'SegEnds_NonXtal_Prot#'!A:AL,16,FALSE)-VLOOKUP(A244,'SegEnds_NonXtal_Prot#'!A:AL,10,FALSE)</f>
        <v>52</v>
      </c>
      <c r="AE244" s="1">
        <f>VLOOKUP(A244,'SegEnds_NonXtal_Prot#'!A:AL,22,FALSE)-VLOOKUP(A244,'SegEnds_NonXtal_Prot#'!A:AL,19,FALSE)</f>
        <v>20</v>
      </c>
      <c r="AF244" s="1">
        <f>VLOOKUP(A244,'SegEnds_NonXtal_Prot#'!A:AL,28,FALSE)-VLOOKUP(A244,'SegEnds_NonXtal_Prot#'!A:AL,25,FALSE)</f>
        <v>19</v>
      </c>
      <c r="AG244" s="1">
        <f>VLOOKUP(A244,'SegEnds_NonXtal_Prot#'!A:AL,28,FALSE)-VLOOKUP(A244,'SegEnds_NonXtal_Prot#'!A:AL,22,FALSE)</f>
        <v>52</v>
      </c>
      <c r="AH244" s="1">
        <f>VLOOKUP(A244,'SegEnds_NonXtal_Prot#'!A:AL,31,FALSE)-VLOOKUP(A244,'SegEnds_NonXtal_Prot#'!A:AL,28,FALSE)</f>
        <v>64</v>
      </c>
      <c r="AI244" s="1">
        <f>VLOOKUP(A244,'SegEnds_NonXtal_Prot#'!A:AL,34,FALSE)-VLOOKUP(A244,'SegEnds_NonXtal_Prot#'!A:AL,31,FALSE)</f>
        <v>35</v>
      </c>
      <c r="AJ244" s="1" t="str">
        <f>IF(ISERROR(MATCH(A244,'SegEnds_Xtal_Prot#'!B:B, 0)), "NoXtal", "Xtal")</f>
        <v>NoXtal</v>
      </c>
    </row>
    <row r="245" spans="1:36" x14ac:dyDescent="0.2">
      <c r="A245" s="1" t="s">
        <v>393</v>
      </c>
      <c r="B245" s="1" t="str">
        <f>VLOOKUP(A245,Xtal_Templ!A:B,2,FALSE)</f>
        <v>5ht1b_human</v>
      </c>
      <c r="C245" s="5">
        <f>VLOOKUP($B245&amp;"__wt",'SegEnds_Xtal_BW#'!$A:$Z,3,FALSE)</f>
        <v>29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f>VLOOKUP($B245&amp;"__wt",'SegEnds_Xtal_BW#'!$A:$Z,8,FALSE)</f>
        <v>67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2">
        <v>18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57</v>
      </c>
      <c r="O245" s="89">
        <v>38</v>
      </c>
      <c r="P245" s="1">
        <f>VLOOKUP($B245&amp;"__wt",'SegEnds_Xtal_BW#'!$A:$Z,16,FALSE)</f>
        <v>63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v>35</v>
      </c>
      <c r="T245" s="1">
        <f t="array" ref="T245">INDEX('ICL3'!$G$2:$G$40,MATCH(MIN(ABS(AH245-'ICL3'!$F$2:$F$40)),ABS(AH245-'ICL3'!$F$2:$F$40),0))</f>
        <v>74</v>
      </c>
      <c r="U245" s="1">
        <f t="array" ref="U245">INDEX('ICL3'!$H$2:$H$40,MATCH(MIN(ABS(AH245-'ICL3'!$F$2:$F$40)),ABS(AH245-'ICL3'!$F$2:$F$40),0))</f>
        <v>21</v>
      </c>
      <c r="V245" s="1">
        <v>61</v>
      </c>
      <c r="W245" s="1">
        <v>31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58</v>
      </c>
      <c r="AA245" s="27" t="str">
        <f>VLOOKUP(A245,Classification!A:B,2,FALSE)</f>
        <v>A</v>
      </c>
      <c r="AB245" s="1">
        <f>VLOOKUP(A245,'SegEnds_NonXtal_Prot#'!A:AL,10,FALSE)-VLOOKUP(A245,'SegEnds_NonXtal_Prot#'!A:AL,7,FALSE)</f>
        <v>15</v>
      </c>
      <c r="AC245" s="1">
        <f>VLOOKUP(A245,'SegEnds_NonXtal_Prot#'!A:AL,13,FALSE)-VLOOKUP(A245,'SegEnds_NonXtal_Prot#'!A:AL,10,FALSE)</f>
        <v>20</v>
      </c>
      <c r="AD245" s="1">
        <f>VLOOKUP(A245,'SegEnds_NonXtal_Prot#'!A:AL,16,FALSE)-VLOOKUP(A245,'SegEnds_NonXtal_Prot#'!A:AL,10,FALSE)</f>
        <v>52</v>
      </c>
      <c r="AE245" s="1">
        <f>VLOOKUP(A245,'SegEnds_NonXtal_Prot#'!A:AL,22,FALSE)-VLOOKUP(A245,'SegEnds_NonXtal_Prot#'!A:AL,19,FALSE)</f>
        <v>20</v>
      </c>
      <c r="AF245" s="1">
        <f>VLOOKUP(A245,'SegEnds_NonXtal_Prot#'!A:AL,28,FALSE)-VLOOKUP(A245,'SegEnds_NonXtal_Prot#'!A:AL,25,FALSE)</f>
        <v>19</v>
      </c>
      <c r="AG245" s="1">
        <f>VLOOKUP(A245,'SegEnds_NonXtal_Prot#'!A:AL,28,FALSE)-VLOOKUP(A245,'SegEnds_NonXtal_Prot#'!A:AL,22,FALSE)</f>
        <v>52</v>
      </c>
      <c r="AH245" s="1">
        <f>VLOOKUP(A245,'SegEnds_NonXtal_Prot#'!A:AL,31,FALSE)-VLOOKUP(A245,'SegEnds_NonXtal_Prot#'!A:AL,28,FALSE)</f>
        <v>64</v>
      </c>
      <c r="AI245" s="1">
        <f>VLOOKUP(A245,'SegEnds_NonXtal_Prot#'!A:AL,34,FALSE)-VLOOKUP(A245,'SegEnds_NonXtal_Prot#'!A:AL,31,FALSE)</f>
        <v>35</v>
      </c>
      <c r="AJ245" s="1" t="str">
        <f>IF(ISERROR(MATCH(A245,'SegEnds_Xtal_Prot#'!B:B, 0)), "NoXtal", "Xtal")</f>
        <v>NoXtal</v>
      </c>
    </row>
    <row r="246" spans="1:36" x14ac:dyDescent="0.2">
      <c r="A246" s="1" t="s">
        <v>394</v>
      </c>
      <c r="B246" s="1" t="str">
        <f>VLOOKUP(A246,Xtal_Templ!A:B,2,FALSE)</f>
        <v>oprx_human</v>
      </c>
      <c r="C246" s="5">
        <f>VLOOKUP($B246&amp;"__wt",'SegEnds_Xtal_BW#'!$A:$Z,3,FALSE)</f>
        <v>29</v>
      </c>
      <c r="D246" s="1">
        <f>VLOOKUP($B246&amp;"__wt",'SegEnds_Xtal_BW#'!$A:$Z,4,FALSE)</f>
        <v>60</v>
      </c>
      <c r="E246" s="1">
        <f>VLOOKUP($B246&amp;"__wt",'SegEnds_Xtal_BW#'!$A:$Z,5,FALSE)</f>
        <v>48</v>
      </c>
      <c r="F246" s="1">
        <f>VLOOKUP($B246&amp;"__wt",'SegEnds_Xtal_BW#'!$A:$Z,6,FALSE)</f>
        <v>51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9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31</v>
      </c>
      <c r="T246" s="1">
        <f t="array" ref="T246">INDEX('ICL3'!$G$2:$G$40,MATCH(MIN(ABS(AH246-'ICL3'!$F$2:$F$40)),ABS(AH246-'ICL3'!$F$2:$F$40),0))</f>
        <v>76</v>
      </c>
      <c r="U246" s="1">
        <f t="array" ref="U246">INDEX('ICL3'!$H$2:$H$40,MATCH(MIN(ABS(AH246-'ICL3'!$F$2:$F$40)),ABS(AH246-'ICL3'!$F$2:$F$40),0))</f>
        <v>24</v>
      </c>
      <c r="V246" s="1">
        <v>61</v>
      </c>
      <c r="W246" s="1">
        <v>31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VLOOKUP(A246,'SegEnds_NonXtal_Prot#'!A:AL,10,FALSE)-VLOOKUP(A246,'SegEnds_NonXtal_Prot#'!A:AL,7,FALSE)</f>
        <v>15</v>
      </c>
      <c r="AC246" s="1">
        <f>VLOOKUP(A246,'SegEnds_NonXtal_Prot#'!A:AL,13,FALSE)-VLOOKUP(A246,'SegEnds_NonXtal_Prot#'!A:AL,10,FALSE)</f>
        <v>20</v>
      </c>
      <c r="AD246" s="1">
        <f>VLOOKUP(A246,'SegEnds_NonXtal_Prot#'!A:AL,16,FALSE)-VLOOKUP(A246,'SegEnds_NonXtal_Prot#'!A:AL,10,FALSE)</f>
        <v>52</v>
      </c>
      <c r="AE246" s="1">
        <f>VLOOKUP(A246,'SegEnds_NonXtal_Prot#'!A:AL,22,FALSE)-VLOOKUP(A246,'SegEnds_NonXtal_Prot#'!A:AL,19,FALSE)</f>
        <v>20</v>
      </c>
      <c r="AF246" s="1">
        <f>VLOOKUP(A246,'SegEnds_NonXtal_Prot#'!A:AL,28,FALSE)-VLOOKUP(A246,'SegEnds_NonXtal_Prot#'!A:AL,25,FALSE)</f>
        <v>24</v>
      </c>
      <c r="AG246" s="1">
        <f>VLOOKUP(A246,'SegEnds_NonXtal_Prot#'!A:AL,28,FALSE)-VLOOKUP(A246,'SegEnds_NonXtal_Prot#'!A:AL,22,FALSE)</f>
        <v>53</v>
      </c>
      <c r="AH246" s="1">
        <f>VLOOKUP(A246,'SegEnds_NonXtal_Prot#'!A:AL,31,FALSE)-VLOOKUP(A246,'SegEnds_NonXtal_Prot#'!A:AL,28,FALSE)</f>
        <v>78</v>
      </c>
      <c r="AI246" s="1">
        <f>VLOOKUP(A246,'SegEnds_NonXtal_Prot#'!A:AL,34,FALSE)-VLOOKUP(A246,'SegEnds_NonXtal_Prot#'!A:AL,31,FALSE)</f>
        <v>36</v>
      </c>
      <c r="AJ246" s="1" t="str">
        <f>IF(ISERROR(MATCH(A246,'SegEnds_Xtal_Prot#'!B:B, 0)), "NoXtal", "Xtal")</f>
        <v>NoXtal</v>
      </c>
    </row>
    <row r="247" spans="1:36" x14ac:dyDescent="0.2">
      <c r="A247" s="1" t="s">
        <v>395</v>
      </c>
      <c r="B247" s="1" t="str">
        <f>VLOOKUP(A247,Xtal_Templ!A:B,2,FALSE)</f>
        <v>aa2ar_human</v>
      </c>
      <c r="C247" s="5">
        <f>VLOOKUP($B247&amp;"__wt",'SegEnds_Xtal_BW#'!$A:$Z,3,FALSE)</f>
        <v>27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f>VLOOKUP($B247&amp;"__wt",'SegEnds_Xtal_BW#'!$A:$Z,8,FALSE)</f>
        <v>67</v>
      </c>
      <c r="I247" s="1">
        <v>49</v>
      </c>
      <c r="J247" s="1">
        <f>VLOOKUP($B247&amp;"__wt",'SegEnds_Xtal_BW#'!$A:$Z,10,FALSE)</f>
        <v>52</v>
      </c>
      <c r="K247" s="12">
        <v>18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9">
        <f>VLOOKUP($B247&amp;"__wt",'SegEnds_Xtal_BW#'!$A:$Z,15,FALSE)</f>
        <v>38</v>
      </c>
      <c r="P247" s="1">
        <f>VLOOKUP($B247&amp;"__wt",'SegEnds_Xtal_BW#'!$A:$Z,16,FALSE)</f>
        <v>63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34</v>
      </c>
      <c r="T247" s="1">
        <f t="array" ref="T247">INDEX('ICL3'!$G$2:$G$40,MATCH(MIN(ABS(AH247-'ICL3'!$F$2:$F$40)),ABS(AH247-'ICL3'!$F$2:$F$40),0))</f>
        <v>67</v>
      </c>
      <c r="U247" s="1">
        <f t="array" ref="U247">INDEX('ICL3'!$H$2:$H$40,MATCH(MIN(ABS(AH247-'ICL3'!$F$2:$F$40)),ABS(AH247-'ICL3'!$F$2:$F$40),0))</f>
        <v>26</v>
      </c>
      <c r="V247" s="1">
        <v>61</v>
      </c>
      <c r="W247" s="1">
        <v>31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69</v>
      </c>
      <c r="AA247" s="27" t="str">
        <f>VLOOKUP(A247,Classification!A:B,2,FALSE)</f>
        <v>A</v>
      </c>
      <c r="AB247" s="1">
        <f>VLOOKUP(A247,'SegEnds_NonXtal_Prot#'!A:AL,10,FALSE)-VLOOKUP(A247,'SegEnds_NonXtal_Prot#'!A:AL,7,FALSE)</f>
        <v>14</v>
      </c>
      <c r="AC247" s="1">
        <f>VLOOKUP(A247,'SegEnds_NonXtal_Prot#'!A:AL,13,FALSE)-VLOOKUP(A247,'SegEnds_NonXtal_Prot#'!A:AL,10,FALSE)</f>
        <v>28</v>
      </c>
      <c r="AD247" s="1">
        <f>VLOOKUP(A247,'SegEnds_NonXtal_Prot#'!A:AL,16,FALSE)-VLOOKUP(A247,'SegEnds_NonXtal_Prot#'!A:AL,10,FALSE)</f>
        <v>59</v>
      </c>
      <c r="AE247" s="1">
        <f>VLOOKUP(A247,'SegEnds_NonXtal_Prot#'!A:AL,22,FALSE)-VLOOKUP(A247,'SegEnds_NonXtal_Prot#'!A:AL,19,FALSE)</f>
        <v>20</v>
      </c>
      <c r="AF247" s="1">
        <f>VLOOKUP(A247,'SegEnds_NonXtal_Prot#'!A:AL,28,FALSE)-VLOOKUP(A247,'SegEnds_NonXtal_Prot#'!A:AL,25,FALSE)</f>
        <v>24</v>
      </c>
      <c r="AG247" s="1">
        <f>VLOOKUP(A247,'SegEnds_NonXtal_Prot#'!A:AL,28,FALSE)-VLOOKUP(A247,'SegEnds_NonXtal_Prot#'!A:AL,22,FALSE)</f>
        <v>47</v>
      </c>
      <c r="AH247" s="1">
        <f>VLOOKUP(A247,'SegEnds_NonXtal_Prot#'!A:AL,31,FALSE)-VLOOKUP(A247,'SegEnds_NonXtal_Prot#'!A:AL,28,FALSE)</f>
        <v>46</v>
      </c>
      <c r="AI247" s="1">
        <f>VLOOKUP(A247,'SegEnds_NonXtal_Prot#'!A:AL,34,FALSE)-VLOOKUP(A247,'SegEnds_NonXtal_Prot#'!A:AL,31,FALSE)</f>
        <v>36</v>
      </c>
      <c r="AJ247" s="1" t="str">
        <f>IF(ISERROR(MATCH(A247,'SegEnds_Xtal_Prot#'!B:B, 0)), "NoXtal", "Xtal")</f>
        <v>NoXtal</v>
      </c>
    </row>
    <row r="248" spans="1:36" x14ac:dyDescent="0.2">
      <c r="A248" s="1" t="s">
        <v>399</v>
      </c>
      <c r="B248" s="1" t="str">
        <f>VLOOKUP(A248,Xtal_Templ!A:B,2,FALSE)</f>
        <v>ntr1_rat</v>
      </c>
      <c r="C248" s="5">
        <f>VLOOKUP($B248&amp;"__wt",'SegEnds_Xtal_BW#'!$A:$Z,3,FALSE)</f>
        <v>29</v>
      </c>
      <c r="D248" s="1">
        <f>VLOOKUP($B248&amp;"__wt",'SegEnds_Xtal_BW#'!$A:$Z,4,FALSE)</f>
        <v>60</v>
      </c>
      <c r="E248" s="1">
        <f>VLOOKUP($B248&amp;"__wt",'SegEnds_Xtal_BW#'!$A:$Z,5,FALSE)</f>
        <v>48</v>
      </c>
      <c r="F248" s="1">
        <f>VLOOKUP($B248&amp;"__wt",'SegEnds_Xtal_BW#'!$A:$Z,6,FALSE)</f>
        <v>51</v>
      </c>
      <c r="G248" s="1">
        <v>37</v>
      </c>
      <c r="H248" s="111">
        <v>66</v>
      </c>
      <c r="I248" s="1">
        <f>VLOOKUP($B248&amp;"__wt",'SegEnds_Xtal_BW#'!$A:$Z,9,FALSE)</f>
        <v>49</v>
      </c>
      <c r="J248" s="1">
        <f>VLOOKUP($B248&amp;"__wt",'SegEnds_Xtal_BW#'!$A:$Z,10,FALSE)</f>
        <v>52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9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32</v>
      </c>
      <c r="T248" s="1">
        <f t="array" ref="T248">INDEX('ICL3'!$G$2:$G$40,MATCH(MIN(ABS(AH248-'ICL3'!$F$2:$F$40)),ABS(AH248-'ICL3'!$F$2:$F$40),0))</f>
        <v>76</v>
      </c>
      <c r="U248" s="1">
        <f t="array" ref="U248">INDEX('ICL3'!$H$2:$H$40,MATCH(MIN(ABS(AH248-'ICL3'!$F$2:$F$40)),ABS(AH248-'ICL3'!$F$2:$F$40),0))</f>
        <v>24</v>
      </c>
      <c r="V248" s="1">
        <v>61</v>
      </c>
      <c r="W248" s="1">
        <v>31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58</v>
      </c>
      <c r="AA248" s="27" t="str">
        <f>VLOOKUP(A248,Classification!A:B,2,FALSE)</f>
        <v>A</v>
      </c>
      <c r="AB248" s="1">
        <f>VLOOKUP(A248,'SegEnds_NonXtal_Prot#'!A:AL,10,FALSE)-VLOOKUP(A248,'SegEnds_NonXtal_Prot#'!A:AL,7,FALSE)</f>
        <v>16</v>
      </c>
      <c r="AC248" s="1">
        <f>VLOOKUP(A248,'SegEnds_NonXtal_Prot#'!A:AL,13,FALSE)-VLOOKUP(A248,'SegEnds_NonXtal_Prot#'!A:AL,10,FALSE)</f>
        <v>18</v>
      </c>
      <c r="AD248" s="1">
        <f>VLOOKUP(A248,'SegEnds_NonXtal_Prot#'!A:AL,16,FALSE)-VLOOKUP(A248,'SegEnds_NonXtal_Prot#'!A:AL,10,FALSE)</f>
        <v>52</v>
      </c>
      <c r="AE248" s="1">
        <f>VLOOKUP(A248,'SegEnds_NonXtal_Prot#'!A:AL,22,FALSE)-VLOOKUP(A248,'SegEnds_NonXtal_Prot#'!A:AL,19,FALSE)</f>
        <v>20</v>
      </c>
      <c r="AF248" s="1">
        <f>VLOOKUP(A248,'SegEnds_NonXtal_Prot#'!A:AL,28,FALSE)-VLOOKUP(A248,'SegEnds_NonXtal_Prot#'!A:AL,25,FALSE)</f>
        <v>25</v>
      </c>
      <c r="AG248" s="1">
        <f>VLOOKUP(A248,'SegEnds_NonXtal_Prot#'!A:AL,28,FALSE)-VLOOKUP(A248,'SegEnds_NonXtal_Prot#'!A:AL,22,FALSE)</f>
        <v>53</v>
      </c>
      <c r="AH248" s="1">
        <f>VLOOKUP(A248,'SegEnds_NonXtal_Prot#'!A:AL,31,FALSE)-VLOOKUP(A248,'SegEnds_NonXtal_Prot#'!A:AL,28,FALSE)</f>
        <v>69</v>
      </c>
      <c r="AI248" s="1">
        <f>VLOOKUP(A248,'SegEnds_NonXtal_Prot#'!A:AL,34,FALSE)-VLOOKUP(A248,'SegEnds_NonXtal_Prot#'!A:AL,31,FALSE)</f>
        <v>36</v>
      </c>
      <c r="AJ248" s="1" t="str">
        <f>IF(ISERROR(MATCH(A248,'SegEnds_Xtal_Prot#'!B:B, 0)), "NoXtal", "Xtal")</f>
        <v>NoXtal</v>
      </c>
    </row>
    <row r="249" spans="1:36" x14ac:dyDescent="0.2">
      <c r="A249" s="1" t="s">
        <v>400</v>
      </c>
      <c r="B249" s="1" t="str">
        <f>VLOOKUP(A249,Xtal_Templ!A:B,2,FALSE)</f>
        <v>ccr5_human</v>
      </c>
      <c r="C249" s="5">
        <f>VLOOKUP($B249&amp;"__wt",'SegEnds_Xtal_BW#'!$A:$Z,3,FALSE)</f>
        <v>24</v>
      </c>
      <c r="D249" s="1">
        <f>VLOOKUP($B249&amp;"__wt",'SegEnds_Xtal_BW#'!$A:$Z,4,FALSE)</f>
        <v>60</v>
      </c>
      <c r="E249" s="1">
        <f>VLOOKUP($B249&amp;"__wt",'SegEnds_Xtal_BW#'!$A:$Z,5,FALSE)</f>
        <v>48</v>
      </c>
      <c r="F249" s="1">
        <f>VLOOKUP($B249&amp;"__wt",'SegEnds_Xtal_BW#'!$A:$Z,6,FALSE)</f>
        <v>51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24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2">
        <v>57</v>
      </c>
      <c r="O249" s="89"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v>35</v>
      </c>
      <c r="T249" s="1">
        <f t="array" ref="T249">INDEX('ICL3'!$G$2:$G$40,MATCH(MIN(ABS(AH249-'ICL3'!$F$2:$F$40)),ABS(AH249-'ICL3'!$F$2:$F$40),0))</f>
        <v>68</v>
      </c>
      <c r="U249" s="1">
        <f t="array" ref="U249">INDEX('ICL3'!$H$2:$H$40,MATCH(MIN(ABS(AH249-'ICL3'!$F$2:$F$40)),ABS(AH249-'ICL3'!$F$2:$F$40),0))</f>
        <v>30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VLOOKUP(A249,'SegEnds_NonXtal_Prot#'!A:AL,10,FALSE)-VLOOKUP(A249,'SegEnds_NonXtal_Prot#'!A:AL,7,FALSE)</f>
        <v>15</v>
      </c>
      <c r="AC249" s="1">
        <f>VLOOKUP(A249,'SegEnds_NonXtal_Prot#'!A:AL,13,FALSE)-VLOOKUP(A249,'SegEnds_NonXtal_Prot#'!A:AL,10,FALSE)</f>
        <v>18</v>
      </c>
      <c r="AD249" s="1">
        <f>VLOOKUP(A249,'SegEnds_NonXtal_Prot#'!A:AL,16,FALSE)-VLOOKUP(A249,'SegEnds_NonXtal_Prot#'!A:AL,10,FALSE)</f>
        <v>50</v>
      </c>
      <c r="AE249" s="1">
        <f>VLOOKUP(A249,'SegEnds_NonXtal_Prot#'!A:AL,22,FALSE)-VLOOKUP(A249,'SegEnds_NonXtal_Prot#'!A:AL,19,FALSE)</f>
        <v>20</v>
      </c>
      <c r="AF249" s="1">
        <f>VLOOKUP(A249,'SegEnds_NonXtal_Prot#'!A:AL,28,FALSE)-VLOOKUP(A249,'SegEnds_NonXtal_Prot#'!A:AL,25,FALSE)</f>
        <v>22</v>
      </c>
      <c r="AG249" s="1">
        <f>VLOOKUP(A249,'SegEnds_NonXtal_Prot#'!A:AL,28,FALSE)-VLOOKUP(A249,'SegEnds_NonXtal_Prot#'!A:AL,22,FALSE)</f>
        <v>43</v>
      </c>
      <c r="AH249" s="1">
        <f>VLOOKUP(A249,'SegEnds_NonXtal_Prot#'!A:AL,31,FALSE)-VLOOKUP(A249,'SegEnds_NonXtal_Prot#'!A:AL,28,FALSE)</f>
        <v>43</v>
      </c>
      <c r="AI249" s="1">
        <f>VLOOKUP(A249,'SegEnds_NonXtal_Prot#'!A:AL,34,FALSE)-VLOOKUP(A249,'SegEnds_NonXtal_Prot#'!A:AL,31,FALSE)</f>
        <v>44</v>
      </c>
      <c r="AJ249" s="1" t="str">
        <f>IF(ISERROR(MATCH(A249,'SegEnds_Xtal_Prot#'!B:B, 0)), "NoXtal", "Xtal")</f>
        <v>NoXtal</v>
      </c>
    </row>
    <row r="250" spans="1:36" x14ac:dyDescent="0.2">
      <c r="A250" s="1" t="s">
        <v>178</v>
      </c>
      <c r="B250" s="1" t="str">
        <f>VLOOKUP(A250,Xtal_Templ!A:B,2,FALSE)</f>
        <v>ccr5_human</v>
      </c>
      <c r="C250" s="5">
        <f>VLOOKUP($B250&amp;"__wt",'SegEnds_Xtal_BW#'!$A:$Z,3,FALSE)</f>
        <v>24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51</v>
      </c>
      <c r="G250" s="1">
        <v>37</v>
      </c>
      <c r="H250" s="12">
        <v>63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26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58</v>
      </c>
      <c r="O250" s="89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INDEX('ICL3'!$G$2:$G$40,MATCH(MIN(ABS(AH250-'ICL3'!$F$2:$F$40)),ABS(AH250-'ICL3'!$F$2:$F$40),0))</f>
        <v>67</v>
      </c>
      <c r="U250" s="1">
        <f t="array" ref="U250">INDEX('ICL3'!$H$2:$H$40,MATCH(MIN(ABS(AH250-'ICL3'!$F$2:$F$40)),ABS(AH250-'ICL3'!$F$2:$F$40),0))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59</v>
      </c>
      <c r="AA250" s="27" t="str">
        <f>VLOOKUP(A250,Classification!A:B,2,FALSE)</f>
        <v>A</v>
      </c>
      <c r="AB250" s="1">
        <f>VLOOKUP(A250,'SegEnds_NonXtal_Prot#'!A:AL,10,FALSE)-VLOOKUP(A250,'SegEnds_NonXtal_Prot#'!A:AL,7,FALSE)</f>
        <v>15</v>
      </c>
      <c r="AC250" s="1" t="e">
        <f>VLOOKUP(A250,'SegEnds_NonXtal_Prot#'!A:AL,13,FALSE)-VLOOKUP(A250,'SegEnds_NonXtal_Prot#'!A:AL,10,FALSE)</f>
        <v>#VALUE!</v>
      </c>
      <c r="AD250" s="1">
        <f>VLOOKUP(A250,'SegEnds_NonXtal_Prot#'!A:AL,16,FALSE)-VLOOKUP(A250,'SegEnds_NonXtal_Prot#'!A:AL,10,FALSE)</f>
        <v>44</v>
      </c>
      <c r="AE250" s="1">
        <f>VLOOKUP(A250,'SegEnds_NonXtal_Prot#'!A:AL,22,FALSE)-VLOOKUP(A250,'SegEnds_NonXtal_Prot#'!A:AL,19,FALSE)</f>
        <v>21</v>
      </c>
      <c r="AF250" s="1">
        <f>VLOOKUP(A250,'SegEnds_NonXtal_Prot#'!A:AL,28,FALSE)-VLOOKUP(A250,'SegEnds_NonXtal_Prot#'!A:AL,25,FALSE)</f>
        <v>31</v>
      </c>
      <c r="AG250" s="1">
        <f>VLOOKUP(A250,'SegEnds_NonXtal_Prot#'!A:AL,28,FALSE)-VLOOKUP(A250,'SegEnds_NonXtal_Prot#'!A:AL,22,FALSE)</f>
        <v>56</v>
      </c>
      <c r="AH250" s="1">
        <f>VLOOKUP(A250,'SegEnds_NonXtal_Prot#'!A:AL,31,FALSE)-VLOOKUP(A250,'SegEnds_NonXtal_Prot#'!A:AL,28,FALSE)</f>
        <v>41</v>
      </c>
      <c r="AI250" s="1">
        <f>VLOOKUP(A250,'SegEnds_NonXtal_Prot#'!A:AL,34,FALSE)-VLOOKUP(A250,'SegEnds_NonXtal_Prot#'!A:AL,31,FALSE)</f>
        <v>44</v>
      </c>
      <c r="AJ250" s="1" t="str">
        <f>IF(ISERROR(MATCH(A250,'SegEnds_Xtal_Prot#'!B:B, 0)), "NoXtal", "Xtal")</f>
        <v>NoXtal</v>
      </c>
    </row>
    <row r="251" spans="1:36" x14ac:dyDescent="0.2">
      <c r="A251" s="1" t="s">
        <v>191</v>
      </c>
      <c r="B251" s="1" t="str">
        <f>VLOOKUP(A251,Xtal_Templ!A:B,2,FALSE)</f>
        <v>drd3_human</v>
      </c>
      <c r="C251" s="5">
        <f>VLOOKUP($B251&amp;"__wt",'SegEnds_Xtal_BW#'!$A:$Z,3,FALSE)</f>
        <v>29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51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58</v>
      </c>
      <c r="O251" s="89">
        <v>38</v>
      </c>
      <c r="P251" s="1">
        <f>VLOOKUP($B251&amp;"__wt",'SegEnds_Xtal_BW#'!$A:$Z,16,FALSE)</f>
        <v>63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v>35</v>
      </c>
      <c r="T251" s="1">
        <f t="array" ref="T251">INDEX('ICL3'!$G$2:$G$40,MATCH(MIN(ABS(AH251-'ICL3'!$F$2:$F$40)),ABS(AH251-'ICL3'!$F$2:$F$40),0))</f>
        <v>75</v>
      </c>
      <c r="U251" s="1">
        <f t="array" ref="U251">INDEX('ICL3'!$H$2:$H$40,MATCH(MIN(ABS(AH251-'ICL3'!$F$2:$F$40)),ABS(AH251-'ICL3'!$F$2:$F$40),0))</f>
        <v>24</v>
      </c>
      <c r="V251" s="1">
        <v>61</v>
      </c>
      <c r="W251" s="1">
        <v>31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59</v>
      </c>
      <c r="AA251" s="27" t="str">
        <f>VLOOKUP(A251,Classification!A:B,2,FALSE)</f>
        <v>A</v>
      </c>
      <c r="AB251" s="1">
        <f>VLOOKUP(A251,'SegEnds_NonXtal_Prot#'!A:AL,10,FALSE)-VLOOKUP(A251,'SegEnds_NonXtal_Prot#'!A:AL,7,FALSE)</f>
        <v>15</v>
      </c>
      <c r="AC251" s="1">
        <f>VLOOKUP(A251,'SegEnds_NonXtal_Prot#'!A:AL,13,FALSE)-VLOOKUP(A251,'SegEnds_NonXtal_Prot#'!A:AL,10,FALSE)</f>
        <v>20</v>
      </c>
      <c r="AD251" s="1">
        <f>VLOOKUP(A251,'SegEnds_NonXtal_Prot#'!A:AL,16,FALSE)-VLOOKUP(A251,'SegEnds_NonXtal_Prot#'!A:AL,10,FALSE)</f>
        <v>52</v>
      </c>
      <c r="AE251" s="1">
        <f>VLOOKUP(A251,'SegEnds_NonXtal_Prot#'!A:AL,22,FALSE)-VLOOKUP(A251,'SegEnds_NonXtal_Prot#'!A:AL,19,FALSE)</f>
        <v>21</v>
      </c>
      <c r="AF251" s="1">
        <f>VLOOKUP(A251,'SegEnds_NonXtal_Prot#'!A:AL,28,FALSE)-VLOOKUP(A251,'SegEnds_NonXtal_Prot#'!A:AL,25,FALSE)</f>
        <v>19</v>
      </c>
      <c r="AG251" s="1">
        <f>VLOOKUP(A251,'SegEnds_NonXtal_Prot#'!A:AL,28,FALSE)-VLOOKUP(A251,'SegEnds_NonXtal_Prot#'!A:AL,22,FALSE)</f>
        <v>41</v>
      </c>
      <c r="AH251" s="1">
        <f>VLOOKUP(A251,'SegEnds_NonXtal_Prot#'!A:AL,31,FALSE)-VLOOKUP(A251,'SegEnds_NonXtal_Prot#'!A:AL,28,FALSE)</f>
        <v>187</v>
      </c>
      <c r="AI251" s="1">
        <f>VLOOKUP(A251,'SegEnds_NonXtal_Prot#'!A:AL,34,FALSE)-VLOOKUP(A251,'SegEnds_NonXtal_Prot#'!A:AL,31,FALSE)</f>
        <v>35</v>
      </c>
      <c r="AJ251" s="1" t="str">
        <f>IF(ISERROR(MATCH(A251,'SegEnds_Xtal_Prot#'!B:B, 0)), "NoXtal", "Xtal")</f>
        <v>NoXtal</v>
      </c>
    </row>
    <row r="252" spans="1:36" x14ac:dyDescent="0.2">
      <c r="A252" s="1" t="s">
        <v>248</v>
      </c>
      <c r="B252" s="1" t="str">
        <f>VLOOKUP(A252,Xtal_Templ!A:B,2,FALSE)</f>
        <v>ox1r_human</v>
      </c>
      <c r="C252" s="5">
        <f>VLOOKUP($B252&amp;"__wt",'SegEnds_Xtal_BW#'!$A:$Z,3,FALSE)</f>
        <v>32</v>
      </c>
      <c r="D252" s="1">
        <f>VLOOKUP($B252&amp;"__wt",'SegEnds_Xtal_BW#'!$A:$Z,4,FALSE)</f>
        <v>60</v>
      </c>
      <c r="E252" s="1">
        <f>VLOOKUP($B252&amp;"__wt",'SegEnds_Xtal_BW#'!$A:$Z,5,FALSE)</f>
        <v>48</v>
      </c>
      <c r="F252" s="1">
        <f>VLOOKUP($B252&amp;"__wt",'SegEnds_Xtal_BW#'!$A:$Z,6,FALSE)</f>
        <v>51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58</v>
      </c>
      <c r="O252" s="89">
        <f>VLOOKUP($B252&amp;"__wt",'SegEnds_Xtal_BW#'!$A:$Z,15,FALSE)</f>
        <v>38</v>
      </c>
      <c r="P252" s="1">
        <f>VLOOKUP($B252&amp;"__wt",'SegEnds_Xtal_BW#'!$A:$Z,16,FALSE)</f>
        <v>64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v>35</v>
      </c>
      <c r="T252" s="1">
        <f t="array" ref="T252">INDEX('ICL3'!$G$2:$G$40,MATCH(MIN(ABS(AH252-'ICL3'!$F$2:$F$40)),ABS(AH252-'ICL3'!$F$2:$F$40),0))</f>
        <v>76</v>
      </c>
      <c r="U252" s="1">
        <f t="array" ref="U252">INDEX('ICL3'!$H$2:$H$40,MATCH(MIN(ABS(AH252-'ICL3'!$F$2:$F$40)),ABS(AH252-'ICL3'!$F$2:$F$40),0))</f>
        <v>24</v>
      </c>
      <c r="V252" s="1">
        <v>61</v>
      </c>
      <c r="W252" s="1">
        <v>31</v>
      </c>
      <c r="X252" s="1">
        <f>VLOOKUP($B252&amp;"__wt",'SegEnds_Xtal_BW#'!$A:$Z,24,FALSE)</f>
        <v>56</v>
      </c>
      <c r="Y252" s="1">
        <f>VLOOKUP($B252&amp;"__wt",'SegEnds_Xtal_BW#'!$A:$Z,25,FALSE)</f>
        <v>47</v>
      </c>
      <c r="Z252" s="1">
        <f>VLOOKUP($B252&amp;"__wt",'SegEnds_Xtal_BW#'!$A:$Z,26,FALSE)</f>
        <v>58</v>
      </c>
      <c r="AA252" s="27" t="str">
        <f>VLOOKUP(A252,Classification!A:B,2,FALSE)</f>
        <v>A</v>
      </c>
      <c r="AB252" s="1">
        <f>VLOOKUP(A252,'SegEnds_NonXtal_Prot#'!A:AL,10,FALSE)-VLOOKUP(A252,'SegEnds_NonXtal_Prot#'!A:AL,7,FALSE)</f>
        <v>15</v>
      </c>
      <c r="AC252" s="1" t="e">
        <f>VLOOKUP(A252,'SegEnds_NonXtal_Prot#'!A:AL,13,FALSE)-VLOOKUP(A252,'SegEnds_NonXtal_Prot#'!A:AL,10,FALSE)</f>
        <v>#VALUE!</v>
      </c>
      <c r="AD252" s="1">
        <f>VLOOKUP(A252,'SegEnds_NonXtal_Prot#'!A:AL,16,FALSE)-VLOOKUP(A252,'SegEnds_NonXtal_Prot#'!A:AL,10,FALSE)</f>
        <v>56</v>
      </c>
      <c r="AE252" s="1">
        <f>VLOOKUP(A252,'SegEnds_NonXtal_Prot#'!A:AL,22,FALSE)-VLOOKUP(A252,'SegEnds_NonXtal_Prot#'!A:AL,19,FALSE)</f>
        <v>21</v>
      </c>
      <c r="AF252" s="1">
        <f>VLOOKUP(A252,'SegEnds_NonXtal_Prot#'!A:AL,28,FALSE)-VLOOKUP(A252,'SegEnds_NonXtal_Prot#'!A:AL,25,FALSE)</f>
        <v>18</v>
      </c>
      <c r="AG252" s="1">
        <f>VLOOKUP(A252,'SegEnds_NonXtal_Prot#'!A:AL,28,FALSE)-VLOOKUP(A252,'SegEnds_NonXtal_Prot#'!A:AL,22,FALSE)</f>
        <v>41</v>
      </c>
      <c r="AH252" s="1">
        <f>VLOOKUP(A252,'SegEnds_NonXtal_Prot#'!A:AL,31,FALSE)-VLOOKUP(A252,'SegEnds_NonXtal_Prot#'!A:AL,28,FALSE)</f>
        <v>110</v>
      </c>
      <c r="AI252" s="1">
        <f>VLOOKUP(A252,'SegEnds_NonXtal_Prot#'!A:AL,34,FALSE)-VLOOKUP(A252,'SegEnds_NonXtal_Prot#'!A:AL,31,FALSE)</f>
        <v>36</v>
      </c>
      <c r="AJ252" s="1" t="str">
        <f>IF(ISERROR(MATCH(A252,'SegEnds_Xtal_Prot#'!B:B, 0)), "NoXtal", "Xtal")</f>
        <v>NoXtal</v>
      </c>
    </row>
    <row r="253" spans="1:36" x14ac:dyDescent="0.2">
      <c r="A253" s="1" t="s">
        <v>280</v>
      </c>
      <c r="B253" s="1" t="str">
        <f>VLOOKUP(A253,Xtal_Templ!A:B,2,FALSE)</f>
        <v>hrh1_human</v>
      </c>
      <c r="C253" s="5">
        <f>VLOOKUP($B253&amp;"__wt",'SegEnds_Xtal_BW#'!$A:$Z,3,FALSE)</f>
        <v>34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f>VLOOKUP($B253&amp;"__wt",'SegEnds_Xtal_BW#'!$A:$Z,8,FALSE)</f>
        <v>67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18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58</v>
      </c>
      <c r="O253" s="89">
        <f>VLOOKUP($B253&amp;"__wt",'SegEnds_Xtal_BW#'!$A:$Z,15,FALSE)</f>
        <v>38</v>
      </c>
      <c r="P253" s="1">
        <v>63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v>35</v>
      </c>
      <c r="T253" s="1">
        <f t="array" ref="T253">INDEX('ICL3'!$G$2:$G$40,MATCH(MIN(ABS(AH253-'ICL3'!$F$2:$F$40)),ABS(AH253-'ICL3'!$F$2:$F$40),0))</f>
        <v>75</v>
      </c>
      <c r="U253" s="1">
        <f t="array" ref="U253">INDEX('ICL3'!$H$2:$H$40,MATCH(MIN(ABS(AH253-'ICL3'!$F$2:$F$40)),ABS(AH253-'ICL3'!$F$2:$F$40),0))</f>
        <v>24</v>
      </c>
      <c r="V253" s="1">
        <v>61</v>
      </c>
      <c r="W253" s="1">
        <v>31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VLOOKUP(A253,'SegEnds_NonXtal_Prot#'!A:AL,10,FALSE)-VLOOKUP(A253,'SegEnds_NonXtal_Prot#'!A:AL,7,FALSE)</f>
        <v>15</v>
      </c>
      <c r="AC253" s="1">
        <f>VLOOKUP(A253,'SegEnds_NonXtal_Prot#'!A:AL,13,FALSE)-VLOOKUP(A253,'SegEnds_NonXtal_Prot#'!A:AL,10,FALSE)</f>
        <v>20</v>
      </c>
      <c r="AD253" s="1">
        <f>VLOOKUP(A253,'SegEnds_NonXtal_Prot#'!A:AL,16,FALSE)-VLOOKUP(A253,'SegEnds_NonXtal_Prot#'!A:AL,10,FALSE)</f>
        <v>52</v>
      </c>
      <c r="AE253" s="1">
        <f>VLOOKUP(A253,'SegEnds_NonXtal_Prot#'!A:AL,22,FALSE)-VLOOKUP(A253,'SegEnds_NonXtal_Prot#'!A:AL,19,FALSE)</f>
        <v>21</v>
      </c>
      <c r="AF253" s="1">
        <f>VLOOKUP(A253,'SegEnds_NonXtal_Prot#'!A:AL,28,FALSE)-VLOOKUP(A253,'SegEnds_NonXtal_Prot#'!A:AL,25,FALSE)</f>
        <v>22</v>
      </c>
      <c r="AG253" s="1">
        <f>VLOOKUP(A253,'SegEnds_NonXtal_Prot#'!A:AL,28,FALSE)-VLOOKUP(A253,'SegEnds_NonXtal_Prot#'!A:AL,22,FALSE)</f>
        <v>50</v>
      </c>
      <c r="AH253" s="1">
        <f>VLOOKUP(A253,'SegEnds_NonXtal_Prot#'!A:AL,31,FALSE)-VLOOKUP(A253,'SegEnds_NonXtal_Prot#'!A:AL,28,FALSE)</f>
        <v>163</v>
      </c>
      <c r="AI253" s="1">
        <f>VLOOKUP(A253,'SegEnds_NonXtal_Prot#'!A:AL,34,FALSE)-VLOOKUP(A253,'SegEnds_NonXtal_Prot#'!A:AL,31,FALSE)</f>
        <v>36</v>
      </c>
      <c r="AJ253" s="1" t="str">
        <f>IF(ISERROR(MATCH(A253,'SegEnds_Xtal_Prot#'!B:B, 0)), "NoXtal", "Xtal")</f>
        <v>NoXtal</v>
      </c>
    </row>
    <row r="254" spans="1:36" x14ac:dyDescent="0.2">
      <c r="A254" s="1" t="s">
        <v>281</v>
      </c>
      <c r="B254" s="1" t="str">
        <f>VLOOKUP(A254,Xtal_Templ!A:B,2,FALSE)</f>
        <v>acm3_rat</v>
      </c>
      <c r="C254" s="5">
        <f>VLOOKUP($B254&amp;"__wt",'SegEnds_Xtal_BW#'!$A:$Z,3,FALSE)</f>
        <v>29</v>
      </c>
      <c r="D254" s="1">
        <f>VLOOKUP($B254&amp;"__wt",'SegEnds_Xtal_BW#'!$A:$Z,4,FALSE)</f>
        <v>60</v>
      </c>
      <c r="E254" s="1">
        <f>VLOOKUP($B254&amp;"__wt",'SegEnds_Xtal_BW#'!$A:$Z,5,FALSE)</f>
        <v>48</v>
      </c>
      <c r="F254" s="1">
        <f>VLOOKUP($B254&amp;"__wt",'SegEnds_Xtal_BW#'!$A:$Z,6,FALSE)</f>
        <v>51</v>
      </c>
      <c r="G254" s="1">
        <v>37</v>
      </c>
      <c r="H254" s="12">
        <v>66</v>
      </c>
      <c r="I254" s="1">
        <f>VLOOKUP($B254&amp;"__wt",'SegEnds_Xtal_BW#'!$A:$Z,9,FALSE)</f>
        <v>49</v>
      </c>
      <c r="J254" s="1">
        <f>VLOOKUP($B254&amp;"__wt",'SegEnds_Xtal_BW#'!$A:$Z,10,FALSE)</f>
        <v>52</v>
      </c>
      <c r="K254" s="12">
        <v>21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58</v>
      </c>
      <c r="O254" s="89">
        <v>38</v>
      </c>
      <c r="P254" s="1">
        <v>63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v>35</v>
      </c>
      <c r="T254" s="1">
        <f t="array" ref="T254">INDEX('ICL3'!$G$2:$G$40,MATCH(MIN(ABS(AH254-'ICL3'!$F$2:$F$40)),ABS(AH254-'ICL3'!$F$2:$F$40),0))</f>
        <v>76</v>
      </c>
      <c r="U254" s="1">
        <f t="array" ref="U254">INDEX('ICL3'!$H$2:$H$40,MATCH(MIN(ABS(AH254-'ICL3'!$F$2:$F$40)),ABS(AH254-'ICL3'!$F$2:$F$40),0))</f>
        <v>24</v>
      </c>
      <c r="V254" s="1">
        <v>61</v>
      </c>
      <c r="W254" s="1">
        <v>31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58</v>
      </c>
      <c r="AA254" s="27" t="str">
        <f>VLOOKUP(A254,Classification!A:B,2,FALSE)</f>
        <v>A</v>
      </c>
      <c r="AB254" s="1">
        <f>VLOOKUP(A254,'SegEnds_NonXtal_Prot#'!A:AL,10,FALSE)-VLOOKUP(A254,'SegEnds_NonXtal_Prot#'!A:AL,7,FALSE)</f>
        <v>15</v>
      </c>
      <c r="AC254" s="1">
        <f>VLOOKUP(A254,'SegEnds_NonXtal_Prot#'!A:AL,13,FALSE)-VLOOKUP(A254,'SegEnds_NonXtal_Prot#'!A:AL,10,FALSE)</f>
        <v>19</v>
      </c>
      <c r="AD254" s="1">
        <f>VLOOKUP(A254,'SegEnds_NonXtal_Prot#'!A:AL,16,FALSE)-VLOOKUP(A254,'SegEnds_NonXtal_Prot#'!A:AL,10,FALSE)</f>
        <v>51</v>
      </c>
      <c r="AE254" s="1">
        <f>VLOOKUP(A254,'SegEnds_NonXtal_Prot#'!A:AL,22,FALSE)-VLOOKUP(A254,'SegEnds_NonXtal_Prot#'!A:AL,19,FALSE)</f>
        <v>21</v>
      </c>
      <c r="AF254" s="1">
        <f>VLOOKUP(A254,'SegEnds_NonXtal_Prot#'!A:AL,28,FALSE)-VLOOKUP(A254,'SegEnds_NonXtal_Prot#'!A:AL,25,FALSE)</f>
        <v>22</v>
      </c>
      <c r="AG254" s="1">
        <f>VLOOKUP(A254,'SegEnds_NonXtal_Prot#'!A:AL,28,FALSE)-VLOOKUP(A254,'SegEnds_NonXtal_Prot#'!A:AL,22,FALSE)</f>
        <v>46</v>
      </c>
      <c r="AH254" s="1">
        <f>VLOOKUP(A254,'SegEnds_NonXtal_Prot#'!A:AL,31,FALSE)-VLOOKUP(A254,'SegEnds_NonXtal_Prot#'!A:AL,28,FALSE)</f>
        <v>132</v>
      </c>
      <c r="AI254" s="1">
        <f>VLOOKUP(A254,'SegEnds_NonXtal_Prot#'!A:AL,34,FALSE)-VLOOKUP(A254,'SegEnds_NonXtal_Prot#'!A:AL,31,FALSE)</f>
        <v>37</v>
      </c>
      <c r="AJ254" s="1" t="str">
        <f>IF(ISERROR(MATCH(A254,'SegEnds_Xtal_Prot#'!B:B, 0)), "NoXtal", "Xtal")</f>
        <v>NoXtal</v>
      </c>
    </row>
    <row r="255" spans="1:36" x14ac:dyDescent="0.2">
      <c r="A255" s="1" t="s">
        <v>348</v>
      </c>
      <c r="B255" s="1" t="str">
        <f>VLOOKUP(A255,Xtal_Templ!A:B,2,FALSE)</f>
        <v>p2ry1_human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 t="str">
        <f>VLOOKUP($B255&amp;"__wt",'SegEnds_Xtal_BW#'!$A:$Z,5,FALSE)</f>
        <v>-</v>
      </c>
      <c r="F255" s="1" t="str">
        <f>VLOOKUP($B255&amp;"__wt",'SegEnds_Xtal_BW#'!$A:$Z,6,FALSE)</f>
        <v>-</v>
      </c>
      <c r="G255" s="1">
        <v>37</v>
      </c>
      <c r="H255" s="12">
        <f>VLOOKUP($B255&amp;"__wt",'SegEnds_Xtal_BW#'!$A:$Z,8,FALSE)</f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18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58</v>
      </c>
      <c r="O255" s="89">
        <f>VLOOKUP($B255&amp;"__wt",'SegEnds_Xtal_BW#'!$A:$Z,15,FALSE)</f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32</v>
      </c>
      <c r="T255" s="1">
        <f t="array" ref="T255">INDEX('ICL3'!$G$2:$G$40,MATCH(MIN(ABS(AH255-'ICL3'!$F$2:$F$40)),ABS(AH255-'ICL3'!$F$2:$F$40),0))</f>
        <v>72</v>
      </c>
      <c r="U255" s="1">
        <f t="array" ref="U255">INDEX('ICL3'!$H$2:$H$40,MATCH(MIN(ABS(AH255-'ICL3'!$F$2:$F$40)),ABS(AH255-'ICL3'!$F$2:$F$40),0))</f>
        <v>29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VLOOKUP(A255,'SegEnds_NonXtal_Prot#'!A:AL,10,FALSE)-VLOOKUP(A255,'SegEnds_NonXtal_Prot#'!A:AL,7,FALSE)</f>
        <v>15</v>
      </c>
      <c r="AC255" s="1">
        <f>VLOOKUP(A255,'SegEnds_NonXtal_Prot#'!A:AL,13,FALSE)-VLOOKUP(A255,'SegEnds_NonXtal_Prot#'!A:AL,10,FALSE)</f>
        <v>20</v>
      </c>
      <c r="AD255" s="1">
        <f>VLOOKUP(A255,'SegEnds_NonXtal_Prot#'!A:AL,16,FALSE)-VLOOKUP(A255,'SegEnds_NonXtal_Prot#'!A:AL,10,FALSE)</f>
        <v>52</v>
      </c>
      <c r="AE255" s="1">
        <f>VLOOKUP(A255,'SegEnds_NonXtal_Prot#'!A:AL,22,FALSE)-VLOOKUP(A255,'SegEnds_NonXtal_Prot#'!A:AL,19,FALSE)</f>
        <v>21</v>
      </c>
      <c r="AF255" s="1">
        <f>VLOOKUP(A255,'SegEnds_NonXtal_Prot#'!A:AL,28,FALSE)-VLOOKUP(A255,'SegEnds_NonXtal_Prot#'!A:AL,25,FALSE)</f>
        <v>27</v>
      </c>
      <c r="AG255" s="1">
        <f>VLOOKUP(A255,'SegEnds_NonXtal_Prot#'!A:AL,28,FALSE)-VLOOKUP(A255,'SegEnds_NonXtal_Prot#'!A:AL,22,FALSE)</f>
        <v>52</v>
      </c>
      <c r="AH255" s="1">
        <f>VLOOKUP(A255,'SegEnds_NonXtal_Prot#'!A:AL,31,FALSE)-VLOOKUP(A255,'SegEnds_NonXtal_Prot#'!A:AL,28,FALSE)</f>
        <v>50</v>
      </c>
      <c r="AI255" s="1">
        <f>VLOOKUP(A255,'SegEnds_NonXtal_Prot#'!A:AL,34,FALSE)-VLOOKUP(A255,'SegEnds_NonXtal_Prot#'!A:AL,31,FALSE)</f>
        <v>44</v>
      </c>
      <c r="AJ255" s="1" t="str">
        <f>IF(ISERROR(MATCH(A255,'SegEnds_Xtal_Prot#'!B:B, 0)), "NoXtal", "Xtal")</f>
        <v>NoXtal</v>
      </c>
    </row>
    <row r="256" spans="1:36" x14ac:dyDescent="0.2">
      <c r="A256" s="12" t="s">
        <v>174</v>
      </c>
      <c r="B256" s="12" t="str">
        <f>VLOOKUP(A256,Xtal_Templ!A:B,2,FALSE)</f>
        <v>ccr9_human</v>
      </c>
      <c r="C256" s="13">
        <f>VLOOKUP($B256&amp;"__wt",'SegEnds_Xtal_BW#'!$A:$Z,3,FALSE)</f>
        <v>27</v>
      </c>
      <c r="D256" s="12">
        <f>VLOOKUP($B256&amp;"__wt",'SegEnds_Xtal_BW#'!$A:$Z,4,FALSE)</f>
        <v>60</v>
      </c>
      <c r="E256" s="12">
        <f>VLOOKUP($B256&amp;"__wt",'SegEnds_Xtal_BW#'!$A:$Z,5,FALSE)</f>
        <v>48</v>
      </c>
      <c r="F256" s="12">
        <f>VLOOKUP($B256&amp;"__wt",'SegEnds_Xtal_BW#'!$A:$Z,6,FALSE)</f>
        <v>51</v>
      </c>
      <c r="G256" s="12">
        <v>37</v>
      </c>
      <c r="H256" s="12">
        <v>66</v>
      </c>
      <c r="I256" s="12">
        <f>VLOOKUP($B256&amp;"__wt",'SegEnds_Xtal_BW#'!$A:$Z,9,FALSE)</f>
        <v>49</v>
      </c>
      <c r="J256" s="12">
        <f>VLOOKUP($B256&amp;"__wt",'SegEnds_Xtal_BW#'!$A:$Z,10,FALSE)</f>
        <v>52</v>
      </c>
      <c r="K256" s="12">
        <v>21</v>
      </c>
      <c r="L256" s="12">
        <f>VLOOKUP($B256&amp;"__wt",'SegEnds_Xtal_BW#'!$A:$Z,12,FALSE)</f>
        <v>56</v>
      </c>
      <c r="M256" s="12">
        <f>VLOOKUP($B256&amp;"__wt",'SegEnds_Xtal_BW#'!$A:$Z,13,FALSE)</f>
        <v>50</v>
      </c>
      <c r="N256" s="12">
        <v>58</v>
      </c>
      <c r="O256" s="89">
        <v>38</v>
      </c>
      <c r="P256" s="12">
        <f>VLOOKUP($B256&amp;"__wt",'SegEnds_Xtal_BW#'!$A:$Z,16,FALSE)</f>
        <v>64</v>
      </c>
      <c r="Q256" s="12">
        <f>VLOOKUP($B256&amp;"__wt",'SegEnds_Xtal_BW#'!$A:$Z,17,FALSE)</f>
        <v>50</v>
      </c>
      <c r="R256" s="12">
        <f>VLOOKUP($B256&amp;"__wt",'SegEnds_Xtal_BW#'!$A:$Z,18,FALSE)</f>
        <v>52</v>
      </c>
      <c r="S256" s="12">
        <f>VLOOKUP($B256&amp;"__wt",'SegEnds_Xtal_BW#'!$A:$Z,19,FALSE)</f>
        <v>33</v>
      </c>
      <c r="T256" s="12">
        <f t="array" ref="T256">INDEX('ICL3'!$G$2:$G$40,MATCH(MIN(ABS(AH256-'ICL3'!$F$2:$F$40)),ABS(AH256-'ICL3'!$F$2:$F$40),0))</f>
        <v>68</v>
      </c>
      <c r="U256" s="12">
        <f t="array" ref="U256">INDEX('ICL3'!$H$2:$H$40,MATCH(MIN(ABS(AH256-'ICL3'!$F$2:$F$40)),ABS(AH256-'ICL3'!$F$2:$F$40),0))</f>
        <v>30</v>
      </c>
      <c r="V256" s="12">
        <v>65</v>
      </c>
      <c r="W256" s="12">
        <v>24</v>
      </c>
      <c r="X256" s="12">
        <f>VLOOKUP($B256&amp;"__wt",'SegEnds_Xtal_BW#'!$A:$Z,24,FALSE)</f>
        <v>56</v>
      </c>
      <c r="Y256" s="12">
        <f>VLOOKUP($B256&amp;"__wt",'SegEnds_Xtal_BW#'!$A:$Z,25,FALSE)</f>
        <v>47</v>
      </c>
      <c r="Z256" s="12">
        <f>VLOOKUP($B256&amp;"__wt",'SegEnds_Xtal_BW#'!$A:$Z,26,FALSE)</f>
        <v>67</v>
      </c>
      <c r="AA256" s="37" t="str">
        <f>VLOOKUP(A256,Classification!A:B,2,FALSE)</f>
        <v>A</v>
      </c>
      <c r="AB256" s="12">
        <f>VLOOKUP(A256,'SegEnds_NonXtal_Prot#'!A:AL,10,FALSE)-VLOOKUP(A256,'SegEnds_NonXtal_Prot#'!A:AL,7,FALSE)</f>
        <v>15</v>
      </c>
      <c r="AC256" s="12">
        <f>VLOOKUP(A256,'SegEnds_NonXtal_Prot#'!A:AL,13,FALSE)-VLOOKUP(A256,'SegEnds_NonXtal_Prot#'!A:AL,10,FALSE)</f>
        <v>19</v>
      </c>
      <c r="AD256" s="12">
        <f>VLOOKUP(A256,'SegEnds_NonXtal_Prot#'!A:AL,16,FALSE)-VLOOKUP(A256,'SegEnds_NonXtal_Prot#'!A:AL,10,FALSE)</f>
        <v>51</v>
      </c>
      <c r="AE256" s="1">
        <f>VLOOKUP(A256,'SegEnds_NonXtal_Prot#'!A:AL,22,FALSE)-VLOOKUP(A256,'SegEnds_NonXtal_Prot#'!A:AL,19,FALSE)</f>
        <v>22</v>
      </c>
      <c r="AF256" s="12">
        <f>VLOOKUP(A256,'SegEnds_NonXtal_Prot#'!A:AL,28,FALSE)-VLOOKUP(A256,'SegEnds_NonXtal_Prot#'!A:AL,25,FALSE)</f>
        <v>29</v>
      </c>
      <c r="AG256" s="1">
        <f>VLOOKUP(A256,'SegEnds_NonXtal_Prot#'!A:AL,28,FALSE)-VLOOKUP(A256,'SegEnds_NonXtal_Prot#'!A:AL,22,FALSE)</f>
        <v>54</v>
      </c>
      <c r="AH256" s="12">
        <f>VLOOKUP(A256,'SegEnds_NonXtal_Prot#'!A:AL,31,FALSE)-VLOOKUP(A256,'SegEnds_NonXtal_Prot#'!A:AL,28,FALSE)</f>
        <v>43</v>
      </c>
      <c r="AI256" s="12">
        <f>VLOOKUP(A256,'SegEnds_NonXtal_Prot#'!A:AL,34,FALSE)-VLOOKUP(A256,'SegEnds_NonXtal_Prot#'!A:AL,31,FALSE)</f>
        <v>44</v>
      </c>
      <c r="AJ256" s="12" t="str">
        <f>IF(ISERROR(MATCH(A256,'SegEnds_Xtal_Prot#'!B:B, 0)), "NoXtal", "Xtal")</f>
        <v>NoXtal</v>
      </c>
    </row>
    <row r="257" spans="1:36" x14ac:dyDescent="0.2">
      <c r="A257" s="12" t="s">
        <v>175</v>
      </c>
      <c r="B257" s="12" t="str">
        <f>VLOOKUP(A257,Xtal_Templ!A:B,2,FALSE)</f>
        <v>ccr9_human</v>
      </c>
      <c r="C257" s="13">
        <f>VLOOKUP($B257&amp;"__wt",'SegEnds_Xtal_BW#'!$A:$Z,3,FALSE)</f>
        <v>27</v>
      </c>
      <c r="D257" s="12">
        <f>VLOOKUP($B257&amp;"__wt",'SegEnds_Xtal_BW#'!$A:$Z,4,FALSE)</f>
        <v>60</v>
      </c>
      <c r="E257" s="12">
        <f>VLOOKUP($B257&amp;"__wt",'SegEnds_Xtal_BW#'!$A:$Z,5,FALSE)</f>
        <v>48</v>
      </c>
      <c r="F257" s="12">
        <f>VLOOKUP($B257&amp;"__wt",'SegEnds_Xtal_BW#'!$A:$Z,6,FALSE)</f>
        <v>51</v>
      </c>
      <c r="G257" s="12">
        <v>37</v>
      </c>
      <c r="H257" s="12">
        <v>66</v>
      </c>
      <c r="I257" s="12">
        <f>VLOOKUP($B257&amp;"__wt",'SegEnds_Xtal_BW#'!$A:$Z,9,FALSE)</f>
        <v>49</v>
      </c>
      <c r="J257" s="12">
        <f>VLOOKUP($B257&amp;"__wt",'SegEnds_Xtal_BW#'!$A:$Z,10,FALSE)</f>
        <v>52</v>
      </c>
      <c r="K257" s="12">
        <v>24</v>
      </c>
      <c r="L257" s="12">
        <f>VLOOKUP($B257&amp;"__wt",'SegEnds_Xtal_BW#'!$A:$Z,12,FALSE)</f>
        <v>56</v>
      </c>
      <c r="M257" s="12">
        <f>VLOOKUP($B257&amp;"__wt",'SegEnds_Xtal_BW#'!$A:$Z,13,FALSE)</f>
        <v>50</v>
      </c>
      <c r="N257" s="12">
        <v>58</v>
      </c>
      <c r="O257" s="89">
        <v>38</v>
      </c>
      <c r="P257" s="12">
        <f>VLOOKUP($B257&amp;"__wt",'SegEnds_Xtal_BW#'!$A:$Z,16,FALSE)</f>
        <v>64</v>
      </c>
      <c r="Q257" s="12">
        <f>VLOOKUP($B257&amp;"__wt",'SegEnds_Xtal_BW#'!$A:$Z,17,FALSE)</f>
        <v>50</v>
      </c>
      <c r="R257" s="12">
        <f>VLOOKUP($B257&amp;"__wt",'SegEnds_Xtal_BW#'!$A:$Z,18,FALSE)</f>
        <v>52</v>
      </c>
      <c r="S257" s="12">
        <f>VLOOKUP($B257&amp;"__wt",'SegEnds_Xtal_BW#'!$A:$Z,19,FALSE)</f>
        <v>33</v>
      </c>
      <c r="T257" s="12">
        <f t="array" ref="T257">INDEX('ICL3'!$G$2:$G$40,MATCH(MIN(ABS(AH257-'ICL3'!$F$2:$F$40)),ABS(AH257-'ICL3'!$F$2:$F$40),0))</f>
        <v>68</v>
      </c>
      <c r="U257" s="12">
        <f t="array" ref="U257">INDEX('ICL3'!$H$2:$H$40,MATCH(MIN(ABS(AH257-'ICL3'!$F$2:$F$40)),ABS(AH257-'ICL3'!$F$2:$F$40),0))</f>
        <v>30</v>
      </c>
      <c r="V257" s="12">
        <v>65</v>
      </c>
      <c r="W257" s="12">
        <v>24</v>
      </c>
      <c r="X257" s="12">
        <f>VLOOKUP($B257&amp;"__wt",'SegEnds_Xtal_BW#'!$A:$Z,24,FALSE)</f>
        <v>56</v>
      </c>
      <c r="Y257" s="12">
        <f>VLOOKUP($B257&amp;"__wt",'SegEnds_Xtal_BW#'!$A:$Z,25,FALSE)</f>
        <v>47</v>
      </c>
      <c r="Z257" s="12">
        <f>VLOOKUP($B257&amp;"__wt",'SegEnds_Xtal_BW#'!$A:$Z,26,FALSE)</f>
        <v>67</v>
      </c>
      <c r="AA257" s="37" t="str">
        <f>VLOOKUP(A257,Classification!A:B,2,FALSE)</f>
        <v>A</v>
      </c>
      <c r="AB257" s="12">
        <f>VLOOKUP(A257,'SegEnds_NonXtal_Prot#'!A:AL,10,FALSE)-VLOOKUP(A257,'SegEnds_NonXtal_Prot#'!A:AL,7,FALSE)</f>
        <v>15</v>
      </c>
      <c r="AC257" s="12">
        <f>VLOOKUP(A257,'SegEnds_NonXtal_Prot#'!A:AL,13,FALSE)-VLOOKUP(A257,'SegEnds_NonXtal_Prot#'!A:AL,10,FALSE)</f>
        <v>18</v>
      </c>
      <c r="AD257" s="12">
        <f>VLOOKUP(A257,'SegEnds_NonXtal_Prot#'!A:AL,16,FALSE)-VLOOKUP(A257,'SegEnds_NonXtal_Prot#'!A:AL,10,FALSE)</f>
        <v>50</v>
      </c>
      <c r="AE257" s="1">
        <f>VLOOKUP(A257,'SegEnds_NonXtal_Prot#'!A:AL,22,FALSE)-VLOOKUP(A257,'SegEnds_NonXtal_Prot#'!A:AL,19,FALSE)</f>
        <v>22</v>
      </c>
      <c r="AF257" s="12">
        <f>VLOOKUP(A257,'SegEnds_NonXtal_Prot#'!A:AL,28,FALSE)-VLOOKUP(A257,'SegEnds_NonXtal_Prot#'!A:AL,25,FALSE)</f>
        <v>25</v>
      </c>
      <c r="AG257" s="1">
        <f>VLOOKUP(A257,'SegEnds_NonXtal_Prot#'!A:AL,28,FALSE)-VLOOKUP(A257,'SegEnds_NonXtal_Prot#'!A:AL,22,FALSE)</f>
        <v>52</v>
      </c>
      <c r="AH257" s="12">
        <f>VLOOKUP(A257,'SegEnds_NonXtal_Prot#'!A:AL,31,FALSE)-VLOOKUP(A257,'SegEnds_NonXtal_Prot#'!A:AL,28,FALSE)</f>
        <v>43</v>
      </c>
      <c r="AI257" s="12">
        <f>VLOOKUP(A257,'SegEnds_NonXtal_Prot#'!A:AL,34,FALSE)-VLOOKUP(A257,'SegEnds_NonXtal_Prot#'!A:AL,31,FALSE)</f>
        <v>45</v>
      </c>
      <c r="AJ257" s="12" t="str">
        <f>IF(ISERROR(MATCH(A257,'SegEnds_Xtal_Prot#'!B:B, 0)), "NoXtal", "Xtal")</f>
        <v>NoXtal</v>
      </c>
    </row>
    <row r="258" spans="1:36" x14ac:dyDescent="0.2">
      <c r="A258" s="12" t="s">
        <v>177</v>
      </c>
      <c r="B258" s="12" t="str">
        <f>VLOOKUP(A258,Xtal_Templ!A:B,2,FALSE)</f>
        <v>ccr9_human</v>
      </c>
      <c r="C258" s="13">
        <f>VLOOKUP($B258&amp;"__wt",'SegEnds_Xtal_BW#'!$A:$Z,3,FALSE)</f>
        <v>27</v>
      </c>
      <c r="D258" s="12">
        <f>VLOOKUP($B258&amp;"__wt",'SegEnds_Xtal_BW#'!$A:$Z,4,FALSE)</f>
        <v>60</v>
      </c>
      <c r="E258" s="12">
        <f>VLOOKUP($B258&amp;"__wt",'SegEnds_Xtal_BW#'!$A:$Z,5,FALSE)</f>
        <v>48</v>
      </c>
      <c r="F258" s="12">
        <f>VLOOKUP($B258&amp;"__wt",'SegEnds_Xtal_BW#'!$A:$Z,6,FALSE)</f>
        <v>51</v>
      </c>
      <c r="G258" s="12">
        <v>37</v>
      </c>
      <c r="H258" s="12">
        <v>66</v>
      </c>
      <c r="I258" s="12">
        <f>VLOOKUP($B258&amp;"__wt",'SegEnds_Xtal_BW#'!$A:$Z,9,FALSE)</f>
        <v>49</v>
      </c>
      <c r="J258" s="12">
        <f>VLOOKUP($B258&amp;"__wt",'SegEnds_Xtal_BW#'!$A:$Z,10,FALSE)</f>
        <v>52</v>
      </c>
      <c r="K258" s="12">
        <v>24</v>
      </c>
      <c r="L258" s="12">
        <f>VLOOKUP($B258&amp;"__wt",'SegEnds_Xtal_BW#'!$A:$Z,12,FALSE)</f>
        <v>56</v>
      </c>
      <c r="M258" s="12">
        <f>VLOOKUP($B258&amp;"__wt",'SegEnds_Xtal_BW#'!$A:$Z,13,FALSE)</f>
        <v>50</v>
      </c>
      <c r="N258" s="12">
        <f>VLOOKUP($B258&amp;"__wt",'SegEnds_Xtal_BW#'!$A:$Z,14,FALSE)</f>
        <v>56</v>
      </c>
      <c r="O258" s="89">
        <f>VLOOKUP($B258&amp;"__wt",'SegEnds_Xtal_BW#'!$A:$Z,15,FALSE)</f>
        <v>35</v>
      </c>
      <c r="P258" s="12">
        <f>VLOOKUP($B258&amp;"__wt",'SegEnds_Xtal_BW#'!$A:$Z,16,FALSE)</f>
        <v>64</v>
      </c>
      <c r="Q258" s="12">
        <f>VLOOKUP($B258&amp;"__wt",'SegEnds_Xtal_BW#'!$A:$Z,17,FALSE)</f>
        <v>50</v>
      </c>
      <c r="R258" s="12">
        <f>VLOOKUP($B258&amp;"__wt",'SegEnds_Xtal_BW#'!$A:$Z,18,FALSE)</f>
        <v>52</v>
      </c>
      <c r="S258" s="12">
        <f>VLOOKUP($B258&amp;"__wt",'SegEnds_Xtal_BW#'!$A:$Z,19,FALSE)</f>
        <v>33</v>
      </c>
      <c r="T258" s="12">
        <f t="array" ref="T258">INDEX('ICL3'!$G$2:$G$40,MATCH(MIN(ABS(AH258-'ICL3'!$F$2:$F$40)),ABS(AH258-'ICL3'!$F$2:$F$40),0))</f>
        <v>68</v>
      </c>
      <c r="U258" s="12">
        <f t="array" ref="U258">INDEX('ICL3'!$H$2:$H$40,MATCH(MIN(ABS(AH258-'ICL3'!$F$2:$F$40)),ABS(AH258-'ICL3'!$F$2:$F$40),0))</f>
        <v>30</v>
      </c>
      <c r="V258" s="12">
        <v>65</v>
      </c>
      <c r="W258" s="12">
        <v>24</v>
      </c>
      <c r="X258" s="12">
        <f>VLOOKUP($B258&amp;"__wt",'SegEnds_Xtal_BW#'!$A:$Z,24,FALSE)</f>
        <v>56</v>
      </c>
      <c r="Y258" s="12">
        <f>VLOOKUP($B258&amp;"__wt",'SegEnds_Xtal_BW#'!$A:$Z,25,FALSE)</f>
        <v>47</v>
      </c>
      <c r="Z258" s="12">
        <f>VLOOKUP($B258&amp;"__wt",'SegEnds_Xtal_BW#'!$A:$Z,26,FALSE)</f>
        <v>67</v>
      </c>
      <c r="AA258" s="37" t="str">
        <f>VLOOKUP(A258,Classification!A:B,2,FALSE)</f>
        <v>A</v>
      </c>
      <c r="AB258" s="12">
        <f>VLOOKUP(A258,'SegEnds_NonXtal_Prot#'!A:AL,10,FALSE)-VLOOKUP(A258,'SegEnds_NonXtal_Prot#'!A:AL,7,FALSE)</f>
        <v>15</v>
      </c>
      <c r="AC258" s="12">
        <f>VLOOKUP(A258,'SegEnds_NonXtal_Prot#'!A:AL,13,FALSE)-VLOOKUP(A258,'SegEnds_NonXtal_Prot#'!A:AL,10,FALSE)</f>
        <v>18</v>
      </c>
      <c r="AD258" s="12">
        <f>VLOOKUP(A258,'SegEnds_NonXtal_Prot#'!A:AL,16,FALSE)-VLOOKUP(A258,'SegEnds_NonXtal_Prot#'!A:AL,10,FALSE)</f>
        <v>50</v>
      </c>
      <c r="AE258" s="1">
        <f>VLOOKUP(A258,'SegEnds_NonXtal_Prot#'!A:AL,22,FALSE)-VLOOKUP(A258,'SegEnds_NonXtal_Prot#'!A:AL,19,FALSE)</f>
        <v>22</v>
      </c>
      <c r="AF258" s="12">
        <f>VLOOKUP(A258,'SegEnds_NonXtal_Prot#'!A:AL,28,FALSE)-VLOOKUP(A258,'SegEnds_NonXtal_Prot#'!A:AL,25,FALSE)</f>
        <v>28</v>
      </c>
      <c r="AG258" s="1">
        <f>VLOOKUP(A258,'SegEnds_NonXtal_Prot#'!A:AL,28,FALSE)-VLOOKUP(A258,'SegEnds_NonXtal_Prot#'!A:AL,22,FALSE)</f>
        <v>53</v>
      </c>
      <c r="AH258" s="12">
        <f>VLOOKUP(A258,'SegEnds_NonXtal_Prot#'!A:AL,31,FALSE)-VLOOKUP(A258,'SegEnds_NonXtal_Prot#'!A:AL,28,FALSE)</f>
        <v>43</v>
      </c>
      <c r="AI258" s="12">
        <f>VLOOKUP(A258,'SegEnds_NonXtal_Prot#'!A:AL,34,FALSE)-VLOOKUP(A258,'SegEnds_NonXtal_Prot#'!A:AL,31,FALSE)</f>
        <v>45</v>
      </c>
      <c r="AJ258" s="12" t="str">
        <f>IF(ISERROR(MATCH(A258,'SegEnds_Xtal_Prot#'!B:B, 0)), "NoXtal", "Xtal")</f>
        <v>Xtal</v>
      </c>
    </row>
    <row r="259" spans="1:36" x14ac:dyDescent="0.2">
      <c r="A259" s="12" t="s">
        <v>189</v>
      </c>
      <c r="B259" s="12" t="str">
        <f>VLOOKUP(A259,Xtal_Templ!A:B,2,FALSE)</f>
        <v>ccr9_human</v>
      </c>
      <c r="C259" s="13">
        <f>VLOOKUP($B259&amp;"__wt",'SegEnds_Xtal_BW#'!$A:$Z,3,FALSE)</f>
        <v>27</v>
      </c>
      <c r="D259" s="12">
        <f>VLOOKUP($B259&amp;"__wt",'SegEnds_Xtal_BW#'!$A:$Z,4,FALSE)</f>
        <v>60</v>
      </c>
      <c r="E259" s="12">
        <f>VLOOKUP($B259&amp;"__wt",'SegEnds_Xtal_BW#'!$A:$Z,5,FALSE)</f>
        <v>48</v>
      </c>
      <c r="F259" s="12">
        <f>VLOOKUP($B259&amp;"__wt",'SegEnds_Xtal_BW#'!$A:$Z,6,FALSE)</f>
        <v>51</v>
      </c>
      <c r="G259" s="12">
        <v>37</v>
      </c>
      <c r="H259" s="12">
        <v>66</v>
      </c>
      <c r="I259" s="12">
        <f>VLOOKUP($B259&amp;"__wt",'SegEnds_Xtal_BW#'!$A:$Z,9,FALSE)</f>
        <v>49</v>
      </c>
      <c r="J259" s="12">
        <f>VLOOKUP($B259&amp;"__wt",'SegEnds_Xtal_BW#'!$A:$Z,10,FALSE)</f>
        <v>52</v>
      </c>
      <c r="K259" s="12">
        <v>24</v>
      </c>
      <c r="L259" s="12">
        <f>VLOOKUP($B259&amp;"__wt",'SegEnds_Xtal_BW#'!$A:$Z,12,FALSE)</f>
        <v>56</v>
      </c>
      <c r="M259" s="12">
        <f>VLOOKUP($B259&amp;"__wt",'SegEnds_Xtal_BW#'!$A:$Z,13,FALSE)</f>
        <v>50</v>
      </c>
      <c r="N259" s="12">
        <v>58</v>
      </c>
      <c r="O259" s="89">
        <v>38</v>
      </c>
      <c r="P259" s="12">
        <f>VLOOKUP($B259&amp;"__wt",'SegEnds_Xtal_BW#'!$A:$Z,16,FALSE)</f>
        <v>64</v>
      </c>
      <c r="Q259" s="12">
        <f>VLOOKUP($B259&amp;"__wt",'SegEnds_Xtal_BW#'!$A:$Z,17,FALSE)</f>
        <v>50</v>
      </c>
      <c r="R259" s="12">
        <f>VLOOKUP($B259&amp;"__wt",'SegEnds_Xtal_BW#'!$A:$Z,18,FALSE)</f>
        <v>52</v>
      </c>
      <c r="S259" s="12">
        <f>VLOOKUP($B259&amp;"__wt",'SegEnds_Xtal_BW#'!$A:$Z,19,FALSE)</f>
        <v>33</v>
      </c>
      <c r="T259" s="12">
        <f t="array" ref="T259">INDEX('ICL3'!$G$2:$G$40,MATCH(MIN(ABS(AH259-'ICL3'!$F$2:$F$40)),ABS(AH259-'ICL3'!$F$2:$F$40),0))</f>
        <v>68</v>
      </c>
      <c r="U259" s="12">
        <f t="array" ref="U259">INDEX('ICL3'!$H$2:$H$40,MATCH(MIN(ABS(AH259-'ICL3'!$F$2:$F$40)),ABS(AH259-'ICL3'!$F$2:$F$40),0))</f>
        <v>30</v>
      </c>
      <c r="V259" s="12">
        <v>61</v>
      </c>
      <c r="W259" s="12">
        <v>28</v>
      </c>
      <c r="X259" s="12">
        <f>VLOOKUP($B259&amp;"__wt",'SegEnds_Xtal_BW#'!$A:$Z,24,FALSE)</f>
        <v>56</v>
      </c>
      <c r="Y259" s="12">
        <f>VLOOKUP($B259&amp;"__wt",'SegEnds_Xtal_BW#'!$A:$Z,25,FALSE)</f>
        <v>47</v>
      </c>
      <c r="Z259" s="12">
        <f>VLOOKUP($B259&amp;"__wt",'SegEnds_Xtal_BW#'!$A:$Z,26,FALSE)</f>
        <v>67</v>
      </c>
      <c r="AA259" s="37" t="str">
        <f>VLOOKUP(A259,Classification!A:B,2,FALSE)</f>
        <v>A</v>
      </c>
      <c r="AB259" s="12">
        <f>VLOOKUP(A259,'SegEnds_NonXtal_Prot#'!A:AL,10,FALSE)-VLOOKUP(A259,'SegEnds_NonXtal_Prot#'!A:AL,7,FALSE)</f>
        <v>15</v>
      </c>
      <c r="AC259" s="12">
        <f>VLOOKUP(A259,'SegEnds_NonXtal_Prot#'!A:AL,13,FALSE)-VLOOKUP(A259,'SegEnds_NonXtal_Prot#'!A:AL,10,FALSE)</f>
        <v>18</v>
      </c>
      <c r="AD259" s="12">
        <f>VLOOKUP(A259,'SegEnds_NonXtal_Prot#'!A:AL,16,FALSE)-VLOOKUP(A259,'SegEnds_NonXtal_Prot#'!A:AL,10,FALSE)</f>
        <v>50</v>
      </c>
      <c r="AE259" s="1">
        <f>VLOOKUP(A259,'SegEnds_NonXtal_Prot#'!A:AL,22,FALSE)-VLOOKUP(A259,'SegEnds_NonXtal_Prot#'!A:AL,19,FALSE)</f>
        <v>22</v>
      </c>
      <c r="AF259" s="12">
        <f>VLOOKUP(A259,'SegEnds_NonXtal_Prot#'!A:AL,28,FALSE)-VLOOKUP(A259,'SegEnds_NonXtal_Prot#'!A:AL,25,FALSE)</f>
        <v>23</v>
      </c>
      <c r="AG259" s="1">
        <f>VLOOKUP(A259,'SegEnds_NonXtal_Prot#'!A:AL,28,FALSE)-VLOOKUP(A259,'SegEnds_NonXtal_Prot#'!A:AL,22,FALSE)</f>
        <v>47</v>
      </c>
      <c r="AH259" s="12">
        <f>VLOOKUP(A259,'SegEnds_NonXtal_Prot#'!A:AL,31,FALSE)-VLOOKUP(A259,'SegEnds_NonXtal_Prot#'!A:AL,28,FALSE)</f>
        <v>43</v>
      </c>
      <c r="AI259" s="12">
        <f>VLOOKUP(A259,'SegEnds_NonXtal_Prot#'!A:AL,34,FALSE)-VLOOKUP(A259,'SegEnds_NonXtal_Prot#'!A:AL,31,FALSE)</f>
        <v>39</v>
      </c>
      <c r="AJ259" s="12" t="str">
        <f>IF(ISERROR(MATCH(A259,'SegEnds_Xtal_Prot#'!B:B, 0)), "NoXtal", "Xtal")</f>
        <v>NoXtal</v>
      </c>
    </row>
    <row r="260" spans="1:36" x14ac:dyDescent="0.2">
      <c r="A260" s="1" t="s">
        <v>192</v>
      </c>
      <c r="B260" s="1" t="str">
        <f>VLOOKUP(A260,Xtal_Templ!A:B,2,FALSE)</f>
        <v>drd3_human</v>
      </c>
      <c r="C260" s="5">
        <f>VLOOKUP($B260&amp;"__wt",'SegEnds_Xtal_BW#'!$A:$Z,3,FALSE)</f>
        <v>29</v>
      </c>
      <c r="D260" s="1">
        <f>VLOOKUP($B260&amp;"__wt",'SegEnds_Xtal_BW#'!$A:$Z,4,FALSE)</f>
        <v>60</v>
      </c>
      <c r="E260" s="1">
        <f>VLOOKUP($B260&amp;"__wt",'SegEnds_Xtal_BW#'!$A:$Z,5,FALSE)</f>
        <v>48</v>
      </c>
      <c r="F260" s="1">
        <f>VLOOKUP($B260&amp;"__wt",'SegEnds_Xtal_BW#'!$A:$Z,6,FALSE)</f>
        <v>51</v>
      </c>
      <c r="G260" s="1">
        <v>37</v>
      </c>
      <c r="H260" s="12">
        <f>VLOOKUP($B260&amp;"__wt",'SegEnds_Xtal_BW#'!$A:$Z,8,FALSE)</f>
        <v>67</v>
      </c>
      <c r="I260" s="1">
        <f>VLOOKUP($B260&amp;"__wt",'SegEnds_Xtal_BW#'!$A:$Z,9,FALSE)</f>
        <v>49</v>
      </c>
      <c r="J260" s="1">
        <f>VLOOKUP($B260&amp;"__wt",'SegEnds_Xtal_BW#'!$A:$Z,10,FALSE)</f>
        <v>52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f>VLOOKUP($B260&amp;"__wt",'SegEnds_Xtal_BW#'!$A:$Z,14,FALSE)</f>
        <v>58</v>
      </c>
      <c r="O260" s="89">
        <f>VLOOKUP($B260&amp;"__wt",'SegEnds_Xtal_BW#'!$A:$Z,15,FALSE)</f>
        <v>38</v>
      </c>
      <c r="P260" s="1">
        <f>VLOOKUP($B260&amp;"__wt",'SegEnds_Xtal_BW#'!$A:$Z,16,FALSE)</f>
        <v>63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v>35</v>
      </c>
      <c r="T260" s="1">
        <f t="array" ref="T260">INDEX('ICL3'!$G$2:$G$40,MATCH(MIN(ABS(AH260-'ICL3'!$F$2:$F$40)),ABS(AH260-'ICL3'!$F$2:$F$40),0))</f>
        <v>76</v>
      </c>
      <c r="U260" s="1">
        <f t="array" ref="U260">INDEX('ICL3'!$H$2:$H$40,MATCH(MIN(ABS(AH260-'ICL3'!$F$2:$F$40)),ABS(AH260-'ICL3'!$F$2:$F$40),0))</f>
        <v>24</v>
      </c>
      <c r="V260" s="1">
        <v>60</v>
      </c>
      <c r="W260" s="1">
        <v>31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59</v>
      </c>
      <c r="AA260" s="27" t="str">
        <f>VLOOKUP(A260,Classification!A:B,2,FALSE)</f>
        <v>A</v>
      </c>
      <c r="AB260" s="1">
        <f>VLOOKUP(A260,'SegEnds_NonXtal_Prot#'!A:AL,10,FALSE)-VLOOKUP(A260,'SegEnds_NonXtal_Prot#'!A:AL,7,FALSE)</f>
        <v>15</v>
      </c>
      <c r="AC260" s="1">
        <f>VLOOKUP(A260,'SegEnds_NonXtal_Prot#'!A:AL,13,FALSE)-VLOOKUP(A260,'SegEnds_NonXtal_Prot#'!A:AL,10,FALSE)</f>
        <v>21</v>
      </c>
      <c r="AD260" s="1">
        <f>VLOOKUP(A260,'SegEnds_NonXtal_Prot#'!A:AL,16,FALSE)-VLOOKUP(A260,'SegEnds_NonXtal_Prot#'!A:AL,10,FALSE)</f>
        <v>53</v>
      </c>
      <c r="AE260" s="1">
        <f>VLOOKUP(A260,'SegEnds_NonXtal_Prot#'!A:AL,22,FALSE)-VLOOKUP(A260,'SegEnds_NonXtal_Prot#'!A:AL,19,FALSE)</f>
        <v>23</v>
      </c>
      <c r="AF260" s="1">
        <f>VLOOKUP(A260,'SegEnds_NonXtal_Prot#'!A:AL,28,FALSE)-VLOOKUP(A260,'SegEnds_NonXtal_Prot#'!A:AL,25,FALSE)</f>
        <v>19</v>
      </c>
      <c r="AG260" s="1">
        <f>VLOOKUP(A260,'SegEnds_NonXtal_Prot#'!A:AL,28,FALSE)-VLOOKUP(A260,'SegEnds_NonXtal_Prot#'!A:AL,22,FALSE)</f>
        <v>42</v>
      </c>
      <c r="AH260" s="1">
        <f>VLOOKUP(A260,'SegEnds_NonXtal_Prot#'!A:AL,31,FALSE)-VLOOKUP(A260,'SegEnds_NonXtal_Prot#'!A:AL,28,FALSE)</f>
        <v>144</v>
      </c>
      <c r="AI260" s="1">
        <f>VLOOKUP(A260,'SegEnds_NonXtal_Prot#'!A:AL,34,FALSE)-VLOOKUP(A260,'SegEnds_NonXtal_Prot#'!A:AL,31,FALSE)</f>
        <v>36</v>
      </c>
      <c r="AJ260" s="1" t="str">
        <f>IF(ISERROR(MATCH(A260,'SegEnds_Xtal_Prot#'!B:B, 0)), "NoXtal", "Xtal")</f>
        <v>Xtal</v>
      </c>
    </row>
    <row r="261" spans="1:36" x14ac:dyDescent="0.2">
      <c r="A261" s="1" t="s">
        <v>142</v>
      </c>
      <c r="B261" s="1" t="str">
        <f>VLOOKUP(A261,Xtal_Templ!A:B,2,FALSE)</f>
        <v>ccr9_human</v>
      </c>
      <c r="C261" s="5">
        <f>VLOOKUP($B261&amp;"__wt",'SegEnds_Xtal_BW#'!$A:$Z,3,FALSE)</f>
        <v>27</v>
      </c>
      <c r="D261" s="1">
        <f>VLOOKUP($B261&amp;"__wt",'SegEnds_Xtal_BW#'!$A:$Z,4,FALSE)</f>
        <v>60</v>
      </c>
      <c r="E261" s="1">
        <f>VLOOKUP($B261&amp;"__wt",'SegEnds_Xtal_BW#'!$A:$Z,5,FALSE)</f>
        <v>48</v>
      </c>
      <c r="F261" s="1">
        <f>VLOOKUP($B261&amp;"__wt",'SegEnds_Xtal_BW#'!$A:$Z,6,FALSE)</f>
        <v>51</v>
      </c>
      <c r="G261" s="1">
        <v>37</v>
      </c>
      <c r="H261" s="12">
        <v>66</v>
      </c>
      <c r="I261" s="1">
        <f>VLOOKUP($B261&amp;"__wt",'SegEnds_Xtal_BW#'!$A:$Z,9,FALSE)</f>
        <v>49</v>
      </c>
      <c r="J261" s="1">
        <f>VLOOKUP($B261&amp;"__wt",'SegEnds_Xtal_BW#'!$A:$Z,10,FALSE)</f>
        <v>52</v>
      </c>
      <c r="K261" s="12">
        <v>24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f>VLOOKUP($B261&amp;"__wt",'SegEnds_Xtal_BW#'!$A:$Z,14,FALSE)</f>
        <v>56</v>
      </c>
      <c r="O261" s="89"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33</v>
      </c>
      <c r="T261" s="1">
        <f t="array" ref="T261">INDEX('ICL3'!$G$2:$G$40,MATCH(MIN(ABS(AH261-'ICL3'!$F$2:$F$40)),ABS(AH261-'ICL3'!$F$2:$F$40),0))</f>
        <v>64</v>
      </c>
      <c r="U261" s="1">
        <f t="array" ref="U261">INDEX('ICL3'!$H$2:$H$40,MATCH(MIN(ABS(AH261-'ICL3'!$F$2:$F$40)),ABS(AH261-'ICL3'!$F$2:$F$40),0))</f>
        <v>34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67</v>
      </c>
      <c r="AA261" s="27" t="str">
        <f>VLOOKUP(A261,Classification!A:B,2,FALSE)</f>
        <v>A</v>
      </c>
      <c r="AB261" s="1" t="e">
        <f>VLOOKUP(A261,'SegEnds_NonXtal_Prot#'!A:AL,10,FALSE)-VLOOKUP(A261,'SegEnds_NonXtal_Prot#'!A:AL,7,FALSE)</f>
        <v>#VALUE!</v>
      </c>
      <c r="AC261" s="1" t="e">
        <f>VLOOKUP(A261,'SegEnds_NonXtal_Prot#'!A:AL,13,FALSE)-VLOOKUP(A261,'SegEnds_NonXtal_Prot#'!A:AL,10,FALSE)</f>
        <v>#VALUE!</v>
      </c>
      <c r="AD261" s="1">
        <f>VLOOKUP(A261,'SegEnds_NonXtal_Prot#'!A:AL,16,FALSE)-VLOOKUP(A261,'SegEnds_NonXtal_Prot#'!A:AL,10,FALSE)</f>
        <v>48</v>
      </c>
      <c r="AE261" s="1" t="e">
        <f>VLOOKUP(A261,'SegEnds_NonXtal_Prot#'!A:AL,22,FALSE)-VLOOKUP(A261,'SegEnds_NonXtal_Prot#'!A:AL,19,FALSE)</f>
        <v>#VALUE!</v>
      </c>
      <c r="AF261" s="1">
        <f>VLOOKUP(A261,'SegEnds_NonXtal_Prot#'!A:AL,28,FALSE)-VLOOKUP(A261,'SegEnds_NonXtal_Prot#'!A:AL,25,FALSE)</f>
        <v>23</v>
      </c>
      <c r="AG261" s="1">
        <f>VLOOKUP(A261,'SegEnds_NonXtal_Prot#'!A:AL,28,FALSE)-VLOOKUP(A261,'SegEnds_NonXtal_Prot#'!A:AL,22,FALSE)</f>
        <v>44</v>
      </c>
      <c r="AH261" s="1">
        <f>VLOOKUP(A261,'SegEnds_NonXtal_Prot#'!A:AL,31,FALSE)-VLOOKUP(A261,'SegEnds_NonXtal_Prot#'!A:AL,28,FALSE)</f>
        <v>37</v>
      </c>
      <c r="AI261" s="1">
        <f>VLOOKUP(A261,'SegEnds_NonXtal_Prot#'!A:AL,34,FALSE)-VLOOKUP(A261,'SegEnds_NonXtal_Prot#'!A:AL,31,FALSE)</f>
        <v>46</v>
      </c>
      <c r="AJ261" s="1" t="str">
        <f>IF(ISERROR(MATCH(A261,'SegEnds_Xtal_Prot#'!B:B, 0)), "NoXtal", "Xtal")</f>
        <v>NoXtal</v>
      </c>
    </row>
    <row r="262" spans="1:36" x14ac:dyDescent="0.2">
      <c r="A262" s="1" t="s">
        <v>144</v>
      </c>
      <c r="B262" s="1" t="str">
        <f>VLOOKUP(A262,Xtal_Templ!A:B,2,FALSE)</f>
        <v>agtr1_human</v>
      </c>
      <c r="C262" s="5">
        <f>VLOOKUP($B262&amp;"__wt",'SegEnds_Xtal_BW#'!$A:$Z,3,FALSE)</f>
        <v>30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2">
        <f>VLOOKUP($B262&amp;"__wt",'SegEnds_Xtal_BW#'!$A:$Z,14,FALSE)</f>
        <v>57</v>
      </c>
      <c r="O262" s="89">
        <f>VLOOKUP($B262&amp;"__wt",'SegEnds_Xtal_BW#'!$A:$Z,15,FALSE)</f>
        <v>38</v>
      </c>
      <c r="P262" s="1">
        <f>VLOOKUP($B262&amp;"__wt",'SegEnds_Xtal_BW#'!$A:$Z,16,FALSE)</f>
        <v>64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34</v>
      </c>
      <c r="T262" s="1">
        <f t="array" ref="T262">INDEX('ICL3'!$G$2:$G$40,MATCH(MIN(ABS(AH262-'ICL3'!$F$2:$F$40)),ABS(AH262-'ICL3'!$F$2:$F$40),0))</f>
        <v>68</v>
      </c>
      <c r="U262" s="1">
        <f t="array" ref="U262">INDEX('ICL3'!$H$2:$H$40,MATCH(MIN(ABS(AH262-'ICL3'!$F$2:$F$40)),ABS(AH262-'ICL3'!$F$2:$F$40),0))</f>
        <v>30</v>
      </c>
      <c r="V262" s="1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VLOOKUP(A262,'SegEnds_NonXtal_Prot#'!A:AL,10,FALSE)-VLOOKUP(A262,'SegEnds_NonXtal_Prot#'!A:AL,7,FALSE)</f>
        <v>15</v>
      </c>
      <c r="AC262" s="1">
        <f>VLOOKUP(A262,'SegEnds_NonXtal_Prot#'!A:AL,13,FALSE)-VLOOKUP(A262,'SegEnds_NonXtal_Prot#'!A:AL,10,FALSE)</f>
        <v>20</v>
      </c>
      <c r="AD262" s="1">
        <f>VLOOKUP(A262,'SegEnds_NonXtal_Prot#'!A:AL,16,FALSE)-VLOOKUP(A262,'SegEnds_NonXtal_Prot#'!A:AL,10,FALSE)</f>
        <v>52</v>
      </c>
      <c r="AE262" s="1" t="e">
        <f>VLOOKUP(A262,'SegEnds_NonXtal_Prot#'!A:AL,22,FALSE)-VLOOKUP(A262,'SegEnds_NonXtal_Prot#'!A:AL,19,FALSE)</f>
        <v>#VALUE!</v>
      </c>
      <c r="AF262" s="1">
        <f>VLOOKUP(A262,'SegEnds_NonXtal_Prot#'!A:AL,28,FALSE)-VLOOKUP(A262,'SegEnds_NonXtal_Prot#'!A:AL,25,FALSE)</f>
        <v>28</v>
      </c>
      <c r="AG262" s="1">
        <f>VLOOKUP(A262,'SegEnds_NonXtal_Prot#'!A:AL,28,FALSE)-VLOOKUP(A262,'SegEnds_NonXtal_Prot#'!A:AL,22,FALSE)</f>
        <v>55</v>
      </c>
      <c r="AH262" s="1">
        <f>VLOOKUP(A262,'SegEnds_NonXtal_Prot#'!A:AL,31,FALSE)-VLOOKUP(A262,'SegEnds_NonXtal_Prot#'!A:AL,28,FALSE)</f>
        <v>43</v>
      </c>
      <c r="AI262" s="1">
        <f>VLOOKUP(A262,'SegEnds_NonXtal_Prot#'!A:AL,34,FALSE)-VLOOKUP(A262,'SegEnds_NonXtal_Prot#'!A:AL,31,FALSE)</f>
        <v>45</v>
      </c>
      <c r="AJ262" s="1" t="str">
        <f>IF(ISERROR(MATCH(A262,'SegEnds_Xtal_Prot#'!B:B, 0)), "NoXtal", "Xtal")</f>
        <v>NoXtal</v>
      </c>
    </row>
    <row r="263" spans="1:36" x14ac:dyDescent="0.2">
      <c r="A263" s="1" t="s">
        <v>145</v>
      </c>
      <c r="B263" s="1" t="str">
        <f>VLOOKUP(A263,Xtal_Templ!A:B,2,FALSE)</f>
        <v>ccr9_human</v>
      </c>
      <c r="C263" s="5">
        <f>VLOOKUP($B263&amp;"__wt",'SegEnds_Xtal_BW#'!$A:$Z,3,FALSE)</f>
        <v>27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11">
        <v>21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f>VLOOKUP($B263&amp;"__wt",'SegEnds_Xtal_BW#'!$A:$Z,14,FALSE)</f>
        <v>56</v>
      </c>
      <c r="O263" s="89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f>VLOOKUP($B263&amp;"__wt",'SegEnds_Xtal_BW#'!$A:$Z,19,FALSE)</f>
        <v>33</v>
      </c>
      <c r="T263" s="1">
        <f t="array" ref="T263">INDEX('ICL3'!$G$2:$G$40,MATCH(MIN(ABS(AH263-'ICL3'!$F$2:$F$40)),ABS(AH263-'ICL3'!$F$2:$F$40),0))</f>
        <v>68</v>
      </c>
      <c r="U263" s="1">
        <f t="array" ref="U263">INDEX('ICL3'!$H$2:$H$40,MATCH(MIN(ABS(AH263-'ICL3'!$F$2:$F$40)),ABS(AH263-'ICL3'!$F$2:$F$40),0))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67</v>
      </c>
      <c r="AA263" s="27" t="str">
        <f>VLOOKUP(A263,Classification!A:B,2,FALSE)</f>
        <v>A</v>
      </c>
      <c r="AB263" s="1">
        <f>VLOOKUP(A263,'SegEnds_NonXtal_Prot#'!A:AL,10,FALSE)-VLOOKUP(A263,'SegEnds_NonXtal_Prot#'!A:AL,7,FALSE)</f>
        <v>15</v>
      </c>
      <c r="AC263" s="1">
        <f>VLOOKUP(A263,'SegEnds_NonXtal_Prot#'!A:AL,13,FALSE)-VLOOKUP(A263,'SegEnds_NonXtal_Prot#'!A:AL,10,FALSE)</f>
        <v>18</v>
      </c>
      <c r="AD263" s="1">
        <f>VLOOKUP(A263,'SegEnds_NonXtal_Prot#'!A:AL,16,FALSE)-VLOOKUP(A263,'SegEnds_NonXtal_Prot#'!A:AL,10,FALSE)</f>
        <v>50</v>
      </c>
      <c r="AE263" s="1" t="e">
        <f>VLOOKUP(A263,'SegEnds_NonXtal_Prot#'!A:AL,22,FALSE)-VLOOKUP(A263,'SegEnds_NonXtal_Prot#'!A:AL,19,FALSE)</f>
        <v>#VALUE!</v>
      </c>
      <c r="AF263" s="1">
        <f>VLOOKUP(A263,'SegEnds_NonXtal_Prot#'!A:AL,28,FALSE)-VLOOKUP(A263,'SegEnds_NonXtal_Prot#'!A:AL,25,FALSE)</f>
        <v>28</v>
      </c>
      <c r="AG263" s="1">
        <f>VLOOKUP(A263,'SegEnds_NonXtal_Prot#'!A:AL,28,FALSE)-VLOOKUP(A263,'SegEnds_NonXtal_Prot#'!A:AL,22,FALSE)</f>
        <v>50</v>
      </c>
      <c r="AH263" s="1">
        <f>VLOOKUP(A263,'SegEnds_NonXtal_Prot#'!A:AL,31,FALSE)-VLOOKUP(A263,'SegEnds_NonXtal_Prot#'!A:AL,28,FALSE)</f>
        <v>43</v>
      </c>
      <c r="AI263" s="1">
        <f>VLOOKUP(A263,'SegEnds_NonXtal_Prot#'!A:AL,34,FALSE)-VLOOKUP(A263,'SegEnds_NonXtal_Prot#'!A:AL,31,FALSE)</f>
        <v>45</v>
      </c>
      <c r="AJ263" s="1" t="str">
        <f>IF(ISERROR(MATCH(A263,'SegEnds_Xtal_Prot#'!B:B, 0)), "NoXtal", "Xtal")</f>
        <v>NoXtal</v>
      </c>
    </row>
    <row r="264" spans="1:36" x14ac:dyDescent="0.2">
      <c r="A264" s="1" t="s">
        <v>169</v>
      </c>
      <c r="B264" s="1" t="str">
        <f>VLOOKUP(A264,Xtal_Templ!A:B,2,FALSE)</f>
        <v>ccr9_human</v>
      </c>
      <c r="C264" s="5">
        <f>VLOOKUP($B264&amp;"__wt",'SegEnds_Xtal_BW#'!$A:$Z,3,FALSE)</f>
        <v>27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24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56</v>
      </c>
      <c r="O264" s="89"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33</v>
      </c>
      <c r="T264" s="1">
        <f t="array" ref="T264">INDEX('ICL3'!$G$2:$G$40,MATCH(MIN(ABS(AH264-'ICL3'!$F$2:$F$40)),ABS(AH264-'ICL3'!$F$2:$F$40),0))</f>
        <v>68</v>
      </c>
      <c r="U264" s="1">
        <f t="array" ref="U264">INDEX('ICL3'!$H$2:$H$40,MATCH(MIN(ABS(AH264-'ICL3'!$F$2:$F$40)),ABS(AH264-'ICL3'!$F$2:$F$40),0))</f>
        <v>30</v>
      </c>
      <c r="V264" s="1">
        <v>65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67</v>
      </c>
      <c r="AA264" s="27" t="str">
        <f>VLOOKUP(A264,Classification!A:B,2,FALSE)</f>
        <v>A</v>
      </c>
      <c r="AB264" s="1">
        <f>VLOOKUP(A264,'SegEnds_NonXtal_Prot#'!A:AL,10,FALSE)-VLOOKUP(A264,'SegEnds_NonXtal_Prot#'!A:AL,7,FALSE)</f>
        <v>16</v>
      </c>
      <c r="AC264" s="1">
        <f>VLOOKUP(A264,'SegEnds_NonXtal_Prot#'!A:AL,13,FALSE)-VLOOKUP(A264,'SegEnds_NonXtal_Prot#'!A:AL,10,FALSE)</f>
        <v>18</v>
      </c>
      <c r="AD264" s="1">
        <f>VLOOKUP(A264,'SegEnds_NonXtal_Prot#'!A:AL,16,FALSE)-VLOOKUP(A264,'SegEnds_NonXtal_Prot#'!A:AL,10,FALSE)</f>
        <v>50</v>
      </c>
      <c r="AE264" s="1" t="e">
        <f>VLOOKUP(A264,'SegEnds_NonXtal_Prot#'!A:AL,22,FALSE)-VLOOKUP(A264,'SegEnds_NonXtal_Prot#'!A:AL,19,FALSE)</f>
        <v>#VALUE!</v>
      </c>
      <c r="AF264" s="1">
        <f>VLOOKUP(A264,'SegEnds_NonXtal_Prot#'!A:AL,28,FALSE)-VLOOKUP(A264,'SegEnds_NonXtal_Prot#'!A:AL,25,FALSE)</f>
        <v>28</v>
      </c>
      <c r="AG264" s="1">
        <f>VLOOKUP(A264,'SegEnds_NonXtal_Prot#'!A:AL,28,FALSE)-VLOOKUP(A264,'SegEnds_NonXtal_Prot#'!A:AL,22,FALSE)</f>
        <v>53</v>
      </c>
      <c r="AH264" s="1">
        <f>VLOOKUP(A264,'SegEnds_NonXtal_Prot#'!A:AL,31,FALSE)-VLOOKUP(A264,'SegEnds_NonXtal_Prot#'!A:AL,28,FALSE)</f>
        <v>43</v>
      </c>
      <c r="AI264" s="1">
        <f>VLOOKUP(A264,'SegEnds_NonXtal_Prot#'!A:AL,34,FALSE)-VLOOKUP(A264,'SegEnds_NonXtal_Prot#'!A:AL,31,FALSE)</f>
        <v>45</v>
      </c>
      <c r="AJ264" s="1" t="str">
        <f>IF(ISERROR(MATCH(A264,'SegEnds_Xtal_Prot#'!B:B, 0)), "NoXtal", "Xtal")</f>
        <v>NoXtal</v>
      </c>
    </row>
    <row r="265" spans="1:36" x14ac:dyDescent="0.2">
      <c r="A265" s="1" t="s">
        <v>214</v>
      </c>
      <c r="B265" s="1" t="str">
        <f>VLOOKUP(A265,Xtal_Templ!A:B,2,FALSE)</f>
        <v>p2ry1_human</v>
      </c>
      <c r="C265" s="5">
        <f>VLOOKUP($B265&amp;"__wt",'SegEnds_Xtal_BW#'!$A:$Z,3,FALSE)</f>
        <v>30</v>
      </c>
      <c r="D265" s="1">
        <f>VLOOKUP($B265&amp;"__wt",'SegEnds_Xtal_BW#'!$A:$Z,4,FALSE)</f>
        <v>60</v>
      </c>
      <c r="E265" s="1" t="str">
        <f>VLOOKUP($B265&amp;"__wt",'SegEnds_Xtal_BW#'!$A:$Z,5,FALSE)</f>
        <v>-</v>
      </c>
      <c r="F265" s="1" t="str">
        <f>VLOOKUP($B265&amp;"__wt",'SegEnds_Xtal_BW#'!$A:$Z,6,FALSE)</f>
        <v>-</v>
      </c>
      <c r="G265" s="1">
        <v>37</v>
      </c>
      <c r="H265" s="12">
        <f>VLOOKUP($B265&amp;"__wt",'SegEnds_Xtal_BW#'!$A:$Z,8,FALSE)</f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2">
        <v>18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57</v>
      </c>
      <c r="O265" s="89">
        <f>VLOOKUP($B265&amp;"__wt",'SegEnds_Xtal_BW#'!$A:$Z,15,FALSE)</f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32</v>
      </c>
      <c r="T265" s="1">
        <f t="array" ref="T265">INDEX('ICL3'!$G$2:$G$40,MATCH(MIN(ABS(AH265-'ICL3'!$F$2:$F$40)),ABS(AH265-'ICL3'!$F$2:$F$40),0))</f>
        <v>67</v>
      </c>
      <c r="U265" s="1">
        <f t="array" ref="U265">INDEX('ICL3'!$H$2:$H$40,MATCH(MIN(ABS(AH265-'ICL3'!$F$2:$F$40)),ABS(AH265-'ICL3'!$F$2:$F$40),0))</f>
        <v>26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59</v>
      </c>
      <c r="AA265" s="27" t="str">
        <f>VLOOKUP(A265,Classification!A:B,2,FALSE)</f>
        <v>A</v>
      </c>
      <c r="AB265" s="1" t="e">
        <f>VLOOKUP(A265,'SegEnds_NonXtal_Prot#'!A:AL,10,FALSE)-VLOOKUP(A265,'SegEnds_NonXtal_Prot#'!A:AL,7,FALSE)</f>
        <v>#VALUE!</v>
      </c>
      <c r="AC265" s="1">
        <f>VLOOKUP(A265,'SegEnds_NonXtal_Prot#'!A:AL,13,FALSE)-VLOOKUP(A265,'SegEnds_NonXtal_Prot#'!A:AL,10,FALSE)</f>
        <v>20</v>
      </c>
      <c r="AD265" s="1">
        <f>VLOOKUP(A265,'SegEnds_NonXtal_Prot#'!A:AL,16,FALSE)-VLOOKUP(A265,'SegEnds_NonXtal_Prot#'!A:AL,10,FALSE)</f>
        <v>52</v>
      </c>
      <c r="AE265" s="1" t="e">
        <f>VLOOKUP(A265,'SegEnds_NonXtal_Prot#'!A:AL,22,FALSE)-VLOOKUP(A265,'SegEnds_NonXtal_Prot#'!A:AL,19,FALSE)</f>
        <v>#VALUE!</v>
      </c>
      <c r="AF265" s="1">
        <f>VLOOKUP(A265,'SegEnds_NonXtal_Prot#'!A:AL,28,FALSE)-VLOOKUP(A265,'SegEnds_NonXtal_Prot#'!A:AL,25,FALSE)</f>
        <v>25</v>
      </c>
      <c r="AG265" s="1">
        <f>VLOOKUP(A265,'SegEnds_NonXtal_Prot#'!A:AL,28,FALSE)-VLOOKUP(A265,'SegEnds_NonXtal_Prot#'!A:AL,22,FALSE)</f>
        <v>44</v>
      </c>
      <c r="AH265" s="1">
        <f>VLOOKUP(A265,'SegEnds_NonXtal_Prot#'!A:AL,31,FALSE)-VLOOKUP(A265,'SegEnds_NonXtal_Prot#'!A:AL,28,FALSE)</f>
        <v>46</v>
      </c>
      <c r="AI265" s="1">
        <f>VLOOKUP(A265,'SegEnds_NonXtal_Prot#'!A:AL,34,FALSE)-VLOOKUP(A265,'SegEnds_NonXtal_Prot#'!A:AL,31,FALSE)</f>
        <v>48</v>
      </c>
      <c r="AJ265" s="1" t="str">
        <f>IF(ISERROR(MATCH(A265,'SegEnds_Xtal_Prot#'!B:B, 0)), "NoXtal", "Xtal")</f>
        <v>NoXtal</v>
      </c>
    </row>
    <row r="266" spans="1:36" x14ac:dyDescent="0.2">
      <c r="A266" s="1" t="s">
        <v>215</v>
      </c>
      <c r="B266" s="1" t="str">
        <f>VLOOKUP(A266,Xtal_Templ!A:B,2,FALSE)</f>
        <v>ox1r_human</v>
      </c>
      <c r="C266" s="5">
        <f>VLOOKUP($B266&amp;"__wt",'SegEnds_Xtal_BW#'!$A:$Z,3,FALSE)</f>
        <v>32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f>VLOOKUP($B266&amp;"__wt",'SegEnds_Xtal_BW#'!$A:$Z,8,FALSE)</f>
        <v>67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18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v>56</v>
      </c>
      <c r="O266" s="89">
        <f>VLOOKUP($B266&amp;"__wt",'SegEnds_Xtal_BW#'!$A:$Z,15,FALSE)</f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32</v>
      </c>
      <c r="T266" s="1">
        <f t="array" ref="T266">INDEX('ICL3'!$G$2:$G$40,MATCH(MIN(ABS(AH266-'ICL3'!$F$2:$F$40)),ABS(AH266-'ICL3'!$F$2:$F$40),0))</f>
        <v>72</v>
      </c>
      <c r="U266" s="1">
        <f t="array" ref="U266">INDEX('ICL3'!$H$2:$H$40,MATCH(MIN(ABS(AH266-'ICL3'!$F$2:$F$40)),ABS(AH266-'ICL3'!$F$2:$F$40),0))</f>
        <v>24</v>
      </c>
      <c r="V266" s="1">
        <v>61</v>
      </c>
      <c r="W266" s="1">
        <v>28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58</v>
      </c>
      <c r="AA266" s="27" t="str">
        <f>VLOOKUP(A266,Classification!A:B,2,FALSE)</f>
        <v>A</v>
      </c>
      <c r="AB266" s="1">
        <f>VLOOKUP(A266,'SegEnds_NonXtal_Prot#'!A:AL,10,FALSE)-VLOOKUP(A266,'SegEnds_NonXtal_Prot#'!A:AL,7,FALSE)</f>
        <v>15</v>
      </c>
      <c r="AC266" s="1" t="e">
        <f>VLOOKUP(A266,'SegEnds_NonXtal_Prot#'!A:AL,13,FALSE)-VLOOKUP(A266,'SegEnds_NonXtal_Prot#'!A:AL,10,FALSE)</f>
        <v>#VALUE!</v>
      </c>
      <c r="AD266" s="1">
        <f>VLOOKUP(A266,'SegEnds_NonXtal_Prot#'!A:AL,16,FALSE)-VLOOKUP(A266,'SegEnds_NonXtal_Prot#'!A:AL,10,FALSE)</f>
        <v>60</v>
      </c>
      <c r="AE266" s="1" t="e">
        <f>VLOOKUP(A266,'SegEnds_NonXtal_Prot#'!A:AL,22,FALSE)-VLOOKUP(A266,'SegEnds_NonXtal_Prot#'!A:AL,19,FALSE)</f>
        <v>#VALUE!</v>
      </c>
      <c r="AF266" s="1">
        <f>VLOOKUP(A266,'SegEnds_NonXtal_Prot#'!A:AL,28,FALSE)-VLOOKUP(A266,'SegEnds_NonXtal_Prot#'!A:AL,25,FALSE)</f>
        <v>27</v>
      </c>
      <c r="AG266" s="1">
        <f>VLOOKUP(A266,'SegEnds_NonXtal_Prot#'!A:AL,28,FALSE)-VLOOKUP(A266,'SegEnds_NonXtal_Prot#'!A:AL,22,FALSE)</f>
        <v>55</v>
      </c>
      <c r="AH266" s="1">
        <f>VLOOKUP(A266,'SegEnds_NonXtal_Prot#'!A:AL,31,FALSE)-VLOOKUP(A266,'SegEnds_NonXtal_Prot#'!A:AL,28,FALSE)</f>
        <v>57</v>
      </c>
      <c r="AI266" s="1">
        <f>VLOOKUP(A266,'SegEnds_NonXtal_Prot#'!A:AL,34,FALSE)-VLOOKUP(A266,'SegEnds_NonXtal_Prot#'!A:AL,31,FALSE)</f>
        <v>38</v>
      </c>
      <c r="AJ266" s="1" t="str">
        <f>IF(ISERROR(MATCH(A266,'SegEnds_Xtal_Prot#'!B:B, 0)), "NoXtal", "Xtal")</f>
        <v>NoXtal</v>
      </c>
    </row>
    <row r="267" spans="1:36" x14ac:dyDescent="0.2">
      <c r="A267" s="1" t="s">
        <v>219</v>
      </c>
      <c r="B267" s="1" t="str">
        <f>VLOOKUP(A267,Xtal_Templ!A:B,2,FALSE)</f>
        <v>agtr1_human</v>
      </c>
      <c r="C267" s="5">
        <f>VLOOKUP($B267&amp;"__wt",'SegEnds_Xtal_BW#'!$A:$Z,3,FALSE)</f>
        <v>30</v>
      </c>
      <c r="D267" s="1">
        <f>VLOOKUP($B267&amp;"__wt",'SegEnds_Xtal_BW#'!$A:$Z,4,FALSE)</f>
        <v>60</v>
      </c>
      <c r="E267" s="1">
        <f>VLOOKUP($B267&amp;"__wt",'SegEnds_Xtal_BW#'!$A:$Z,5,FALSE)</f>
        <v>48</v>
      </c>
      <c r="F267" s="1">
        <f>VLOOKUP($B267&amp;"__wt",'SegEnds_Xtal_BW#'!$A:$Z,6,FALSE)</f>
        <v>51</v>
      </c>
      <c r="G267" s="1">
        <v>37</v>
      </c>
      <c r="H267" s="12">
        <v>63</v>
      </c>
      <c r="I267" s="1">
        <f>VLOOKUP($B267&amp;"__wt",'SegEnds_Xtal_BW#'!$A:$Z,9,FALSE)</f>
        <v>49</v>
      </c>
      <c r="J267" s="1">
        <f>VLOOKUP($B267&amp;"__wt",'SegEnds_Xtal_BW#'!$A:$Z,10,FALSE)</f>
        <v>52</v>
      </c>
      <c r="K267" s="12">
        <v>24</v>
      </c>
      <c r="L267" s="1">
        <f>VLOOKUP($B267&amp;"__wt",'SegEnds_Xtal_BW#'!$A:$Z,12,FALSE)</f>
        <v>56</v>
      </c>
      <c r="M267" s="1">
        <f>VLOOKUP($B267&amp;"__wt",'SegEnds_Xtal_BW#'!$A:$Z,13,FALSE)</f>
        <v>50</v>
      </c>
      <c r="N267" s="12">
        <v>56</v>
      </c>
      <c r="O267" s="89">
        <v>38</v>
      </c>
      <c r="P267" s="1">
        <f>VLOOKUP($B267&amp;"__wt",'SegEnds_Xtal_BW#'!$A:$Z,16,FALSE)</f>
        <v>64</v>
      </c>
      <c r="Q267" s="1">
        <f>VLOOKUP($B267&amp;"__wt",'SegEnds_Xtal_BW#'!$A:$Z,17,FALSE)</f>
        <v>50</v>
      </c>
      <c r="R267" s="1">
        <f>VLOOKUP($B267&amp;"__wt",'SegEnds_Xtal_BW#'!$A:$Z,18,FALSE)</f>
        <v>52</v>
      </c>
      <c r="S267" s="1">
        <f>VLOOKUP($B267&amp;"__wt",'SegEnds_Xtal_BW#'!$A:$Z,19,FALSE)</f>
        <v>34</v>
      </c>
      <c r="T267" s="1">
        <f t="array" ref="T267">INDEX('ICL3'!$G$2:$G$40,MATCH(MIN(ABS(AH267-'ICL3'!$F$2:$F$40)),ABS(AH267-'ICL3'!$F$2:$F$40),0))</f>
        <v>68</v>
      </c>
      <c r="U267" s="1">
        <f t="array" ref="U267">INDEX('ICL3'!$H$2:$H$40,MATCH(MIN(ABS(AH267-'ICL3'!$F$2:$F$40)),ABS(AH267-'ICL3'!$F$2:$F$40),0))</f>
        <v>24</v>
      </c>
      <c r="V267" s="1">
        <v>64</v>
      </c>
      <c r="W267" s="1">
        <v>24</v>
      </c>
      <c r="X267" s="1">
        <f>VLOOKUP($B267&amp;"__wt",'SegEnds_Xtal_BW#'!$A:$Z,24,FALSE)</f>
        <v>56</v>
      </c>
      <c r="Y267" s="1">
        <f>VLOOKUP($B267&amp;"__wt",'SegEnds_Xtal_BW#'!$A:$Z,25,FALSE)</f>
        <v>47</v>
      </c>
      <c r="Z267" s="1">
        <f>VLOOKUP($B267&amp;"__wt",'SegEnds_Xtal_BW#'!$A:$Z,26,FALSE)</f>
        <v>61</v>
      </c>
      <c r="AA267" s="27" t="str">
        <f>VLOOKUP(A267,Classification!A:B,2,FALSE)</f>
        <v>A</v>
      </c>
      <c r="AB267" s="1" t="e">
        <f>VLOOKUP(A267,'SegEnds_NonXtal_Prot#'!A:AL,10,FALSE)-VLOOKUP(A267,'SegEnds_NonXtal_Prot#'!A:AL,7,FALSE)</f>
        <v>#VALUE!</v>
      </c>
      <c r="AC267" s="1">
        <f>VLOOKUP(A267,'SegEnds_NonXtal_Prot#'!A:AL,13,FALSE)-VLOOKUP(A267,'SegEnds_NonXtal_Prot#'!A:AL,10,FALSE)</f>
        <v>17</v>
      </c>
      <c r="AD267" s="1">
        <f>VLOOKUP(A267,'SegEnds_NonXtal_Prot#'!A:AL,16,FALSE)-VLOOKUP(A267,'SegEnds_NonXtal_Prot#'!A:AL,10,FALSE)</f>
        <v>49</v>
      </c>
      <c r="AE267" s="1" t="e">
        <f>VLOOKUP(A267,'SegEnds_NonXtal_Prot#'!A:AL,22,FALSE)-VLOOKUP(A267,'SegEnds_NonXtal_Prot#'!A:AL,19,FALSE)</f>
        <v>#VALUE!</v>
      </c>
      <c r="AF267" s="1" t="e">
        <f>VLOOKUP(A267,'SegEnds_NonXtal_Prot#'!A:AL,28,FALSE)-VLOOKUP(A267,'SegEnds_NonXtal_Prot#'!A:AL,25,FALSE)</f>
        <v>#VALUE!</v>
      </c>
      <c r="AG267" s="1">
        <f>VLOOKUP(A267,'SegEnds_NonXtal_Prot#'!A:AL,28,FALSE)-VLOOKUP(A267,'SegEnds_NonXtal_Prot#'!A:AL,22,FALSE)</f>
        <v>47</v>
      </c>
      <c r="AH267" s="1">
        <f>VLOOKUP(A267,'SegEnds_NonXtal_Prot#'!A:AL,31,FALSE)-VLOOKUP(A267,'SegEnds_NonXtal_Prot#'!A:AL,28,FALSE)</f>
        <v>49</v>
      </c>
      <c r="AI267" s="1">
        <f>VLOOKUP(A267,'SegEnds_NonXtal_Prot#'!A:AL,34,FALSE)-VLOOKUP(A267,'SegEnds_NonXtal_Prot#'!A:AL,31,FALSE)</f>
        <v>45</v>
      </c>
      <c r="AJ267" s="1" t="str">
        <f>IF(ISERROR(MATCH(A267,'SegEnds_Xtal_Prot#'!B:B, 0)), "NoXtal", "Xtal")</f>
        <v>NoXtal</v>
      </c>
    </row>
    <row r="268" spans="1:36" x14ac:dyDescent="0.2">
      <c r="A268" s="1" t="s">
        <v>221</v>
      </c>
      <c r="B268" s="1" t="str">
        <f>VLOOKUP(A268,Xtal_Templ!A:B,2,FALSE)</f>
        <v>s1pr1_human</v>
      </c>
      <c r="C268" s="5">
        <f>VLOOKUP($B268&amp;"__wt",'SegEnds_Xtal_BW#'!$A:$Z,3,FALSE)</f>
        <v>29</v>
      </c>
      <c r="D268" s="1">
        <f>VLOOKUP($B268&amp;"__wt",'SegEnds_Xtal_BW#'!$A:$Z,4,FALSE)</f>
        <v>60</v>
      </c>
      <c r="E268" s="1">
        <f>VLOOKUP($B268&amp;"__wt",'SegEnds_Xtal_BW#'!$A:$Z,5,FALSE)</f>
        <v>48</v>
      </c>
      <c r="F268" s="1">
        <f>VLOOKUP($B268&amp;"__wt",'SegEnds_Xtal_BW#'!$A:$Z,6,FALSE)</f>
        <v>51</v>
      </c>
      <c r="G268" s="1">
        <v>37</v>
      </c>
      <c r="H268" s="12">
        <v>67</v>
      </c>
      <c r="I268" s="1">
        <f>VLOOKUP($B268&amp;"__wt",'SegEnds_Xtal_BW#'!$A:$Z,9,FALSE)</f>
        <v>47</v>
      </c>
      <c r="J268" s="1">
        <f>VLOOKUP($B268&amp;"__wt",'SegEnds_Xtal_BW#'!$A:$Z,10,FALSE)</f>
        <v>53</v>
      </c>
      <c r="K268" s="12">
        <v>18</v>
      </c>
      <c r="L268" s="1">
        <f>VLOOKUP($B268&amp;"__wt",'SegEnds_Xtal_BW#'!$A:$Z,12,FALSE)</f>
        <v>56</v>
      </c>
      <c r="M268" s="1">
        <f>VLOOKUP($B268&amp;"__wt",'SegEnds_Xtal_BW#'!$A:$Z,13,FALSE)</f>
        <v>50</v>
      </c>
      <c r="N268" s="12" t="s">
        <v>23</v>
      </c>
      <c r="O268" s="89">
        <f>VLOOKUP($B268&amp;"__wt",'SegEnds_Xtal_BW#'!$A:$Z,15,FALSE)</f>
        <v>38</v>
      </c>
      <c r="P268" s="1">
        <f>VLOOKUP($B268&amp;"__wt",'SegEnds_Xtal_BW#'!$A:$Z,16,FALSE)</f>
        <v>63</v>
      </c>
      <c r="Q268" s="1" t="str">
        <f>VLOOKUP($B268&amp;"__wt",'SegEnds_Xtal_BW#'!$A:$Z,17,FALSE)</f>
        <v>-</v>
      </c>
      <c r="R268" s="1" t="str">
        <f>VLOOKUP($B268&amp;"__wt",'SegEnds_Xtal_BW#'!$A:$Z,18,FALSE)</f>
        <v>-</v>
      </c>
      <c r="S268" s="1">
        <f>VLOOKUP($B268&amp;"__wt",'SegEnds_Xtal_BW#'!$A:$Z,19,FALSE)</f>
        <v>36</v>
      </c>
      <c r="T268" s="1">
        <f t="array" ref="T268">INDEX('ICL3'!$G$2:$G$40,MATCH(MIN(ABS(AH268-'ICL3'!$F$2:$F$40)),ABS(AH268-'ICL3'!$F$2:$F$40),0))</f>
        <v>76</v>
      </c>
      <c r="U268" s="1">
        <f t="array" ref="U268">INDEX('ICL3'!$H$2:$H$40,MATCH(MIN(ABS(AH268-'ICL3'!$F$2:$F$40)),ABS(AH268-'ICL3'!$F$2:$F$40),0))</f>
        <v>24</v>
      </c>
      <c r="V268" s="1">
        <v>61</v>
      </c>
      <c r="W268" s="1">
        <v>32</v>
      </c>
      <c r="X268" s="1">
        <f>VLOOKUP($B268&amp;"__wt",'SegEnds_Xtal_BW#'!$A:$Z,24,FALSE)</f>
        <v>56</v>
      </c>
      <c r="Y268" s="1">
        <f>VLOOKUP($B268&amp;"__wt",'SegEnds_Xtal_BW#'!$A:$Z,25,FALSE)</f>
        <v>47</v>
      </c>
      <c r="Z268" s="1">
        <f>VLOOKUP($B268&amp;"__wt",'SegEnds_Xtal_BW#'!$A:$Z,26,FALSE)</f>
        <v>59</v>
      </c>
      <c r="AA268" s="27" t="str">
        <f>VLOOKUP(A268,Classification!A:B,2,FALSE)</f>
        <v>A</v>
      </c>
      <c r="AB268" s="1" t="e">
        <f>VLOOKUP(A268,'SegEnds_NonXtal_Prot#'!A:AL,10,FALSE)-VLOOKUP(A268,'SegEnds_NonXtal_Prot#'!A:AL,7,FALSE)</f>
        <v>#VALUE!</v>
      </c>
      <c r="AC268" s="1">
        <f>VLOOKUP(A268,'SegEnds_NonXtal_Prot#'!A:AL,13,FALSE)-VLOOKUP(A268,'SegEnds_NonXtal_Prot#'!A:AL,10,FALSE)</f>
        <v>26</v>
      </c>
      <c r="AD268" s="1">
        <f>VLOOKUP(A268,'SegEnds_NonXtal_Prot#'!A:AL,16,FALSE)-VLOOKUP(A268,'SegEnds_NonXtal_Prot#'!A:AL,10,FALSE)</f>
        <v>69</v>
      </c>
      <c r="AE268" s="1" t="e">
        <f>VLOOKUP(A268,'SegEnds_NonXtal_Prot#'!A:AL,22,FALSE)-VLOOKUP(A268,'SegEnds_NonXtal_Prot#'!A:AL,19,FALSE)</f>
        <v>#VALUE!</v>
      </c>
      <c r="AF268" s="1" t="e">
        <f>VLOOKUP(A268,'SegEnds_NonXtal_Prot#'!A:AL,28,FALSE)-VLOOKUP(A268,'SegEnds_NonXtal_Prot#'!A:AL,25,FALSE)</f>
        <v>#VALUE!</v>
      </c>
      <c r="AG268" s="1">
        <f>VLOOKUP(A268,'SegEnds_NonXtal_Prot#'!A:AL,28,FALSE)-VLOOKUP(A268,'SegEnds_NonXtal_Prot#'!A:AL,22,FALSE)</f>
        <v>53</v>
      </c>
      <c r="AH268" s="1">
        <f>VLOOKUP(A268,'SegEnds_NonXtal_Prot#'!A:AL,31,FALSE)-VLOOKUP(A268,'SegEnds_NonXtal_Prot#'!A:AL,28,FALSE)</f>
        <v>114</v>
      </c>
      <c r="AI268" s="1">
        <f>VLOOKUP(A268,'SegEnds_NonXtal_Prot#'!A:AL,34,FALSE)-VLOOKUP(A268,'SegEnds_NonXtal_Prot#'!A:AL,31,FALSE)</f>
        <v>34</v>
      </c>
      <c r="AJ268" s="1" t="str">
        <f>IF(ISERROR(MATCH(A268,'SegEnds_Xtal_Prot#'!B:B, 0)), "NoXtal", "Xtal")</f>
        <v>NoXtal</v>
      </c>
    </row>
    <row r="269" spans="1:36" x14ac:dyDescent="0.2">
      <c r="A269" s="1" t="s">
        <v>222</v>
      </c>
      <c r="B269" s="1" t="str">
        <f>VLOOKUP(A269,Xtal_Templ!A:B,2,FALSE)</f>
        <v>ox2r_human</v>
      </c>
      <c r="C269" s="5">
        <f>VLOOKUP($B269&amp;"__wt",'SegEnds_Xtal_BW#'!$A:$Z,3,FALSE)</f>
        <v>31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f>VLOOKUP($B269&amp;"__wt",'SegEnds_Xtal_BW#'!$A:$Z,8,FALSE)</f>
        <v>67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18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2">
        <f>VLOOKUP($B269&amp;"__wt",'SegEnds_Xtal_BW#'!$A:$Z,14,FALSE)</f>
        <v>53</v>
      </c>
      <c r="O269" s="89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32</v>
      </c>
      <c r="T269" s="1">
        <f t="array" ref="T269">INDEX('ICL3'!$G$2:$G$40,MATCH(MIN(ABS(AH269-'ICL3'!$F$2:$F$40)),ABS(AH269-'ICL3'!$F$2:$F$40),0))</f>
        <v>74</v>
      </c>
      <c r="U269" s="1">
        <f t="array" ref="U269">INDEX('ICL3'!$H$2:$H$40,MATCH(MIN(ABS(AH269-'ICL3'!$F$2:$F$40)),ABS(AH269-'ICL3'!$F$2:$F$40),0))</f>
        <v>21</v>
      </c>
      <c r="V269" s="1">
        <v>61</v>
      </c>
      <c r="W269" s="1">
        <v>28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 t="e">
        <f>VLOOKUP(A269,'SegEnds_NonXtal_Prot#'!A:AL,10,FALSE)-VLOOKUP(A269,'SegEnds_NonXtal_Prot#'!A:AL,7,FALSE)</f>
        <v>#VALUE!</v>
      </c>
      <c r="AC269" s="1" t="e">
        <f>VLOOKUP(A269,'SegEnds_NonXtal_Prot#'!A:AL,13,FALSE)-VLOOKUP(A269,'SegEnds_NonXtal_Prot#'!A:AL,10,FALSE)</f>
        <v>#VALUE!</v>
      </c>
      <c r="AD269" s="1">
        <f>VLOOKUP(A269,'SegEnds_NonXtal_Prot#'!A:AL,16,FALSE)-VLOOKUP(A269,'SegEnds_NonXtal_Prot#'!A:AL,10,FALSE)</f>
        <v>54</v>
      </c>
      <c r="AE269" s="1" t="e">
        <f>VLOOKUP(A269,'SegEnds_NonXtal_Prot#'!A:AL,22,FALSE)-VLOOKUP(A269,'SegEnds_NonXtal_Prot#'!A:AL,19,FALSE)</f>
        <v>#VALUE!</v>
      </c>
      <c r="AF269" s="1">
        <f>VLOOKUP(A269,'SegEnds_NonXtal_Prot#'!A:AL,28,FALSE)-VLOOKUP(A269,'SegEnds_NonXtal_Prot#'!A:AL,25,FALSE)</f>
        <v>27</v>
      </c>
      <c r="AG269" s="1">
        <f>VLOOKUP(A269,'SegEnds_NonXtal_Prot#'!A:AL,28,FALSE)-VLOOKUP(A269,'SegEnds_NonXtal_Prot#'!A:AL,22,FALSE)</f>
        <v>75</v>
      </c>
      <c r="AH269" s="1">
        <f>VLOOKUP(A269,'SegEnds_NonXtal_Prot#'!A:AL,31,FALSE)-VLOOKUP(A269,'SegEnds_NonXtal_Prot#'!A:AL,28,FALSE)</f>
        <v>66</v>
      </c>
      <c r="AI269" s="1">
        <f>VLOOKUP(A269,'SegEnds_NonXtal_Prot#'!A:AL,34,FALSE)-VLOOKUP(A269,'SegEnds_NonXtal_Prot#'!A:AL,31,FALSE)</f>
        <v>39</v>
      </c>
      <c r="AJ269" s="1" t="str">
        <f>IF(ISERROR(MATCH(A269,'SegEnds_Xtal_Prot#'!B:B, 0)), "NoXtal", "Xtal")</f>
        <v>NoXtal</v>
      </c>
    </row>
    <row r="270" spans="1:36" x14ac:dyDescent="0.2">
      <c r="A270" s="1" t="s">
        <v>226</v>
      </c>
      <c r="B270" s="1" t="str">
        <f>VLOOKUP(A270,Xtal_Templ!A:B,2,FALSE)</f>
        <v>par1_human</v>
      </c>
      <c r="C270" s="5">
        <f>VLOOKUP($B270&amp;"__wt",'SegEnds_Xtal_BW#'!$A:$Z,3,FALSE)</f>
        <v>29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f>VLOOKUP($B270&amp;"__wt",'SegEnds_Xtal_BW#'!$A:$Z,8,FALSE)</f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18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2">
        <v>57</v>
      </c>
      <c r="O270" s="89">
        <f>VLOOKUP($B270&amp;"__wt",'SegEnds_Xtal_BW#'!$A:$Z,15,FALSE)</f>
        <v>38</v>
      </c>
      <c r="P270" s="1">
        <v>63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v>35</v>
      </c>
      <c r="T270" s="1">
        <f t="array" ref="T270">INDEX('ICL3'!$G$2:$G$40,MATCH(MIN(ABS(AH270-'ICL3'!$F$2:$F$40)),ABS(AH270-'ICL3'!$F$2:$F$40),0))</f>
        <v>73</v>
      </c>
      <c r="U270" s="1">
        <f t="array" ref="U270">INDEX('ICL3'!$H$2:$H$40,MATCH(MIN(ABS(AH270-'ICL3'!$F$2:$F$40)),ABS(AH270-'ICL3'!$F$2:$F$40),0))</f>
        <v>24</v>
      </c>
      <c r="V270" s="1">
        <v>61</v>
      </c>
      <c r="W270" s="1">
        <v>31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61</v>
      </c>
      <c r="AA270" s="27" t="str">
        <f>VLOOKUP(A270,Classification!A:B,2,FALSE)</f>
        <v>A</v>
      </c>
      <c r="AB270" s="1" t="e">
        <f>VLOOKUP(A270,'SegEnds_NonXtal_Prot#'!A:AL,10,FALSE)-VLOOKUP(A270,'SegEnds_NonXtal_Prot#'!A:AL,7,FALSE)</f>
        <v>#VALUE!</v>
      </c>
      <c r="AC270" s="1" t="e">
        <f>VLOOKUP(A270,'SegEnds_NonXtal_Prot#'!A:AL,13,FALSE)-VLOOKUP(A270,'SegEnds_NonXtal_Prot#'!A:AL,10,FALSE)</f>
        <v>#VALUE!</v>
      </c>
      <c r="AD270" s="1">
        <f>VLOOKUP(A270,'SegEnds_NonXtal_Prot#'!A:AL,16,FALSE)-VLOOKUP(A270,'SegEnds_NonXtal_Prot#'!A:AL,10,FALSE)</f>
        <v>54</v>
      </c>
      <c r="AE270" s="1" t="e">
        <f>VLOOKUP(A270,'SegEnds_NonXtal_Prot#'!A:AL,22,FALSE)-VLOOKUP(A270,'SegEnds_NonXtal_Prot#'!A:AL,19,FALSE)</f>
        <v>#VALUE!</v>
      </c>
      <c r="AF270" s="1">
        <f>VLOOKUP(A270,'SegEnds_NonXtal_Prot#'!A:AL,28,FALSE)-VLOOKUP(A270,'SegEnds_NonXtal_Prot#'!A:AL,25,FALSE)</f>
        <v>22</v>
      </c>
      <c r="AG270" s="1">
        <f>VLOOKUP(A270,'SegEnds_NonXtal_Prot#'!A:AL,28,FALSE)-VLOOKUP(A270,'SegEnds_NonXtal_Prot#'!A:AL,22,FALSE)</f>
        <v>49</v>
      </c>
      <c r="AH270" s="1">
        <f>VLOOKUP(A270,'SegEnds_NonXtal_Prot#'!A:AL,31,FALSE)-VLOOKUP(A270,'SegEnds_NonXtal_Prot#'!A:AL,28,FALSE)</f>
        <v>58</v>
      </c>
      <c r="AI270" s="1">
        <f>VLOOKUP(A270,'SegEnds_NonXtal_Prot#'!A:AL,34,FALSE)-VLOOKUP(A270,'SegEnds_NonXtal_Prot#'!A:AL,31,FALSE)</f>
        <v>35</v>
      </c>
      <c r="AJ270" s="1" t="str">
        <f>IF(ISERROR(MATCH(A270,'SegEnds_Xtal_Prot#'!B:B, 0)), "NoXtal", "Xtal")</f>
        <v>NoXtal</v>
      </c>
    </row>
    <row r="271" spans="1:36" x14ac:dyDescent="0.2">
      <c r="A271" s="1" t="s">
        <v>232</v>
      </c>
      <c r="B271" s="1" t="str">
        <f>VLOOKUP(A271,Xtal_Templ!A:B,2,FALSE)</f>
        <v>ox1r_human</v>
      </c>
      <c r="C271" s="5">
        <f>VLOOKUP($B271&amp;"__wt",'SegEnds_Xtal_BW#'!$A:$Z,3,FALSE)</f>
        <v>32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f>VLOOKUP($B271&amp;"__wt",'SegEnds_Xtal_BW#'!$A:$Z,8,FALSE)</f>
        <v>67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18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56</v>
      </c>
      <c r="O271" s="89">
        <f>VLOOKUP($B271&amp;"__wt",'SegEnds_Xtal_BW#'!$A:$Z,15,FALSE)</f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INDEX('ICL3'!$G$2:$G$40,MATCH(MIN(ABS(AH271-'ICL3'!$F$2:$F$40)),ABS(AH271-'ICL3'!$F$2:$F$40),0))</f>
        <v>74</v>
      </c>
      <c r="U271" s="1">
        <f t="array" ref="U271">INDEX('ICL3'!$H$2:$H$40,MATCH(MIN(ABS(AH271-'ICL3'!$F$2:$F$40)),ABS(AH271-'ICL3'!$F$2:$F$40),0))</f>
        <v>21</v>
      </c>
      <c r="V271" s="1">
        <v>61</v>
      </c>
      <c r="W271" s="1">
        <v>31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58</v>
      </c>
      <c r="AA271" s="27" t="str">
        <f>VLOOKUP(A271,Classification!A:B,2,FALSE)</f>
        <v>A</v>
      </c>
      <c r="AB271" s="1">
        <f>VLOOKUP(A271,'SegEnds_NonXtal_Prot#'!A:AL,10,FALSE)-VLOOKUP(A271,'SegEnds_NonXtal_Prot#'!A:AL,7,FALSE)</f>
        <v>15</v>
      </c>
      <c r="AC271" s="1">
        <f>VLOOKUP(A271,'SegEnds_NonXtal_Prot#'!A:AL,13,FALSE)-VLOOKUP(A271,'SegEnds_NonXtal_Prot#'!A:AL,10,FALSE)</f>
        <v>22</v>
      </c>
      <c r="AD271" s="1">
        <f>VLOOKUP(A271,'SegEnds_NonXtal_Prot#'!A:AL,16,FALSE)-VLOOKUP(A271,'SegEnds_NonXtal_Prot#'!A:AL,10,FALSE)</f>
        <v>55</v>
      </c>
      <c r="AE271" s="1" t="e">
        <f>VLOOKUP(A271,'SegEnds_NonXtal_Prot#'!A:AL,22,FALSE)-VLOOKUP(A271,'SegEnds_NonXtal_Prot#'!A:AL,19,FALSE)</f>
        <v>#VALUE!</v>
      </c>
      <c r="AF271" s="1">
        <f>VLOOKUP(A271,'SegEnds_NonXtal_Prot#'!A:AL,28,FALSE)-VLOOKUP(A271,'SegEnds_NonXtal_Prot#'!A:AL,25,FALSE)</f>
        <v>25</v>
      </c>
      <c r="AG271" s="1">
        <f>VLOOKUP(A271,'SegEnds_NonXtal_Prot#'!A:AL,28,FALSE)-VLOOKUP(A271,'SegEnds_NonXtal_Prot#'!A:AL,22,FALSE)</f>
        <v>50</v>
      </c>
      <c r="AH271" s="1">
        <f>VLOOKUP(A271,'SegEnds_NonXtal_Prot#'!A:AL,31,FALSE)-VLOOKUP(A271,'SegEnds_NonXtal_Prot#'!A:AL,28,FALSE)</f>
        <v>64</v>
      </c>
      <c r="AI271" s="1">
        <f>VLOOKUP(A271,'SegEnds_NonXtal_Prot#'!A:AL,34,FALSE)-VLOOKUP(A271,'SegEnds_NonXtal_Prot#'!A:AL,31,FALSE)</f>
        <v>36</v>
      </c>
      <c r="AJ271" s="1" t="str">
        <f>IF(ISERROR(MATCH(A271,'SegEnds_Xtal_Prot#'!B:B, 0)), "NoXtal", "Xtal")</f>
        <v>NoXtal</v>
      </c>
    </row>
    <row r="272" spans="1:36" s="12" customFormat="1" x14ac:dyDescent="0.2">
      <c r="A272" s="4" t="s">
        <v>235</v>
      </c>
      <c r="B272" s="4" t="str">
        <f>VLOOKUP(A272,Xtal_Templ!A:B,2,FALSE)</f>
        <v>lpar1_human</v>
      </c>
      <c r="C272" s="5">
        <f>VLOOKUP($B272&amp;"__wt",'SegEnds_Xtal_BW#'!$A:$Z,3,FALSE)</f>
        <v>30</v>
      </c>
      <c r="D272" s="4">
        <f>VLOOKUP($B272&amp;"__wt",'SegEnds_Xtal_BW#'!$A:$Z,4,FALSE)</f>
        <v>60</v>
      </c>
      <c r="E272" s="4">
        <f>VLOOKUP($B272&amp;"__wt",'SegEnds_Xtal_BW#'!$A:$Z,5,FALSE)</f>
        <v>48</v>
      </c>
      <c r="F272" s="4">
        <f>VLOOKUP($B272&amp;"__wt",'SegEnds_Xtal_BW#'!$A:$Z,6,FALSE)</f>
        <v>51</v>
      </c>
      <c r="G272" s="4">
        <v>37</v>
      </c>
      <c r="H272" s="11">
        <v>66</v>
      </c>
      <c r="I272" s="4">
        <v>48</v>
      </c>
      <c r="J272" s="4">
        <v>52</v>
      </c>
      <c r="K272" s="11">
        <v>24</v>
      </c>
      <c r="L272" s="4">
        <f>VLOOKUP($B272&amp;"__wt",'SegEnds_Xtal_BW#'!$A:$Z,12,FALSE)</f>
        <v>56</v>
      </c>
      <c r="M272" s="4">
        <f>VLOOKUP($B272&amp;"__wt",'SegEnds_Xtal_BW#'!$A:$Z,13,FALSE)</f>
        <v>50</v>
      </c>
      <c r="N272" s="11">
        <f>VLOOKUP($B272&amp;"__wt",'SegEnds_Xtal_BW#'!$A:$Z,14,FALSE)</f>
        <v>56</v>
      </c>
      <c r="O272" s="90">
        <v>38</v>
      </c>
      <c r="P272" s="4">
        <f>VLOOKUP($B272&amp;"__wt",'SegEnds_Xtal_BW#'!$A:$Z,16,FALSE)</f>
        <v>63</v>
      </c>
      <c r="Q272" s="119">
        <v>50</v>
      </c>
      <c r="R272" s="119">
        <v>52</v>
      </c>
      <c r="S272" s="4">
        <v>35</v>
      </c>
      <c r="T272" s="4">
        <f t="array" ref="T272">INDEX('ICL3'!$G$2:$G$40,MATCH(MIN(ABS(AH272-'ICL3'!$F$2:$F$40)),ABS(AH272-'ICL3'!$F$2:$F$40),0))</f>
        <v>74</v>
      </c>
      <c r="U272" s="4">
        <f t="array" ref="U272">INDEX('ICL3'!$H$2:$H$40,MATCH(MIN(ABS(AH272-'ICL3'!$F$2:$F$40)),ABS(AH272-'ICL3'!$F$2:$F$40),0))</f>
        <v>21</v>
      </c>
      <c r="V272" s="4">
        <v>61</v>
      </c>
      <c r="W272" s="4">
        <v>28</v>
      </c>
      <c r="X272" s="4">
        <f>VLOOKUP($B272&amp;"__wt",'SegEnds_Xtal_BW#'!$A:$Z,24,FALSE)</f>
        <v>56</v>
      </c>
      <c r="Y272" s="4">
        <f>VLOOKUP($B272&amp;"__wt",'SegEnds_Xtal_BW#'!$A:$Z,25,FALSE)</f>
        <v>47</v>
      </c>
      <c r="Z272" s="4">
        <f>VLOOKUP($B272&amp;"__wt",'SegEnds_Xtal_BW#'!$A:$Z,26,FALSE)</f>
        <v>59</v>
      </c>
      <c r="AA272" s="27" t="str">
        <f>VLOOKUP(A272,Classification!A:B,2,FALSE)</f>
        <v>A</v>
      </c>
      <c r="AB272" s="4">
        <f>VLOOKUP(A272,'SegEnds_NonXtal_Prot#'!A:AL,10,FALSE)-VLOOKUP(A272,'SegEnds_NonXtal_Prot#'!A:AL,7,FALSE)</f>
        <v>16</v>
      </c>
      <c r="AC272" s="4" t="e">
        <f>VLOOKUP(A272,'SegEnds_NonXtal_Prot#'!A:AL,13,FALSE)-VLOOKUP(A272,'SegEnds_NonXtal_Prot#'!A:AL,10,FALSE)</f>
        <v>#VALUE!</v>
      </c>
      <c r="AD272" s="4">
        <f>VLOOKUP(A272,'SegEnds_NonXtal_Prot#'!A:AL,16,FALSE)-VLOOKUP(A272,'SegEnds_NonXtal_Prot#'!A:AL,10,FALSE)</f>
        <v>49</v>
      </c>
      <c r="AE272" s="1" t="e">
        <f>VLOOKUP(A272,'SegEnds_NonXtal_Prot#'!A:AL,22,FALSE)-VLOOKUP(A272,'SegEnds_NonXtal_Prot#'!A:AL,19,FALSE)</f>
        <v>#VALUE!</v>
      </c>
      <c r="AF272" s="4">
        <f>VLOOKUP(A272,'SegEnds_NonXtal_Prot#'!A:AL,28,FALSE)-VLOOKUP(A272,'SegEnds_NonXtal_Prot#'!A:AL,25,FALSE)</f>
        <v>21</v>
      </c>
      <c r="AG272" s="1">
        <f>VLOOKUP(A272,'SegEnds_NonXtal_Prot#'!A:AL,28,FALSE)-VLOOKUP(A272,'SegEnds_NonXtal_Prot#'!A:AL,22,FALSE)</f>
        <v>44</v>
      </c>
      <c r="AH272" s="4">
        <f>VLOOKUP(A272,'SegEnds_NonXtal_Prot#'!A:AL,31,FALSE)-VLOOKUP(A272,'SegEnds_NonXtal_Prot#'!A:AL,28,FALSE)</f>
        <v>63</v>
      </c>
      <c r="AI272" s="4">
        <f>VLOOKUP(A272,'SegEnds_NonXtal_Prot#'!A:AL,34,FALSE)-VLOOKUP(A272,'SegEnds_NonXtal_Prot#'!A:AL,31,FALSE)</f>
        <v>38</v>
      </c>
      <c r="AJ272" s="1" t="str">
        <f>IF(ISERROR(MATCH(A272,'SegEnds_Xtal_Prot#'!B:B, 0)), "NoXtal", "Xtal")</f>
        <v>NoXtal</v>
      </c>
    </row>
    <row r="273" spans="1:36" s="12" customFormat="1" x14ac:dyDescent="0.2">
      <c r="A273" s="1" t="s">
        <v>259</v>
      </c>
      <c r="B273" s="1" t="str">
        <f>VLOOKUP(A273,Xtal_Templ!A:B,2,FALSE)</f>
        <v>5ht1b_human</v>
      </c>
      <c r="C273" s="5">
        <f>VLOOKUP($B273&amp;"__wt",'SegEnds_Xtal_BW#'!$A:$Z,3,FALSE)</f>
        <v>29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f>VLOOKUP($B273&amp;"__wt",'SegEnds_Xtal_BW#'!$A:$Z,8,FALSE)</f>
        <v>67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18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f>VLOOKUP($B273&amp;"__wt",'SegEnds_Xtal_BW#'!$A:$Z,14,FALSE)</f>
        <v>57</v>
      </c>
      <c r="O273" s="89">
        <v>38</v>
      </c>
      <c r="P273" s="1">
        <f>VLOOKUP($B273&amp;"__wt",'SegEnds_Xtal_BW#'!$A:$Z,16,FALSE)</f>
        <v>63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v>35</v>
      </c>
      <c r="T273" s="1">
        <f t="array" ref="T273">INDEX('ICL3'!$G$2:$G$40,MATCH(MIN(ABS(AH273-'ICL3'!$F$2:$F$40)),ABS(AH273-'ICL3'!$F$2:$F$40),0))</f>
        <v>76</v>
      </c>
      <c r="U273" s="1">
        <f t="array" ref="U273">INDEX('ICL3'!$H$2:$H$40,MATCH(MIN(ABS(AH273-'ICL3'!$F$2:$F$40)),ABS(AH273-'ICL3'!$F$2:$F$40),0))</f>
        <v>24</v>
      </c>
      <c r="V273" s="1">
        <v>61</v>
      </c>
      <c r="W273" s="1">
        <v>28</v>
      </c>
      <c r="X273" s="6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58</v>
      </c>
      <c r="AA273" s="27" t="str">
        <f>VLOOKUP(A273,Classification!A:B,2,FALSE)</f>
        <v>A</v>
      </c>
      <c r="AB273" s="1">
        <f>VLOOKUP(A273,'SegEnds_NonXtal_Prot#'!A:AL,10,FALSE)-VLOOKUP(A273,'SegEnds_NonXtal_Prot#'!A:AL,7,FALSE)</f>
        <v>15</v>
      </c>
      <c r="AC273" s="1">
        <f>VLOOKUP(A273,'SegEnds_NonXtal_Prot#'!A:AL,13,FALSE)-VLOOKUP(A273,'SegEnds_NonXtal_Prot#'!A:AL,10,FALSE)</f>
        <v>20</v>
      </c>
      <c r="AD273" s="1">
        <f>VLOOKUP(A273,'SegEnds_NonXtal_Prot#'!A:AL,16,FALSE)-VLOOKUP(A273,'SegEnds_NonXtal_Prot#'!A:AL,10,FALSE)</f>
        <v>52</v>
      </c>
      <c r="AE273" s="1" t="e">
        <f>VLOOKUP(A273,'SegEnds_NonXtal_Prot#'!A:AL,22,FALSE)-VLOOKUP(A273,'SegEnds_NonXtal_Prot#'!A:AL,19,FALSE)</f>
        <v>#VALUE!</v>
      </c>
      <c r="AF273" s="1">
        <f>VLOOKUP(A273,'SegEnds_NonXtal_Prot#'!A:AL,28,FALSE)-VLOOKUP(A273,'SegEnds_NonXtal_Prot#'!A:AL,25,FALSE)</f>
        <v>25</v>
      </c>
      <c r="AG273" s="1">
        <f>VLOOKUP(A273,'SegEnds_NonXtal_Prot#'!A:AL,28,FALSE)-VLOOKUP(A273,'SegEnds_NonXtal_Prot#'!A:AL,22,FALSE)</f>
        <v>51</v>
      </c>
      <c r="AH273" s="1">
        <f>VLOOKUP(A273,'SegEnds_NonXtal_Prot#'!A:AL,31,FALSE)-VLOOKUP(A273,'SegEnds_NonXtal_Prot#'!A:AL,28,FALSE)</f>
        <v>75</v>
      </c>
      <c r="AI273" s="1">
        <f>VLOOKUP(A273,'SegEnds_NonXtal_Prot#'!A:AL,34,FALSE)-VLOOKUP(A273,'SegEnds_NonXtal_Prot#'!A:AL,31,FALSE)</f>
        <v>39</v>
      </c>
      <c r="AJ273" s="1" t="str">
        <f>IF(ISERROR(MATCH(A273,'SegEnds_Xtal_Prot#'!B:B, 0)), "NoXtal", "Xtal")</f>
        <v>NoXtal</v>
      </c>
    </row>
    <row r="274" spans="1:36" s="12" customFormat="1" x14ac:dyDescent="0.2">
      <c r="A274" s="1" t="s">
        <v>264</v>
      </c>
      <c r="B274" s="1" t="str">
        <f>VLOOKUP(A274,Xtal_Templ!A:B,2,FALSE)</f>
        <v>drd3_human</v>
      </c>
      <c r="C274" s="5">
        <f>VLOOKUP($B274&amp;"__wt",'SegEnds_Xtal_BW#'!$A:$Z,3,FALSE)</f>
        <v>29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f>VLOOKUP($B274&amp;"__wt",'SegEnds_Xtal_BW#'!$A:$Z,8,FALSE)</f>
        <v>67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18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f>VLOOKUP($B274&amp;"__wt",'SegEnds_Xtal_BW#'!$A:$Z,14,FALSE)</f>
        <v>58</v>
      </c>
      <c r="O274" s="89">
        <f>VLOOKUP($B274&amp;"__wt",'SegEnds_Xtal_BW#'!$A:$Z,15,FALSE)</f>
        <v>38</v>
      </c>
      <c r="P274" s="1">
        <f>VLOOKUP($B274&amp;"__wt",'SegEnds_Xtal_BW#'!$A:$Z,16,FALSE)</f>
        <v>63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INDEX('ICL3'!$G$2:$G$40,MATCH(MIN(ABS(AH274-'ICL3'!$F$2:$F$40)),ABS(AH274-'ICL3'!$F$2:$F$40),0))</f>
        <v>76</v>
      </c>
      <c r="U274" s="1">
        <f t="array" ref="U274">INDEX('ICL3'!$H$2:$H$40,MATCH(MIN(ABS(AH274-'ICL3'!$F$2:$F$40)),ABS(AH274-'ICL3'!$F$2:$F$40),0))</f>
        <v>24</v>
      </c>
      <c r="V274" s="1">
        <v>58</v>
      </c>
      <c r="W274" s="1">
        <v>35</v>
      </c>
      <c r="X274" s="1">
        <f>VLOOKUP($B274&amp;"__wt",'SegEnds_Xtal_BW#'!$A:$Z,24,FALSE)</f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 t="e">
        <f>VLOOKUP(A274,'SegEnds_NonXtal_Prot#'!A:AL,10,FALSE)-VLOOKUP(A274,'SegEnds_NonXtal_Prot#'!A:AL,7,FALSE)</f>
        <v>#VALUE!</v>
      </c>
      <c r="AC274" s="1" t="e">
        <f>VLOOKUP(A274,'SegEnds_NonXtal_Prot#'!A:AL,13,FALSE)-VLOOKUP(A274,'SegEnds_NonXtal_Prot#'!A:AL,10,FALSE)</f>
        <v>#VALUE!</v>
      </c>
      <c r="AD274" s="1">
        <f>VLOOKUP(A274,'SegEnds_NonXtal_Prot#'!A:AL,16,FALSE)-VLOOKUP(A274,'SegEnds_NonXtal_Prot#'!A:AL,10,FALSE)</f>
        <v>55</v>
      </c>
      <c r="AE274" s="1" t="e">
        <f>VLOOKUP(A274,'SegEnds_NonXtal_Prot#'!A:AL,22,FALSE)-VLOOKUP(A274,'SegEnds_NonXtal_Prot#'!A:AL,19,FALSE)</f>
        <v>#VALUE!</v>
      </c>
      <c r="AF274" s="1">
        <f>VLOOKUP(A274,'SegEnds_NonXtal_Prot#'!A:AL,28,FALSE)-VLOOKUP(A274,'SegEnds_NonXtal_Prot#'!A:AL,25,FALSE)</f>
        <v>22</v>
      </c>
      <c r="AG274" s="1">
        <f>VLOOKUP(A274,'SegEnds_NonXtal_Prot#'!A:AL,28,FALSE)-VLOOKUP(A274,'SegEnds_NonXtal_Prot#'!A:AL,22,FALSE)</f>
        <v>47</v>
      </c>
      <c r="AH274" s="1">
        <f>VLOOKUP(A274,'SegEnds_NonXtal_Prot#'!A:AL,31,FALSE)-VLOOKUP(A274,'SegEnds_NonXtal_Prot#'!A:AL,28,FALSE)</f>
        <v>72</v>
      </c>
      <c r="AI274" s="1">
        <f>VLOOKUP(A274,'SegEnds_NonXtal_Prot#'!A:AL,34,FALSE)-VLOOKUP(A274,'SegEnds_NonXtal_Prot#'!A:AL,31,FALSE)</f>
        <v>31</v>
      </c>
      <c r="AJ274" s="1" t="str">
        <f>IF(ISERROR(MATCH(A274,'SegEnds_Xtal_Prot#'!B:B, 0)), "NoXtal", "Xtal")</f>
        <v>NoXtal</v>
      </c>
    </row>
    <row r="275" spans="1:36" s="12" customFormat="1" x14ac:dyDescent="0.2">
      <c r="A275" s="1" t="s">
        <v>265</v>
      </c>
      <c r="B275" s="1" t="str">
        <f>VLOOKUP(A275,Xtal_Templ!A:B,2,FALSE)</f>
        <v>5ht2b_human</v>
      </c>
      <c r="C275" s="5">
        <f>VLOOKUP($B275&amp;"__wt",'SegEnds_Xtal_BW#'!$A:$Z,3,FALSE)</f>
        <v>32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51</v>
      </c>
      <c r="G275" s="1">
        <v>37</v>
      </c>
      <c r="H275" s="12">
        <f>VLOOKUP($B275&amp;"__wt",'SegEnds_Xtal_BW#'!$A:$Z,8,FALSE)</f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12">
        <v>18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f>VLOOKUP($B275&amp;"__wt",'SegEnds_Xtal_BW#'!$A:$Z,14,FALSE)</f>
        <v>57</v>
      </c>
      <c r="O275" s="89"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v>35</v>
      </c>
      <c r="T275" s="1">
        <f t="array" ref="T275">INDEX('ICL3'!$G$2:$G$40,MATCH(MIN(ABS(AH275-'ICL3'!$F$2:$F$40)),ABS(AH275-'ICL3'!$F$2:$F$40),0))</f>
        <v>76</v>
      </c>
      <c r="U275" s="1">
        <f t="array" ref="U275">INDEX('ICL3'!$H$2:$H$40,MATCH(MIN(ABS(AH275-'ICL3'!$F$2:$F$40)),ABS(AH275-'ICL3'!$F$2:$F$40),0))</f>
        <v>24</v>
      </c>
      <c r="V275" s="1">
        <v>61</v>
      </c>
      <c r="W275" s="1">
        <v>28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58</v>
      </c>
      <c r="AA275" s="27" t="str">
        <f>VLOOKUP(A275,Classification!A:B,2,FALSE)</f>
        <v>A</v>
      </c>
      <c r="AB275" s="1">
        <f>VLOOKUP(A275,'SegEnds_NonXtal_Prot#'!A:AL,10,FALSE)-VLOOKUP(A275,'SegEnds_NonXtal_Prot#'!A:AL,7,FALSE)</f>
        <v>15</v>
      </c>
      <c r="AC275" s="1">
        <f>VLOOKUP(A275,'SegEnds_NonXtal_Prot#'!A:AL,13,FALSE)-VLOOKUP(A275,'SegEnds_NonXtal_Prot#'!A:AL,10,FALSE)</f>
        <v>20</v>
      </c>
      <c r="AD275" s="1">
        <f>VLOOKUP(A275,'SegEnds_NonXtal_Prot#'!A:AL,16,FALSE)-VLOOKUP(A275,'SegEnds_NonXtal_Prot#'!A:AL,10,FALSE)</f>
        <v>52</v>
      </c>
      <c r="AE275" s="1" t="e">
        <f>VLOOKUP(A275,'SegEnds_NonXtal_Prot#'!A:AL,22,FALSE)-VLOOKUP(A275,'SegEnds_NonXtal_Prot#'!A:AL,19,FALSE)</f>
        <v>#VALUE!</v>
      </c>
      <c r="AF275" s="1">
        <f>VLOOKUP(A275,'SegEnds_NonXtal_Prot#'!A:AL,28,FALSE)-VLOOKUP(A275,'SegEnds_NonXtal_Prot#'!A:AL,25,FALSE)</f>
        <v>25</v>
      </c>
      <c r="AG275" s="1">
        <f>VLOOKUP(A275,'SegEnds_NonXtal_Prot#'!A:AL,28,FALSE)-VLOOKUP(A275,'SegEnds_NonXtal_Prot#'!A:AL,22,FALSE)</f>
        <v>51</v>
      </c>
      <c r="AH275" s="1">
        <f>VLOOKUP(A275,'SegEnds_NonXtal_Prot#'!A:AL,31,FALSE)-VLOOKUP(A275,'SegEnds_NonXtal_Prot#'!A:AL,28,FALSE)</f>
        <v>75</v>
      </c>
      <c r="AI275" s="1">
        <f>VLOOKUP(A275,'SegEnds_NonXtal_Prot#'!A:AL,34,FALSE)-VLOOKUP(A275,'SegEnds_NonXtal_Prot#'!A:AL,31,FALSE)</f>
        <v>39</v>
      </c>
      <c r="AJ275" s="1" t="str">
        <f>IF(ISERROR(MATCH(A275,'SegEnds_Xtal_Prot#'!B:B, 0)), "NoXtal", "Xtal")</f>
        <v>NoXtal</v>
      </c>
    </row>
    <row r="276" spans="1:36" x14ac:dyDescent="0.2">
      <c r="A276" s="1" t="s">
        <v>266</v>
      </c>
      <c r="B276" s="1" t="str">
        <f>VLOOKUP(A276,Xtal_Templ!A:B,2,FALSE)</f>
        <v>adrb2_human</v>
      </c>
      <c r="C276" s="5">
        <f>VLOOKUP($B276&amp;"__wt",'SegEnds_Xtal_BW#'!$A:$Z,3,FALSE)</f>
        <v>25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51</v>
      </c>
      <c r="G276" s="1">
        <v>37</v>
      </c>
      <c r="H276" s="12"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18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9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35</v>
      </c>
      <c r="T276" s="1">
        <f t="array" ref="T276">INDEX('ICL3'!$G$2:$G$40,MATCH(MIN(ABS(AH276-'ICL3'!$F$2:$F$40)),ABS(AH276-'ICL3'!$F$2:$F$40),0))</f>
        <v>76</v>
      </c>
      <c r="U276" s="1">
        <f t="array" ref="U276">INDEX('ICL3'!$H$2:$H$40,MATCH(MIN(ABS(AH276-'ICL3'!$F$2:$F$40)),ABS(AH276-'ICL3'!$F$2:$F$40),0))</f>
        <v>24</v>
      </c>
      <c r="V276" s="1">
        <v>61</v>
      </c>
      <c r="W276" s="1">
        <v>31</v>
      </c>
      <c r="X276" s="1">
        <f>VLOOKUP($B276&amp;"__wt",'SegEnds_Xtal_BW#'!$A:$Z,24,FALSE)</f>
        <v>55</v>
      </c>
      <c r="Y276" s="1">
        <f>VLOOKUP($B276&amp;"__wt",'SegEnds_Xtal_BW#'!$A:$Z,25,FALSE)</f>
        <v>47</v>
      </c>
      <c r="Z276" s="1">
        <f>VLOOKUP($B276&amp;"__wt",'SegEnds_Xtal_BW#'!$A:$Z,26,FALSE)</f>
        <v>59</v>
      </c>
      <c r="AA276" s="27" t="str">
        <f>VLOOKUP(A276,Classification!A:B,2,FALSE)</f>
        <v>A</v>
      </c>
      <c r="AB276" s="1">
        <f>VLOOKUP(A276,'SegEnds_NonXtal_Prot#'!A:AL,10,FALSE)-VLOOKUP(A276,'SegEnds_NonXtal_Prot#'!A:AL,7,FALSE)</f>
        <v>15</v>
      </c>
      <c r="AC276" s="1" t="e">
        <f>VLOOKUP(A276,'SegEnds_NonXtal_Prot#'!A:AL,13,FALSE)-VLOOKUP(A276,'SegEnds_NonXtal_Prot#'!A:AL,10,FALSE)</f>
        <v>#VALUE!</v>
      </c>
      <c r="AD276" s="1">
        <f>VLOOKUP(A276,'SegEnds_NonXtal_Prot#'!A:AL,16,FALSE)-VLOOKUP(A276,'SegEnds_NonXtal_Prot#'!A:AL,10,FALSE)</f>
        <v>53</v>
      </c>
      <c r="AE276" s="1" t="e">
        <f>VLOOKUP(A276,'SegEnds_NonXtal_Prot#'!A:AL,22,FALSE)-VLOOKUP(A276,'SegEnds_NonXtal_Prot#'!A:AL,19,FALSE)</f>
        <v>#VALUE!</v>
      </c>
      <c r="AF276" s="1">
        <f>VLOOKUP(A276,'SegEnds_NonXtal_Prot#'!A:AL,28,FALSE)-VLOOKUP(A276,'SegEnds_NonXtal_Prot#'!A:AL,25,FALSE)</f>
        <v>25</v>
      </c>
      <c r="AG276" s="1">
        <f>VLOOKUP(A276,'SegEnds_NonXtal_Prot#'!A:AL,28,FALSE)-VLOOKUP(A276,'SegEnds_NonXtal_Prot#'!A:AL,22,FALSE)</f>
        <v>45</v>
      </c>
      <c r="AH276" s="1">
        <f>VLOOKUP(A276,'SegEnds_NonXtal_Prot#'!A:AL,31,FALSE)-VLOOKUP(A276,'SegEnds_NonXtal_Prot#'!A:AL,28,FALSE)</f>
        <v>122</v>
      </c>
      <c r="AI276" s="1">
        <f>VLOOKUP(A276,'SegEnds_NonXtal_Prot#'!A:AL,34,FALSE)-VLOOKUP(A276,'SegEnds_NonXtal_Prot#'!A:AL,31,FALSE)</f>
        <v>37</v>
      </c>
      <c r="AJ276" s="1" t="str">
        <f>IF(ISERROR(MATCH(A276,'SegEnds_Xtal_Prot#'!B:B, 0)), "NoXtal", "Xtal")</f>
        <v>NoXtal</v>
      </c>
    </row>
    <row r="277" spans="1:36" x14ac:dyDescent="0.2">
      <c r="A277" s="1" t="s">
        <v>269</v>
      </c>
      <c r="B277" s="1" t="str">
        <f>VLOOKUP(A277,Xtal_Templ!A:B,2,FALSE)</f>
        <v>ox2r_human</v>
      </c>
      <c r="C277" s="5">
        <f>VLOOKUP($B277&amp;"__wt",'SegEnds_Xtal_BW#'!$A:$Z,3,FALSE)</f>
        <v>31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f>VLOOKUP($B277&amp;"__wt",'SegEnds_Xtal_BW#'!$A:$Z,8,FALSE)</f>
        <v>67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18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56</v>
      </c>
      <c r="O277" s="89">
        <f>VLOOKUP($B277&amp;"__wt",'SegEnds_Xtal_BW#'!$A:$Z,15,FALSE)</f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32</v>
      </c>
      <c r="T277" s="1">
        <f t="array" ref="T277">INDEX('ICL3'!$G$2:$G$40,MATCH(MIN(ABS(AH277-'ICL3'!$F$2:$F$40)),ABS(AH277-'ICL3'!$F$2:$F$40),0))</f>
        <v>73</v>
      </c>
      <c r="U277" s="1">
        <f t="array" ref="U277">INDEX('ICL3'!$H$2:$H$40,MATCH(MIN(ABS(AH277-'ICL3'!$F$2:$F$40)),ABS(AH277-'ICL3'!$F$2:$F$40),0))</f>
        <v>22</v>
      </c>
      <c r="V277" s="1">
        <v>61</v>
      </c>
      <c r="W277" s="1">
        <v>31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58</v>
      </c>
      <c r="AA277" s="27" t="str">
        <f>VLOOKUP(A277,Classification!A:B,2,FALSE)</f>
        <v>A</v>
      </c>
      <c r="AB277" s="1">
        <f>VLOOKUP(A277,'SegEnds_NonXtal_Prot#'!A:AL,10,FALSE)-VLOOKUP(A277,'SegEnds_NonXtal_Prot#'!A:AL,7,FALSE)</f>
        <v>15</v>
      </c>
      <c r="AC277" s="1">
        <f>VLOOKUP(A277,'SegEnds_NonXtal_Prot#'!A:AL,13,FALSE)-VLOOKUP(A277,'SegEnds_NonXtal_Prot#'!A:AL,10,FALSE)</f>
        <v>20</v>
      </c>
      <c r="AD277" s="1">
        <f>VLOOKUP(A277,'SegEnds_NonXtal_Prot#'!A:AL,16,FALSE)-VLOOKUP(A277,'SegEnds_NonXtal_Prot#'!A:AL,10,FALSE)</f>
        <v>52</v>
      </c>
      <c r="AE277" s="1" t="e">
        <f>VLOOKUP(A277,'SegEnds_NonXtal_Prot#'!A:AL,22,FALSE)-VLOOKUP(A277,'SegEnds_NonXtal_Prot#'!A:AL,19,FALSE)</f>
        <v>#VALUE!</v>
      </c>
      <c r="AF277" s="1">
        <f>VLOOKUP(A277,'SegEnds_NonXtal_Prot#'!A:AL,28,FALSE)-VLOOKUP(A277,'SegEnds_NonXtal_Prot#'!A:AL,25,FALSE)</f>
        <v>27</v>
      </c>
      <c r="AG277" s="1">
        <f>VLOOKUP(A277,'SegEnds_NonXtal_Prot#'!A:AL,28,FALSE)-VLOOKUP(A277,'SegEnds_NonXtal_Prot#'!A:AL,22,FALSE)</f>
        <v>57</v>
      </c>
      <c r="AH277" s="1">
        <f>VLOOKUP(A277,'SegEnds_NonXtal_Prot#'!A:AL,31,FALSE)-VLOOKUP(A277,'SegEnds_NonXtal_Prot#'!A:AL,28,FALSE)</f>
        <v>56</v>
      </c>
      <c r="AI277" s="1">
        <f>VLOOKUP(A277,'SegEnds_NonXtal_Prot#'!A:AL,34,FALSE)-VLOOKUP(A277,'SegEnds_NonXtal_Prot#'!A:AL,31,FALSE)</f>
        <v>35</v>
      </c>
      <c r="AJ277" s="1" t="str">
        <f>IF(ISERROR(MATCH(A277,'SegEnds_Xtal_Prot#'!B:B, 0)), "NoXtal", "Xtal")</f>
        <v>NoXtal</v>
      </c>
    </row>
    <row r="278" spans="1:36" x14ac:dyDescent="0.2">
      <c r="A278" s="1" t="s">
        <v>314</v>
      </c>
      <c r="B278" s="1" t="str">
        <f>VLOOKUP(A278,Xtal_Templ!A:B,2,FALSE)</f>
        <v>ox2r_human</v>
      </c>
      <c r="C278" s="5">
        <f>VLOOKUP($B278&amp;"__wt",'SegEnds_Xtal_BW#'!$A:$Z,3,FALSE)</f>
        <v>31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67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56</v>
      </c>
      <c r="O278" s="89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32</v>
      </c>
      <c r="T278" s="1">
        <f t="array" ref="T278">INDEX('ICL3'!$G$2:$G$40,MATCH(MIN(ABS(AH278-'ICL3'!$F$2:$F$40)),ABS(AH278-'ICL3'!$F$2:$F$40),0))</f>
        <v>73</v>
      </c>
      <c r="U278" s="1">
        <f t="array" ref="U278">INDEX('ICL3'!$H$2:$H$40,MATCH(MIN(ABS(AH278-'ICL3'!$F$2:$F$40)),ABS(AH278-'ICL3'!$F$2:$F$40),0))</f>
        <v>22</v>
      </c>
      <c r="V278" s="1">
        <v>61</v>
      </c>
      <c r="W278" s="1">
        <v>28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58</v>
      </c>
      <c r="AA278" s="27" t="str">
        <f>VLOOKUP(A278,Classification!A:B,2,FALSE)</f>
        <v>A</v>
      </c>
      <c r="AB278" s="1">
        <f>VLOOKUP(A278,'SegEnds_NonXtal_Prot#'!A:AL,10,FALSE)-VLOOKUP(A278,'SegEnds_NonXtal_Prot#'!A:AL,7,FALSE)</f>
        <v>15</v>
      </c>
      <c r="AC278" s="1">
        <f>VLOOKUP(A278,'SegEnds_NonXtal_Prot#'!A:AL,13,FALSE)-VLOOKUP(A278,'SegEnds_NonXtal_Prot#'!A:AL,10,FALSE)</f>
        <v>20</v>
      </c>
      <c r="AD278" s="1">
        <f>VLOOKUP(A278,'SegEnds_NonXtal_Prot#'!A:AL,16,FALSE)-VLOOKUP(A278,'SegEnds_NonXtal_Prot#'!A:AL,10,FALSE)</f>
        <v>52</v>
      </c>
      <c r="AE278" s="1" t="e">
        <f>VLOOKUP(A278,'SegEnds_NonXtal_Prot#'!A:AL,22,FALSE)-VLOOKUP(A278,'SegEnds_NonXtal_Prot#'!A:AL,19,FALSE)</f>
        <v>#VALUE!</v>
      </c>
      <c r="AF278" s="1">
        <f>VLOOKUP(A278,'SegEnds_NonXtal_Prot#'!A:AL,28,FALSE)-VLOOKUP(A278,'SegEnds_NonXtal_Prot#'!A:AL,25,FALSE)</f>
        <v>28</v>
      </c>
      <c r="AG278" s="1">
        <f>VLOOKUP(A278,'SegEnds_NonXtal_Prot#'!A:AL,28,FALSE)-VLOOKUP(A278,'SegEnds_NonXtal_Prot#'!A:AL,22,FALSE)</f>
        <v>53</v>
      </c>
      <c r="AH278" s="1">
        <f>VLOOKUP(A278,'SegEnds_NonXtal_Prot#'!A:AL,31,FALSE)-VLOOKUP(A278,'SegEnds_NonXtal_Prot#'!A:AL,28,FALSE)</f>
        <v>55</v>
      </c>
      <c r="AI278" s="1">
        <f>VLOOKUP(A278,'SegEnds_NonXtal_Prot#'!A:AL,34,FALSE)-VLOOKUP(A278,'SegEnds_NonXtal_Prot#'!A:AL,31,FALSE)</f>
        <v>39</v>
      </c>
      <c r="AJ278" s="1" t="str">
        <f>IF(ISERROR(MATCH(A278,'SegEnds_Xtal_Prot#'!B:B, 0)), "NoXtal", "Xtal")</f>
        <v>NoXtal</v>
      </c>
    </row>
    <row r="279" spans="1:36" x14ac:dyDescent="0.2">
      <c r="A279" s="1" t="s">
        <v>315</v>
      </c>
      <c r="B279" s="1" t="str">
        <f>VLOOKUP(A279,Xtal_Templ!A:B,2,FALSE)</f>
        <v>ox1r_human</v>
      </c>
      <c r="C279" s="5">
        <f>VLOOKUP($B279&amp;"__wt",'SegEnds_Xtal_BW#'!$A:$Z,3,FALSE)</f>
        <v>32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56</v>
      </c>
      <c r="O279" s="89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32</v>
      </c>
      <c r="T279" s="1">
        <f t="array" ref="T279">INDEX('ICL3'!$G$2:$G$40,MATCH(MIN(ABS(AH279-'ICL3'!$F$2:$F$40)),ABS(AH279-'ICL3'!$F$2:$F$40),0))</f>
        <v>73</v>
      </c>
      <c r="U279" s="1">
        <f t="array" ref="U279">INDEX('ICL3'!$H$2:$H$40,MATCH(MIN(ABS(AH279-'ICL3'!$F$2:$F$40)),ABS(AH279-'ICL3'!$F$2:$F$40),0))</f>
        <v>22</v>
      </c>
      <c r="V279" s="1">
        <v>61</v>
      </c>
      <c r="W279" s="1">
        <v>28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58</v>
      </c>
      <c r="AA279" s="27" t="str">
        <f>VLOOKUP(A279,Classification!A:B,2,FALSE)</f>
        <v>A</v>
      </c>
      <c r="AB279" s="1">
        <f>VLOOKUP(A279,'SegEnds_NonXtal_Prot#'!A:AL,10,FALSE)-VLOOKUP(A279,'SegEnds_NonXtal_Prot#'!A:AL,7,FALSE)</f>
        <v>15</v>
      </c>
      <c r="AC279" s="1">
        <f>VLOOKUP(A279,'SegEnds_NonXtal_Prot#'!A:AL,13,FALSE)-VLOOKUP(A279,'SegEnds_NonXtal_Prot#'!A:AL,10,FALSE)</f>
        <v>20</v>
      </c>
      <c r="AD279" s="1">
        <f>VLOOKUP(A279,'SegEnds_NonXtal_Prot#'!A:AL,16,FALSE)-VLOOKUP(A279,'SegEnds_NonXtal_Prot#'!A:AL,10,FALSE)</f>
        <v>52</v>
      </c>
      <c r="AE279" s="1" t="e">
        <f>VLOOKUP(A279,'SegEnds_NonXtal_Prot#'!A:AL,22,FALSE)-VLOOKUP(A279,'SegEnds_NonXtal_Prot#'!A:AL,19,FALSE)</f>
        <v>#VALUE!</v>
      </c>
      <c r="AF279" s="1">
        <f>VLOOKUP(A279,'SegEnds_NonXtal_Prot#'!A:AL,28,FALSE)-VLOOKUP(A279,'SegEnds_NonXtal_Prot#'!A:AL,25,FALSE)</f>
        <v>28</v>
      </c>
      <c r="AG279" s="1">
        <f>VLOOKUP(A279,'SegEnds_NonXtal_Prot#'!A:AL,28,FALSE)-VLOOKUP(A279,'SegEnds_NonXtal_Prot#'!A:AL,22,FALSE)</f>
        <v>53</v>
      </c>
      <c r="AH279" s="1">
        <f>VLOOKUP(A279,'SegEnds_NonXtal_Prot#'!A:AL,31,FALSE)-VLOOKUP(A279,'SegEnds_NonXtal_Prot#'!A:AL,28,FALSE)</f>
        <v>56</v>
      </c>
      <c r="AI279" s="1">
        <f>VLOOKUP(A279,'SegEnds_NonXtal_Prot#'!A:AL,34,FALSE)-VLOOKUP(A279,'SegEnds_NonXtal_Prot#'!A:AL,31,FALSE)</f>
        <v>39</v>
      </c>
      <c r="AJ279" s="1" t="str">
        <f>IF(ISERROR(MATCH(A279,'SegEnds_Xtal_Prot#'!B:B, 0)), "NoXtal", "Xtal")</f>
        <v>NoXtal</v>
      </c>
    </row>
    <row r="280" spans="1:36" x14ac:dyDescent="0.2">
      <c r="A280" s="1" t="s">
        <v>316</v>
      </c>
      <c r="B280" s="1" t="str">
        <f>VLOOKUP(A280,Xtal_Templ!A:B,2,FALSE)</f>
        <v>ox2r_human</v>
      </c>
      <c r="C280" s="5">
        <f>VLOOKUP($B280&amp;"__wt",'SegEnds_Xtal_BW#'!$A:$Z,3,FALSE)</f>
        <v>31</v>
      </c>
      <c r="D280" s="1">
        <f>VLOOKUP($B280&amp;"__wt",'SegEnds_Xtal_BW#'!$A:$Z,4,FALSE)</f>
        <v>60</v>
      </c>
      <c r="E280" s="1">
        <f>VLOOKUP($B280&amp;"__wt",'SegEnds_Xtal_BW#'!$A:$Z,5,FALSE)</f>
        <v>48</v>
      </c>
      <c r="F280" s="1">
        <f>VLOOKUP($B280&amp;"__wt",'SegEnds_Xtal_BW#'!$A:$Z,6,FALSE)</f>
        <v>51</v>
      </c>
      <c r="G280" s="1">
        <v>37</v>
      </c>
      <c r="H280" s="12">
        <f>VLOOKUP($B280&amp;"__wt",'SegEnds_Xtal_BW#'!$A:$Z,8,FALSE)</f>
        <v>67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56</v>
      </c>
      <c r="O280" s="89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INDEX('ICL3'!$G$2:$G$40,MATCH(MIN(ABS(AH280-'ICL3'!$F$2:$F$40)),ABS(AH280-'ICL3'!$F$2:$F$40),0))</f>
        <v>73</v>
      </c>
      <c r="U280" s="1">
        <f t="array" ref="U280">INDEX('ICL3'!$H$2:$H$40,MATCH(MIN(ABS(AH280-'ICL3'!$F$2:$F$40)),ABS(AH280-'ICL3'!$F$2:$F$40),0))</f>
        <v>22</v>
      </c>
      <c r="V280" s="1">
        <v>61</v>
      </c>
      <c r="W280" s="1">
        <v>28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58</v>
      </c>
      <c r="AA280" s="27" t="str">
        <f>VLOOKUP(A280,Classification!A:B,2,FALSE)</f>
        <v>A</v>
      </c>
      <c r="AB280" s="1">
        <f>VLOOKUP(A280,'SegEnds_NonXtal_Prot#'!A:AL,10,FALSE)-VLOOKUP(A280,'SegEnds_NonXtal_Prot#'!A:AL,7,FALSE)</f>
        <v>15</v>
      </c>
      <c r="AC280" s="1">
        <f>VLOOKUP(A280,'SegEnds_NonXtal_Prot#'!A:AL,13,FALSE)-VLOOKUP(A280,'SegEnds_NonXtal_Prot#'!A:AL,10,FALSE)</f>
        <v>20</v>
      </c>
      <c r="AD280" s="1">
        <f>VLOOKUP(A280,'SegEnds_NonXtal_Prot#'!A:AL,16,FALSE)-VLOOKUP(A280,'SegEnds_NonXtal_Prot#'!A:AL,10,FALSE)</f>
        <v>52</v>
      </c>
      <c r="AE280" s="1" t="e">
        <f>VLOOKUP(A280,'SegEnds_NonXtal_Prot#'!A:AL,22,FALSE)-VLOOKUP(A280,'SegEnds_NonXtal_Prot#'!A:AL,19,FALSE)</f>
        <v>#VALUE!</v>
      </c>
      <c r="AF280" s="1">
        <f>VLOOKUP(A280,'SegEnds_NonXtal_Prot#'!A:AL,28,FALSE)-VLOOKUP(A280,'SegEnds_NonXtal_Prot#'!A:AL,25,FALSE)</f>
        <v>26</v>
      </c>
      <c r="AG280" s="1">
        <f>VLOOKUP(A280,'SegEnds_NonXtal_Prot#'!A:AL,28,FALSE)-VLOOKUP(A280,'SegEnds_NonXtal_Prot#'!A:AL,22,FALSE)</f>
        <v>51</v>
      </c>
      <c r="AH280" s="1">
        <f>VLOOKUP(A280,'SegEnds_NonXtal_Prot#'!A:AL,31,FALSE)-VLOOKUP(A280,'SegEnds_NonXtal_Prot#'!A:AL,28,FALSE)</f>
        <v>55</v>
      </c>
      <c r="AI280" s="1">
        <f>VLOOKUP(A280,'SegEnds_NonXtal_Prot#'!A:AL,34,FALSE)-VLOOKUP(A280,'SegEnds_NonXtal_Prot#'!A:AL,31,FALSE)</f>
        <v>39</v>
      </c>
      <c r="AJ280" s="1" t="str">
        <f>IF(ISERROR(MATCH(A280,'SegEnds_Xtal_Prot#'!B:B, 0)), "NoXtal", "Xtal")</f>
        <v>NoXtal</v>
      </c>
    </row>
    <row r="281" spans="1:36" x14ac:dyDescent="0.2">
      <c r="A281" s="1" t="s">
        <v>320</v>
      </c>
      <c r="B281" s="1" t="str">
        <f>VLOOKUP(A281,Xtal_Templ!A:B,2,FALSE)</f>
        <v>oprk_human</v>
      </c>
      <c r="C281" s="5">
        <f>VLOOKUP($B281&amp;"__wt",'SegEnds_Xtal_BW#'!$A:$Z,3,FALSE)</f>
        <v>30</v>
      </c>
      <c r="D281" s="1">
        <f>VLOOKUP($B281&amp;"__wt",'SegEnds_Xtal_BW#'!$A:$Z,4,FALSE)</f>
        <v>60</v>
      </c>
      <c r="E281" s="1">
        <f>VLOOKUP($B281&amp;"__wt",'SegEnds_Xtal_BW#'!$A:$Z,5,FALSE)</f>
        <v>48</v>
      </c>
      <c r="F281" s="1">
        <f>VLOOKUP($B281&amp;"__wt",'SegEnds_Xtal_BW#'!$A:$Z,6,FALSE)</f>
        <v>51</v>
      </c>
      <c r="G281" s="1">
        <v>37</v>
      </c>
      <c r="H281" s="12">
        <v>66</v>
      </c>
      <c r="I281" s="1">
        <f>VLOOKUP($B281&amp;"__wt",'SegEnds_Xtal_BW#'!$A:$Z,9,FALSE)</f>
        <v>49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f>VLOOKUP($B281&amp;"__wt",'SegEnds_Xtal_BW#'!$A:$Z,14,FALSE)</f>
        <v>57</v>
      </c>
      <c r="O281" s="89">
        <v>38</v>
      </c>
      <c r="P281" s="1">
        <f>VLOOKUP($B281&amp;"__wt",'SegEnds_Xtal_BW#'!$A:$Z,16,FALSE)</f>
        <v>64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INDEX('ICL3'!$G$2:$G$40,MATCH(MIN(ABS(AH281-'ICL3'!$F$2:$F$40)),ABS(AH281-'ICL3'!$F$2:$F$40),0))</f>
        <v>68</v>
      </c>
      <c r="U281" s="1">
        <f t="array" ref="U281">INDEX('ICL3'!$H$2:$H$40,MATCH(MIN(ABS(AH281-'ICL3'!$F$2:$F$40)),ABS(AH281-'ICL3'!$F$2:$F$40),0))</f>
        <v>23</v>
      </c>
      <c r="V281" s="1">
        <v>61</v>
      </c>
      <c r="W281" s="1">
        <v>28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59</v>
      </c>
      <c r="AA281" s="27" t="str">
        <f>VLOOKUP(A281,Classification!A:B,2,FALSE)</f>
        <v>A</v>
      </c>
      <c r="AB281" s="1">
        <f>VLOOKUP(A281,'SegEnds_NonXtal_Prot#'!A:AL,10,FALSE)-VLOOKUP(A281,'SegEnds_NonXtal_Prot#'!A:AL,7,FALSE)</f>
        <v>15</v>
      </c>
      <c r="AC281" s="1">
        <f>VLOOKUP(A281,'SegEnds_NonXtal_Prot#'!A:AL,13,FALSE)-VLOOKUP(A281,'SegEnds_NonXtal_Prot#'!A:AL,10,FALSE)</f>
        <v>19</v>
      </c>
      <c r="AD281" s="1">
        <f>VLOOKUP(A281,'SegEnds_NonXtal_Prot#'!A:AL,16,FALSE)-VLOOKUP(A281,'SegEnds_NonXtal_Prot#'!A:AL,10,FALSE)</f>
        <v>51</v>
      </c>
      <c r="AE281" s="1" t="e">
        <f>VLOOKUP(A281,'SegEnds_NonXtal_Prot#'!A:AL,22,FALSE)-VLOOKUP(A281,'SegEnds_NonXtal_Prot#'!A:AL,19,FALSE)</f>
        <v>#VALUE!</v>
      </c>
      <c r="AF281" s="1">
        <f>VLOOKUP(A281,'SegEnds_NonXtal_Prot#'!A:AL,28,FALSE)-VLOOKUP(A281,'SegEnds_NonXtal_Prot#'!A:AL,25,FALSE)</f>
        <v>27</v>
      </c>
      <c r="AG281" s="1">
        <f>VLOOKUP(A281,'SegEnds_NonXtal_Prot#'!A:AL,28,FALSE)-VLOOKUP(A281,'SegEnds_NonXtal_Prot#'!A:AL,22,FALSE)</f>
        <v>52</v>
      </c>
      <c r="AH281" s="1">
        <f>VLOOKUP(A281,'SegEnds_NonXtal_Prot#'!A:AL,31,FALSE)-VLOOKUP(A281,'SegEnds_NonXtal_Prot#'!A:AL,28,FALSE)</f>
        <v>51</v>
      </c>
      <c r="AI281" s="1">
        <f>VLOOKUP(A281,'SegEnds_NonXtal_Prot#'!A:AL,34,FALSE)-VLOOKUP(A281,'SegEnds_NonXtal_Prot#'!A:AL,31,FALSE)</f>
        <v>38</v>
      </c>
      <c r="AJ281" s="1" t="str">
        <f>IF(ISERROR(MATCH(A281,'SegEnds_Xtal_Prot#'!B:B, 0)), "NoXtal", "Xtal")</f>
        <v>NoXtal</v>
      </c>
    </row>
    <row r="282" spans="1:36" x14ac:dyDescent="0.2">
      <c r="A282" s="1" t="s">
        <v>321</v>
      </c>
      <c r="B282" s="1" t="str">
        <f>VLOOKUP(A282,Xtal_Templ!A:B,2,FALSE)</f>
        <v>oprd_human</v>
      </c>
      <c r="C282" s="5">
        <f>VLOOKUP($B282&amp;"__wt",'SegEnds_Xtal_BW#'!$A:$Z,3,FALSE)</f>
        <v>22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>
        <f>VLOOKUP($B282&amp;"__wt",'SegEnds_Xtal_BW#'!$A:$Z,9,FALSE)</f>
        <v>49</v>
      </c>
      <c r="J282" s="1">
        <f>VLOOKUP($B282&amp;"__wt",'SegEnds_Xtal_BW#'!$A:$Z,10,FALSE)</f>
        <v>52</v>
      </c>
      <c r="K282" s="12">
        <v>21</v>
      </c>
      <c r="L282" s="1">
        <f>VLOOKUP($B282&amp;"__wt",'SegEnds_Xtal_BW#'!$A:$Z,12,FALSE)</f>
        <v>56</v>
      </c>
      <c r="M282" s="1">
        <f>VLOOKUP($B282&amp;"__wt",'SegEnds_Xtal_BW#'!$A:$Z,13,FALSE)</f>
        <v>50</v>
      </c>
      <c r="N282" s="12">
        <f>VLOOKUP($B282&amp;"__wt",'SegEnds_Xtal_BW#'!$A:$Z,14,FALSE)</f>
        <v>57</v>
      </c>
      <c r="O282" s="89">
        <v>38</v>
      </c>
      <c r="P282" s="1">
        <f>VLOOKUP($B282&amp;"__wt",'SegEnds_Xtal_BW#'!$A:$Z,16,FALSE)</f>
        <v>64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31</v>
      </c>
      <c r="T282" s="1">
        <f t="array" ref="T282">INDEX('ICL3'!$G$2:$G$40,MATCH(MIN(ABS(AH282-'ICL3'!$F$2:$F$40)),ABS(AH282-'ICL3'!$F$2:$F$40),0))</f>
        <v>68</v>
      </c>
      <c r="U282" s="1">
        <f t="array" ref="U282">INDEX('ICL3'!$H$2:$H$40,MATCH(MIN(ABS(AH282-'ICL3'!$F$2:$F$40)),ABS(AH282-'ICL3'!$F$2:$F$40),0))</f>
        <v>23</v>
      </c>
      <c r="V282" s="1">
        <v>61</v>
      </c>
      <c r="W282" s="1">
        <v>28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60</v>
      </c>
      <c r="AA282" s="27" t="str">
        <f>VLOOKUP(A282,Classification!A:B,2,FALSE)</f>
        <v>A</v>
      </c>
      <c r="AB282" s="1">
        <f>VLOOKUP(A282,'SegEnds_NonXtal_Prot#'!A:AL,10,FALSE)-VLOOKUP(A282,'SegEnds_NonXtal_Prot#'!A:AL,7,FALSE)</f>
        <v>15</v>
      </c>
      <c r="AC282" s="1">
        <f>VLOOKUP(A282,'SegEnds_NonXtal_Prot#'!A:AL,13,FALSE)-VLOOKUP(A282,'SegEnds_NonXtal_Prot#'!A:AL,10,FALSE)</f>
        <v>19</v>
      </c>
      <c r="AD282" s="1">
        <f>VLOOKUP(A282,'SegEnds_NonXtal_Prot#'!A:AL,16,FALSE)-VLOOKUP(A282,'SegEnds_NonXtal_Prot#'!A:AL,10,FALSE)</f>
        <v>51</v>
      </c>
      <c r="AE282" s="1" t="e">
        <f>VLOOKUP(A282,'SegEnds_NonXtal_Prot#'!A:AL,22,FALSE)-VLOOKUP(A282,'SegEnds_NonXtal_Prot#'!A:AL,19,FALSE)</f>
        <v>#VALUE!</v>
      </c>
      <c r="AF282" s="1">
        <f>VLOOKUP(A282,'SegEnds_NonXtal_Prot#'!A:AL,28,FALSE)-VLOOKUP(A282,'SegEnds_NonXtal_Prot#'!A:AL,25,FALSE)</f>
        <v>27</v>
      </c>
      <c r="AG282" s="1">
        <f>VLOOKUP(A282,'SegEnds_NonXtal_Prot#'!A:AL,28,FALSE)-VLOOKUP(A282,'SegEnds_NonXtal_Prot#'!A:AL,22,FALSE)</f>
        <v>53</v>
      </c>
      <c r="AH282" s="1">
        <f>VLOOKUP(A282,'SegEnds_NonXtal_Prot#'!A:AL,31,FALSE)-VLOOKUP(A282,'SegEnds_NonXtal_Prot#'!A:AL,28,FALSE)</f>
        <v>51</v>
      </c>
      <c r="AI282" s="1">
        <f>VLOOKUP(A282,'SegEnds_NonXtal_Prot#'!A:AL,34,FALSE)-VLOOKUP(A282,'SegEnds_NonXtal_Prot#'!A:AL,31,FALSE)</f>
        <v>38</v>
      </c>
      <c r="AJ282" s="1" t="str">
        <f>IF(ISERROR(MATCH(A282,'SegEnds_Xtal_Prot#'!B:B, 0)), "NoXtal", "Xtal")</f>
        <v>NoXtal</v>
      </c>
    </row>
    <row r="283" spans="1:36" x14ac:dyDescent="0.2">
      <c r="A283" s="1" t="s">
        <v>322</v>
      </c>
      <c r="B283" s="1" t="str">
        <f>VLOOKUP(A283,Xtal_Templ!A:B,2,FALSE)</f>
        <v>ox1r_human</v>
      </c>
      <c r="C283" s="5">
        <f>VLOOKUP($B283&amp;"__wt",'SegEnds_Xtal_BW#'!$A:$Z,3,FALSE)</f>
        <v>32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67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56</v>
      </c>
      <c r="O283" s="89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32</v>
      </c>
      <c r="T283" s="1">
        <f t="array" ref="T283">INDEX('ICL3'!$G$2:$G$40,MATCH(MIN(ABS(AH283-'ICL3'!$F$2:$F$40)),ABS(AH283-'ICL3'!$F$2:$F$40),0))</f>
        <v>72</v>
      </c>
      <c r="U283" s="1">
        <f t="array" ref="U283">INDEX('ICL3'!$H$2:$H$40,MATCH(MIN(ABS(AH283-'ICL3'!$F$2:$F$40)),ABS(AH283-'ICL3'!$F$2:$F$40),0))</f>
        <v>24</v>
      </c>
      <c r="V283" s="1">
        <v>61</v>
      </c>
      <c r="W283" s="1">
        <v>28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58</v>
      </c>
      <c r="AA283" s="27" t="str">
        <f>VLOOKUP(A283,Classification!A:B,2,FALSE)</f>
        <v>A</v>
      </c>
      <c r="AB283" s="1">
        <f>VLOOKUP(A283,'SegEnds_NonXtal_Prot#'!A:AL,10,FALSE)-VLOOKUP(A283,'SegEnds_NonXtal_Prot#'!A:AL,7,FALSE)</f>
        <v>15</v>
      </c>
      <c r="AC283" s="1">
        <f>VLOOKUP(A283,'SegEnds_NonXtal_Prot#'!A:AL,13,FALSE)-VLOOKUP(A283,'SegEnds_NonXtal_Prot#'!A:AL,10,FALSE)</f>
        <v>20</v>
      </c>
      <c r="AD283" s="1">
        <f>VLOOKUP(A283,'SegEnds_NonXtal_Prot#'!A:AL,16,FALSE)-VLOOKUP(A283,'SegEnds_NonXtal_Prot#'!A:AL,10,FALSE)</f>
        <v>52</v>
      </c>
      <c r="AE283" s="1" t="e">
        <f>VLOOKUP(A283,'SegEnds_NonXtal_Prot#'!A:AL,22,FALSE)-VLOOKUP(A283,'SegEnds_NonXtal_Prot#'!A:AL,19,FALSE)</f>
        <v>#VALUE!</v>
      </c>
      <c r="AF283" s="1">
        <f>VLOOKUP(A283,'SegEnds_NonXtal_Prot#'!A:AL,28,FALSE)-VLOOKUP(A283,'SegEnds_NonXtal_Prot#'!A:AL,25,FALSE)</f>
        <v>25</v>
      </c>
      <c r="AG283" s="1">
        <f>VLOOKUP(A283,'SegEnds_NonXtal_Prot#'!A:AL,28,FALSE)-VLOOKUP(A283,'SegEnds_NonXtal_Prot#'!A:AL,22,FALSE)</f>
        <v>62</v>
      </c>
      <c r="AH283" s="1">
        <f>VLOOKUP(A283,'SegEnds_NonXtal_Prot#'!A:AL,31,FALSE)-VLOOKUP(A283,'SegEnds_NonXtal_Prot#'!A:AL,28,FALSE)</f>
        <v>57</v>
      </c>
      <c r="AI283" s="1">
        <f>VLOOKUP(A283,'SegEnds_NonXtal_Prot#'!A:AL,34,FALSE)-VLOOKUP(A283,'SegEnds_NonXtal_Prot#'!A:AL,31,FALSE)</f>
        <v>41</v>
      </c>
      <c r="AJ283" s="1" t="str">
        <f>IF(ISERROR(MATCH(A283,'SegEnds_Xtal_Prot#'!B:B, 0)), "NoXtal", "Xtal")</f>
        <v>NoXtal</v>
      </c>
    </row>
    <row r="284" spans="1:36" x14ac:dyDescent="0.2">
      <c r="A284" s="1" t="s">
        <v>323</v>
      </c>
      <c r="B284" s="1" t="str">
        <f>VLOOKUP(A284,Xtal_Templ!A:B,2,FALSE)</f>
        <v>ox2r_human</v>
      </c>
      <c r="C284" s="5">
        <f>VLOOKUP($B284&amp;"__wt",'SegEnds_Xtal_BW#'!$A:$Z,3,FALSE)</f>
        <v>31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56</v>
      </c>
      <c r="O284" s="89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32</v>
      </c>
      <c r="T284" s="1">
        <f t="array" ref="T284">INDEX('ICL3'!$G$2:$G$40,MATCH(MIN(ABS(AH284-'ICL3'!$F$2:$F$40)),ABS(AH284-'ICL3'!$F$2:$F$40),0))</f>
        <v>73</v>
      </c>
      <c r="U284" s="1">
        <f t="array" ref="U284">INDEX('ICL3'!$H$2:$H$40,MATCH(MIN(ABS(AH284-'ICL3'!$F$2:$F$40)),ABS(AH284-'ICL3'!$F$2:$F$40),0))</f>
        <v>24</v>
      </c>
      <c r="V284" s="1">
        <v>61</v>
      </c>
      <c r="W284" s="1">
        <v>28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58</v>
      </c>
      <c r="AA284" s="27" t="str">
        <f>VLOOKUP(A284,Classification!A:B,2,FALSE)</f>
        <v>A</v>
      </c>
      <c r="AB284" s="1">
        <f>VLOOKUP(A284,'SegEnds_NonXtal_Prot#'!A:AL,10,FALSE)-VLOOKUP(A284,'SegEnds_NonXtal_Prot#'!A:AL,7,FALSE)</f>
        <v>15</v>
      </c>
      <c r="AC284" s="1">
        <f>VLOOKUP(A284,'SegEnds_NonXtal_Prot#'!A:AL,13,FALSE)-VLOOKUP(A284,'SegEnds_NonXtal_Prot#'!A:AL,10,FALSE)</f>
        <v>20</v>
      </c>
      <c r="AD284" s="1">
        <f>VLOOKUP(A284,'SegEnds_NonXtal_Prot#'!A:AL,16,FALSE)-VLOOKUP(A284,'SegEnds_NonXtal_Prot#'!A:AL,10,FALSE)</f>
        <v>52</v>
      </c>
      <c r="AE284" s="1" t="e">
        <f>VLOOKUP(A284,'SegEnds_NonXtal_Prot#'!A:AL,22,FALSE)-VLOOKUP(A284,'SegEnds_NonXtal_Prot#'!A:AL,19,FALSE)</f>
        <v>#VALUE!</v>
      </c>
      <c r="AF284" s="1">
        <f>VLOOKUP(A284,'SegEnds_NonXtal_Prot#'!A:AL,28,FALSE)-VLOOKUP(A284,'SegEnds_NonXtal_Prot#'!A:AL,25,FALSE)</f>
        <v>25</v>
      </c>
      <c r="AG284" s="1">
        <f>VLOOKUP(A284,'SegEnds_NonXtal_Prot#'!A:AL,28,FALSE)-VLOOKUP(A284,'SegEnds_NonXtal_Prot#'!A:AL,22,FALSE)</f>
        <v>63</v>
      </c>
      <c r="AH284" s="1">
        <f>VLOOKUP(A284,'SegEnds_NonXtal_Prot#'!A:AL,31,FALSE)-VLOOKUP(A284,'SegEnds_NonXtal_Prot#'!A:AL,28,FALSE)</f>
        <v>58</v>
      </c>
      <c r="AI284" s="1">
        <f>VLOOKUP(A284,'SegEnds_NonXtal_Prot#'!A:AL,34,FALSE)-VLOOKUP(A284,'SegEnds_NonXtal_Prot#'!A:AL,31,FALSE)</f>
        <v>41</v>
      </c>
      <c r="AJ284" s="1" t="str">
        <f>IF(ISERROR(MATCH(A284,'SegEnds_Xtal_Prot#'!B:B, 0)), "NoXtal", "Xtal")</f>
        <v>NoXtal</v>
      </c>
    </row>
    <row r="285" spans="1:36" x14ac:dyDescent="0.2">
      <c r="A285" s="1" t="s">
        <v>325</v>
      </c>
      <c r="B285" s="1" t="str">
        <f>VLOOKUP(A285,Xtal_Templ!A:B,2,FALSE)</f>
        <v>ox1r_human</v>
      </c>
      <c r="C285" s="5">
        <f>VLOOKUP($B285&amp;"__wt",'SegEnds_Xtal_BW#'!$A:$Z,3,FALSE)</f>
        <v>32</v>
      </c>
      <c r="D285" s="1">
        <f>VLOOKUP($B285&amp;"__wt",'SegEnds_Xtal_BW#'!$A:$Z,4,FALSE)</f>
        <v>60</v>
      </c>
      <c r="E285" s="1">
        <f>VLOOKUP($B285&amp;"__wt",'SegEnds_Xtal_BW#'!$A:$Z,5,FALSE)</f>
        <v>48</v>
      </c>
      <c r="F285" s="1">
        <f>VLOOKUP($B285&amp;"__wt",'SegEnds_Xtal_BW#'!$A:$Z,6,FALSE)</f>
        <v>51</v>
      </c>
      <c r="G285" s="1">
        <v>37</v>
      </c>
      <c r="H285" s="12">
        <f>VLOOKUP($B285&amp;"__wt",'SegEnds_Xtal_BW#'!$A:$Z,8,FALSE)</f>
        <v>67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18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56</v>
      </c>
      <c r="O285" s="89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INDEX('ICL3'!$G$2:$G$40,MATCH(MIN(ABS(AH285-'ICL3'!$F$2:$F$40)),ABS(AH285-'ICL3'!$F$2:$F$40),0))</f>
        <v>73</v>
      </c>
      <c r="U285" s="1">
        <f t="array" ref="U285">INDEX('ICL3'!$H$2:$H$40,MATCH(MIN(ABS(AH285-'ICL3'!$F$2:$F$40)),ABS(AH285-'ICL3'!$F$2:$F$40),0))</f>
        <v>22</v>
      </c>
      <c r="V285" s="1">
        <v>61</v>
      </c>
      <c r="W285" s="1">
        <v>28</v>
      </c>
      <c r="X285" s="1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58</v>
      </c>
      <c r="AA285" s="27" t="str">
        <f>VLOOKUP(A285,Classification!A:B,2,FALSE)</f>
        <v>A</v>
      </c>
      <c r="AB285" s="1">
        <f>VLOOKUP(A285,'SegEnds_NonXtal_Prot#'!A:AL,10,FALSE)-VLOOKUP(A285,'SegEnds_NonXtal_Prot#'!A:AL,7,FALSE)</f>
        <v>15</v>
      </c>
      <c r="AC285" s="1">
        <f>VLOOKUP(A285,'SegEnds_NonXtal_Prot#'!A:AL,13,FALSE)-VLOOKUP(A285,'SegEnds_NonXtal_Prot#'!A:AL,10,FALSE)</f>
        <v>20</v>
      </c>
      <c r="AD285" s="1">
        <f>VLOOKUP(A285,'SegEnds_NonXtal_Prot#'!A:AL,16,FALSE)-VLOOKUP(A285,'SegEnds_NonXtal_Prot#'!A:AL,10,FALSE)</f>
        <v>52</v>
      </c>
      <c r="AE285" s="1" t="e">
        <f>VLOOKUP(A285,'SegEnds_NonXtal_Prot#'!A:AL,22,FALSE)-VLOOKUP(A285,'SegEnds_NonXtal_Prot#'!A:AL,19,FALSE)</f>
        <v>#VALUE!</v>
      </c>
      <c r="AF285" s="1">
        <f>VLOOKUP(A285,'SegEnds_NonXtal_Prot#'!A:AL,28,FALSE)-VLOOKUP(A285,'SegEnds_NonXtal_Prot#'!A:AL,25,FALSE)</f>
        <v>25</v>
      </c>
      <c r="AG285" s="1">
        <f>VLOOKUP(A285,'SegEnds_NonXtal_Prot#'!A:AL,28,FALSE)-VLOOKUP(A285,'SegEnds_NonXtal_Prot#'!A:AL,22,FALSE)</f>
        <v>60</v>
      </c>
      <c r="AH285" s="1">
        <f>VLOOKUP(A285,'SegEnds_NonXtal_Prot#'!A:AL,31,FALSE)-VLOOKUP(A285,'SegEnds_NonXtal_Prot#'!A:AL,28,FALSE)</f>
        <v>55</v>
      </c>
      <c r="AI285" s="1">
        <f>VLOOKUP(A285,'SegEnds_NonXtal_Prot#'!A:AL,34,FALSE)-VLOOKUP(A285,'SegEnds_NonXtal_Prot#'!A:AL,31,FALSE)</f>
        <v>39</v>
      </c>
      <c r="AJ285" s="1" t="str">
        <f>IF(ISERROR(MATCH(A285,'SegEnds_Xtal_Prot#'!B:B, 0)), "NoXtal", "Xtal")</f>
        <v>NoXtal</v>
      </c>
    </row>
    <row r="286" spans="1:36" x14ac:dyDescent="0.2">
      <c r="A286" s="1" t="s">
        <v>326</v>
      </c>
      <c r="B286" s="1" t="str">
        <f>VLOOKUP(A286,Xtal_Templ!A:B,2,FALSE)</f>
        <v>ox1r_human</v>
      </c>
      <c r="C286" s="5">
        <f>VLOOKUP($B286&amp;"__wt",'SegEnds_Xtal_BW#'!$A:$Z,3,FALSE)</f>
        <v>32</v>
      </c>
      <c r="D286" s="1">
        <f>VLOOKUP($B286&amp;"__wt",'SegEnds_Xtal_BW#'!$A:$Z,4,FALSE)</f>
        <v>60</v>
      </c>
      <c r="E286" s="1">
        <f>VLOOKUP($B286&amp;"__wt",'SegEnds_Xtal_BW#'!$A:$Z,5,FALSE)</f>
        <v>48</v>
      </c>
      <c r="F286" s="1">
        <f>VLOOKUP($B286&amp;"__wt",'SegEnds_Xtal_BW#'!$A:$Z,6,FALSE)</f>
        <v>51</v>
      </c>
      <c r="G286" s="1">
        <v>37</v>
      </c>
      <c r="H286" s="12">
        <f>VLOOKUP($B286&amp;"__wt",'SegEnds_Xtal_BW#'!$A:$Z,8,FALSE)</f>
        <v>67</v>
      </c>
      <c r="I286" s="1">
        <f>VLOOKUP($B286&amp;"__wt",'SegEnds_Xtal_BW#'!$A:$Z,9,FALSE)</f>
        <v>49</v>
      </c>
      <c r="J286" s="1">
        <f>VLOOKUP($B286&amp;"__wt",'SegEnds_Xtal_BW#'!$A:$Z,10,FALSE)</f>
        <v>52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56</v>
      </c>
      <c r="O286" s="89">
        <f>VLOOKUP($B286&amp;"__wt",'SegEnds_Xtal_BW#'!$A:$Z,15,FALSE)</f>
        <v>38</v>
      </c>
      <c r="P286" s="1">
        <f>VLOOKUP($B286&amp;"__wt",'SegEnds_Xtal_BW#'!$A:$Z,16,FALSE)</f>
        <v>64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32</v>
      </c>
      <c r="T286" s="1">
        <f t="array" ref="T286">INDEX('ICL3'!$G$2:$G$40,MATCH(MIN(ABS(AH286-'ICL3'!$F$2:$F$40)),ABS(AH286-'ICL3'!$F$2:$F$40),0))</f>
        <v>72</v>
      </c>
      <c r="U286" s="1">
        <f t="array" ref="U286">INDEX('ICL3'!$H$2:$H$40,MATCH(MIN(ABS(AH286-'ICL3'!$F$2:$F$40)),ABS(AH286-'ICL3'!$F$2:$F$40),0))</f>
        <v>24</v>
      </c>
      <c r="V286" s="1">
        <v>61</v>
      </c>
      <c r="W286" s="1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58</v>
      </c>
      <c r="AA286" s="27" t="str">
        <f>VLOOKUP(A286,Classification!A:B,2,FALSE)</f>
        <v>A</v>
      </c>
      <c r="AB286" s="1">
        <f>VLOOKUP(A286,'SegEnds_NonXtal_Prot#'!A:AL,10,FALSE)-VLOOKUP(A286,'SegEnds_NonXtal_Prot#'!A:AL,7,FALSE)</f>
        <v>15</v>
      </c>
      <c r="AC286" s="1">
        <f>VLOOKUP(A286,'SegEnds_NonXtal_Prot#'!A:AL,13,FALSE)-VLOOKUP(A286,'SegEnds_NonXtal_Prot#'!A:AL,10,FALSE)</f>
        <v>20</v>
      </c>
      <c r="AD286" s="1">
        <f>VLOOKUP(A286,'SegEnds_NonXtal_Prot#'!A:AL,16,FALSE)-VLOOKUP(A286,'SegEnds_NonXtal_Prot#'!A:AL,10,FALSE)</f>
        <v>52</v>
      </c>
      <c r="AE286" s="1" t="e">
        <f>VLOOKUP(A286,'SegEnds_NonXtal_Prot#'!A:AL,22,FALSE)-VLOOKUP(A286,'SegEnds_NonXtal_Prot#'!A:AL,19,FALSE)</f>
        <v>#VALUE!</v>
      </c>
      <c r="AF286" s="1">
        <f>VLOOKUP(A286,'SegEnds_NonXtal_Prot#'!A:AL,28,FALSE)-VLOOKUP(A286,'SegEnds_NonXtal_Prot#'!A:AL,25,FALSE)</f>
        <v>28</v>
      </c>
      <c r="AG286" s="1">
        <f>VLOOKUP(A286,'SegEnds_NonXtal_Prot#'!A:AL,28,FALSE)-VLOOKUP(A286,'SegEnds_NonXtal_Prot#'!A:AL,22,FALSE)</f>
        <v>58</v>
      </c>
      <c r="AH286" s="1">
        <f>VLOOKUP(A286,'SegEnds_NonXtal_Prot#'!A:AL,31,FALSE)-VLOOKUP(A286,'SegEnds_NonXtal_Prot#'!A:AL,28,FALSE)</f>
        <v>52</v>
      </c>
      <c r="AI286" s="1">
        <f>VLOOKUP(A286,'SegEnds_NonXtal_Prot#'!A:AL,34,FALSE)-VLOOKUP(A286,'SegEnds_NonXtal_Prot#'!A:AL,31,FALSE)</f>
        <v>39</v>
      </c>
      <c r="AJ286" s="1" t="str">
        <f>IF(ISERROR(MATCH(A286,'SegEnds_Xtal_Prot#'!B:B, 0)), "NoXtal", "Xtal")</f>
        <v>NoXtal</v>
      </c>
    </row>
    <row r="287" spans="1:36" x14ac:dyDescent="0.2">
      <c r="A287" s="1" t="s">
        <v>327</v>
      </c>
      <c r="B287" s="1" t="str">
        <f>VLOOKUP(A287,Xtal_Templ!A:B,2,FALSE)</f>
        <v>ox2r_human</v>
      </c>
      <c r="C287" s="5">
        <f>VLOOKUP($B287&amp;"__wt",'SegEnds_Xtal_BW#'!$A:$Z,3,FALSE)</f>
        <v>31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f>VLOOKUP($B287&amp;"__wt",'SegEnds_Xtal_BW#'!$A:$Z,8,FALSE)</f>
        <v>67</v>
      </c>
      <c r="I287" s="1">
        <f>VLOOKUP($B287&amp;"__wt",'SegEnds_Xtal_BW#'!$A:$Z,9,FALSE)</f>
        <v>49</v>
      </c>
      <c r="J287" s="1">
        <f>VLOOKUP($B287&amp;"__wt",'SegEnds_Xtal_BW#'!$A:$Z,10,FALSE)</f>
        <v>52</v>
      </c>
      <c r="K287" s="12">
        <v>18</v>
      </c>
      <c r="L287" s="1">
        <f>VLOOKUP($B287&amp;"__wt",'SegEnds_Xtal_BW#'!$A:$Z,12,FALSE)</f>
        <v>56</v>
      </c>
      <c r="M287" s="1">
        <f>VLOOKUP($B287&amp;"__wt",'SegEnds_Xtal_BW#'!$A:$Z,13,FALSE)</f>
        <v>50</v>
      </c>
      <c r="N287" s="12">
        <v>56</v>
      </c>
      <c r="O287" s="89">
        <f>VLOOKUP($B287&amp;"__wt",'SegEnds_Xtal_BW#'!$A:$Z,15,FALSE)</f>
        <v>38</v>
      </c>
      <c r="P287" s="1">
        <f>VLOOKUP($B287&amp;"__wt",'SegEnds_Xtal_BW#'!$A:$Z,16,FALSE)</f>
        <v>64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32</v>
      </c>
      <c r="T287" s="1">
        <f t="array" ref="T287">INDEX('ICL3'!$G$2:$G$40,MATCH(MIN(ABS(AH287-'ICL3'!$F$2:$F$40)),ABS(AH287-'ICL3'!$F$2:$F$40),0))</f>
        <v>72</v>
      </c>
      <c r="U287" s="1">
        <f t="array" ref="U287">INDEX('ICL3'!$H$2:$H$40,MATCH(MIN(ABS(AH287-'ICL3'!$F$2:$F$40)),ABS(AH287-'ICL3'!$F$2:$F$40),0))</f>
        <v>24</v>
      </c>
      <c r="V287" s="1">
        <v>61</v>
      </c>
      <c r="W287" s="1">
        <v>28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58</v>
      </c>
      <c r="AA287" s="27" t="str">
        <f>VLOOKUP(A287,Classification!A:B,2,FALSE)</f>
        <v>A</v>
      </c>
      <c r="AB287" s="1">
        <f>VLOOKUP(A287,'SegEnds_NonXtal_Prot#'!A:AL,10,FALSE)-VLOOKUP(A287,'SegEnds_NonXtal_Prot#'!A:AL,7,FALSE)</f>
        <v>15</v>
      </c>
      <c r="AC287" s="1">
        <f>VLOOKUP(A287,'SegEnds_NonXtal_Prot#'!A:AL,13,FALSE)-VLOOKUP(A287,'SegEnds_NonXtal_Prot#'!A:AL,10,FALSE)</f>
        <v>20</v>
      </c>
      <c r="AD287" s="1">
        <f>VLOOKUP(A287,'SegEnds_NonXtal_Prot#'!A:AL,16,FALSE)-VLOOKUP(A287,'SegEnds_NonXtal_Prot#'!A:AL,10,FALSE)</f>
        <v>52</v>
      </c>
      <c r="AE287" s="1" t="e">
        <f>VLOOKUP(A287,'SegEnds_NonXtal_Prot#'!A:AL,22,FALSE)-VLOOKUP(A287,'SegEnds_NonXtal_Prot#'!A:AL,19,FALSE)</f>
        <v>#VALUE!</v>
      </c>
      <c r="AF287" s="1">
        <f>VLOOKUP(A287,'SegEnds_NonXtal_Prot#'!A:AL,28,FALSE)-VLOOKUP(A287,'SegEnds_NonXtal_Prot#'!A:AL,25,FALSE)</f>
        <v>25</v>
      </c>
      <c r="AG287" s="1">
        <f>VLOOKUP(A287,'SegEnds_NonXtal_Prot#'!A:AL,28,FALSE)-VLOOKUP(A287,'SegEnds_NonXtal_Prot#'!A:AL,22,FALSE)</f>
        <v>62</v>
      </c>
      <c r="AH287" s="1">
        <f>VLOOKUP(A287,'SegEnds_NonXtal_Prot#'!A:AL,31,FALSE)-VLOOKUP(A287,'SegEnds_NonXtal_Prot#'!A:AL,28,FALSE)</f>
        <v>54</v>
      </c>
      <c r="AI287" s="1">
        <f>VLOOKUP(A287,'SegEnds_NonXtal_Prot#'!A:AL,34,FALSE)-VLOOKUP(A287,'SegEnds_NonXtal_Prot#'!A:AL,31,FALSE)</f>
        <v>39</v>
      </c>
      <c r="AJ287" s="1" t="str">
        <f>IF(ISERROR(MATCH(A287,'SegEnds_Xtal_Prot#'!B:B, 0)), "NoXtal", "Xtal")</f>
        <v>NoXtal</v>
      </c>
    </row>
    <row r="288" spans="1:36" x14ac:dyDescent="0.2">
      <c r="A288" s="1" t="s">
        <v>328</v>
      </c>
      <c r="B288" s="1" t="str">
        <f>VLOOKUP(A288,Xtal_Templ!A:B,2,FALSE)</f>
        <v>ox2r_human</v>
      </c>
      <c r="C288" s="5">
        <f>VLOOKUP($B288&amp;"__wt",'SegEnds_Xtal_BW#'!$A:$Z,3,FALSE)</f>
        <v>31</v>
      </c>
      <c r="D288" s="1">
        <f>VLOOKUP($B288&amp;"__wt",'SegEnds_Xtal_BW#'!$A:$Z,4,FALSE)</f>
        <v>60</v>
      </c>
      <c r="E288" s="1">
        <f>VLOOKUP($B288&amp;"__wt",'SegEnds_Xtal_BW#'!$A:$Z,5,FALSE)</f>
        <v>48</v>
      </c>
      <c r="F288" s="1">
        <f>VLOOKUP($B288&amp;"__wt",'SegEnds_Xtal_BW#'!$A:$Z,6,FALSE)</f>
        <v>51</v>
      </c>
      <c r="G288" s="1">
        <v>37</v>
      </c>
      <c r="H288" s="12">
        <f>VLOOKUP($B288&amp;"__wt",'SegEnds_Xtal_BW#'!$A:$Z,8,FALSE)</f>
        <v>67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18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v>56</v>
      </c>
      <c r="O288" s="89">
        <f>VLOOKUP($B288&amp;"__wt",'SegEnds_Xtal_BW#'!$A:$Z,15,FALSE)</f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32</v>
      </c>
      <c r="T288" s="1">
        <f t="array" ref="T288">INDEX('ICL3'!$G$2:$G$40,MATCH(MIN(ABS(AH288-'ICL3'!$F$2:$F$40)),ABS(AH288-'ICL3'!$F$2:$F$40),0))</f>
        <v>76</v>
      </c>
      <c r="U288" s="1">
        <f t="array" ref="U288">INDEX('ICL3'!$H$2:$H$40,MATCH(MIN(ABS(AH288-'ICL3'!$F$2:$F$40)),ABS(AH288-'ICL3'!$F$2:$F$40),0))</f>
        <v>24</v>
      </c>
      <c r="V288" s="1">
        <v>61</v>
      </c>
      <c r="W288" s="1">
        <v>28</v>
      </c>
      <c r="X288" s="1">
        <f>VLOOKUP($B288&amp;"__wt",'SegEnds_Xtal_BW#'!$A:$Z,24,FALSE)</f>
        <v>56</v>
      </c>
      <c r="Y288" s="1">
        <f>VLOOKUP($B288&amp;"__wt",'SegEnds_Xtal_BW#'!$A:$Z,25,FALSE)</f>
        <v>47</v>
      </c>
      <c r="Z288" s="1">
        <f>VLOOKUP($B288&amp;"__wt",'SegEnds_Xtal_BW#'!$A:$Z,26,FALSE)</f>
        <v>58</v>
      </c>
      <c r="AA288" s="27" t="str">
        <f>VLOOKUP(A288,Classification!A:B,2,FALSE)</f>
        <v>A</v>
      </c>
      <c r="AB288" s="1">
        <f>VLOOKUP(A288,'SegEnds_NonXtal_Prot#'!A:AL,10,FALSE)-VLOOKUP(A288,'SegEnds_NonXtal_Prot#'!A:AL,7,FALSE)</f>
        <v>15</v>
      </c>
      <c r="AC288" s="1">
        <f>VLOOKUP(A288,'SegEnds_NonXtal_Prot#'!A:AL,13,FALSE)-VLOOKUP(A288,'SegEnds_NonXtal_Prot#'!A:AL,10,FALSE)</f>
        <v>20</v>
      </c>
      <c r="AD288" s="1">
        <f>VLOOKUP(A288,'SegEnds_NonXtal_Prot#'!A:AL,16,FALSE)-VLOOKUP(A288,'SegEnds_NonXtal_Prot#'!A:AL,10,FALSE)</f>
        <v>52</v>
      </c>
      <c r="AE288" s="1" t="e">
        <f>VLOOKUP(A288,'SegEnds_NonXtal_Prot#'!A:AL,22,FALSE)-VLOOKUP(A288,'SegEnds_NonXtal_Prot#'!A:AL,19,FALSE)</f>
        <v>#VALUE!</v>
      </c>
      <c r="AF288" s="1">
        <f>VLOOKUP(A288,'SegEnds_NonXtal_Prot#'!A:AL,28,FALSE)-VLOOKUP(A288,'SegEnds_NonXtal_Prot#'!A:AL,25,FALSE)</f>
        <v>25</v>
      </c>
      <c r="AG288" s="1">
        <f>VLOOKUP(A288,'SegEnds_NonXtal_Prot#'!A:AL,28,FALSE)-VLOOKUP(A288,'SegEnds_NonXtal_Prot#'!A:AL,22,FALSE)</f>
        <v>59</v>
      </c>
      <c r="AH288" s="1">
        <f>VLOOKUP(A288,'SegEnds_NonXtal_Prot#'!A:AL,31,FALSE)-VLOOKUP(A288,'SegEnds_NonXtal_Prot#'!A:AL,28,FALSE)</f>
        <v>160</v>
      </c>
      <c r="AI288" s="1">
        <f>VLOOKUP(A288,'SegEnds_NonXtal_Prot#'!A:AL,34,FALSE)-VLOOKUP(A288,'SegEnds_NonXtal_Prot#'!A:AL,31,FALSE)</f>
        <v>39</v>
      </c>
      <c r="AJ288" s="1" t="str">
        <f>IF(ISERROR(MATCH(A288,'SegEnds_Xtal_Prot#'!B:B, 0)), "NoXtal", "Xtal")</f>
        <v>NoXtal</v>
      </c>
    </row>
    <row r="289" spans="1:36" x14ac:dyDescent="0.2">
      <c r="A289" s="1" t="s">
        <v>329</v>
      </c>
      <c r="B289" s="1" t="str">
        <f>VLOOKUP(A289,Xtal_Templ!A:B,2,FALSE)</f>
        <v>ox2r_human</v>
      </c>
      <c r="C289" s="5">
        <f>VLOOKUP($B289&amp;"__wt",'SegEnds_Xtal_BW#'!$A:$Z,3,FALSE)</f>
        <v>31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67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f>VLOOKUP($B289&amp;"__wt",'SegEnds_Xtal_BW#'!$A:$Z,14,FALSE)</f>
        <v>53</v>
      </c>
      <c r="O289" s="89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32</v>
      </c>
      <c r="T289" s="1">
        <f t="array" ref="T289">INDEX('ICL3'!$G$2:$G$40,MATCH(MIN(ABS(AH289-'ICL3'!$F$2:$F$40)),ABS(AH289-'ICL3'!$F$2:$F$40),0))</f>
        <v>73</v>
      </c>
      <c r="U289" s="1">
        <f t="array" ref="U289">INDEX('ICL3'!$H$2:$H$40,MATCH(MIN(ABS(AH289-'ICL3'!$F$2:$F$40)),ABS(AH289-'ICL3'!$F$2:$F$40),0))</f>
        <v>22</v>
      </c>
      <c r="V289" s="1">
        <v>61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58</v>
      </c>
      <c r="AA289" s="27" t="str">
        <f>VLOOKUP(A289,Classification!A:B,2,FALSE)</f>
        <v>A</v>
      </c>
      <c r="AB289" s="1">
        <f>VLOOKUP(A289,'SegEnds_NonXtal_Prot#'!A:AL,10,FALSE)-VLOOKUP(A289,'SegEnds_NonXtal_Prot#'!A:AL,7,FALSE)</f>
        <v>15</v>
      </c>
      <c r="AC289" s="1">
        <f>VLOOKUP(A289,'SegEnds_NonXtal_Prot#'!A:AL,13,FALSE)-VLOOKUP(A289,'SegEnds_NonXtal_Prot#'!A:AL,10,FALSE)</f>
        <v>20</v>
      </c>
      <c r="AD289" s="1">
        <f>VLOOKUP(A289,'SegEnds_NonXtal_Prot#'!A:AL,16,FALSE)-VLOOKUP(A289,'SegEnds_NonXtal_Prot#'!A:AL,10,FALSE)</f>
        <v>52</v>
      </c>
      <c r="AE289" s="1" t="e">
        <f>VLOOKUP(A289,'SegEnds_NonXtal_Prot#'!A:AL,22,FALSE)-VLOOKUP(A289,'SegEnds_NonXtal_Prot#'!A:AL,19,FALSE)</f>
        <v>#VALUE!</v>
      </c>
      <c r="AF289" s="1" t="e">
        <f>VLOOKUP(A289,'SegEnds_NonXtal_Prot#'!A:AL,28,FALSE)-VLOOKUP(A289,'SegEnds_NonXtal_Prot#'!A:AL,25,FALSE)</f>
        <v>#VALUE!</v>
      </c>
      <c r="AG289" s="1">
        <f>VLOOKUP(A289,'SegEnds_NonXtal_Prot#'!A:AL,28,FALSE)-VLOOKUP(A289,'SegEnds_NonXtal_Prot#'!A:AL,22,FALSE)</f>
        <v>62</v>
      </c>
      <c r="AH289" s="1">
        <f>VLOOKUP(A289,'SegEnds_NonXtal_Prot#'!A:AL,31,FALSE)-VLOOKUP(A289,'SegEnds_NonXtal_Prot#'!A:AL,28,FALSE)</f>
        <v>55</v>
      </c>
      <c r="AI289" s="1" t="e">
        <f>VLOOKUP(A289,'SegEnds_NonXtal_Prot#'!A:AL,34,FALSE)-VLOOKUP(A289,'SegEnds_NonXtal_Prot#'!A:AL,31,FALSE)</f>
        <v>#VALUE!</v>
      </c>
      <c r="AJ289" s="1" t="str">
        <f>IF(ISERROR(MATCH(A289,'SegEnds_Xtal_Prot#'!B:B, 0)), "NoXtal", "Xtal")</f>
        <v>NoXtal</v>
      </c>
    </row>
    <row r="290" spans="1:36" x14ac:dyDescent="0.2">
      <c r="A290" s="1" t="s">
        <v>332</v>
      </c>
      <c r="B290" s="1" t="str">
        <f>VLOOKUP(A290,Xtal_Templ!A:B,2,FALSE)</f>
        <v>opsd_bovin</v>
      </c>
      <c r="C290" s="5">
        <f>VLOOKUP($B290&amp;"__wt",'SegEnds_Xtal_BW#'!$A:$Z,3,FALSE)</f>
        <v>29</v>
      </c>
      <c r="D290" s="1">
        <f>VLOOKUP($B290&amp;"__wt",'SegEnds_Xtal_BW#'!$A:$Z,4,FALSE)</f>
        <v>60</v>
      </c>
      <c r="E290" s="1">
        <f>VLOOKUP($B290&amp;"__wt",'SegEnds_Xtal_BW#'!$A:$Z,5,FALSE)</f>
        <v>48</v>
      </c>
      <c r="F290" s="1">
        <f>VLOOKUP($B290&amp;"__wt",'SegEnds_Xtal_BW#'!$A:$Z,6,FALSE)</f>
        <v>51</v>
      </c>
      <c r="G290" s="1">
        <v>37</v>
      </c>
      <c r="H290" s="12">
        <f>VLOOKUP($B290&amp;"__wt",'SegEnds_Xtal_BW#'!$A:$Z,8,FALSE)</f>
        <v>67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18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f>VLOOKUP($B290&amp;"__wt",'SegEnds_Xtal_BW#'!$A:$Z,14,FALSE)</f>
        <v>56</v>
      </c>
      <c r="O290" s="89">
        <f>VLOOKUP($B290&amp;"__wt",'SegEnds_Xtal_BW#'!$A:$Z,15,FALSE)</f>
        <v>38</v>
      </c>
      <c r="P290" s="1">
        <f>VLOOKUP($B290&amp;"__wt",'SegEnds_Xtal_BW#'!$A:$Z,16,FALSE)</f>
        <v>62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">
        <f>VLOOKUP($B290&amp;"__wt",'SegEnds_Xtal_BW#'!$A:$Z,19,FALSE)</f>
        <v>34</v>
      </c>
      <c r="T290" s="1">
        <f t="array" ref="T290">INDEX('ICL3'!$G$2:$G$40,MATCH(MIN(ABS(AH290-'ICL3'!$F$2:$F$40)),ABS(AH290-'ICL3'!$F$2:$F$40),0))</f>
        <v>73</v>
      </c>
      <c r="U290" s="1">
        <f t="array" ref="U290">INDEX('ICL3'!$H$2:$H$40,MATCH(MIN(ABS(AH290-'ICL3'!$F$2:$F$40)),ABS(AH290-'ICL3'!$F$2:$F$40),0))</f>
        <v>22</v>
      </c>
      <c r="V290" s="1">
        <v>61</v>
      </c>
      <c r="W290" s="1">
        <v>31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59</v>
      </c>
      <c r="AA290" s="27" t="str">
        <f>VLOOKUP(A290,Classification!A:B,2,FALSE)</f>
        <v>A</v>
      </c>
      <c r="AB290" s="1">
        <f>VLOOKUP(A290,'SegEnds_NonXtal_Prot#'!A:AL,10,FALSE)-VLOOKUP(A290,'SegEnds_NonXtal_Prot#'!A:AL,7,FALSE)</f>
        <v>15</v>
      </c>
      <c r="AC290" s="1">
        <f>VLOOKUP(A290,'SegEnds_NonXtal_Prot#'!A:AL,13,FALSE)-VLOOKUP(A290,'SegEnds_NonXtal_Prot#'!A:AL,10,FALSE)</f>
        <v>20</v>
      </c>
      <c r="AD290" s="1">
        <f>VLOOKUP(A290,'SegEnds_NonXtal_Prot#'!A:AL,16,FALSE)-VLOOKUP(A290,'SegEnds_NonXtal_Prot#'!A:AL,10,FALSE)</f>
        <v>52</v>
      </c>
      <c r="AE290" s="1" t="e">
        <f>VLOOKUP(A290,'SegEnds_NonXtal_Prot#'!A:AL,22,FALSE)-VLOOKUP(A290,'SegEnds_NonXtal_Prot#'!A:AL,19,FALSE)</f>
        <v>#VALUE!</v>
      </c>
      <c r="AF290" s="1">
        <f>VLOOKUP(A290,'SegEnds_NonXtal_Prot#'!A:AL,28,FALSE)-VLOOKUP(A290,'SegEnds_NonXtal_Prot#'!A:AL,25,FALSE)</f>
        <v>26</v>
      </c>
      <c r="AG290" s="1">
        <f>VLOOKUP(A290,'SegEnds_NonXtal_Prot#'!A:AL,28,FALSE)-VLOOKUP(A290,'SegEnds_NonXtal_Prot#'!A:AL,22,FALSE)</f>
        <v>52</v>
      </c>
      <c r="AH290" s="1">
        <f>VLOOKUP(A290,'SegEnds_NonXtal_Prot#'!A:AL,31,FALSE)-VLOOKUP(A290,'SegEnds_NonXtal_Prot#'!A:AL,28,FALSE)</f>
        <v>56</v>
      </c>
      <c r="AI290" s="1">
        <f>VLOOKUP(A290,'SegEnds_NonXtal_Prot#'!A:AL,34,FALSE)-VLOOKUP(A290,'SegEnds_NonXtal_Prot#'!A:AL,31,FALSE)</f>
        <v>36</v>
      </c>
      <c r="AJ290" s="1" t="str">
        <f>IF(ISERROR(MATCH(A290,'SegEnds_Xtal_Prot#'!B:B, 0)), "NoXtal", "Xtal")</f>
        <v>NoXtal</v>
      </c>
    </row>
    <row r="291" spans="1:36" x14ac:dyDescent="0.2">
      <c r="A291" s="4" t="s">
        <v>344</v>
      </c>
      <c r="B291" s="4" t="str">
        <f>VLOOKUP(A291,Xtal_Templ!A:B,2,FALSE)</f>
        <v>ox1r_human</v>
      </c>
      <c r="C291" s="5">
        <f>VLOOKUP($B291&amp;"__wt",'SegEnds_Xtal_BW#'!$A:$Z,3,FALSE)</f>
        <v>32</v>
      </c>
      <c r="D291" s="4">
        <f>VLOOKUP($B291&amp;"__wt",'SegEnds_Xtal_BW#'!$A:$Z,4,FALSE)</f>
        <v>60</v>
      </c>
      <c r="E291" s="4">
        <f>VLOOKUP($B291&amp;"__wt",'SegEnds_Xtal_BW#'!$A:$Z,5,FALSE)</f>
        <v>48</v>
      </c>
      <c r="F291" s="4">
        <f>VLOOKUP($B291&amp;"__wt",'SegEnds_Xtal_BW#'!$A:$Z,6,FALSE)</f>
        <v>51</v>
      </c>
      <c r="G291" s="4">
        <v>37</v>
      </c>
      <c r="H291" s="11">
        <v>66</v>
      </c>
      <c r="I291" s="4">
        <f>VLOOKUP($B291&amp;"__wt",'SegEnds_Xtal_BW#'!$A:$Z,9,FALSE)</f>
        <v>49</v>
      </c>
      <c r="J291" s="4">
        <f>VLOOKUP($B291&amp;"__wt",'SegEnds_Xtal_BW#'!$A:$Z,10,FALSE)</f>
        <v>52</v>
      </c>
      <c r="K291" s="11">
        <v>18</v>
      </c>
      <c r="L291" s="4">
        <f>VLOOKUP($B291&amp;"__wt",'SegEnds_Xtal_BW#'!$A:$Z,12,FALSE)</f>
        <v>56</v>
      </c>
      <c r="M291" s="4">
        <f>VLOOKUP($B291&amp;"__wt",'SegEnds_Xtal_BW#'!$A:$Z,13,FALSE)</f>
        <v>50</v>
      </c>
      <c r="N291" s="11">
        <v>55</v>
      </c>
      <c r="O291" s="90">
        <v>38</v>
      </c>
      <c r="P291" s="4">
        <f>VLOOKUP($B291&amp;"__wt",'SegEnds_Xtal_BW#'!$A:$Z,16,FALSE)</f>
        <v>64</v>
      </c>
      <c r="Q291" s="4">
        <f>VLOOKUP($B291&amp;"__wt",'SegEnds_Xtal_BW#'!$A:$Z,17,FALSE)</f>
        <v>50</v>
      </c>
      <c r="R291" s="4">
        <f>VLOOKUP($B291&amp;"__wt",'SegEnds_Xtal_BW#'!$A:$Z,18,FALSE)</f>
        <v>52</v>
      </c>
      <c r="S291" s="4">
        <f>VLOOKUP($B291&amp;"__wt",'SegEnds_Xtal_BW#'!$A:$Z,19,FALSE)</f>
        <v>32</v>
      </c>
      <c r="T291" s="4">
        <f t="array" ref="T291">INDEX('ICL3'!$G$2:$G$40,MATCH(MIN(ABS(AH291-'ICL3'!$F$2:$F$40)),ABS(AH291-'ICL3'!$F$2:$F$40),0))</f>
        <v>76</v>
      </c>
      <c r="U291" s="4">
        <f t="array" ref="U291">INDEX('ICL3'!$H$2:$H$40,MATCH(MIN(ABS(AH291-'ICL3'!$F$2:$F$40)),ABS(AH291-'ICL3'!$F$2:$F$40),0))</f>
        <v>24</v>
      </c>
      <c r="V291" s="4">
        <v>61</v>
      </c>
      <c r="W291" s="4">
        <v>31</v>
      </c>
      <c r="X291" s="4">
        <f>VLOOKUP($B291&amp;"__wt",'SegEnds_Xtal_BW#'!$A:$Z,24,FALSE)</f>
        <v>56</v>
      </c>
      <c r="Y291" s="4">
        <f>VLOOKUP($B291&amp;"__wt",'SegEnds_Xtal_BW#'!$A:$Z,25,FALSE)</f>
        <v>47</v>
      </c>
      <c r="Z291" s="4">
        <f>VLOOKUP($B291&amp;"__wt",'SegEnds_Xtal_BW#'!$A:$Z,26,FALSE)</f>
        <v>58</v>
      </c>
      <c r="AA291" s="27" t="str">
        <f>VLOOKUP(A291,Classification!A:B,2,FALSE)</f>
        <v>A</v>
      </c>
      <c r="AB291" s="4">
        <f>VLOOKUP(A291,'SegEnds_NonXtal_Prot#'!A:AL,10,FALSE)-VLOOKUP(A291,'SegEnds_NonXtal_Prot#'!A:AL,7,FALSE)</f>
        <v>15</v>
      </c>
      <c r="AC291" s="4">
        <f>VLOOKUP(A291,'SegEnds_NonXtal_Prot#'!A:AL,13,FALSE)-VLOOKUP(A291,'SegEnds_NonXtal_Prot#'!A:AL,10,FALSE)</f>
        <v>18</v>
      </c>
      <c r="AD291" s="4">
        <f>VLOOKUP(A291,'SegEnds_NonXtal_Prot#'!A:AL,16,FALSE)-VLOOKUP(A291,'SegEnds_NonXtal_Prot#'!A:AL,10,FALSE)</f>
        <v>52</v>
      </c>
      <c r="AE291" s="1" t="e">
        <f>VLOOKUP(A291,'SegEnds_NonXtal_Prot#'!A:AL,22,FALSE)-VLOOKUP(A291,'SegEnds_NonXtal_Prot#'!A:AL,19,FALSE)</f>
        <v>#VALUE!</v>
      </c>
      <c r="AF291" s="4">
        <f>VLOOKUP(A291,'SegEnds_NonXtal_Prot#'!A:AL,28,FALSE)-VLOOKUP(A291,'SegEnds_NonXtal_Prot#'!A:AL,25,FALSE)</f>
        <v>25</v>
      </c>
      <c r="AG291" s="1">
        <f>VLOOKUP(A291,'SegEnds_NonXtal_Prot#'!A:AL,28,FALSE)-VLOOKUP(A291,'SegEnds_NonXtal_Prot#'!A:AL,22,FALSE)</f>
        <v>51</v>
      </c>
      <c r="AH291" s="4">
        <f>VLOOKUP(A291,'SegEnds_NonXtal_Prot#'!A:AL,31,FALSE)-VLOOKUP(A291,'SegEnds_NonXtal_Prot#'!A:AL,28,FALSE)</f>
        <v>78</v>
      </c>
      <c r="AI291" s="4">
        <f>VLOOKUP(A291,'SegEnds_NonXtal_Prot#'!A:AL,34,FALSE)-VLOOKUP(A291,'SegEnds_NonXtal_Prot#'!A:AL,31,FALSE)</f>
        <v>36</v>
      </c>
      <c r="AJ291" s="1" t="str">
        <f>IF(ISERROR(MATCH(A291,'SegEnds_Xtal_Prot#'!B:B, 0)), "NoXtal", "Xtal")</f>
        <v>NoXtal</v>
      </c>
    </row>
    <row r="292" spans="1:36" x14ac:dyDescent="0.2">
      <c r="A292" s="1" t="s">
        <v>367</v>
      </c>
      <c r="B292" s="1" t="str">
        <f>VLOOKUP(A292,Xtal_Templ!A:B,2,FALSE)</f>
        <v>ox1r_human</v>
      </c>
      <c r="C292" s="5">
        <f>VLOOKUP($B292&amp;"__wt",'SegEnds_Xtal_BW#'!$A:$Z,3,FALSE)</f>
        <v>32</v>
      </c>
      <c r="D292" s="1">
        <f>VLOOKUP($B292&amp;"__wt",'SegEnds_Xtal_BW#'!$A:$Z,4,FALSE)</f>
        <v>60</v>
      </c>
      <c r="E292" s="1">
        <f>VLOOKUP($B292&amp;"__wt",'SegEnds_Xtal_BW#'!$A:$Z,5,FALSE)</f>
        <v>48</v>
      </c>
      <c r="F292" s="1">
        <f>VLOOKUP($B292&amp;"__wt",'SegEnds_Xtal_BW#'!$A:$Z,6,FALSE)</f>
        <v>51</v>
      </c>
      <c r="G292" s="1">
        <v>37</v>
      </c>
      <c r="H292" s="12">
        <f>VLOOKUP($B292&amp;"__wt",'SegEnds_Xtal_BW#'!$A:$Z,8,FALSE)</f>
        <v>67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v>56</v>
      </c>
      <c r="O292" s="89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f t="array" ref="T292">INDEX('ICL3'!$G$2:$G$40,MATCH(MIN(ABS(AH292-'ICL3'!$F$2:$F$40)),ABS(AH292-'ICL3'!$F$2:$F$40),0))</f>
        <v>73</v>
      </c>
      <c r="U292" s="1">
        <f t="array" ref="U292">INDEX('ICL3'!$H$2:$H$40,MATCH(MIN(ABS(AH292-'ICL3'!$F$2:$F$40)),ABS(AH292-'ICL3'!$F$2:$F$40),0))</f>
        <v>22</v>
      </c>
      <c r="V292" s="1">
        <v>61</v>
      </c>
      <c r="W292" s="1">
        <v>28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58</v>
      </c>
      <c r="AA292" s="27" t="str">
        <f>VLOOKUP(A292,Classification!A:B,2,FALSE)</f>
        <v>A</v>
      </c>
      <c r="AB292" s="1">
        <f>VLOOKUP(A292,'SegEnds_NonXtal_Prot#'!A:AL,10,FALSE)-VLOOKUP(A292,'SegEnds_NonXtal_Prot#'!A:AL,7,FALSE)</f>
        <v>15</v>
      </c>
      <c r="AC292" s="1">
        <f>VLOOKUP(A292,'SegEnds_NonXtal_Prot#'!A:AL,13,FALSE)-VLOOKUP(A292,'SegEnds_NonXtal_Prot#'!A:AL,10,FALSE)</f>
        <v>22</v>
      </c>
      <c r="AD292" s="1">
        <f>VLOOKUP(A292,'SegEnds_NonXtal_Prot#'!A:AL,16,FALSE)-VLOOKUP(A292,'SegEnds_NonXtal_Prot#'!A:AL,10,FALSE)</f>
        <v>54</v>
      </c>
      <c r="AE292" s="1" t="e">
        <f>VLOOKUP(A292,'SegEnds_NonXtal_Prot#'!A:AL,22,FALSE)-VLOOKUP(A292,'SegEnds_NonXtal_Prot#'!A:AL,19,FALSE)</f>
        <v>#VALUE!</v>
      </c>
      <c r="AF292" s="1">
        <f>VLOOKUP(A292,'SegEnds_NonXtal_Prot#'!A:AL,28,FALSE)-VLOOKUP(A292,'SegEnds_NonXtal_Prot#'!A:AL,25,FALSE)</f>
        <v>27</v>
      </c>
      <c r="AG292" s="1">
        <f>VLOOKUP(A292,'SegEnds_NonXtal_Prot#'!A:AL,28,FALSE)-VLOOKUP(A292,'SegEnds_NonXtal_Prot#'!A:AL,22,FALSE)</f>
        <v>57</v>
      </c>
      <c r="AH292" s="1">
        <f>VLOOKUP(A292,'SegEnds_NonXtal_Prot#'!A:AL,31,FALSE)-VLOOKUP(A292,'SegEnds_NonXtal_Prot#'!A:AL,28,FALSE)</f>
        <v>55</v>
      </c>
      <c r="AI292" s="1">
        <f>VLOOKUP(A292,'SegEnds_NonXtal_Prot#'!A:AL,34,FALSE)-VLOOKUP(A292,'SegEnds_NonXtal_Prot#'!A:AL,31,FALSE)</f>
        <v>40</v>
      </c>
      <c r="AJ292" s="1" t="str">
        <f>IF(ISERROR(MATCH(A292,'SegEnds_Xtal_Prot#'!B:B, 0)), "NoXtal", "Xtal")</f>
        <v>NoXtal</v>
      </c>
    </row>
    <row r="293" spans="1:36" x14ac:dyDescent="0.2">
      <c r="A293" s="1" t="s">
        <v>368</v>
      </c>
      <c r="B293" s="1" t="str">
        <f>VLOOKUP(A293,Xtal_Templ!A:B,2,FALSE)</f>
        <v>ox2r_human</v>
      </c>
      <c r="C293" s="5">
        <f>VLOOKUP($B293&amp;"__wt",'SegEnds_Xtal_BW#'!$A:$Z,3,FALSE)</f>
        <v>31</v>
      </c>
      <c r="D293" s="1">
        <f>VLOOKUP($B293&amp;"__wt",'SegEnds_Xtal_BW#'!$A:$Z,4,FALSE)</f>
        <v>60</v>
      </c>
      <c r="E293" s="1">
        <f>VLOOKUP($B293&amp;"__wt",'SegEnds_Xtal_BW#'!$A:$Z,5,FALSE)</f>
        <v>48</v>
      </c>
      <c r="F293" s="1">
        <f>VLOOKUP($B293&amp;"__wt",'SegEnds_Xtal_BW#'!$A:$Z,6,FALSE)</f>
        <v>51</v>
      </c>
      <c r="G293" s="1">
        <v>37</v>
      </c>
      <c r="H293" s="12">
        <f>VLOOKUP($B293&amp;"__wt",'SegEnds_Xtal_BW#'!$A:$Z,8,FALSE)</f>
        <v>67</v>
      </c>
      <c r="I293" s="1">
        <f>VLOOKUP($B293&amp;"__wt",'SegEnds_Xtal_BW#'!$A:$Z,9,FALSE)</f>
        <v>49</v>
      </c>
      <c r="J293" s="1">
        <f>VLOOKUP($B293&amp;"__wt",'SegEnds_Xtal_BW#'!$A:$Z,10,FALSE)</f>
        <v>52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56</v>
      </c>
      <c r="O293" s="89">
        <f>VLOOKUP($B293&amp;"__wt",'SegEnds_Xtal_BW#'!$A:$Z,15,FALSE)</f>
        <v>38</v>
      </c>
      <c r="P293" s="1">
        <f>VLOOKUP($B293&amp;"__wt",'SegEnds_Xtal_BW#'!$A:$Z,16,FALSE)</f>
        <v>64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32</v>
      </c>
      <c r="T293" s="1">
        <f t="array" ref="T293">INDEX('ICL3'!$G$2:$G$40,MATCH(MIN(ABS(AH293-'ICL3'!$F$2:$F$40)),ABS(AH293-'ICL3'!$F$2:$F$40),0))</f>
        <v>73</v>
      </c>
      <c r="U293" s="1">
        <f t="array" ref="U293">INDEX('ICL3'!$H$2:$H$40,MATCH(MIN(ABS(AH293-'ICL3'!$F$2:$F$40)),ABS(AH293-'ICL3'!$F$2:$F$40),0))</f>
        <v>22</v>
      </c>
      <c r="V293" s="1">
        <v>61</v>
      </c>
      <c r="W293" s="1">
        <v>28</v>
      </c>
      <c r="X293" s="1">
        <f>VLOOKUP($B293&amp;"__wt",'SegEnds_Xtal_BW#'!$A:$Z,24,FALSE)</f>
        <v>56</v>
      </c>
      <c r="Y293" s="1">
        <f>VLOOKUP($B293&amp;"__wt",'SegEnds_Xtal_BW#'!$A:$Z,25,FALSE)</f>
        <v>47</v>
      </c>
      <c r="Z293" s="1">
        <f>VLOOKUP($B293&amp;"__wt",'SegEnds_Xtal_BW#'!$A:$Z,26,FALSE)</f>
        <v>58</v>
      </c>
      <c r="AA293" s="27" t="str">
        <f>VLOOKUP(A293,Classification!A:B,2,FALSE)</f>
        <v>A</v>
      </c>
      <c r="AB293" s="1">
        <f>VLOOKUP(A293,'SegEnds_NonXtal_Prot#'!A:AL,10,FALSE)-VLOOKUP(A293,'SegEnds_NonXtal_Prot#'!A:AL,7,FALSE)</f>
        <v>15</v>
      </c>
      <c r="AC293" s="1">
        <f>VLOOKUP(A293,'SegEnds_NonXtal_Prot#'!A:AL,13,FALSE)-VLOOKUP(A293,'SegEnds_NonXtal_Prot#'!A:AL,10,FALSE)</f>
        <v>22</v>
      </c>
      <c r="AD293" s="1">
        <f>VLOOKUP(A293,'SegEnds_NonXtal_Prot#'!A:AL,16,FALSE)-VLOOKUP(A293,'SegEnds_NonXtal_Prot#'!A:AL,10,FALSE)</f>
        <v>54</v>
      </c>
      <c r="AE293" s="1" t="e">
        <f>VLOOKUP(A293,'SegEnds_NonXtal_Prot#'!A:AL,22,FALSE)-VLOOKUP(A293,'SegEnds_NonXtal_Prot#'!A:AL,19,FALSE)</f>
        <v>#VALUE!</v>
      </c>
      <c r="AF293" s="1">
        <f>VLOOKUP(A293,'SegEnds_NonXtal_Prot#'!A:AL,28,FALSE)-VLOOKUP(A293,'SegEnds_NonXtal_Prot#'!A:AL,25,FALSE)</f>
        <v>27</v>
      </c>
      <c r="AG293" s="1">
        <f>VLOOKUP(A293,'SegEnds_NonXtal_Prot#'!A:AL,28,FALSE)-VLOOKUP(A293,'SegEnds_NonXtal_Prot#'!A:AL,22,FALSE)</f>
        <v>57</v>
      </c>
      <c r="AH293" s="1">
        <f>VLOOKUP(A293,'SegEnds_NonXtal_Prot#'!A:AL,31,FALSE)-VLOOKUP(A293,'SegEnds_NonXtal_Prot#'!A:AL,28,FALSE)</f>
        <v>55</v>
      </c>
      <c r="AI293" s="1">
        <f>VLOOKUP(A293,'SegEnds_NonXtal_Prot#'!A:AL,34,FALSE)-VLOOKUP(A293,'SegEnds_NonXtal_Prot#'!A:AL,31,FALSE)</f>
        <v>40</v>
      </c>
      <c r="AJ293" s="1" t="str">
        <f>IF(ISERROR(MATCH(A293,'SegEnds_Xtal_Prot#'!B:B, 0)), "NoXtal", "Xtal")</f>
        <v>NoXtal</v>
      </c>
    </row>
    <row r="294" spans="1:36" x14ac:dyDescent="0.2">
      <c r="A294" s="1" t="s">
        <v>373</v>
      </c>
      <c r="B294" s="1" t="str">
        <f>VLOOKUP(A294,Xtal_Templ!A:B,2,FALSE)</f>
        <v>agtr1_human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>
        <f>VLOOKUP($B294&amp;"__wt",'SegEnds_Xtal_BW#'!$A:$Z,5,FALSE)</f>
        <v>48</v>
      </c>
      <c r="F294" s="1">
        <f>VLOOKUP($B294&amp;"__wt",'SegEnds_Xtal_BW#'!$A:$Z,6,FALSE)</f>
        <v>51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58</v>
      </c>
      <c r="O294" s="89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34</v>
      </c>
      <c r="T294" s="1">
        <f t="array" ref="T294">INDEX('ICL3'!$G$2:$G$40,MATCH(MIN(ABS(AH294-'ICL3'!$F$2:$F$40)),ABS(AH294-'ICL3'!$F$2:$F$40),0))</f>
        <v>74</v>
      </c>
      <c r="U294" s="1">
        <f t="array" ref="U294">INDEX('ICL3'!$H$2:$H$40,MATCH(MIN(ABS(AH294-'ICL3'!$F$2:$F$40)),ABS(AH294-'ICL3'!$F$2:$F$40),0))</f>
        <v>21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61</v>
      </c>
      <c r="AA294" s="27" t="str">
        <f>VLOOKUP(A294,Classification!A:B,2,FALSE)</f>
        <v>A</v>
      </c>
      <c r="AB294" s="1">
        <f>VLOOKUP(A294,'SegEnds_NonXtal_Prot#'!A:AL,10,FALSE)-VLOOKUP(A294,'SegEnds_NonXtal_Prot#'!A:AL,7,FALSE)</f>
        <v>16</v>
      </c>
      <c r="AC294" s="1">
        <f>VLOOKUP(A294,'SegEnds_NonXtal_Prot#'!A:AL,13,FALSE)-VLOOKUP(A294,'SegEnds_NonXtal_Prot#'!A:AL,10,FALSE)</f>
        <v>20</v>
      </c>
      <c r="AD294" s="1">
        <f>VLOOKUP(A294,'SegEnds_NonXtal_Prot#'!A:AL,16,FALSE)-VLOOKUP(A294,'SegEnds_NonXtal_Prot#'!A:AL,10,FALSE)</f>
        <v>52</v>
      </c>
      <c r="AE294" s="1" t="e">
        <f>VLOOKUP(A294,'SegEnds_NonXtal_Prot#'!A:AL,22,FALSE)-VLOOKUP(A294,'SegEnds_NonXtal_Prot#'!A:AL,19,FALSE)</f>
        <v>#VALUE!</v>
      </c>
      <c r="AF294" s="1">
        <f>VLOOKUP(A294,'SegEnds_NonXtal_Prot#'!A:AL,28,FALSE)-VLOOKUP(A294,'SegEnds_NonXtal_Prot#'!A:AL,25,FALSE)</f>
        <v>32</v>
      </c>
      <c r="AG294" s="1">
        <f>VLOOKUP(A294,'SegEnds_NonXtal_Prot#'!A:AL,28,FALSE)-VLOOKUP(A294,'SegEnds_NonXtal_Prot#'!A:AL,22,FALSE)</f>
        <v>57</v>
      </c>
      <c r="AH294" s="1">
        <f>VLOOKUP(A294,'SegEnds_NonXtal_Prot#'!A:AL,31,FALSE)-VLOOKUP(A294,'SegEnds_NonXtal_Prot#'!A:AL,28,FALSE)</f>
        <v>62</v>
      </c>
      <c r="AI294" s="1">
        <f>VLOOKUP(A294,'SegEnds_NonXtal_Prot#'!A:AL,34,FALSE)-VLOOKUP(A294,'SegEnds_NonXtal_Prot#'!A:AL,31,FALSE)</f>
        <v>45</v>
      </c>
      <c r="AJ294" s="1" t="str">
        <f>IF(ISERROR(MATCH(A294,'SegEnds_Xtal_Prot#'!B:B, 0)), "NoXtal", "Xtal")</f>
        <v>NoXtal</v>
      </c>
    </row>
    <row r="295" spans="1:36" x14ac:dyDescent="0.2">
      <c r="A295" s="1" t="s">
        <v>924</v>
      </c>
      <c r="B295" s="1" t="str">
        <f>VLOOKUP(A295,Xtal_Templ!A:B,2,FALSE)</f>
        <v>us28_hcmva</v>
      </c>
      <c r="C295" s="5">
        <f>VLOOKUP($B295&amp;"__wt",'SegEnds_Xtal_BW#'!$A:$Z,3,FALSE)</f>
        <v>25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 t="str">
        <f>VLOOKUP($B295&amp;"__wt",'SegEnds_Xtal_BW#'!$A:$Z,9,FALSE)</f>
        <v>-</v>
      </c>
      <c r="J295" s="1" t="str">
        <f>VLOOKUP($B295&amp;"__wt",'SegEnds_Xtal_BW#'!$A:$Z,10,FALSE)</f>
        <v>-</v>
      </c>
      <c r="K295" s="12">
        <v>24</v>
      </c>
      <c r="L295" s="1">
        <f>VLOOKUP($B295&amp;"__wt",'SegEnds_Xtal_BW#'!$A:$Z,12,FALSE)</f>
        <v>56</v>
      </c>
      <c r="M295" s="1" t="str">
        <f>VLOOKUP($B295&amp;"__wt",'SegEnds_Xtal_BW#'!$A:$Z,13,FALSE)</f>
        <v>-</v>
      </c>
      <c r="N295" s="12" t="str">
        <f>VLOOKUP($B295&amp;"__wt",'SegEnds_Xtal_BW#'!$A:$Z,14,FALSE)</f>
        <v>-</v>
      </c>
      <c r="O295" s="89">
        <f>VLOOKUP($B295&amp;"__wt",'SegEnds_Xtal_BW#'!$A:$Z,15,FALSE)</f>
        <v>38</v>
      </c>
      <c r="P295" s="1">
        <f>VLOOKUP($B295&amp;"__wt",'SegEnds_Xtal_BW#'!$A:$Z,16,FALSE)</f>
        <v>63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f>VLOOKUP($B295&amp;"__wt",'SegEnds_Xtal_BW#'!$A:$Z,19,FALSE)</f>
        <v>32</v>
      </c>
      <c r="T295" s="1">
        <f t="array" ref="T295">INDEX('ICL3'!$G$2:$G$40,MATCH(MIN(ABS(AH295-'ICL3'!$F$2:$F$40)),ABS(AH295-'ICL3'!$F$2:$F$40),0))</f>
        <v>68</v>
      </c>
      <c r="U295" s="1">
        <v>29</v>
      </c>
      <c r="V295" s="1">
        <v>64</v>
      </c>
      <c r="W295" s="1">
        <v>24</v>
      </c>
      <c r="X295" s="1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62</v>
      </c>
      <c r="AA295" s="27" t="str">
        <f>VLOOKUP(A295,Classification!A:B,2,FALSE)</f>
        <v>A</v>
      </c>
      <c r="AB295" s="1">
        <f>VLOOKUP(A295,'SegEnds_NonXtal_Prot#'!A:AL,10,FALSE)-VLOOKUP(A295,'SegEnds_NonXtal_Prot#'!A:AL,7,FALSE)</f>
        <v>15</v>
      </c>
      <c r="AC295" s="1" t="e">
        <f>VLOOKUP(A295,'SegEnds_NonXtal_Prot#'!A:AL,13,FALSE)-VLOOKUP(A295,'SegEnds_NonXtal_Prot#'!A:AL,10,FALSE)</f>
        <v>#VALUE!</v>
      </c>
      <c r="AD295" s="1">
        <f>VLOOKUP(A295,'SegEnds_NonXtal_Prot#'!A:AL,16,FALSE)-VLOOKUP(A295,'SegEnds_NonXtal_Prot#'!A:AL,10,FALSE)</f>
        <v>50</v>
      </c>
      <c r="AE295" s="1" t="e">
        <f>VLOOKUP(A295,'SegEnds_NonXtal_Prot#'!A:AL,22,FALSE)-VLOOKUP(A295,'SegEnds_NonXtal_Prot#'!A:AL,19,FALSE)</f>
        <v>#VALUE!</v>
      </c>
      <c r="AF295" s="1">
        <f>VLOOKUP(A295,'SegEnds_NonXtal_Prot#'!A:AL,28,FALSE)-VLOOKUP(A295,'SegEnds_NonXtal_Prot#'!A:AL,25,FALSE)</f>
        <v>27</v>
      </c>
      <c r="AG295" s="1">
        <f>VLOOKUP(A295,'SegEnds_NonXtal_Prot#'!A:AL,28,FALSE)-VLOOKUP(A295,'SegEnds_NonXtal_Prot#'!A:AL,22,FALSE)</f>
        <v>48</v>
      </c>
      <c r="AH295" s="1">
        <f>VLOOKUP(A295,'SegEnds_NonXtal_Prot#'!A:AL,31,FALSE)-VLOOKUP(A295,'SegEnds_NonXtal_Prot#'!A:AL,28,FALSE)</f>
        <v>43</v>
      </c>
      <c r="AI295" s="1">
        <f>VLOOKUP(A295,'SegEnds_NonXtal_Prot#'!A:AL,34,FALSE)-VLOOKUP(A295,'SegEnds_NonXtal_Prot#'!A:AL,31,FALSE)</f>
        <v>45</v>
      </c>
      <c r="AJ295" s="1" t="str">
        <f>IF(ISERROR(MATCH(A295,'SegEnds_Xtal_Prot#'!B:B, 0)), "NoXtal", "Xtal")</f>
        <v>Xtal</v>
      </c>
    </row>
    <row r="296" spans="1:36" s="43" customFormat="1" x14ac:dyDescent="0.2">
      <c r="A296" s="43" t="s">
        <v>401</v>
      </c>
      <c r="B296" s="43" t="str">
        <f>VLOOKUP(A296,Xtal_Templ!A:B,2,FALSE)</f>
        <v>calcr_human</v>
      </c>
      <c r="C296" s="44">
        <f>VLOOKUP($B296&amp;"__wt",'SegEnds_Xtal_BW#'!$A:$Z,3,FALSE)</f>
        <v>19</v>
      </c>
      <c r="D296" s="43">
        <f>VLOOKUP($B296&amp;"__wt",'SegEnds_Xtal_BW#'!$A:$Z,4,FALSE)</f>
        <v>60</v>
      </c>
      <c r="E296" s="43">
        <f>VLOOKUP($B296&amp;"__wt",'SegEnds_Xtal_BW#'!$A:$Z,5,FALSE)</f>
        <v>48</v>
      </c>
      <c r="F296" s="43">
        <f>VLOOKUP($B296&amp;"__wt",'SegEnds_Xtal_BW#'!$A:$Z,6,FALSE)</f>
        <v>51</v>
      </c>
      <c r="G296" s="43">
        <v>37</v>
      </c>
      <c r="H296" s="120">
        <v>64</v>
      </c>
      <c r="I296" s="43" t="str">
        <f>VLOOKUP($B296&amp;"__wt",'SegEnds_Xtal_BW#'!$A:$Z,9,FALSE)</f>
        <v>-</v>
      </c>
      <c r="J296" s="43" t="str">
        <f>VLOOKUP($B296&amp;"__wt",'SegEnds_Xtal_BW#'!$A:$Z,10,FALSE)</f>
        <v>-</v>
      </c>
      <c r="K296" s="120">
        <v>21</v>
      </c>
      <c r="L296" s="43">
        <f>VLOOKUP($B296&amp;"__wt",'SegEnds_Xtal_BW#'!$A:$Z,12,FALSE)</f>
        <v>56</v>
      </c>
      <c r="M296" s="43" t="str">
        <f>VLOOKUP($B296&amp;"__wt",'SegEnds_Xtal_BW#'!$A:$Z,13,FALSE)</f>
        <v>-</v>
      </c>
      <c r="N296" s="104" t="str">
        <f>VLOOKUP($B296&amp;"__wt",'SegEnds_Xtal_BW#'!$A:$Z,14,FALSE)</f>
        <v>-</v>
      </c>
      <c r="O296" s="91">
        <f>VLOOKUP($B296&amp;"__wt",'SegEnds_Xtal_BW#'!$A:$Z,15,FALSE)</f>
        <v>41</v>
      </c>
      <c r="P296" s="43">
        <f>VLOOKUP($B296&amp;"__wt",'SegEnds_Xtal_BW#'!$A:$Z,16,FALSE)</f>
        <v>68</v>
      </c>
      <c r="Q296" s="43">
        <f>VLOOKUP($B296&amp;"__wt",'SegEnds_Xtal_BW#'!$A:$Z,17,FALSE)</f>
        <v>50</v>
      </c>
      <c r="R296" s="43">
        <f>VLOOKUP($B296&amp;"__wt",'SegEnds_Xtal_BW#'!$A:$Z,18,FALSE)</f>
        <v>52</v>
      </c>
      <c r="S296" s="120">
        <v>40</v>
      </c>
      <c r="T296" s="43">
        <f>VLOOKUP($B296&amp;"__wt",'SegEnds_Xtal_BW#'!$A:$Z,20,FALSE)</f>
        <v>70</v>
      </c>
      <c r="U296" s="43">
        <f>VLOOKUP($B296&amp;"__wt",'SegEnds_Xtal_BW#'!$A:$Z,21,FALSE)</f>
        <v>30</v>
      </c>
      <c r="V296" s="43">
        <f>VLOOKUP($B296&amp;"__wt",'SegEnds_Xtal_BW#'!$A:$Z,22,FALSE)</f>
        <v>53</v>
      </c>
      <c r="W296" s="120">
        <v>28</v>
      </c>
      <c r="X296" s="43">
        <f>VLOOKUP($B296&amp;"__wt",'SegEnds_Xtal_BW#'!$A:$Z,24,FALSE)</f>
        <v>56</v>
      </c>
      <c r="Y296" s="43">
        <f>VLOOKUP($B296&amp;"__wt",'SegEnds_Xtal_BW#'!$A:$Z,25,FALSE)</f>
        <v>47</v>
      </c>
      <c r="Z296" s="43">
        <f>VLOOKUP($B296&amp;"__wt",'SegEnds_Xtal_BW#'!$A:$Z,26,FALSE)</f>
        <v>72</v>
      </c>
      <c r="AA296" s="45" t="str">
        <f>VLOOKUP(A296,Classification!A:B,2,FALSE)</f>
        <v>B1</v>
      </c>
      <c r="AB296" s="43">
        <f>VLOOKUP(A296,'SegEnds_NonXtal_Prot#'!A:AL,10,FALSE)-VLOOKUP(A296,'SegEnds_NonXtal_Prot#'!A:AL,7,FALSE)</f>
        <v>15</v>
      </c>
      <c r="AC296" s="43" t="e">
        <f>VLOOKUP(A296,'SegEnds_NonXtal_Prot#'!A:AL,13,FALSE)-VLOOKUP(A296,'SegEnds_NonXtal_Prot#'!A:AL,10,FALSE)</f>
        <v>#VALUE!</v>
      </c>
      <c r="AD296" s="43">
        <f>VLOOKUP(A296,'SegEnds_NonXtal_Prot#'!A:AL,16,FALSE)-VLOOKUP(A296,'SegEnds_NonXtal_Prot#'!A:AL,10,FALSE)</f>
        <v>53</v>
      </c>
      <c r="AE296" s="1" t="e">
        <f>VLOOKUP(A296,'SegEnds_NonXtal_Prot#'!A:AL,22,FALSE)-VLOOKUP(A296,'SegEnds_NonXtal_Prot#'!A:AL,19,FALSE)</f>
        <v>#VALUE!</v>
      </c>
      <c r="AF296" s="43">
        <f>VLOOKUP(A296,'SegEnds_NonXtal_Prot#'!A:AL,28,FALSE)-VLOOKUP(A296,'SegEnds_NonXtal_Prot#'!A:AL,25,FALSE)</f>
        <v>19</v>
      </c>
      <c r="AG296" s="1">
        <f>VLOOKUP(A296,'SegEnds_NonXtal_Prot#'!A:AL,28,FALSE)-VLOOKUP(A296,'SegEnds_NonXtal_Prot#'!A:AL,22,FALSE)</f>
        <v>41</v>
      </c>
      <c r="AH296" s="43">
        <f>VLOOKUP(A296,'SegEnds_NonXtal_Prot#'!A:AL,31,FALSE)-VLOOKUP(A296,'SegEnds_NonXtal_Prot#'!A:AL,28,FALSE)</f>
        <v>50</v>
      </c>
      <c r="AI296" s="43">
        <f>VLOOKUP(A296,'SegEnds_NonXtal_Prot#'!A:AL,34,FALSE)-VLOOKUP(A296,'SegEnds_NonXtal_Prot#'!A:AL,31,FALSE)</f>
        <v>30</v>
      </c>
      <c r="AJ296" s="1" t="str">
        <f>IF(ISERROR(MATCH(A296,'SegEnds_Xtal_Prot#'!B:B, 0)), "NoXtal", "Xtal")</f>
        <v>Xtal</v>
      </c>
    </row>
    <row r="297" spans="1:36" x14ac:dyDescent="0.2">
      <c r="A297" s="1" t="s">
        <v>402</v>
      </c>
      <c r="B297" s="1" t="str">
        <f>VLOOKUP(A297,Xtal_Templ!A:B,2,FALSE)</f>
        <v>calcr_human</v>
      </c>
      <c r="C297" s="5">
        <f>VLOOKUP($B297&amp;"__wt",'SegEnds_Xtal_BW#'!$A:$Z,3,FALSE)</f>
        <v>19</v>
      </c>
      <c r="D297" s="1">
        <f>VLOOKUP($B297&amp;"__wt",'SegEnds_Xtal_BW#'!$A:$Z,4,FALSE)</f>
        <v>60</v>
      </c>
      <c r="E297" s="1">
        <f>VLOOKUP($B297&amp;"__wt",'SegEnds_Xtal_BW#'!$A:$Z,5,FALSE)</f>
        <v>48</v>
      </c>
      <c r="F297" s="1">
        <f>VLOOKUP($B297&amp;"__wt",'SegEnds_Xtal_BW#'!$A:$Z,6,FALSE)</f>
        <v>51</v>
      </c>
      <c r="G297" s="1">
        <v>37</v>
      </c>
      <c r="H297" s="119">
        <v>64</v>
      </c>
      <c r="I297" s="1" t="str">
        <f>VLOOKUP($B297&amp;"__wt",'SegEnds_Xtal_BW#'!$A:$Z,9,FALSE)</f>
        <v>-</v>
      </c>
      <c r="J297" s="1" t="str">
        <f>VLOOKUP($B297&amp;"__wt",'SegEnds_Xtal_BW#'!$A:$Z,10,FALSE)</f>
        <v>-</v>
      </c>
      <c r="K297" s="111">
        <v>21</v>
      </c>
      <c r="L297" s="1">
        <f>VLOOKUP($B297&amp;"__wt",'SegEnds_Xtal_BW#'!$A:$Z,12,FALSE)</f>
        <v>56</v>
      </c>
      <c r="M297" s="1" t="str">
        <f>VLOOKUP($B297&amp;"__wt",'SegEnds_Xtal_BW#'!$A:$Z,13,FALSE)</f>
        <v>-</v>
      </c>
      <c r="N297" s="12" t="str">
        <f>VLOOKUP($B297&amp;"__wt",'SegEnds_Xtal_BW#'!$A:$Z,14,FALSE)</f>
        <v>-</v>
      </c>
      <c r="O297" s="89">
        <f>VLOOKUP($B297&amp;"__wt",'SegEnds_Xtal_BW#'!$A:$Z,15,FALSE)</f>
        <v>41</v>
      </c>
      <c r="P297" s="1">
        <f>VLOOKUP($B297&amp;"__wt",'SegEnds_Xtal_BW#'!$A:$Z,16,FALSE)</f>
        <v>68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11">
        <v>39</v>
      </c>
      <c r="T297" s="1">
        <f>VLOOKUP($B297&amp;"__wt",'SegEnds_Xtal_BW#'!$A:$Z,20,FALSE)</f>
        <v>70</v>
      </c>
      <c r="U297" s="1">
        <f>VLOOKUP($B297&amp;"__wt",'SegEnds_Xtal_BW#'!$A:$Z,21,FALSE)</f>
        <v>30</v>
      </c>
      <c r="V297" s="1">
        <f>VLOOKUP($B297&amp;"__wt",'SegEnds_Xtal_BW#'!$A:$Z,22,FALSE)</f>
        <v>53</v>
      </c>
      <c r="W297" s="111">
        <v>28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72</v>
      </c>
      <c r="AA297" s="27" t="str">
        <f>VLOOKUP(A297,Classification!A:B,2,FALSE)</f>
        <v>B1</v>
      </c>
      <c r="AB297" s="1">
        <f>VLOOKUP(A297,'SegEnds_NonXtal_Prot#'!A:AL,10,FALSE)-VLOOKUP(A297,'SegEnds_NonXtal_Prot#'!A:AL,7,FALSE)</f>
        <v>15</v>
      </c>
      <c r="AC297" s="1" t="e">
        <f>VLOOKUP(A297,'SegEnds_NonXtal_Prot#'!A:AL,13,FALSE)-VLOOKUP(A297,'SegEnds_NonXtal_Prot#'!A:AL,10,FALSE)</f>
        <v>#VALUE!</v>
      </c>
      <c r="AD297" s="1">
        <f>VLOOKUP(A297,'SegEnds_NonXtal_Prot#'!A:AL,16,FALSE)-VLOOKUP(A297,'SegEnds_NonXtal_Prot#'!A:AL,10,FALSE)</f>
        <v>53</v>
      </c>
      <c r="AE297" s="1" t="e">
        <f>VLOOKUP(A297,'SegEnds_NonXtal_Prot#'!A:AL,22,FALSE)-VLOOKUP(A297,'SegEnds_NonXtal_Prot#'!A:AL,19,FALSE)</f>
        <v>#VALUE!</v>
      </c>
      <c r="AF297" s="1">
        <f>VLOOKUP(A297,'SegEnds_NonXtal_Prot#'!A:AL,28,FALSE)-VLOOKUP(A297,'SegEnds_NonXtal_Prot#'!A:AL,25,FALSE)</f>
        <v>19</v>
      </c>
      <c r="AG297" s="1">
        <f>VLOOKUP(A297,'SegEnds_NonXtal_Prot#'!A:AL,28,FALSE)-VLOOKUP(A297,'SegEnds_NonXtal_Prot#'!A:AL,22,FALSE)</f>
        <v>41</v>
      </c>
      <c r="AH297" s="1">
        <f>VLOOKUP(A297,'SegEnds_NonXtal_Prot#'!A:AL,31,FALSE)-VLOOKUP(A297,'SegEnds_NonXtal_Prot#'!A:AL,28,FALSE)</f>
        <v>50</v>
      </c>
      <c r="AI297" s="1">
        <f>VLOOKUP(A297,'SegEnds_NonXtal_Prot#'!A:AL,34,FALSE)-VLOOKUP(A297,'SegEnds_NonXtal_Prot#'!A:AL,31,FALSE)</f>
        <v>30</v>
      </c>
      <c r="AJ297" s="1" t="str">
        <f>IF(ISERROR(MATCH(A297,'SegEnds_Xtal_Prot#'!B:B, 0)), "NoXtal", "Xtal")</f>
        <v>NoXtal</v>
      </c>
    </row>
    <row r="298" spans="1:36" x14ac:dyDescent="0.2">
      <c r="A298" s="4" t="s">
        <v>38</v>
      </c>
      <c r="B298" s="4" t="str">
        <f>VLOOKUP(A298,Xtal_Templ!A:B,2,FALSE)</f>
        <v>crfr1_human</v>
      </c>
      <c r="C298" s="5">
        <f>VLOOKUP($B298&amp;"__wt",'SegEnds_Xtal_BW#'!$A:$Z,3,FALSE)</f>
        <v>19</v>
      </c>
      <c r="D298" s="4">
        <f>VLOOKUP($B298&amp;"__wt",'SegEnds_Xtal_BW#'!$A:$Z,4,FALSE)</f>
        <v>60</v>
      </c>
      <c r="E298" s="4">
        <f>VLOOKUP($B298&amp;"__wt",'SegEnds_Xtal_BW#'!$A:$Z,5,FALSE)</f>
        <v>48</v>
      </c>
      <c r="F298" s="4">
        <f>VLOOKUP($B298&amp;"__wt",'SegEnds_Xtal_BW#'!$A:$Z,6,FALSE)</f>
        <v>51</v>
      </c>
      <c r="G298" s="4">
        <v>37</v>
      </c>
      <c r="H298" s="11">
        <v>63</v>
      </c>
      <c r="I298" s="4" t="str">
        <f>VLOOKUP($B298&amp;"__wt",'SegEnds_Xtal_BW#'!$A:$Z,9,FALSE)</f>
        <v>-</v>
      </c>
      <c r="J298" s="4" t="str">
        <f>VLOOKUP($B298&amp;"__wt",'SegEnds_Xtal_BW#'!$A:$Z,10,FALSE)</f>
        <v>-</v>
      </c>
      <c r="K298" s="119">
        <v>22</v>
      </c>
      <c r="L298" s="4">
        <f>VLOOKUP($B298&amp;"__wt",'SegEnds_Xtal_BW#'!$A:$Z,12,FALSE)</f>
        <v>56</v>
      </c>
      <c r="M298" s="4" t="str">
        <f>VLOOKUP($B298&amp;"__wt",'SegEnds_Xtal_BW#'!$A:$Z,13,FALSE)</f>
        <v>-</v>
      </c>
      <c r="N298" s="11" t="str">
        <f>VLOOKUP($B298&amp;"__wt",'SegEnds_Xtal_BW#'!$A:$Z,14,FALSE)</f>
        <v>-</v>
      </c>
      <c r="O298" s="90">
        <f>VLOOKUP($B298&amp;"__wt",'SegEnds_Xtal_BW#'!$A:$Z,15,FALSE)</f>
        <v>40</v>
      </c>
      <c r="P298" s="4">
        <f>VLOOKUP($B298&amp;"__wt",'SegEnds_Xtal_BW#'!$A:$Z,16,FALSE)</f>
        <v>68</v>
      </c>
      <c r="Q298" s="4">
        <f>VLOOKUP($B298&amp;"__wt",'SegEnds_Xtal_BW#'!$A:$Z,17,FALSE)</f>
        <v>50</v>
      </c>
      <c r="R298" s="4">
        <f>VLOOKUP($B298&amp;"__wt",'SegEnds_Xtal_BW#'!$A:$Z,18,FALSE)</f>
        <v>52</v>
      </c>
      <c r="S298" s="111">
        <v>39</v>
      </c>
      <c r="T298" s="4">
        <f>VLOOKUP($B298&amp;"__wt",'SegEnds_Xtal_BW#'!$A:$Z,20,FALSE)</f>
        <v>69</v>
      </c>
      <c r="U298" s="4">
        <f>VLOOKUP($B298&amp;"__wt",'SegEnds_Xtal_BW#'!$A:$Z,21,FALSE)</f>
        <v>25</v>
      </c>
      <c r="V298" s="4">
        <f>VLOOKUP($B298&amp;"__wt",'SegEnds_Xtal_BW#'!$A:$Z,22,FALSE)</f>
        <v>53</v>
      </c>
      <c r="W298" s="4">
        <v>29</v>
      </c>
      <c r="X298" s="4">
        <f>VLOOKUP($B298&amp;"__wt",'SegEnds_Xtal_BW#'!$A:$Z,24,FALSE)</f>
        <v>56</v>
      </c>
      <c r="Y298" s="4">
        <f>VLOOKUP($B298&amp;"__wt",'SegEnds_Xtal_BW#'!$A:$Z,25,FALSE)</f>
        <v>47</v>
      </c>
      <c r="Z298" s="4">
        <f>VLOOKUP($B298&amp;"__wt",'SegEnds_Xtal_BW#'!$A:$Z,26,FALSE)</f>
        <v>72</v>
      </c>
      <c r="AA298" s="27" t="str">
        <f>VLOOKUP(A298,Classification!A:B,2,FALSE)</f>
        <v>B1</v>
      </c>
      <c r="AB298" s="4">
        <f>VLOOKUP(A298,'SegEnds_NonXtal_Prot#'!A:AL,10,FALSE)-VLOOKUP(A298,'SegEnds_NonXtal_Prot#'!A:AL,7,FALSE)</f>
        <v>15</v>
      </c>
      <c r="AC298" s="4" t="e">
        <f>VLOOKUP(A298,'SegEnds_NonXtal_Prot#'!A:AL,13,FALSE)-VLOOKUP(A298,'SegEnds_NonXtal_Prot#'!A:AL,10,FALSE)</f>
        <v>#VALUE!</v>
      </c>
      <c r="AD298" s="4">
        <f>VLOOKUP(A298,'SegEnds_NonXtal_Prot#'!A:AL,16,FALSE)-VLOOKUP(A298,'SegEnds_NonXtal_Prot#'!A:AL,10,FALSE)</f>
        <v>51</v>
      </c>
      <c r="AE298" s="1" t="e">
        <f>VLOOKUP(A298,'SegEnds_NonXtal_Prot#'!A:AL,22,FALSE)-VLOOKUP(A298,'SegEnds_NonXtal_Prot#'!A:AL,19,FALSE)</f>
        <v>#VALUE!</v>
      </c>
      <c r="AF298" s="4">
        <f>VLOOKUP(A298,'SegEnds_NonXtal_Prot#'!A:AL,28,FALSE)-VLOOKUP(A298,'SegEnds_NonXtal_Prot#'!A:AL,25,FALSE)</f>
        <v>21</v>
      </c>
      <c r="AG298" s="1">
        <f>VLOOKUP(A298,'SegEnds_NonXtal_Prot#'!A:AL,28,FALSE)-VLOOKUP(A298,'SegEnds_NonXtal_Prot#'!A:AL,22,FALSE)</f>
        <v>43</v>
      </c>
      <c r="AH298" s="4">
        <f>VLOOKUP(A298,'SegEnds_NonXtal_Prot#'!A:AL,31,FALSE)-VLOOKUP(A298,'SegEnds_NonXtal_Prot#'!A:AL,28,FALSE)</f>
        <v>50</v>
      </c>
      <c r="AI298" s="4">
        <f>VLOOKUP(A298,'SegEnds_NonXtal_Prot#'!A:AL,34,FALSE)-VLOOKUP(A298,'SegEnds_NonXtal_Prot#'!A:AL,31,FALSE)</f>
        <v>31</v>
      </c>
      <c r="AJ298" s="1" t="str">
        <f>IF(ISERROR(MATCH(A298,'SegEnds_Xtal_Prot#'!B:B, 0)), "NoXtal", "Xtal")</f>
        <v>Xtal</v>
      </c>
    </row>
    <row r="299" spans="1:36" x14ac:dyDescent="0.2">
      <c r="A299" s="4" t="s">
        <v>403</v>
      </c>
      <c r="B299" s="4" t="str">
        <f>VLOOKUP(A299,Xtal_Templ!A:B,2,FALSE)</f>
        <v>crfr1_human</v>
      </c>
      <c r="C299" s="5">
        <f>VLOOKUP($B299&amp;"__wt",'SegEnds_Xtal_BW#'!$A:$Z,3,FALSE)</f>
        <v>19</v>
      </c>
      <c r="D299" s="4">
        <f>VLOOKUP($B299&amp;"__wt",'SegEnds_Xtal_BW#'!$A:$Z,4,FALSE)</f>
        <v>60</v>
      </c>
      <c r="E299" s="4">
        <f>VLOOKUP($B299&amp;"__wt",'SegEnds_Xtal_BW#'!$A:$Z,5,FALSE)</f>
        <v>48</v>
      </c>
      <c r="F299" s="4">
        <f>VLOOKUP($B299&amp;"__wt",'SegEnds_Xtal_BW#'!$A:$Z,6,FALSE)</f>
        <v>51</v>
      </c>
      <c r="G299" s="4">
        <v>37</v>
      </c>
      <c r="H299" s="11">
        <v>63</v>
      </c>
      <c r="I299" s="4" t="str">
        <f>VLOOKUP($B299&amp;"__wt",'SegEnds_Xtal_BW#'!$A:$Z,9,FALSE)</f>
        <v>-</v>
      </c>
      <c r="J299" s="4" t="str">
        <f>VLOOKUP($B299&amp;"__wt",'SegEnds_Xtal_BW#'!$A:$Z,10,FALSE)</f>
        <v>-</v>
      </c>
      <c r="K299" s="119">
        <v>22</v>
      </c>
      <c r="L299" s="4">
        <f>VLOOKUP($B299&amp;"__wt",'SegEnds_Xtal_BW#'!$A:$Z,12,FALSE)</f>
        <v>56</v>
      </c>
      <c r="M299" s="4" t="str">
        <f>VLOOKUP($B299&amp;"__wt",'SegEnds_Xtal_BW#'!$A:$Z,13,FALSE)</f>
        <v>-</v>
      </c>
      <c r="N299" s="11" t="str">
        <f>VLOOKUP($B299&amp;"__wt",'SegEnds_Xtal_BW#'!$A:$Z,14,FALSE)</f>
        <v>-</v>
      </c>
      <c r="O299" s="90">
        <f>VLOOKUP($B299&amp;"__wt",'SegEnds_Xtal_BW#'!$A:$Z,15,FALSE)</f>
        <v>40</v>
      </c>
      <c r="P299" s="4">
        <f>VLOOKUP($B299&amp;"__wt",'SegEnds_Xtal_BW#'!$A:$Z,16,FALSE)</f>
        <v>68</v>
      </c>
      <c r="Q299" s="4">
        <f>VLOOKUP($B299&amp;"__wt",'SegEnds_Xtal_BW#'!$A:$Z,17,FALSE)</f>
        <v>50</v>
      </c>
      <c r="R299" s="4">
        <f>VLOOKUP($B299&amp;"__wt",'SegEnds_Xtal_BW#'!$A:$Z,18,FALSE)</f>
        <v>52</v>
      </c>
      <c r="S299" s="119">
        <v>39</v>
      </c>
      <c r="T299" s="4">
        <f>VLOOKUP($B299&amp;"__wt",'SegEnds_Xtal_BW#'!$A:$Z,20,FALSE)</f>
        <v>69</v>
      </c>
      <c r="U299" s="4">
        <f>VLOOKUP($B299&amp;"__wt",'SegEnds_Xtal_BW#'!$A:$Z,21,FALSE)</f>
        <v>25</v>
      </c>
      <c r="V299" s="4">
        <f>VLOOKUP($B299&amp;"__wt",'SegEnds_Xtal_BW#'!$A:$Z,22,FALSE)</f>
        <v>53</v>
      </c>
      <c r="W299" s="4">
        <v>29</v>
      </c>
      <c r="X299" s="4">
        <f>VLOOKUP($B299&amp;"__wt",'SegEnds_Xtal_BW#'!$A:$Z,24,FALSE)</f>
        <v>56</v>
      </c>
      <c r="Y299" s="4">
        <f>VLOOKUP($B299&amp;"__wt",'SegEnds_Xtal_BW#'!$A:$Z,25,FALSE)</f>
        <v>47</v>
      </c>
      <c r="Z299" s="4">
        <f>VLOOKUP($B299&amp;"__wt",'SegEnds_Xtal_BW#'!$A:$Z,26,FALSE)</f>
        <v>72</v>
      </c>
      <c r="AA299" s="27" t="str">
        <f>VLOOKUP(A299,Classification!A:B,2,FALSE)</f>
        <v>B1</v>
      </c>
      <c r="AB299" s="4">
        <f>VLOOKUP(A299,'SegEnds_NonXtal_Prot#'!A:AL,10,FALSE)-VLOOKUP(A299,'SegEnds_NonXtal_Prot#'!A:AL,7,FALSE)</f>
        <v>15</v>
      </c>
      <c r="AC299" s="4" t="e">
        <f>VLOOKUP(A299,'SegEnds_NonXtal_Prot#'!A:AL,13,FALSE)-VLOOKUP(A299,'SegEnds_NonXtal_Prot#'!A:AL,10,FALSE)</f>
        <v>#VALUE!</v>
      </c>
      <c r="AD299" s="4">
        <f>VLOOKUP(A299,'SegEnds_NonXtal_Prot#'!A:AL,16,FALSE)-VLOOKUP(A299,'SegEnds_NonXtal_Prot#'!A:AL,10,FALSE)</f>
        <v>50</v>
      </c>
      <c r="AE299" s="1" t="e">
        <f>VLOOKUP(A299,'SegEnds_NonXtal_Prot#'!A:AL,22,FALSE)-VLOOKUP(A299,'SegEnds_NonXtal_Prot#'!A:AL,19,FALSE)</f>
        <v>#VALUE!</v>
      </c>
      <c r="AF299" s="4">
        <f>VLOOKUP(A299,'SegEnds_NonXtal_Prot#'!A:AL,28,FALSE)-VLOOKUP(A299,'SegEnds_NonXtal_Prot#'!A:AL,25,FALSE)</f>
        <v>21</v>
      </c>
      <c r="AG299" s="1">
        <f>VLOOKUP(A299,'SegEnds_NonXtal_Prot#'!A:AL,28,FALSE)-VLOOKUP(A299,'SegEnds_NonXtal_Prot#'!A:AL,22,FALSE)</f>
        <v>43</v>
      </c>
      <c r="AH299" s="4">
        <f>VLOOKUP(A299,'SegEnds_NonXtal_Prot#'!A:AL,31,FALSE)-VLOOKUP(A299,'SegEnds_NonXtal_Prot#'!A:AL,28,FALSE)</f>
        <v>50</v>
      </c>
      <c r="AI299" s="4">
        <f>VLOOKUP(A299,'SegEnds_NonXtal_Prot#'!A:AL,34,FALSE)-VLOOKUP(A299,'SegEnds_NonXtal_Prot#'!A:AL,31,FALSE)</f>
        <v>31</v>
      </c>
      <c r="AJ299" s="1" t="str">
        <f>IF(ISERROR(MATCH(A299,'SegEnds_Xtal_Prot#'!B:B, 0)), "NoXtal", "Xtal")</f>
        <v>NoXtal</v>
      </c>
    </row>
    <row r="300" spans="1:36" x14ac:dyDescent="0.2">
      <c r="A300" s="4" t="s">
        <v>404</v>
      </c>
      <c r="B300" s="4" t="str">
        <f>VLOOKUP(A300,Xtal_Templ!A:B,2,FALSE)</f>
        <v>glr_human</v>
      </c>
      <c r="C300" s="5">
        <f>VLOOKUP($B300&amp;"__wt",'SegEnds_Xtal_BW#'!$A:$Z,3,FALSE)</f>
        <v>25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9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9">
        <v>21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90">
        <f>VLOOKUP($B300&amp;"__wt",'SegEnds_Xtal_BW#'!$A:$Z,15,FALSE)</f>
        <v>40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11">
        <v>39</v>
      </c>
      <c r="T300" s="4">
        <v>69</v>
      </c>
      <c r="U300" s="4">
        <v>25</v>
      </c>
      <c r="V300" s="4">
        <f>VLOOKUP($B300&amp;"__wt",'SegEnds_Xtal_BW#'!$A:$Z,22,FALSE)</f>
        <v>53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4">
        <f>VLOOKUP(A300,'SegEnds_NonXtal_Prot#'!A:AL,10,FALSE)-VLOOKUP(A300,'SegEnds_NonXtal_Prot#'!A:AL,7,FALSE)</f>
        <v>15</v>
      </c>
      <c r="AC300" s="4" t="e">
        <f>VLOOKUP(A300,'SegEnds_NonXtal_Prot#'!A:AL,13,FALSE)-VLOOKUP(A300,'SegEnds_NonXtal_Prot#'!A:AL,10,FALSE)</f>
        <v>#VALUE!</v>
      </c>
      <c r="AD300" s="4">
        <f>VLOOKUP(A300,'SegEnds_NonXtal_Prot#'!A:AL,16,FALSE)-VLOOKUP(A300,'SegEnds_NonXtal_Prot#'!A:AL,10,FALSE)</f>
        <v>55</v>
      </c>
      <c r="AE300" s="1" t="e">
        <f>VLOOKUP(A300,'SegEnds_NonXtal_Prot#'!A:AL,22,FALSE)-VLOOKUP(A300,'SegEnds_NonXtal_Prot#'!A:AL,19,FALSE)</f>
        <v>#VALUE!</v>
      </c>
      <c r="AF300" s="4">
        <f>VLOOKUP(A300,'SegEnds_NonXtal_Prot#'!A:AL,28,FALSE)-VLOOKUP(A300,'SegEnds_NonXtal_Prot#'!A:AL,25,FALSE)</f>
        <v>20</v>
      </c>
      <c r="AG300" s="1">
        <f>VLOOKUP(A300,'SegEnds_NonXtal_Prot#'!A:AL,28,FALSE)-VLOOKUP(A300,'SegEnds_NonXtal_Prot#'!A:AL,22,FALSE)</f>
        <v>42</v>
      </c>
      <c r="AH300" s="4">
        <f>VLOOKUP(A300,'SegEnds_NonXtal_Prot#'!A:AL,31,FALSE)-VLOOKUP(A300,'SegEnds_NonXtal_Prot#'!A:AL,28,FALSE)</f>
        <v>52</v>
      </c>
      <c r="AI300" s="4">
        <f>VLOOKUP(A300,'SegEnds_NonXtal_Prot#'!A:AL,34,FALSE)-VLOOKUP(A300,'SegEnds_NonXtal_Prot#'!A:AL,31,FALSE)</f>
        <v>29</v>
      </c>
      <c r="AJ300" s="1" t="str">
        <f>IF(ISERROR(MATCH(A300,'SegEnds_Xtal_Prot#'!B:B, 0)), "NoXtal", "Xtal")</f>
        <v>NoXtal</v>
      </c>
    </row>
    <row r="301" spans="1:36" x14ac:dyDescent="0.2">
      <c r="A301" s="4" t="s">
        <v>405</v>
      </c>
      <c r="B301" s="4" t="str">
        <f>VLOOKUP(A301,Xtal_Templ!A:B,2,FALSE)</f>
        <v>glr_human</v>
      </c>
      <c r="C301" s="5">
        <f>VLOOKUP($B301&amp;"__wt",'SegEnds_Xtal_BW#'!$A:$Z,3,FALSE)</f>
        <v>25</v>
      </c>
      <c r="D301" s="4">
        <f>VLOOKUP($B301&amp;"__wt",'SegEnds_Xtal_BW#'!$A:$Z,4,FALSE)</f>
        <v>60</v>
      </c>
      <c r="E301" s="4">
        <f>VLOOKUP($B301&amp;"__wt",'SegEnds_Xtal_BW#'!$A:$Z,5,FALSE)</f>
        <v>48</v>
      </c>
      <c r="F301" s="4">
        <f>VLOOKUP($B301&amp;"__wt",'SegEnds_Xtal_BW#'!$A:$Z,6,FALSE)</f>
        <v>51</v>
      </c>
      <c r="G301" s="4">
        <v>37</v>
      </c>
      <c r="H301" s="119">
        <v>64</v>
      </c>
      <c r="I301" s="4" t="str">
        <f>VLOOKUP($B301&amp;"__wt",'SegEnds_Xtal_BW#'!$A:$Z,9,FALSE)</f>
        <v>-</v>
      </c>
      <c r="J301" s="4" t="str">
        <f>VLOOKUP($B301&amp;"__wt",'SegEnds_Xtal_BW#'!$A:$Z,10,FALSE)</f>
        <v>-</v>
      </c>
      <c r="K301" s="119">
        <v>23</v>
      </c>
      <c r="L301" s="4">
        <f>VLOOKUP($B301&amp;"__wt",'SegEnds_Xtal_BW#'!$A:$Z,12,FALSE)</f>
        <v>56</v>
      </c>
      <c r="M301" s="4" t="str">
        <f>VLOOKUP($B301&amp;"__wt",'SegEnds_Xtal_BW#'!$A:$Z,13,FALSE)</f>
        <v>-</v>
      </c>
      <c r="N301" s="11" t="str">
        <f>VLOOKUP($B301&amp;"__wt",'SegEnds_Xtal_BW#'!$A:$Z,14,FALSE)</f>
        <v>-</v>
      </c>
      <c r="O301" s="90">
        <f>VLOOKUP($B301&amp;"__wt",'SegEnds_Xtal_BW#'!$A:$Z,15,FALSE)</f>
        <v>40</v>
      </c>
      <c r="P301" s="4">
        <f>VLOOKUP($B301&amp;"__wt",'SegEnds_Xtal_BW#'!$A:$Z,16,FALSE)</f>
        <v>68</v>
      </c>
      <c r="Q301" s="4">
        <f>VLOOKUP($B301&amp;"__wt",'SegEnds_Xtal_BW#'!$A:$Z,17,FALSE)</f>
        <v>50</v>
      </c>
      <c r="R301" s="4">
        <f>VLOOKUP($B301&amp;"__wt",'SegEnds_Xtal_BW#'!$A:$Z,18,FALSE)</f>
        <v>52</v>
      </c>
      <c r="S301" s="111">
        <v>39</v>
      </c>
      <c r="T301" s="4">
        <f>VLOOKUP($B301&amp;"__wt",'SegEnds_Xtal_BW#'!$A:$Z,20,FALSE)</f>
        <v>71</v>
      </c>
      <c r="U301" s="119">
        <v>28</v>
      </c>
      <c r="V301" s="4">
        <f>VLOOKUP($B301&amp;"__wt",'SegEnds_Xtal_BW#'!$A:$Z,22,FALSE)</f>
        <v>53</v>
      </c>
      <c r="W301" s="4">
        <v>27</v>
      </c>
      <c r="X301" s="4">
        <f>VLOOKUP($B301&amp;"__wt",'SegEnds_Xtal_BW#'!$A:$Z,24,FALSE)</f>
        <v>56</v>
      </c>
      <c r="Y301" s="4">
        <f>VLOOKUP($B301&amp;"__wt",'SegEnds_Xtal_BW#'!$A:$Z,25,FALSE)</f>
        <v>47</v>
      </c>
      <c r="Z301" s="4">
        <f>VLOOKUP($B301&amp;"__wt",'SegEnds_Xtal_BW#'!$A:$Z,26,FALSE)</f>
        <v>72</v>
      </c>
      <c r="AA301" s="27" t="str">
        <f>VLOOKUP(A301,Classification!A:B,2,FALSE)</f>
        <v>B1</v>
      </c>
      <c r="AB301" s="4">
        <f>VLOOKUP(A301,'SegEnds_NonXtal_Prot#'!A:AL,10,FALSE)-VLOOKUP(A301,'SegEnds_NonXtal_Prot#'!A:AL,7,FALSE)</f>
        <v>15</v>
      </c>
      <c r="AC301" s="4" t="e">
        <f>VLOOKUP(A301,'SegEnds_NonXtal_Prot#'!A:AL,13,FALSE)-VLOOKUP(A301,'SegEnds_NonXtal_Prot#'!A:AL,10,FALSE)</f>
        <v>#VALUE!</v>
      </c>
      <c r="AD301" s="4">
        <f>VLOOKUP(A301,'SegEnds_NonXtal_Prot#'!A:AL,16,FALSE)-VLOOKUP(A301,'SegEnds_NonXtal_Prot#'!A:AL,10,FALSE)</f>
        <v>61</v>
      </c>
      <c r="AE301" s="1" t="e">
        <f>VLOOKUP(A301,'SegEnds_NonXtal_Prot#'!A:AL,22,FALSE)-VLOOKUP(A301,'SegEnds_NonXtal_Prot#'!A:AL,19,FALSE)</f>
        <v>#VALUE!</v>
      </c>
      <c r="AF301" s="4">
        <f>VLOOKUP(A301,'SegEnds_NonXtal_Prot#'!A:AL,28,FALSE)-VLOOKUP(A301,'SegEnds_NonXtal_Prot#'!A:AL,25,FALSE)</f>
        <v>20</v>
      </c>
      <c r="AG301" s="1">
        <f>VLOOKUP(A301,'SegEnds_NonXtal_Prot#'!A:AL,28,FALSE)-VLOOKUP(A301,'SegEnds_NonXtal_Prot#'!A:AL,22,FALSE)</f>
        <v>42</v>
      </c>
      <c r="AH301" s="4">
        <f>VLOOKUP(A301,'SegEnds_NonXtal_Prot#'!A:AL,31,FALSE)-VLOOKUP(A301,'SegEnds_NonXtal_Prot#'!A:AL,28,FALSE)</f>
        <v>50</v>
      </c>
      <c r="AI301" s="4">
        <f>VLOOKUP(A301,'SegEnds_NonXtal_Prot#'!A:AL,34,FALSE)-VLOOKUP(A301,'SegEnds_NonXtal_Prot#'!A:AL,31,FALSE)</f>
        <v>33</v>
      </c>
      <c r="AJ301" s="1" t="str">
        <f>IF(ISERROR(MATCH(A301,'SegEnds_Xtal_Prot#'!B:B, 0)), "NoXtal", "Xtal")</f>
        <v>NoXtal</v>
      </c>
    </row>
    <row r="302" spans="1:36" x14ac:dyDescent="0.2">
      <c r="A302" s="1" t="s">
        <v>406</v>
      </c>
      <c r="B302" s="1" t="str">
        <f>VLOOKUP(A302,Xtal_Templ!A:B,2,FALSE)</f>
        <v>glp1r_human</v>
      </c>
      <c r="C302" s="5">
        <f>VLOOKUP($B302&amp;"__wt",'SegEnds_Xtal_BW#'!$A:$Z,3,FALSE)</f>
        <v>29</v>
      </c>
      <c r="D302" s="1">
        <f>VLOOKUP($B302&amp;"__wt",'SegEnds_Xtal_BW#'!$A:$Z,4,FALSE)</f>
        <v>60</v>
      </c>
      <c r="E302" s="1">
        <f>VLOOKUP($B302&amp;"__wt",'SegEnds_Xtal_BW#'!$A:$Z,5,FALSE)</f>
        <v>48</v>
      </c>
      <c r="F302" s="1">
        <f>VLOOKUP($B302&amp;"__wt",'SegEnds_Xtal_BW#'!$A:$Z,6,FALSE)</f>
        <v>51</v>
      </c>
      <c r="G302" s="1">
        <v>37</v>
      </c>
      <c r="H302" s="111">
        <v>64</v>
      </c>
      <c r="I302" s="1" t="str">
        <f>VLOOKUP($B302&amp;"__wt",'SegEnds_Xtal_BW#'!$A:$Z,9,FALSE)</f>
        <v>-</v>
      </c>
      <c r="J302" s="1" t="str">
        <f>VLOOKUP($B302&amp;"__wt",'SegEnds_Xtal_BW#'!$A:$Z,10,FALSE)</f>
        <v>-</v>
      </c>
      <c r="K302" s="111">
        <v>23</v>
      </c>
      <c r="L302" s="1">
        <f>VLOOKUP($B302&amp;"__wt",'SegEnds_Xtal_BW#'!$A:$Z,12,FALSE)</f>
        <v>56</v>
      </c>
      <c r="M302" s="1" t="str">
        <f>VLOOKUP($B302&amp;"__wt",'SegEnds_Xtal_BW#'!$A:$Z,13,FALSE)</f>
        <v>-</v>
      </c>
      <c r="N302" s="12" t="str">
        <f>VLOOKUP($B302&amp;"__wt",'SegEnds_Xtal_BW#'!$A:$Z,14,FALSE)</f>
        <v>-</v>
      </c>
      <c r="O302" s="89">
        <f>VLOOKUP($B302&amp;"__wt",'SegEnds_Xtal_BW#'!$A:$Z,15,FALSE)</f>
        <v>38</v>
      </c>
      <c r="P302" s="1">
        <f>VLOOKUP($B302&amp;"__wt",'SegEnds_Xtal_BW#'!$A:$Z,16,FALSE)</f>
        <v>68</v>
      </c>
      <c r="Q302" s="1">
        <f>VLOOKUP($B302&amp;"__wt",'SegEnds_Xtal_BW#'!$A:$Z,17,FALSE)</f>
        <v>50</v>
      </c>
      <c r="R302" s="1">
        <f>VLOOKUP($B302&amp;"__wt",'SegEnds_Xtal_BW#'!$A:$Z,18,FALSE)</f>
        <v>52</v>
      </c>
      <c r="S302" s="111">
        <v>39</v>
      </c>
      <c r="T302" s="1">
        <f>VLOOKUP($B302&amp;"__wt",'SegEnds_Xtal_BW#'!$A:$Z,20,FALSE)</f>
        <v>71</v>
      </c>
      <c r="U302" s="1">
        <f>VLOOKUP($B302&amp;"__wt",'SegEnds_Xtal_BW#'!$A:$Z,21,FALSE)</f>
        <v>28</v>
      </c>
      <c r="V302" s="1">
        <f>VLOOKUP($B302&amp;"__wt",'SegEnds_Xtal_BW#'!$A:$Z,22,FALSE)</f>
        <v>58</v>
      </c>
      <c r="W302" s="1">
        <v>27</v>
      </c>
      <c r="X302" s="1">
        <f>VLOOKUP($B302&amp;"__wt",'SegEnds_Xtal_BW#'!$A:$Z,24,FALSE)</f>
        <v>56</v>
      </c>
      <c r="Y302" s="1">
        <f>VLOOKUP($B302&amp;"__wt",'SegEnds_Xtal_BW#'!$A:$Z,25,FALSE)</f>
        <v>47</v>
      </c>
      <c r="Z302" s="1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VLOOKUP(A302,'SegEnds_NonXtal_Prot#'!A:AL,10,FALSE)-VLOOKUP(A302,'SegEnds_NonXtal_Prot#'!A:AL,7,FALSE)</f>
        <v>15</v>
      </c>
      <c r="AC302" s="1" t="e">
        <f>VLOOKUP(A302,'SegEnds_NonXtal_Prot#'!A:AL,13,FALSE)-VLOOKUP(A302,'SegEnds_NonXtal_Prot#'!A:AL,10,FALSE)</f>
        <v>#VALUE!</v>
      </c>
      <c r="AD302" s="1">
        <f>VLOOKUP(A302,'SegEnds_NonXtal_Prot#'!A:AL,16,FALSE)-VLOOKUP(A302,'SegEnds_NonXtal_Prot#'!A:AL,10,FALSE)</f>
        <v>64</v>
      </c>
      <c r="AE302" s="1" t="e">
        <f>VLOOKUP(A302,'SegEnds_NonXtal_Prot#'!A:AL,22,FALSE)-VLOOKUP(A302,'SegEnds_NonXtal_Prot#'!A:AL,19,FALSE)</f>
        <v>#VALUE!</v>
      </c>
      <c r="AF302" s="1">
        <f>VLOOKUP(A302,'SegEnds_NonXtal_Prot#'!A:AL,28,FALSE)-VLOOKUP(A302,'SegEnds_NonXtal_Prot#'!A:AL,25,FALSE)</f>
        <v>20</v>
      </c>
      <c r="AG302" s="1">
        <f>VLOOKUP(A302,'SegEnds_NonXtal_Prot#'!A:AL,28,FALSE)-VLOOKUP(A302,'SegEnds_NonXtal_Prot#'!A:AL,22,FALSE)</f>
        <v>42</v>
      </c>
      <c r="AH302" s="1">
        <f>VLOOKUP(A302,'SegEnds_NonXtal_Prot#'!A:AL,31,FALSE)-VLOOKUP(A302,'SegEnds_NonXtal_Prot#'!A:AL,28,FALSE)</f>
        <v>50</v>
      </c>
      <c r="AI302" s="1">
        <f>VLOOKUP(A302,'SegEnds_NonXtal_Prot#'!A:AL,34,FALSE)-VLOOKUP(A302,'SegEnds_NonXtal_Prot#'!A:AL,31,FALSE)</f>
        <v>33</v>
      </c>
      <c r="AJ302" s="1" t="str">
        <f>IF(ISERROR(MATCH(A302,'SegEnds_Xtal_Prot#'!B:B, 0)), "NoXtal", "Xtal")</f>
        <v>Xtal</v>
      </c>
    </row>
    <row r="303" spans="1:36" x14ac:dyDescent="0.2">
      <c r="A303" s="4" t="s">
        <v>407</v>
      </c>
      <c r="B303" s="4" t="str">
        <f>VLOOKUP(A303,Xtal_Templ!A:B,2,FALSE)</f>
        <v>glr_human</v>
      </c>
      <c r="C303" s="5">
        <f>VLOOKUP($B303&amp;"__wt",'SegEnds_Xtal_BW#'!$A:$Z,3,FALSE)</f>
        <v>25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9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9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90">
        <f>VLOOKUP($B303&amp;"__wt",'SegEnds_Xtal_BW#'!$A:$Z,15,FALSE)</f>
        <v>40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1">
        <v>39</v>
      </c>
      <c r="T303" s="4">
        <f>VLOOKUP($B303&amp;"__wt",'SegEnds_Xtal_BW#'!$A:$Z,20,FALSE)</f>
        <v>71</v>
      </c>
      <c r="U303" s="119">
        <v>28</v>
      </c>
      <c r="V303" s="4">
        <f>VLOOKUP($B303&amp;"__wt",'SegEnds_Xtal_BW#'!$A:$Z,22,FALSE)</f>
        <v>53</v>
      </c>
      <c r="W303" s="4">
        <v>27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4">
        <f>VLOOKUP(A303,'SegEnds_NonXtal_Prot#'!A:AL,10,FALSE)-VLOOKUP(A303,'SegEnds_NonXtal_Prot#'!A:AL,7,FALSE)</f>
        <v>15</v>
      </c>
      <c r="AC303" s="4" t="e">
        <f>VLOOKUP(A303,'SegEnds_NonXtal_Prot#'!A:AL,13,FALSE)-VLOOKUP(A303,'SegEnds_NonXtal_Prot#'!A:AL,10,FALSE)</f>
        <v>#VALUE!</v>
      </c>
      <c r="AD303" s="4">
        <f>VLOOKUP(A303,'SegEnds_NonXtal_Prot#'!A:AL,16,FALSE)-VLOOKUP(A303,'SegEnds_NonXtal_Prot#'!A:AL,10,FALSE)</f>
        <v>64</v>
      </c>
      <c r="AE303" s="1" t="e">
        <f>VLOOKUP(A303,'SegEnds_NonXtal_Prot#'!A:AL,22,FALSE)-VLOOKUP(A303,'SegEnds_NonXtal_Prot#'!A:AL,19,FALSE)</f>
        <v>#VALUE!</v>
      </c>
      <c r="AF303" s="4">
        <f>VLOOKUP(A303,'SegEnds_NonXtal_Prot#'!A:AL,28,FALSE)-VLOOKUP(A303,'SegEnds_NonXtal_Prot#'!A:AL,25,FALSE)</f>
        <v>20</v>
      </c>
      <c r="AG303" s="1">
        <f>VLOOKUP(A303,'SegEnds_NonXtal_Prot#'!A:AL,28,FALSE)-VLOOKUP(A303,'SegEnds_NonXtal_Prot#'!A:AL,22,FALSE)</f>
        <v>42</v>
      </c>
      <c r="AH303" s="4">
        <f>VLOOKUP(A303,'SegEnds_NonXtal_Prot#'!A:AL,31,FALSE)-VLOOKUP(A303,'SegEnds_NonXtal_Prot#'!A:AL,28,FALSE)</f>
        <v>50</v>
      </c>
      <c r="AI303" s="4">
        <f>VLOOKUP(A303,'SegEnds_NonXtal_Prot#'!A:AL,34,FALSE)-VLOOKUP(A303,'SegEnds_NonXtal_Prot#'!A:AL,31,FALSE)</f>
        <v>33</v>
      </c>
      <c r="AJ303" s="1" t="str">
        <f>IF(ISERROR(MATCH(A303,'SegEnds_Xtal_Prot#'!B:B, 0)), "NoXtal", "Xtal")</f>
        <v>NoXtal</v>
      </c>
    </row>
    <row r="304" spans="1:36" x14ac:dyDescent="0.2">
      <c r="A304" s="4" t="s">
        <v>32</v>
      </c>
      <c r="B304" s="4" t="str">
        <f>VLOOKUP(A304,Xtal_Templ!A:B,2,FALSE)</f>
        <v>glr_human</v>
      </c>
      <c r="C304" s="5">
        <f>VLOOKUP($B304&amp;"__wt",'SegEnds_Xtal_BW#'!$A:$Z,3,FALSE)</f>
        <v>25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9">
        <v>67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">
        <v>18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90">
        <f>VLOOKUP($B304&amp;"__wt",'SegEnds_Xtal_BW#'!$A:$Z,15,FALSE)</f>
        <v>40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">
        <v>36</v>
      </c>
      <c r="T304" s="4">
        <f>VLOOKUP($B304&amp;"__wt",'SegEnds_Xtal_BW#'!$A:$Z,20,FALSE)</f>
        <v>71</v>
      </c>
      <c r="U304" s="4">
        <f>VLOOKUP($B304&amp;"__wt",'SegEnds_Xtal_BW#'!$A:$Z,21,FALSE)</f>
        <v>29</v>
      </c>
      <c r="V304" s="4">
        <f>VLOOKUP($B304&amp;"__wt",'SegEnds_Xtal_BW#'!$A:$Z,22,FALSE)</f>
        <v>53</v>
      </c>
      <c r="W304" s="4">
        <v>27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4">
        <f>VLOOKUP(A304,'SegEnds_NonXtal_Prot#'!A:AL,10,FALSE)-VLOOKUP(A304,'SegEnds_NonXtal_Prot#'!A:AL,7,FALSE)</f>
        <v>15</v>
      </c>
      <c r="AC304" s="4" t="e">
        <f>VLOOKUP(A304,'SegEnds_NonXtal_Prot#'!A:AL,13,FALSE)-VLOOKUP(A304,'SegEnds_NonXtal_Prot#'!A:AL,10,FALSE)</f>
        <v>#VALUE!</v>
      </c>
      <c r="AD304" s="4">
        <f>VLOOKUP(A304,'SegEnds_NonXtal_Prot#'!A:AL,16,FALSE)-VLOOKUP(A304,'SegEnds_NonXtal_Prot#'!A:AL,10,FALSE)</f>
        <v>65</v>
      </c>
      <c r="AE304" s="1" t="e">
        <f>VLOOKUP(A304,'SegEnds_NonXtal_Prot#'!A:AL,22,FALSE)-VLOOKUP(A304,'SegEnds_NonXtal_Prot#'!A:AL,19,FALSE)</f>
        <v>#VALUE!</v>
      </c>
      <c r="AF304" s="4">
        <f>VLOOKUP(A304,'SegEnds_NonXtal_Prot#'!A:AL,28,FALSE)-VLOOKUP(A304,'SegEnds_NonXtal_Prot#'!A:AL,25,FALSE)</f>
        <v>20</v>
      </c>
      <c r="AG304" s="1">
        <f>VLOOKUP(A304,'SegEnds_NonXtal_Prot#'!A:AL,28,FALSE)-VLOOKUP(A304,'SegEnds_NonXtal_Prot#'!A:AL,22,FALSE)</f>
        <v>42</v>
      </c>
      <c r="AH304" s="4">
        <f>VLOOKUP(A304,'SegEnds_NonXtal_Prot#'!A:AL,31,FALSE)-VLOOKUP(A304,'SegEnds_NonXtal_Prot#'!A:AL,28,FALSE)</f>
        <v>50</v>
      </c>
      <c r="AI304" s="4">
        <f>VLOOKUP(A304,'SegEnds_NonXtal_Prot#'!A:AL,34,FALSE)-VLOOKUP(A304,'SegEnds_NonXtal_Prot#'!A:AL,31,FALSE)</f>
        <v>33</v>
      </c>
      <c r="AJ304" s="1" t="str">
        <f>IF(ISERROR(MATCH(A304,'SegEnds_Xtal_Prot#'!B:B, 0)), "NoXtal", "Xtal")</f>
        <v>Xtal</v>
      </c>
    </row>
    <row r="305" spans="1:36" x14ac:dyDescent="0.2">
      <c r="A305" s="1" t="s">
        <v>408</v>
      </c>
      <c r="B305" s="1" t="str">
        <f>VLOOKUP(A305,Xtal_Templ!A:B,2,FALSE)</f>
        <v>glr_human</v>
      </c>
      <c r="C305" s="5">
        <f>VLOOKUP($B305&amp;"__wt",'SegEnds_Xtal_BW#'!$A:$Z,3,FALSE)</f>
        <v>25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9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11">
        <v>21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9">
        <f>VLOOKUP($B305&amp;"__wt",'SegEnds_Xtal_BW#'!$A:$Z,15,FALSE)</f>
        <v>40</v>
      </c>
      <c r="P305" s="1">
        <f>VLOOKUP($B305&amp;"__wt",'SegEnds_Xtal_BW#'!$A:$Z,16,FALSE)</f>
        <v>68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11">
        <v>39</v>
      </c>
      <c r="T305" s="1">
        <v>69</v>
      </c>
      <c r="U305" s="1">
        <v>25</v>
      </c>
      <c r="V305" s="1">
        <f>VLOOKUP($B305&amp;"__wt",'SegEnds_Xtal_BW#'!$A:$Z,22,FALSE)</f>
        <v>53</v>
      </c>
      <c r="W305" s="1">
        <v>31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VLOOKUP(A305,'SegEnds_NonXtal_Prot#'!A:AL,10,FALSE)-VLOOKUP(A305,'SegEnds_NonXtal_Prot#'!A:AL,7,FALSE)</f>
        <v>15</v>
      </c>
      <c r="AC305" s="1" t="e">
        <f>VLOOKUP(A305,'SegEnds_NonXtal_Prot#'!A:AL,13,FALSE)-VLOOKUP(A305,'SegEnds_NonXtal_Prot#'!A:AL,10,FALSE)</f>
        <v>#VALUE!</v>
      </c>
      <c r="AD305" s="1">
        <f>VLOOKUP(A305,'SegEnds_NonXtal_Prot#'!A:AL,16,FALSE)-VLOOKUP(A305,'SegEnds_NonXtal_Prot#'!A:AL,10,FALSE)</f>
        <v>55</v>
      </c>
      <c r="AE305" s="1" t="e">
        <f>VLOOKUP(A305,'SegEnds_NonXtal_Prot#'!A:AL,22,FALSE)-VLOOKUP(A305,'SegEnds_NonXtal_Prot#'!A:AL,19,FALSE)</f>
        <v>#VALUE!</v>
      </c>
      <c r="AF305" s="1">
        <f>VLOOKUP(A305,'SegEnds_NonXtal_Prot#'!A:AL,28,FALSE)-VLOOKUP(A305,'SegEnds_NonXtal_Prot#'!A:AL,25,FALSE)</f>
        <v>20</v>
      </c>
      <c r="AG305" s="1">
        <f>VLOOKUP(A305,'SegEnds_NonXtal_Prot#'!A:AL,28,FALSE)-VLOOKUP(A305,'SegEnds_NonXtal_Prot#'!A:AL,22,FALSE)</f>
        <v>42</v>
      </c>
      <c r="AH305" s="1">
        <f>VLOOKUP(A305,'SegEnds_NonXtal_Prot#'!A:AL,31,FALSE)-VLOOKUP(A305,'SegEnds_NonXtal_Prot#'!A:AL,28,FALSE)</f>
        <v>52</v>
      </c>
      <c r="AI305" s="1">
        <f>VLOOKUP(A305,'SegEnds_NonXtal_Prot#'!A:AL,34,FALSE)-VLOOKUP(A305,'SegEnds_NonXtal_Prot#'!A:AL,31,FALSE)</f>
        <v>29</v>
      </c>
      <c r="AJ305" s="1" t="str">
        <f>IF(ISERROR(MATCH(A305,'SegEnds_Xtal_Prot#'!B:B, 0)), "NoXtal", "Xtal")</f>
        <v>NoXtal</v>
      </c>
    </row>
    <row r="306" spans="1:36" x14ac:dyDescent="0.2">
      <c r="A306" s="4" t="s">
        <v>409</v>
      </c>
      <c r="B306" s="4" t="str">
        <f>VLOOKUP(A306,Xtal_Templ!A:B,2,FALSE)</f>
        <v>glp1r_human</v>
      </c>
      <c r="C306" s="5">
        <f>VLOOKUP($B306&amp;"__wt",'SegEnds_Xtal_BW#'!$A:$Z,3,FALSE)</f>
        <v>29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9">
        <v>67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">
        <v>18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90">
        <f>VLOOKUP($B306&amp;"__wt",'SegEnds_Xtal_BW#'!$A:$Z,15,FALSE)</f>
        <v>38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1">
        <v>39</v>
      </c>
      <c r="T306" s="4">
        <v>69</v>
      </c>
      <c r="U306" s="4">
        <v>25</v>
      </c>
      <c r="V306" s="4">
        <f>VLOOKUP($B306&amp;"__wt",'SegEnds_Xtal_BW#'!$A:$Z,22,FALSE)</f>
        <v>58</v>
      </c>
      <c r="W306" s="4">
        <v>27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4">
        <f>VLOOKUP(A306,'SegEnds_NonXtal_Prot#'!A:AL,10,FALSE)-VLOOKUP(A306,'SegEnds_NonXtal_Prot#'!A:AL,7,FALSE)</f>
        <v>15</v>
      </c>
      <c r="AC306" s="4" t="e">
        <f>VLOOKUP(A306,'SegEnds_NonXtal_Prot#'!A:AL,13,FALSE)-VLOOKUP(A306,'SegEnds_NonXtal_Prot#'!A:AL,10,FALSE)</f>
        <v>#VALUE!</v>
      </c>
      <c r="AD306" s="4">
        <f>VLOOKUP(A306,'SegEnds_NonXtal_Prot#'!A:AL,16,FALSE)-VLOOKUP(A306,'SegEnds_NonXtal_Prot#'!A:AL,10,FALSE)</f>
        <v>76</v>
      </c>
      <c r="AE306" s="1" t="e">
        <f>VLOOKUP(A306,'SegEnds_NonXtal_Prot#'!A:AL,22,FALSE)-VLOOKUP(A306,'SegEnds_NonXtal_Prot#'!A:AL,19,FALSE)</f>
        <v>#VALUE!</v>
      </c>
      <c r="AF306" s="4">
        <f>VLOOKUP(A306,'SegEnds_NonXtal_Prot#'!A:AL,28,FALSE)-VLOOKUP(A306,'SegEnds_NonXtal_Prot#'!A:AL,25,FALSE)</f>
        <v>19</v>
      </c>
      <c r="AG306" s="1">
        <f>VLOOKUP(A306,'SegEnds_NonXtal_Prot#'!A:AL,28,FALSE)-VLOOKUP(A306,'SegEnds_NonXtal_Prot#'!A:AL,22,FALSE)</f>
        <v>41</v>
      </c>
      <c r="AH306" s="4">
        <f>VLOOKUP(A306,'SegEnds_NonXtal_Prot#'!A:AL,31,FALSE)-VLOOKUP(A306,'SegEnds_NonXtal_Prot#'!A:AL,28,FALSE)</f>
        <v>53</v>
      </c>
      <c r="AI306" s="4">
        <f>VLOOKUP(A306,'SegEnds_NonXtal_Prot#'!A:AL,34,FALSE)-VLOOKUP(A306,'SegEnds_NonXtal_Prot#'!A:AL,31,FALSE)</f>
        <v>33</v>
      </c>
      <c r="AJ306" s="1" t="str">
        <f>IF(ISERROR(MATCH(A306,'SegEnds_Xtal_Prot#'!B:B, 0)), "NoXtal", "Xtal")</f>
        <v>NoXtal</v>
      </c>
    </row>
    <row r="307" spans="1:36" x14ac:dyDescent="0.2">
      <c r="A307" s="4" t="s">
        <v>410</v>
      </c>
      <c r="B307" s="4" t="str">
        <f>VLOOKUP(A307,Xtal_Templ!A:B,2,FALSE)</f>
        <v>glp1r_human</v>
      </c>
      <c r="C307" s="5">
        <f>VLOOKUP($B307&amp;"__wt",'SegEnds_Xtal_BW#'!$A:$Z,3,FALSE)</f>
        <v>29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9">
        <v>67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">
        <v>18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90">
        <f>VLOOKUP($B307&amp;"__wt",'SegEnds_Xtal_BW#'!$A:$Z,15,FALSE)</f>
        <v>38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1">
        <v>39</v>
      </c>
      <c r="T307" s="4">
        <v>69</v>
      </c>
      <c r="U307" s="4">
        <v>25</v>
      </c>
      <c r="V307" s="4">
        <f>VLOOKUP($B307&amp;"__wt",'SegEnds_Xtal_BW#'!$A:$Z,22,FALSE)</f>
        <v>58</v>
      </c>
      <c r="W307" s="4">
        <v>27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4">
        <f>VLOOKUP(A307,'SegEnds_NonXtal_Prot#'!A:AL,10,FALSE)-VLOOKUP(A307,'SegEnds_NonXtal_Prot#'!A:AL,7,FALSE)</f>
        <v>15</v>
      </c>
      <c r="AC307" s="4" t="e">
        <f>VLOOKUP(A307,'SegEnds_NonXtal_Prot#'!A:AL,13,FALSE)-VLOOKUP(A307,'SegEnds_NonXtal_Prot#'!A:AL,10,FALSE)</f>
        <v>#VALUE!</v>
      </c>
      <c r="AD307" s="4">
        <f>VLOOKUP(A307,'SegEnds_NonXtal_Prot#'!A:AL,16,FALSE)-VLOOKUP(A307,'SegEnds_NonXtal_Prot#'!A:AL,10,FALSE)</f>
        <v>74</v>
      </c>
      <c r="AE307" s="1" t="e">
        <f>VLOOKUP(A307,'SegEnds_NonXtal_Prot#'!A:AL,22,FALSE)-VLOOKUP(A307,'SegEnds_NonXtal_Prot#'!A:AL,19,FALSE)</f>
        <v>#VALUE!</v>
      </c>
      <c r="AF307" s="4">
        <f>VLOOKUP(A307,'SegEnds_NonXtal_Prot#'!A:AL,28,FALSE)-VLOOKUP(A307,'SegEnds_NonXtal_Prot#'!A:AL,25,FALSE)</f>
        <v>19</v>
      </c>
      <c r="AG307" s="1">
        <f>VLOOKUP(A307,'SegEnds_NonXtal_Prot#'!A:AL,28,FALSE)-VLOOKUP(A307,'SegEnds_NonXtal_Prot#'!A:AL,22,FALSE)</f>
        <v>41</v>
      </c>
      <c r="AH307" s="4">
        <f>VLOOKUP(A307,'SegEnds_NonXtal_Prot#'!A:AL,31,FALSE)-VLOOKUP(A307,'SegEnds_NonXtal_Prot#'!A:AL,28,FALSE)</f>
        <v>53</v>
      </c>
      <c r="AI307" s="4">
        <f>VLOOKUP(A307,'SegEnds_NonXtal_Prot#'!A:AL,34,FALSE)-VLOOKUP(A307,'SegEnds_NonXtal_Prot#'!A:AL,31,FALSE)</f>
        <v>32</v>
      </c>
      <c r="AJ307" s="1" t="str">
        <f>IF(ISERROR(MATCH(A307,'SegEnds_Xtal_Prot#'!B:B, 0)), "NoXtal", "Xtal")</f>
        <v>NoXtal</v>
      </c>
    </row>
    <row r="308" spans="1:36" x14ac:dyDescent="0.2">
      <c r="A308" s="4" t="s">
        <v>411</v>
      </c>
      <c r="B308" s="4" t="str">
        <f>VLOOKUP(A308,Xtal_Templ!A:B,2,FALSE)</f>
        <v>glp1r_human</v>
      </c>
      <c r="C308" s="5">
        <f>VLOOKUP($B308&amp;"__wt",'SegEnds_Xtal_BW#'!$A:$Z,3,FALSE)</f>
        <v>29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9">
        <v>64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9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90">
        <f>VLOOKUP($B308&amp;"__wt",'SegEnds_Xtal_BW#'!$A:$Z,15,FALSE)</f>
        <v>38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9">
        <v>39</v>
      </c>
      <c r="T308" s="4">
        <v>69</v>
      </c>
      <c r="U308" s="4">
        <v>25</v>
      </c>
      <c r="V308" s="4">
        <f>VLOOKUP($B308&amp;"__wt",'SegEnds_Xtal_BW#'!$A:$Z,22,FALSE)</f>
        <v>58</v>
      </c>
      <c r="W308" s="4">
        <v>31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4">
        <f>VLOOKUP(A308,'SegEnds_NonXtal_Prot#'!A:AL,10,FALSE)-VLOOKUP(A308,'SegEnds_NonXtal_Prot#'!A:AL,7,FALSE)</f>
        <v>15</v>
      </c>
      <c r="AC308" s="4" t="e">
        <f>VLOOKUP(A308,'SegEnds_NonXtal_Prot#'!A:AL,13,FALSE)-VLOOKUP(A308,'SegEnds_NonXtal_Prot#'!A:AL,10,FALSE)</f>
        <v>#VALUE!</v>
      </c>
      <c r="AD308" s="4">
        <f>VLOOKUP(A308,'SegEnds_NonXtal_Prot#'!A:AL,16,FALSE)-VLOOKUP(A308,'SegEnds_NonXtal_Prot#'!A:AL,10,FALSE)</f>
        <v>55</v>
      </c>
      <c r="AE308" s="1" t="e">
        <f>VLOOKUP(A308,'SegEnds_NonXtal_Prot#'!A:AL,22,FALSE)-VLOOKUP(A308,'SegEnds_NonXtal_Prot#'!A:AL,19,FALSE)</f>
        <v>#VALUE!</v>
      </c>
      <c r="AF308" s="4">
        <f>VLOOKUP(A308,'SegEnds_NonXtal_Prot#'!A:AL,28,FALSE)-VLOOKUP(A308,'SegEnds_NonXtal_Prot#'!A:AL,25,FALSE)</f>
        <v>20</v>
      </c>
      <c r="AG308" s="1">
        <f>VLOOKUP(A308,'SegEnds_NonXtal_Prot#'!A:AL,28,FALSE)-VLOOKUP(A308,'SegEnds_NonXtal_Prot#'!A:AL,22,FALSE)</f>
        <v>42</v>
      </c>
      <c r="AH308" s="4">
        <f>VLOOKUP(A308,'SegEnds_NonXtal_Prot#'!A:AL,31,FALSE)-VLOOKUP(A308,'SegEnds_NonXtal_Prot#'!A:AL,28,FALSE)</f>
        <v>52</v>
      </c>
      <c r="AI308" s="4">
        <f>VLOOKUP(A308,'SegEnds_NonXtal_Prot#'!A:AL,34,FALSE)-VLOOKUP(A308,'SegEnds_NonXtal_Prot#'!A:AL,31,FALSE)</f>
        <v>28</v>
      </c>
      <c r="AJ308" s="1" t="str">
        <f>IF(ISERROR(MATCH(A308,'SegEnds_Xtal_Prot#'!B:B, 0)), "NoXtal", "Xtal")</f>
        <v>NoXtal</v>
      </c>
    </row>
    <row r="309" spans="1:36" x14ac:dyDescent="0.2">
      <c r="A309" s="4" t="s">
        <v>412</v>
      </c>
      <c r="B309" s="4" t="str">
        <f>VLOOKUP(A309,Xtal_Templ!A:B,2,FALSE)</f>
        <v>glp1r_human</v>
      </c>
      <c r="C309" s="5">
        <f>VLOOKUP($B309&amp;"__wt",'SegEnds_Xtal_BW#'!$A:$Z,3,FALSE)</f>
        <v>29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9">
        <v>64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9">
        <v>21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90">
        <f>VLOOKUP($B309&amp;"__wt",'SegEnds_Xtal_BW#'!$A:$Z,15,FALSE)</f>
        <v>38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1">
        <v>39</v>
      </c>
      <c r="T309" s="4">
        <v>69</v>
      </c>
      <c r="U309" s="4">
        <v>25</v>
      </c>
      <c r="V309" s="4">
        <f>VLOOKUP($B309&amp;"__wt",'SegEnds_Xtal_BW#'!$A:$Z,22,FALSE)</f>
        <v>58</v>
      </c>
      <c r="W309" s="4">
        <v>31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4">
        <f>VLOOKUP(A309,'SegEnds_NonXtal_Prot#'!A:AL,10,FALSE)-VLOOKUP(A309,'SegEnds_NonXtal_Prot#'!A:AL,7,FALSE)</f>
        <v>15</v>
      </c>
      <c r="AC309" s="4" t="e">
        <f>VLOOKUP(A309,'SegEnds_NonXtal_Prot#'!A:AL,13,FALSE)-VLOOKUP(A309,'SegEnds_NonXtal_Prot#'!A:AL,10,FALSE)</f>
        <v>#VALUE!</v>
      </c>
      <c r="AD309" s="4">
        <f>VLOOKUP(A309,'SegEnds_NonXtal_Prot#'!A:AL,16,FALSE)-VLOOKUP(A309,'SegEnds_NonXtal_Prot#'!A:AL,10,FALSE)</f>
        <v>55</v>
      </c>
      <c r="AE309" s="1" t="e">
        <f>VLOOKUP(A309,'SegEnds_NonXtal_Prot#'!A:AL,22,FALSE)-VLOOKUP(A309,'SegEnds_NonXtal_Prot#'!A:AL,19,FALSE)</f>
        <v>#VALUE!</v>
      </c>
      <c r="AF309" s="4">
        <f>VLOOKUP(A309,'SegEnds_NonXtal_Prot#'!A:AL,28,FALSE)-VLOOKUP(A309,'SegEnds_NonXtal_Prot#'!A:AL,25,FALSE)</f>
        <v>19</v>
      </c>
      <c r="AG309" s="1">
        <f>VLOOKUP(A309,'SegEnds_NonXtal_Prot#'!A:AL,28,FALSE)-VLOOKUP(A309,'SegEnds_NonXtal_Prot#'!A:AL,22,FALSE)</f>
        <v>41</v>
      </c>
      <c r="AH309" s="4">
        <f>VLOOKUP(A309,'SegEnds_NonXtal_Prot#'!A:AL,31,FALSE)-VLOOKUP(A309,'SegEnds_NonXtal_Prot#'!A:AL,28,FALSE)</f>
        <v>52</v>
      </c>
      <c r="AI309" s="4">
        <f>VLOOKUP(A309,'SegEnds_NonXtal_Prot#'!A:AL,34,FALSE)-VLOOKUP(A309,'SegEnds_NonXtal_Prot#'!A:AL,31,FALSE)</f>
        <v>29</v>
      </c>
      <c r="AJ309" s="1" t="str">
        <f>IF(ISERROR(MATCH(A309,'SegEnds_Xtal_Prot#'!B:B, 0)), "NoXtal", "Xtal")</f>
        <v>NoXtal</v>
      </c>
    </row>
    <row r="310" spans="1:36" s="4" customFormat="1" x14ac:dyDescent="0.2">
      <c r="A310" s="4" t="s">
        <v>413</v>
      </c>
      <c r="B310" s="4" t="str">
        <f>VLOOKUP(A310,Xtal_Templ!A:B,2,FALSE)</f>
        <v>glr_human</v>
      </c>
      <c r="C310" s="4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9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9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90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19">
        <v>39</v>
      </c>
      <c r="T310" s="4">
        <v>69</v>
      </c>
      <c r="U310" s="4">
        <v>25</v>
      </c>
      <c r="V310" s="4">
        <f>VLOOKUP($B310&amp;"__wt",'SegEnds_Xtal_BW#'!$A:$Z,22,FALSE)</f>
        <v>53</v>
      </c>
      <c r="W310" s="4">
        <v>31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51" t="str">
        <f>VLOOKUP(A310,Classification!A:B,2,FALSE)</f>
        <v>B1</v>
      </c>
      <c r="AB310" s="4">
        <f>VLOOKUP(A310,'SegEnds_NonXtal_Prot#'!A:AL,10,FALSE)-VLOOKUP(A310,'SegEnds_NonXtal_Prot#'!A:AL,7,FALSE)</f>
        <v>15</v>
      </c>
      <c r="AC310" s="4" t="e">
        <f>VLOOKUP(A310,'SegEnds_NonXtal_Prot#'!A:AL,13,FALSE)-VLOOKUP(A310,'SegEnds_NonXtal_Prot#'!A:AL,10,FALSE)</f>
        <v>#VALUE!</v>
      </c>
      <c r="AD310" s="4">
        <f>VLOOKUP(A310,'SegEnds_NonXtal_Prot#'!A:AL,16,FALSE)-VLOOKUP(A310,'SegEnds_NonXtal_Prot#'!A:AL,10,FALSE)</f>
        <v>58</v>
      </c>
      <c r="AE310" s="4" t="e">
        <f>VLOOKUP(A310,'SegEnds_NonXtal_Prot#'!A:AL,22,FALSE)-VLOOKUP(A310,'SegEnds_NonXtal_Prot#'!A:AL,19,FALSE)</f>
        <v>#VALUE!</v>
      </c>
      <c r="AF310" s="4">
        <f>VLOOKUP(A310,'SegEnds_NonXtal_Prot#'!A:AL,28,FALSE)-VLOOKUP(A310,'SegEnds_NonXtal_Prot#'!A:AL,25,FALSE)</f>
        <v>20</v>
      </c>
      <c r="AG310" s="4">
        <f>VLOOKUP(A310,'SegEnds_NonXtal_Prot#'!A:AL,28,FALSE)-VLOOKUP(A310,'SegEnds_NonXtal_Prot#'!A:AL,22,FALSE)</f>
        <v>42</v>
      </c>
      <c r="AH310" s="4">
        <f>VLOOKUP(A310,'SegEnds_NonXtal_Prot#'!A:AL,31,FALSE)-VLOOKUP(A310,'SegEnds_NonXtal_Prot#'!A:AL,28,FALSE)</f>
        <v>52</v>
      </c>
      <c r="AI310" s="4">
        <f>VLOOKUP(A310,'SegEnds_NonXtal_Prot#'!A:AL,34,FALSE)-VLOOKUP(A310,'SegEnds_NonXtal_Prot#'!A:AL,31,FALSE)</f>
        <v>29</v>
      </c>
      <c r="AJ310" s="4" t="str">
        <f>IF(ISERROR(MATCH(A310,'SegEnds_Xtal_Prot#'!B:B, 0)), "NoXtal", "Xtal")</f>
        <v>NoXtal</v>
      </c>
    </row>
    <row r="311" spans="1:36" s="46" customFormat="1" x14ac:dyDescent="0.2">
      <c r="A311" s="46" t="s">
        <v>1430</v>
      </c>
      <c r="B311" s="46" t="str">
        <f>VLOOKUP(A311,Xtal_Templ!A:B,2,FALSE)</f>
        <v>g1sgd4_rabit</v>
      </c>
      <c r="C311" s="47">
        <f>VLOOKUP($B311&amp;"__wt",'SegEnds_Xtal_BW#'!$A:$Z,3,FALSE)</f>
        <v>28</v>
      </c>
      <c r="D311" s="46">
        <f>VLOOKUP($B311&amp;"__wt",'SegEnds_Xtal_BW#'!$A:$Z,4,FALSE)</f>
        <v>60</v>
      </c>
      <c r="E311" s="46">
        <f>VLOOKUP($B311&amp;"__wt",'SegEnds_Xtal_BW#'!$A:$Z,5,FALSE)</f>
        <v>48</v>
      </c>
      <c r="F311" s="46">
        <f>VLOOKUP($B311&amp;"__wt",'SegEnds_Xtal_BW#'!$A:$Z,6,FALSE)</f>
        <v>51</v>
      </c>
      <c r="G311" s="46">
        <v>37</v>
      </c>
      <c r="H311" s="121">
        <v>74</v>
      </c>
      <c r="I311" s="46" t="str">
        <f>VLOOKUP($B311&amp;"__wt",'SegEnds_Xtal_BW#'!$A:$Z,9,FALSE)</f>
        <v>-</v>
      </c>
      <c r="J311" s="46" t="str">
        <f>VLOOKUP($B311&amp;"__wt",'SegEnds_Xtal_BW#'!$A:$Z,10,FALSE)</f>
        <v>-</v>
      </c>
      <c r="K311" s="121">
        <v>23</v>
      </c>
      <c r="L311" s="46">
        <f>VLOOKUP($B311&amp;"__wt",'SegEnds_Xtal_BW#'!$A:$Z,12,FALSE)</f>
        <v>56</v>
      </c>
      <c r="M311" s="46" t="str">
        <f>VLOOKUP($B311&amp;"__wt",'SegEnds_Xtal_BW#'!$A:$Z,13,FALSE)</f>
        <v>-</v>
      </c>
      <c r="N311" s="105" t="str">
        <f>VLOOKUP($B311&amp;"__wt",'SegEnds_Xtal_BW#'!$A:$Z,14,FALSE)</f>
        <v>-</v>
      </c>
      <c r="O311" s="92">
        <f>VLOOKUP($B311&amp;"__wt",'SegEnds_Xtal_BW#'!$A:$Z,15,FALSE)</f>
        <v>37</v>
      </c>
      <c r="P311" s="46">
        <f>VLOOKUP($B311&amp;"__wt",'SegEnds_Xtal_BW#'!$A:$Z,16,FALSE)</f>
        <v>68</v>
      </c>
      <c r="Q311" s="46">
        <f>VLOOKUP($B311&amp;"__wt",'SegEnds_Xtal_BW#'!$A:$Z,17,FALSE)</f>
        <v>50</v>
      </c>
      <c r="R311" s="46">
        <f>VLOOKUP($B311&amp;"__wt",'SegEnds_Xtal_BW#'!$A:$Z,18,FALSE)</f>
        <v>52</v>
      </c>
      <c r="S311" s="121">
        <v>39</v>
      </c>
      <c r="T311" s="46">
        <f>VLOOKUP($B311&amp;"__wt",'SegEnds_Xtal_BW#'!$A:$Z,20,FALSE)</f>
        <v>71</v>
      </c>
      <c r="U311" s="46">
        <f>VLOOKUP($B311&amp;"__wt",'SegEnds_Xtal_BW#'!$A:$Z,21,FALSE)</f>
        <v>30</v>
      </c>
      <c r="V311" s="46">
        <f>VLOOKUP($B311&amp;"__wt",'SegEnds_Xtal_BW#'!$A:$Z,22,FALSE)</f>
        <v>53</v>
      </c>
      <c r="W311" s="121">
        <v>30</v>
      </c>
      <c r="X311" s="46">
        <f>VLOOKUP($B311&amp;"__wt",'SegEnds_Xtal_BW#'!$A:$Z,24,FALSE)</f>
        <v>56</v>
      </c>
      <c r="Y311" s="46">
        <f>VLOOKUP($B311&amp;"__wt",'SegEnds_Xtal_BW#'!$A:$Z,25,FALSE)</f>
        <v>47</v>
      </c>
      <c r="Z311" s="46">
        <f>VLOOKUP($B311&amp;"__wt",'SegEnds_Xtal_BW#'!$A:$Z,26,FALSE)</f>
        <v>72</v>
      </c>
      <c r="AA311" s="48" t="str">
        <f>VLOOKUP(A311,Classification!A:B,2,FALSE)</f>
        <v>B1</v>
      </c>
      <c r="AB311" s="46">
        <f>VLOOKUP(A311,'SegEnds_NonXtal_Prot#'!A:AL,10,FALSE)-VLOOKUP(A311,'SegEnds_NonXtal_Prot#'!A:AL,7,FALSE)</f>
        <v>15</v>
      </c>
      <c r="AC311" s="46" t="e">
        <f>VLOOKUP(A311,'SegEnds_NonXtal_Prot#'!A:AL,13,FALSE)-VLOOKUP(A311,'SegEnds_NonXtal_Prot#'!A:AL,10,FALSE)</f>
        <v>#VALUE!</v>
      </c>
      <c r="AD311" s="46">
        <f>VLOOKUP(A311,'SegEnds_NonXtal_Prot#'!A:AL,16,FALSE)-VLOOKUP(A311,'SegEnds_NonXtal_Prot#'!A:AL,10,FALSE)</f>
        <v>64</v>
      </c>
      <c r="AE311" s="46" t="e">
        <f>VLOOKUP(A311,'SegEnds_NonXtal_Prot#'!A:AL,22,FALSE)-VLOOKUP(A311,'SegEnds_NonXtal_Prot#'!A:AL,19,FALSE)</f>
        <v>#VALUE!</v>
      </c>
      <c r="AF311" s="46">
        <f>VLOOKUP(A311,'SegEnds_NonXtal_Prot#'!A:AL,28,FALSE)-VLOOKUP(A311,'SegEnds_NonXtal_Prot#'!A:AL,25,FALSE)</f>
        <v>20</v>
      </c>
      <c r="AG311" s="46">
        <f>VLOOKUP(A311,'SegEnds_NonXtal_Prot#'!A:AL,28,FALSE)-VLOOKUP(A311,'SegEnds_NonXtal_Prot#'!A:AL,22,FALSE)</f>
        <v>42</v>
      </c>
      <c r="AH311" s="46">
        <f>VLOOKUP(A311,'SegEnds_NonXtal_Prot#'!A:AL,31,FALSE)-VLOOKUP(A311,'SegEnds_NonXtal_Prot#'!A:AL,28,FALSE)</f>
        <v>50</v>
      </c>
      <c r="AI311" s="46">
        <f>VLOOKUP(A311,'SegEnds_NonXtal_Prot#'!A:AL,34,FALSE)-VLOOKUP(A311,'SegEnds_NonXtal_Prot#'!A:AL,31,FALSE)</f>
        <v>33</v>
      </c>
      <c r="AJ311" s="46" t="str">
        <f>IF(ISERROR(MATCH(A311,'SegEnds_Xtal_Prot#'!B:B, 0)), "NoXtal", "Xtal")</f>
        <v>Xtal</v>
      </c>
    </row>
    <row r="312" spans="1:36" x14ac:dyDescent="0.2">
      <c r="A312" s="1" t="s">
        <v>1177</v>
      </c>
      <c r="B312" s="1" t="str">
        <f>VLOOKUP(A312,Xtal_Templ!A:B,2,FALSE)</f>
        <v>crfr1_human</v>
      </c>
      <c r="C312" s="5">
        <v>23</v>
      </c>
      <c r="D312" s="1">
        <f>VLOOKUP($B312&amp;"__wt",'SegEnds_Xtal_BW#'!$A:$Z,4,FALSE)</f>
        <v>60</v>
      </c>
      <c r="E312" s="1">
        <f>VLOOKUP($B312&amp;"__wt",'SegEnds_Xtal_BW#'!$A:$Z,5,FALSE)</f>
        <v>48</v>
      </c>
      <c r="F312" s="1">
        <f>VLOOKUP($B312&amp;"__wt",'SegEnds_Xtal_BW#'!$A:$Z,6,FALSE)</f>
        <v>51</v>
      </c>
      <c r="G312" s="1">
        <v>37</v>
      </c>
      <c r="H312" s="12">
        <v>63</v>
      </c>
      <c r="I312" s="1" t="str">
        <f>VLOOKUP($B312&amp;"__wt",'SegEnds_Xtal_BW#'!$A:$Z,9,FALSE)</f>
        <v>-</v>
      </c>
      <c r="J312" s="1" t="str">
        <f>VLOOKUP($B312&amp;"__wt",'SegEnds_Xtal_BW#'!$A:$Z,10,FALSE)</f>
        <v>-</v>
      </c>
      <c r="K312" s="12">
        <v>23</v>
      </c>
      <c r="L312" s="1">
        <f>VLOOKUP($B312&amp;"__wt",'SegEnds_Xtal_BW#'!$A:$Z,12,FALSE)</f>
        <v>56</v>
      </c>
      <c r="M312" s="1" t="str">
        <f>VLOOKUP($B312&amp;"__wt",'SegEnds_Xtal_BW#'!$A:$Z,13,FALSE)</f>
        <v>-</v>
      </c>
      <c r="N312" s="12" t="str">
        <f>VLOOKUP($B312&amp;"__wt",'SegEnds_Xtal_BW#'!$A:$Z,14,FALSE)</f>
        <v>-</v>
      </c>
      <c r="O312" s="89">
        <f>VLOOKUP($B312&amp;"__wt",'SegEnds_Xtal_BW#'!$A:$Z,15,FALSE)</f>
        <v>40</v>
      </c>
      <c r="P312" s="1">
        <f>VLOOKUP($B312&amp;"__wt",'SegEnds_Xtal_BW#'!$A:$Z,16,FALSE)</f>
        <v>68</v>
      </c>
      <c r="Q312" s="1">
        <f>VLOOKUP($B312&amp;"__wt",'SegEnds_Xtal_BW#'!$A:$Z,17,FALSE)</f>
        <v>50</v>
      </c>
      <c r="R312" s="1">
        <f>VLOOKUP($B312&amp;"__wt",'SegEnds_Xtal_BW#'!$A:$Z,18,FALSE)</f>
        <v>52</v>
      </c>
      <c r="S312" s="1">
        <v>36</v>
      </c>
      <c r="T312" s="1">
        <v>69</v>
      </c>
      <c r="U312" s="1">
        <v>29</v>
      </c>
      <c r="V312" s="1">
        <f>VLOOKUP($B312&amp;"__wt",'SegEnds_Xtal_BW#'!$A:$Z,22,FALSE)</f>
        <v>53</v>
      </c>
      <c r="W312" s="1">
        <v>29</v>
      </c>
      <c r="X312" s="1">
        <f>VLOOKUP($B312&amp;"__wt",'SegEnds_Xtal_BW#'!$A:$Z,24,FALSE)</f>
        <v>56</v>
      </c>
      <c r="Y312" s="1">
        <f>VLOOKUP($B312&amp;"__wt",'SegEnds_Xtal_BW#'!$A:$Z,25,FALSE)</f>
        <v>47</v>
      </c>
      <c r="Z312" s="1">
        <v>63</v>
      </c>
      <c r="AA312" s="27" t="str">
        <f>VLOOKUP(A312,Classification!A:B,2,FALSE)</f>
        <v>B2</v>
      </c>
      <c r="AB312" s="1" t="e">
        <f>VLOOKUP(A312,'SegEnds_NonXtal_Prot#'!A:AL,10,FALSE)-VLOOKUP(A312,'SegEnds_NonXtal_Prot#'!A:AL,7,FALSE)</f>
        <v>#VALUE!</v>
      </c>
      <c r="AC312" s="1" t="e">
        <f>VLOOKUP(A312,'SegEnds_NonXtal_Prot#'!A:AL,13,FALSE)-VLOOKUP(A312,'SegEnds_NonXtal_Prot#'!A:AL,10,FALSE)</f>
        <v>#VALUE!</v>
      </c>
      <c r="AD312" s="1">
        <f>VLOOKUP(A312,'SegEnds_NonXtal_Prot#'!A:AL,16,FALSE)-VLOOKUP(A312,'SegEnds_NonXtal_Prot#'!A:AL,10,FALSE)</f>
        <v>47</v>
      </c>
      <c r="AE312" s="1" t="e">
        <f>VLOOKUP(A312,'SegEnds_NonXtal_Prot#'!A:AL,22,FALSE)-VLOOKUP(A312,'SegEnds_NonXtal_Prot#'!A:AL,19,FALSE)</f>
        <v>#VALUE!</v>
      </c>
      <c r="AF312" s="1">
        <f>VLOOKUP(A312,'SegEnds_NonXtal_Prot#'!A:AL,28,FALSE)-VLOOKUP(A312,'SegEnds_NonXtal_Prot#'!A:AL,25,FALSE)</f>
        <v>18</v>
      </c>
      <c r="AG312" s="1">
        <f>VLOOKUP(A312,'SegEnds_NonXtal_Prot#'!A:AL,28,FALSE)-VLOOKUP(A312,'SegEnds_NonXtal_Prot#'!A:AL,22,FALSE)</f>
        <v>46</v>
      </c>
      <c r="AH312" s="1">
        <f>VLOOKUP(A312,'SegEnds_NonXtal_Prot#'!A:AL,31,FALSE)-VLOOKUP(A312,'SegEnds_NonXtal_Prot#'!A:AL,28,FALSE)</f>
        <v>86</v>
      </c>
      <c r="AI312" s="1">
        <f>VLOOKUP(A312,'SegEnds_NonXtal_Prot#'!A:AL,34,FALSE)-VLOOKUP(A312,'SegEnds_NonXtal_Prot#'!A:AL,31,FALSE)</f>
        <v>31</v>
      </c>
      <c r="AJ312" s="1" t="str">
        <f>IF(ISERROR(MATCH(A312,'SegEnds_Xtal_Prot#'!B:B, 0)), "NoXtal", "Xtal")</f>
        <v>NoXtal</v>
      </c>
    </row>
    <row r="313" spans="1:36" x14ac:dyDescent="0.2">
      <c r="A313" s="4" t="s">
        <v>1178</v>
      </c>
      <c r="B313" s="4" t="str">
        <f>VLOOKUP(A313,Xtal_Templ!A:B,2,FALSE)</f>
        <v>crfr1_human</v>
      </c>
      <c r="C313" s="5">
        <v>23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">
        <v>63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">
        <v>23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90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4">
        <v>36</v>
      </c>
      <c r="T313" s="4">
        <v>69</v>
      </c>
      <c r="U313" s="4">
        <v>29</v>
      </c>
      <c r="V313" s="4">
        <f>VLOOKUP($B313&amp;"__wt",'SegEnds_Xtal_BW#'!$A:$Z,22,FALSE)</f>
        <v>53</v>
      </c>
      <c r="W313" s="4">
        <v>29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v>63</v>
      </c>
      <c r="AA313" s="27" t="str">
        <f>VLOOKUP(A313,Classification!A:B,2,FALSE)</f>
        <v>B2</v>
      </c>
      <c r="AB313" s="4" t="e">
        <f>VLOOKUP(A313,'SegEnds_NonXtal_Prot#'!A:AL,10,FALSE)-VLOOKUP(A313,'SegEnds_NonXtal_Prot#'!A:AL,7,FALSE)</f>
        <v>#VALUE!</v>
      </c>
      <c r="AC313" s="4" t="e">
        <f>VLOOKUP(A313,'SegEnds_NonXtal_Prot#'!A:AL,13,FALSE)-VLOOKUP(A313,'SegEnds_NonXtal_Prot#'!A:AL,10,FALSE)</f>
        <v>#VALUE!</v>
      </c>
      <c r="AD313" s="4">
        <f>VLOOKUP(A313,'SegEnds_NonXtal_Prot#'!A:AL,16,FALSE)-VLOOKUP(A313,'SegEnds_NonXtal_Prot#'!A:AL,10,FALSE)</f>
        <v>47</v>
      </c>
      <c r="AE313" s="1" t="e">
        <f>VLOOKUP(A313,'SegEnds_NonXtal_Prot#'!A:AL,22,FALSE)-VLOOKUP(A313,'SegEnds_NonXtal_Prot#'!A:AL,19,FALSE)</f>
        <v>#VALUE!</v>
      </c>
      <c r="AF313" s="4">
        <f>VLOOKUP(A313,'SegEnds_NonXtal_Prot#'!A:AL,28,FALSE)-VLOOKUP(A313,'SegEnds_NonXtal_Prot#'!A:AL,25,FALSE)</f>
        <v>18</v>
      </c>
      <c r="AG313" s="1">
        <f>VLOOKUP(A313,'SegEnds_NonXtal_Prot#'!A:AL,28,FALSE)-VLOOKUP(A313,'SegEnds_NonXtal_Prot#'!A:AL,22,FALSE)</f>
        <v>43</v>
      </c>
      <c r="AH313" s="4">
        <f>VLOOKUP(A313,'SegEnds_NonXtal_Prot#'!A:AL,31,FALSE)-VLOOKUP(A313,'SegEnds_NonXtal_Prot#'!A:AL,28,FALSE)</f>
        <v>100</v>
      </c>
      <c r="AI313" s="4">
        <f>VLOOKUP(A313,'SegEnds_NonXtal_Prot#'!A:AL,34,FALSE)-VLOOKUP(A313,'SegEnds_NonXtal_Prot#'!A:AL,31,FALSE)</f>
        <v>31</v>
      </c>
      <c r="AJ313" s="1" t="str">
        <f>IF(ISERROR(MATCH(A313,'SegEnds_Xtal_Prot#'!B:B, 0)), "NoXtal", "Xtal")</f>
        <v>NoXtal</v>
      </c>
    </row>
    <row r="314" spans="1:36" x14ac:dyDescent="0.2">
      <c r="A314" s="1" t="s">
        <v>1179</v>
      </c>
      <c r="B314" s="1" t="str">
        <f>VLOOKUP(A314,Xtal_Templ!A:B,2,FALSE)</f>
        <v>crfr1_human</v>
      </c>
      <c r="C314" s="5">
        <v>23</v>
      </c>
      <c r="D314" s="1">
        <f>VLOOKUP($B314&amp;"__wt",'SegEnds_Xtal_BW#'!$A:$Z,4,FALSE)</f>
        <v>60</v>
      </c>
      <c r="E314" s="1">
        <f>VLOOKUP($B314&amp;"__wt",'SegEnds_Xtal_BW#'!$A:$Z,5,FALSE)</f>
        <v>48</v>
      </c>
      <c r="F314" s="1">
        <f>VLOOKUP($B314&amp;"__wt",'SegEnds_Xtal_BW#'!$A:$Z,6,FALSE)</f>
        <v>51</v>
      </c>
      <c r="G314" s="1">
        <v>37</v>
      </c>
      <c r="H314" s="12">
        <v>63</v>
      </c>
      <c r="I314" s="1" t="str">
        <f>VLOOKUP($B314&amp;"__wt",'SegEnds_Xtal_BW#'!$A:$Z,9,FALSE)</f>
        <v>-</v>
      </c>
      <c r="J314" s="1" t="str">
        <f>VLOOKUP($B314&amp;"__wt",'SegEnds_Xtal_BW#'!$A:$Z,10,FALSE)</f>
        <v>-</v>
      </c>
      <c r="K314" s="12">
        <v>23</v>
      </c>
      <c r="L314" s="1">
        <f>VLOOKUP($B314&amp;"__wt",'SegEnds_Xtal_BW#'!$A:$Z,12,FALSE)</f>
        <v>56</v>
      </c>
      <c r="M314" s="1" t="str">
        <f>VLOOKUP($B314&amp;"__wt",'SegEnds_Xtal_BW#'!$A:$Z,13,FALSE)</f>
        <v>-</v>
      </c>
      <c r="N314" s="12" t="str">
        <f>VLOOKUP($B314&amp;"__wt",'SegEnds_Xtal_BW#'!$A:$Z,14,FALSE)</f>
        <v>-</v>
      </c>
      <c r="O314" s="89">
        <f>VLOOKUP($B314&amp;"__wt",'SegEnds_Xtal_BW#'!$A:$Z,15,FALSE)</f>
        <v>40</v>
      </c>
      <c r="P314" s="1">
        <f>VLOOKUP($B314&amp;"__wt",'SegEnds_Xtal_BW#'!$A:$Z,16,FALSE)</f>
        <v>68</v>
      </c>
      <c r="Q314" s="1">
        <f>VLOOKUP($B314&amp;"__wt",'SegEnds_Xtal_BW#'!$A:$Z,17,FALSE)</f>
        <v>50</v>
      </c>
      <c r="R314" s="1">
        <f>VLOOKUP($B314&amp;"__wt",'SegEnds_Xtal_BW#'!$A:$Z,18,FALSE)</f>
        <v>52</v>
      </c>
      <c r="S314" s="1">
        <v>36</v>
      </c>
      <c r="T314" s="1">
        <v>69</v>
      </c>
      <c r="U314" s="1">
        <v>29</v>
      </c>
      <c r="V314" s="1">
        <f>VLOOKUP($B314&amp;"__wt",'SegEnds_Xtal_BW#'!$A:$Z,22,FALSE)</f>
        <v>53</v>
      </c>
      <c r="W314" s="1">
        <v>29</v>
      </c>
      <c r="X314" s="1">
        <f>VLOOKUP($B314&amp;"__wt",'SegEnds_Xtal_BW#'!$A:$Z,24,FALSE)</f>
        <v>56</v>
      </c>
      <c r="Y314" s="1">
        <f>VLOOKUP($B314&amp;"__wt",'SegEnds_Xtal_BW#'!$A:$Z,25,FALSE)</f>
        <v>47</v>
      </c>
      <c r="Z314" s="1">
        <v>63</v>
      </c>
      <c r="AA314" s="27" t="str">
        <f>VLOOKUP(A314,Classification!A:B,2,FALSE)</f>
        <v>B2</v>
      </c>
      <c r="AB314" s="1" t="e">
        <f>VLOOKUP(A314,'SegEnds_NonXtal_Prot#'!A:AL,10,FALSE)-VLOOKUP(A314,'SegEnds_NonXtal_Prot#'!A:AL,7,FALSE)</f>
        <v>#VALUE!</v>
      </c>
      <c r="AC314" s="1" t="e">
        <f>VLOOKUP(A314,'SegEnds_NonXtal_Prot#'!A:AL,13,FALSE)-VLOOKUP(A314,'SegEnds_NonXtal_Prot#'!A:AL,10,FALSE)</f>
        <v>#VALUE!</v>
      </c>
      <c r="AD314" s="1">
        <f>VLOOKUP(A314,'SegEnds_NonXtal_Prot#'!A:AL,16,FALSE)-VLOOKUP(A314,'SegEnds_NonXtal_Prot#'!A:AL,10,FALSE)</f>
        <v>47</v>
      </c>
      <c r="AE314" s="1" t="e">
        <f>VLOOKUP(A314,'SegEnds_NonXtal_Prot#'!A:AL,22,FALSE)-VLOOKUP(A314,'SegEnds_NonXtal_Prot#'!A:AL,19,FALSE)</f>
        <v>#VALUE!</v>
      </c>
      <c r="AF314" s="1">
        <f>VLOOKUP(A314,'SegEnds_NonXtal_Prot#'!A:AL,28,FALSE)-VLOOKUP(A314,'SegEnds_NonXtal_Prot#'!A:AL,25,FALSE)</f>
        <v>18</v>
      </c>
      <c r="AG314" s="1">
        <f>VLOOKUP(A314,'SegEnds_NonXtal_Prot#'!A:AL,28,FALSE)-VLOOKUP(A314,'SegEnds_NonXtal_Prot#'!A:AL,22,FALSE)</f>
        <v>45</v>
      </c>
      <c r="AH314" s="1">
        <f>VLOOKUP(A314,'SegEnds_NonXtal_Prot#'!A:AL,31,FALSE)-VLOOKUP(A314,'SegEnds_NonXtal_Prot#'!A:AL,28,FALSE)</f>
        <v>85</v>
      </c>
      <c r="AI314" s="1">
        <f>VLOOKUP(A314,'SegEnds_NonXtal_Prot#'!A:AL,34,FALSE)-VLOOKUP(A314,'SegEnds_NonXtal_Prot#'!A:AL,31,FALSE)</f>
        <v>31</v>
      </c>
      <c r="AJ314" s="1" t="str">
        <f>IF(ISERROR(MATCH(A314,'SegEnds_Xtal_Prot#'!B:B, 0)), "NoXtal", "Xtal")</f>
        <v>NoXtal</v>
      </c>
    </row>
    <row r="315" spans="1:36" x14ac:dyDescent="0.2">
      <c r="A315" s="1" t="s">
        <v>1180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9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f>VLOOKUP($B315&amp;"__wt",'SegEnds_Xtal_BW#'!$A:$Z,22,FALSE)</f>
        <v>53</v>
      </c>
      <c r="W315" s="1">
        <v>31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 t="e">
        <f>VLOOKUP(A315,'SegEnds_NonXtal_Prot#'!A:AL,10,FALSE)-VLOOKUP(A315,'SegEnds_NonXtal_Prot#'!A:AL,7,FALSE)</f>
        <v>#VALUE!</v>
      </c>
      <c r="AC315" s="1" t="e">
        <f>VLOOKUP(A315,'SegEnds_NonXtal_Prot#'!A:AL,13,FALSE)-VLOOKUP(A315,'SegEnds_NonXtal_Prot#'!A:AL,10,FALSE)</f>
        <v>#VALUE!</v>
      </c>
      <c r="AD315" s="1">
        <f>VLOOKUP(A315,'SegEnds_NonXtal_Prot#'!A:AL,16,FALSE)-VLOOKUP(A315,'SegEnds_NonXtal_Prot#'!A:AL,10,FALSE)</f>
        <v>45</v>
      </c>
      <c r="AE315" s="1" t="e">
        <f>VLOOKUP(A315,'SegEnds_NonXtal_Prot#'!A:AL,22,FALSE)-VLOOKUP(A315,'SegEnds_NonXtal_Prot#'!A:AL,19,FALSE)</f>
        <v>#VALUE!</v>
      </c>
      <c r="AF315" s="1">
        <f>VLOOKUP(A315,'SegEnds_NonXtal_Prot#'!A:AL,28,FALSE)-VLOOKUP(A315,'SegEnds_NonXtal_Prot#'!A:AL,25,FALSE)</f>
        <v>19</v>
      </c>
      <c r="AG315" s="1">
        <f>VLOOKUP(A315,'SegEnds_NonXtal_Prot#'!A:AL,28,FALSE)-VLOOKUP(A315,'SegEnds_NonXtal_Prot#'!A:AL,22,FALSE)</f>
        <v>44</v>
      </c>
      <c r="AH315" s="1">
        <f>VLOOKUP(A315,'SegEnds_NonXtal_Prot#'!A:AL,31,FALSE)-VLOOKUP(A315,'SegEnds_NonXtal_Prot#'!A:AL,28,FALSE)</f>
        <v>83</v>
      </c>
      <c r="AI315" s="1">
        <f>VLOOKUP(A315,'SegEnds_NonXtal_Prot#'!A:AL,34,FALSE)-VLOOKUP(A315,'SegEnds_NonXtal_Prot#'!A:AL,31,FALSE)</f>
        <v>29</v>
      </c>
      <c r="AJ315" s="1" t="str">
        <f>IF(ISERROR(MATCH(A315,'SegEnds_Xtal_Prot#'!B:B, 0)), "NoXtal", "Xtal")</f>
        <v>NoXtal</v>
      </c>
    </row>
    <row r="316" spans="1:36" x14ac:dyDescent="0.2">
      <c r="A316" s="1" t="s">
        <v>1181</v>
      </c>
      <c r="B316" s="1" t="str">
        <f>VLOOKUP(A316,Xtal_Templ!A:B,2,FALSE)</f>
        <v>crfr1_human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9">
        <f>VLOOKUP($B316&amp;"__wt",'SegEnds_Xtal_BW#'!$A:$Z,15,FALSE)</f>
        <v>40</v>
      </c>
      <c r="P316" s="1">
        <f>VLOOKUP($B316&amp;"__wt",'SegEnds_Xtal_BW#'!$A:$Z,16,FALSE)</f>
        <v>68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">
        <f>VLOOKUP($B316&amp;"__wt",'SegEnds_Xtal_BW#'!$A:$Z,22,FALSE)</f>
        <v>53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 t="e">
        <f>VLOOKUP(A316,'SegEnds_NonXtal_Prot#'!A:AL,10,FALSE)-VLOOKUP(A316,'SegEnds_NonXtal_Prot#'!A:AL,7,FALSE)</f>
        <v>#VALUE!</v>
      </c>
      <c r="AC316" s="1" t="e">
        <f>VLOOKUP(A316,'SegEnds_NonXtal_Prot#'!A:AL,13,FALSE)-VLOOKUP(A316,'SegEnds_NonXtal_Prot#'!A:AL,10,FALSE)</f>
        <v>#VALUE!</v>
      </c>
      <c r="AD316" s="1">
        <f>VLOOKUP(A316,'SegEnds_NonXtal_Prot#'!A:AL,16,FALSE)-VLOOKUP(A316,'SegEnds_NonXtal_Prot#'!A:AL,10,FALSE)</f>
        <v>45</v>
      </c>
      <c r="AE316" s="1" t="e">
        <f>VLOOKUP(A316,'SegEnds_NonXtal_Prot#'!A:AL,22,FALSE)-VLOOKUP(A316,'SegEnds_NonXtal_Prot#'!A:AL,19,FALSE)</f>
        <v>#VALUE!</v>
      </c>
      <c r="AF316" s="1">
        <f>VLOOKUP(A316,'SegEnds_NonXtal_Prot#'!A:AL,28,FALSE)-VLOOKUP(A316,'SegEnds_NonXtal_Prot#'!A:AL,25,FALSE)</f>
        <v>19</v>
      </c>
      <c r="AG316" s="1">
        <f>VLOOKUP(A316,'SegEnds_NonXtal_Prot#'!A:AL,28,FALSE)-VLOOKUP(A316,'SegEnds_NonXtal_Prot#'!A:AL,22,FALSE)</f>
        <v>44</v>
      </c>
      <c r="AH316" s="1">
        <f>VLOOKUP(A316,'SegEnds_NonXtal_Prot#'!A:AL,31,FALSE)-VLOOKUP(A316,'SegEnds_NonXtal_Prot#'!A:AL,28,FALSE)</f>
        <v>83</v>
      </c>
      <c r="AI316" s="1">
        <f>VLOOKUP(A316,'SegEnds_NonXtal_Prot#'!A:AL,34,FALSE)-VLOOKUP(A316,'SegEnds_NonXtal_Prot#'!A:AL,31,FALSE)</f>
        <v>29</v>
      </c>
      <c r="AJ316" s="1" t="str">
        <f>IF(ISERROR(MATCH(A316,'SegEnds_Xtal_Prot#'!B:B, 0)), "NoXtal", "Xtal")</f>
        <v>NoXtal</v>
      </c>
    </row>
    <row r="317" spans="1:36" x14ac:dyDescent="0.2">
      <c r="A317" s="1" t="s">
        <v>1182</v>
      </c>
      <c r="B317" s="1" t="str">
        <f>VLOOKUP(A317,Xtal_Templ!A:B,2,FALSE)</f>
        <v>crfr1_human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9">
        <f>VLOOKUP($B317&amp;"__wt",'SegEnds_Xtal_BW#'!$A:$Z,15,FALSE)</f>
        <v>40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f>VLOOKUP($B317&amp;"__wt",'SegEnds_Xtal_BW#'!$A:$Z,22,FALSE)</f>
        <v>53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VLOOKUP(A317,'SegEnds_NonXtal_Prot#'!A:AL,10,FALSE)-VLOOKUP(A317,'SegEnds_NonXtal_Prot#'!A:AL,7,FALSE)</f>
        <v>18</v>
      </c>
      <c r="AC317" s="1" t="e">
        <f>VLOOKUP(A317,'SegEnds_NonXtal_Prot#'!A:AL,13,FALSE)-VLOOKUP(A317,'SegEnds_NonXtal_Prot#'!A:AL,10,FALSE)</f>
        <v>#VALUE!</v>
      </c>
      <c r="AD317" s="1">
        <f>VLOOKUP(A317,'SegEnds_NonXtal_Prot#'!A:AL,16,FALSE)-VLOOKUP(A317,'SegEnds_NonXtal_Prot#'!A:AL,10,FALSE)</f>
        <v>45</v>
      </c>
      <c r="AE317" s="1" t="e">
        <f>VLOOKUP(A317,'SegEnds_NonXtal_Prot#'!A:AL,22,FALSE)-VLOOKUP(A317,'SegEnds_NonXtal_Prot#'!A:AL,19,FALSE)</f>
        <v>#VALUE!</v>
      </c>
      <c r="AF317" s="1">
        <f>VLOOKUP(A317,'SegEnds_NonXtal_Prot#'!A:AL,28,FALSE)-VLOOKUP(A317,'SegEnds_NonXtal_Prot#'!A:AL,25,FALSE)</f>
        <v>19</v>
      </c>
      <c r="AG317" s="1">
        <f>VLOOKUP(A317,'SegEnds_NonXtal_Prot#'!A:AL,28,FALSE)-VLOOKUP(A317,'SegEnds_NonXtal_Prot#'!A:AL,22,FALSE)</f>
        <v>43</v>
      </c>
      <c r="AH317" s="1">
        <f>VLOOKUP(A317,'SegEnds_NonXtal_Prot#'!A:AL,31,FALSE)-VLOOKUP(A317,'SegEnds_NonXtal_Prot#'!A:AL,28,FALSE)</f>
        <v>52</v>
      </c>
      <c r="AI317" s="1">
        <f>VLOOKUP(A317,'SegEnds_NonXtal_Prot#'!A:AL,34,FALSE)-VLOOKUP(A317,'SegEnds_NonXtal_Prot#'!A:AL,31,FALSE)</f>
        <v>28</v>
      </c>
      <c r="AJ317" s="1" t="str">
        <f>IF(ISERROR(MATCH(A317,'SegEnds_Xtal_Prot#'!B:B, 0)), "NoXtal", "Xtal")</f>
        <v>NoXtal</v>
      </c>
    </row>
    <row r="318" spans="1:36" x14ac:dyDescent="0.2">
      <c r="A318" s="1" t="s">
        <v>1183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9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v>50</v>
      </c>
      <c r="W318" s="1">
        <v>33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 t="e">
        <f>VLOOKUP(A318,'SegEnds_NonXtal_Prot#'!A:AL,10,FALSE)-VLOOKUP(A318,'SegEnds_NonXtal_Prot#'!A:AL,7,FALSE)</f>
        <v>#VALUE!</v>
      </c>
      <c r="AC318" s="1" t="e">
        <f>VLOOKUP(A318,'SegEnds_NonXtal_Prot#'!A:AL,13,FALSE)-VLOOKUP(A318,'SegEnds_NonXtal_Prot#'!A:AL,10,FALSE)</f>
        <v>#VALUE!</v>
      </c>
      <c r="AD318" s="1">
        <f>VLOOKUP(A318,'SegEnds_NonXtal_Prot#'!A:AL,16,FALSE)-VLOOKUP(A318,'SegEnds_NonXtal_Prot#'!A:AL,10,FALSE)</f>
        <v>45</v>
      </c>
      <c r="AE318" s="1" t="e">
        <f>VLOOKUP(A318,'SegEnds_NonXtal_Prot#'!A:AL,22,FALSE)-VLOOKUP(A318,'SegEnds_NonXtal_Prot#'!A:AL,19,FALSE)</f>
        <v>#VALUE!</v>
      </c>
      <c r="AF318" s="1">
        <f>VLOOKUP(A318,'SegEnds_NonXtal_Prot#'!A:AL,28,FALSE)-VLOOKUP(A318,'SegEnds_NonXtal_Prot#'!A:AL,25,FALSE)</f>
        <v>19</v>
      </c>
      <c r="AG318" s="1">
        <f>VLOOKUP(A318,'SegEnds_NonXtal_Prot#'!A:AL,28,FALSE)-VLOOKUP(A318,'SegEnds_NonXtal_Prot#'!A:AL,22,FALSE)</f>
        <v>43</v>
      </c>
      <c r="AH318" s="1">
        <f>VLOOKUP(A318,'SegEnds_NonXtal_Prot#'!A:AL,31,FALSE)-VLOOKUP(A318,'SegEnds_NonXtal_Prot#'!A:AL,28,FALSE)</f>
        <v>66</v>
      </c>
      <c r="AI318" s="1">
        <f>VLOOKUP(A318,'SegEnds_NonXtal_Prot#'!A:AL,34,FALSE)-VLOOKUP(A318,'SegEnds_NonXtal_Prot#'!A:AL,31,FALSE)</f>
        <v>20</v>
      </c>
      <c r="AJ318" s="1" t="str">
        <f>IF(ISERROR(MATCH(A318,'SegEnds_Xtal_Prot#'!B:B, 0)), "NoXtal", "Xtal")</f>
        <v>NoXtal</v>
      </c>
    </row>
    <row r="319" spans="1:36" x14ac:dyDescent="0.2">
      <c r="A319" s="4" t="s">
        <v>1184</v>
      </c>
      <c r="B319" s="4" t="str">
        <f>VLOOKUP(A319,Xtal_Templ!A:B,2,FALSE)</f>
        <v>calcr_human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90">
        <f>VLOOKUP($B319&amp;"__wt",'SegEnds_Xtal_BW#'!$A:$Z,15,FALSE)</f>
        <v>41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53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4" t="e">
        <f>VLOOKUP(A319,'SegEnds_NonXtal_Prot#'!A:AL,10,FALSE)-VLOOKUP(A319,'SegEnds_NonXtal_Prot#'!A:AL,7,FALSE)</f>
        <v>#VALUE!</v>
      </c>
      <c r="AC319" s="4" t="e">
        <f>VLOOKUP(A319,'SegEnds_NonXtal_Prot#'!A:AL,13,FALSE)-VLOOKUP(A319,'SegEnds_NonXtal_Prot#'!A:AL,10,FALSE)</f>
        <v>#VALUE!</v>
      </c>
      <c r="AD319" s="4">
        <f>VLOOKUP(A319,'SegEnds_NonXtal_Prot#'!A:AL,16,FALSE)-VLOOKUP(A319,'SegEnds_NonXtal_Prot#'!A:AL,10,FALSE)</f>
        <v>45</v>
      </c>
      <c r="AE319" s="1" t="e">
        <f>VLOOKUP(A319,'SegEnds_NonXtal_Prot#'!A:AL,22,FALSE)-VLOOKUP(A319,'SegEnds_NonXtal_Prot#'!A:AL,19,FALSE)</f>
        <v>#VALUE!</v>
      </c>
      <c r="AF319" s="4">
        <f>VLOOKUP(A319,'SegEnds_NonXtal_Prot#'!A:AL,28,FALSE)-VLOOKUP(A319,'SegEnds_NonXtal_Prot#'!A:AL,25,FALSE)</f>
        <v>19</v>
      </c>
      <c r="AG319" s="1">
        <f>VLOOKUP(A319,'SegEnds_NonXtal_Prot#'!A:AL,28,FALSE)-VLOOKUP(A319,'SegEnds_NonXtal_Prot#'!A:AL,22,FALSE)</f>
        <v>43</v>
      </c>
      <c r="AH319" s="4">
        <f>VLOOKUP(A319,'SegEnds_NonXtal_Prot#'!A:AL,31,FALSE)-VLOOKUP(A319,'SegEnds_NonXtal_Prot#'!A:AL,28,FALSE)</f>
        <v>52</v>
      </c>
      <c r="AI319" s="4">
        <f>VLOOKUP(A319,'SegEnds_NonXtal_Prot#'!A:AL,34,FALSE)-VLOOKUP(A319,'SegEnds_NonXtal_Prot#'!A:AL,31,FALSE)</f>
        <v>28</v>
      </c>
      <c r="AJ319" s="1" t="str">
        <f>IF(ISERROR(MATCH(A319,'SegEnds_Xtal_Prot#'!B:B, 0)), "NoXtal", "Xtal")</f>
        <v>NoXtal</v>
      </c>
    </row>
    <row r="320" spans="1:36" x14ac:dyDescent="0.2">
      <c r="A320" s="1" t="s">
        <v>1185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9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58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VLOOKUP(A320,'SegEnds_NonXtal_Prot#'!A:AL,10,FALSE)-VLOOKUP(A320,'SegEnds_NonXtal_Prot#'!A:AL,7,FALSE)</f>
        <v>15</v>
      </c>
      <c r="AC320" s="1" t="e">
        <f>VLOOKUP(A320,'SegEnds_NonXtal_Prot#'!A:AL,13,FALSE)-VLOOKUP(A320,'SegEnds_NonXtal_Prot#'!A:AL,10,FALSE)</f>
        <v>#VALUE!</v>
      </c>
      <c r="AD320" s="1">
        <f>VLOOKUP(A320,'SegEnds_NonXtal_Prot#'!A:AL,16,FALSE)-VLOOKUP(A320,'SegEnds_NonXtal_Prot#'!A:AL,10,FALSE)</f>
        <v>45</v>
      </c>
      <c r="AE320" s="1" t="e">
        <f>VLOOKUP(A320,'SegEnds_NonXtal_Prot#'!A:AL,22,FALSE)-VLOOKUP(A320,'SegEnds_NonXtal_Prot#'!A:AL,19,FALSE)</f>
        <v>#VALUE!</v>
      </c>
      <c r="AF320" s="1">
        <f>VLOOKUP(A320,'SegEnds_NonXtal_Prot#'!A:AL,28,FALSE)-VLOOKUP(A320,'SegEnds_NonXtal_Prot#'!A:AL,25,FALSE)</f>
        <v>19</v>
      </c>
      <c r="AG320" s="1">
        <f>VLOOKUP(A320,'SegEnds_NonXtal_Prot#'!A:AL,28,FALSE)-VLOOKUP(A320,'SegEnds_NonXtal_Prot#'!A:AL,22,FALSE)</f>
        <v>43</v>
      </c>
      <c r="AH320" s="1">
        <f>VLOOKUP(A320,'SegEnds_NonXtal_Prot#'!A:AL,31,FALSE)-VLOOKUP(A320,'SegEnds_NonXtal_Prot#'!A:AL,28,FALSE)</f>
        <v>52</v>
      </c>
      <c r="AI320" s="1">
        <f>VLOOKUP(A320,'SegEnds_NonXtal_Prot#'!A:AL,34,FALSE)-VLOOKUP(A320,'SegEnds_NonXtal_Prot#'!A:AL,31,FALSE)</f>
        <v>28</v>
      </c>
      <c r="AJ320" s="1" t="str">
        <f>IF(ISERROR(MATCH(A320,'SegEnds_Xtal_Prot#'!B:B, 0)), "NoXtal", "Xtal")</f>
        <v>NoXtal</v>
      </c>
    </row>
    <row r="321" spans="1:36" x14ac:dyDescent="0.2">
      <c r="A321" s="1" t="s">
        <v>1186</v>
      </c>
      <c r="B321" s="1" t="str">
        <f>VLOOKUP(A321,Xtal_Templ!A:B,2,FALSE)</f>
        <v>crfr1_human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9">
        <f>VLOOKUP($B321&amp;"__wt",'SegEnds_Xtal_BW#'!$A:$Z,15,FALSE)</f>
        <v>40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53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VLOOKUP(A321,'SegEnds_NonXtal_Prot#'!A:AL,10,FALSE)-VLOOKUP(A321,'SegEnds_NonXtal_Prot#'!A:AL,7,FALSE)</f>
        <v>15</v>
      </c>
      <c r="AC321" s="1" t="e">
        <f>VLOOKUP(A321,'SegEnds_NonXtal_Prot#'!A:AL,13,FALSE)-VLOOKUP(A321,'SegEnds_NonXtal_Prot#'!A:AL,10,FALSE)</f>
        <v>#VALUE!</v>
      </c>
      <c r="AD321" s="1">
        <f>VLOOKUP(A321,'SegEnds_NonXtal_Prot#'!A:AL,16,FALSE)-VLOOKUP(A321,'SegEnds_NonXtal_Prot#'!A:AL,10,FALSE)</f>
        <v>45</v>
      </c>
      <c r="AE321" s="1" t="e">
        <f>VLOOKUP(A321,'SegEnds_NonXtal_Prot#'!A:AL,22,FALSE)-VLOOKUP(A321,'SegEnds_NonXtal_Prot#'!A:AL,19,FALSE)</f>
        <v>#VALUE!</v>
      </c>
      <c r="AF321" s="1">
        <f>VLOOKUP(A321,'SegEnds_NonXtal_Prot#'!A:AL,28,FALSE)-VLOOKUP(A321,'SegEnds_NonXtal_Prot#'!A:AL,25,FALSE)</f>
        <v>19</v>
      </c>
      <c r="AG321" s="1">
        <f>VLOOKUP(A321,'SegEnds_NonXtal_Prot#'!A:AL,28,FALSE)-VLOOKUP(A321,'SegEnds_NonXtal_Prot#'!A:AL,22,FALSE)</f>
        <v>43</v>
      </c>
      <c r="AH321" s="1">
        <f>VLOOKUP(A321,'SegEnds_NonXtal_Prot#'!A:AL,31,FALSE)-VLOOKUP(A321,'SegEnds_NonXtal_Prot#'!A:AL,28,FALSE)</f>
        <v>52</v>
      </c>
      <c r="AI321" s="1">
        <f>VLOOKUP(A321,'SegEnds_NonXtal_Prot#'!A:AL,34,FALSE)-VLOOKUP(A321,'SegEnds_NonXtal_Prot#'!A:AL,31,FALSE)</f>
        <v>28</v>
      </c>
      <c r="AJ321" s="1" t="str">
        <f>IF(ISERROR(MATCH(A321,'SegEnds_Xtal_Prot#'!B:B, 0)), "NoXtal", "Xtal")</f>
        <v>NoXtal</v>
      </c>
    </row>
    <row r="322" spans="1:36" x14ac:dyDescent="0.2">
      <c r="A322" s="1" t="s">
        <v>1187</v>
      </c>
      <c r="B322" s="1" t="str">
        <f>VLOOKUP(A322,Xtal_Templ!A:B,2,FALSE)</f>
        <v>glp1r_human</v>
      </c>
      <c r="C322" s="5">
        <v>23</v>
      </c>
      <c r="D322" s="1">
        <f>VLOOKUP($B322&amp;"__wt",'SegEnds_Xtal_BW#'!$A:$Z,4,FALSE)</f>
        <v>60</v>
      </c>
      <c r="E322" s="1">
        <f>VLOOKUP($B322&amp;"__wt",'SegEnds_Xtal_BW#'!$A:$Z,5,FALSE)</f>
        <v>48</v>
      </c>
      <c r="F322" s="1">
        <f>VLOOKUP($B322&amp;"__wt",'SegEnds_Xtal_BW#'!$A:$Z,6,FALSE)</f>
        <v>51</v>
      </c>
      <c r="G322" s="1">
        <v>37</v>
      </c>
      <c r="H322" s="12">
        <v>63</v>
      </c>
      <c r="I322" s="1" t="str">
        <f>VLOOKUP($B322&amp;"__wt",'SegEnds_Xtal_BW#'!$A:$Z,9,FALSE)</f>
        <v>-</v>
      </c>
      <c r="J322" s="1" t="str">
        <f>VLOOKUP($B322&amp;"__wt",'SegEnds_Xtal_BW#'!$A:$Z,10,FALSE)</f>
        <v>-</v>
      </c>
      <c r="K322" s="12">
        <v>23</v>
      </c>
      <c r="L322" s="1">
        <f>VLOOKUP($B322&amp;"__wt",'SegEnds_Xtal_BW#'!$A:$Z,12,FALSE)</f>
        <v>56</v>
      </c>
      <c r="M322" s="1" t="str">
        <f>VLOOKUP($B322&amp;"__wt",'SegEnds_Xtal_BW#'!$A:$Z,13,FALSE)</f>
        <v>-</v>
      </c>
      <c r="N322" s="12" t="str">
        <f>VLOOKUP($B322&amp;"__wt",'SegEnds_Xtal_BW#'!$A:$Z,14,FALSE)</f>
        <v>-</v>
      </c>
      <c r="O322" s="89">
        <f>VLOOKUP($B322&amp;"__wt",'SegEnds_Xtal_BW#'!$A:$Z,15,FALSE)</f>
        <v>38</v>
      </c>
      <c r="P322" s="1">
        <f>VLOOKUP($B322&amp;"__wt",'SegEnds_Xtal_BW#'!$A:$Z,16,FALSE)</f>
        <v>68</v>
      </c>
      <c r="Q322" s="1">
        <f>VLOOKUP($B322&amp;"__wt",'SegEnds_Xtal_BW#'!$A:$Z,17,FALSE)</f>
        <v>50</v>
      </c>
      <c r="R322" s="1">
        <f>VLOOKUP($B322&amp;"__wt",'SegEnds_Xtal_BW#'!$A:$Z,18,FALSE)</f>
        <v>52</v>
      </c>
      <c r="S322" s="1">
        <v>36</v>
      </c>
      <c r="T322" s="1">
        <v>69</v>
      </c>
      <c r="U322" s="1">
        <v>29</v>
      </c>
      <c r="V322" s="1">
        <f>VLOOKUP($B322&amp;"__wt",'SegEnds_Xtal_BW#'!$A:$Z,22,FALSE)</f>
        <v>58</v>
      </c>
      <c r="W322" s="1">
        <v>27</v>
      </c>
      <c r="X322" s="1">
        <f>VLOOKUP($B322&amp;"__wt",'SegEnds_Xtal_BW#'!$A:$Z,24,FALSE)</f>
        <v>56</v>
      </c>
      <c r="Y322" s="1">
        <f>VLOOKUP($B322&amp;"__wt",'SegEnds_Xtal_BW#'!$A:$Z,25,FALSE)</f>
        <v>47</v>
      </c>
      <c r="Z322" s="1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VLOOKUP(A322,'SegEnds_NonXtal_Prot#'!A:AL,10,FALSE)-VLOOKUP(A322,'SegEnds_NonXtal_Prot#'!A:AL,7,FALSE)</f>
        <v>15</v>
      </c>
      <c r="AC322" s="1" t="e">
        <f>VLOOKUP(A322,'SegEnds_NonXtal_Prot#'!A:AL,13,FALSE)-VLOOKUP(A322,'SegEnds_NonXtal_Prot#'!A:AL,10,FALSE)</f>
        <v>#VALUE!</v>
      </c>
      <c r="AD322" s="1">
        <f>VLOOKUP(A322,'SegEnds_NonXtal_Prot#'!A:AL,16,FALSE)-VLOOKUP(A322,'SegEnds_NonXtal_Prot#'!A:AL,10,FALSE)</f>
        <v>45</v>
      </c>
      <c r="AE322" s="1" t="e">
        <f>VLOOKUP(A322,'SegEnds_NonXtal_Prot#'!A:AL,22,FALSE)-VLOOKUP(A322,'SegEnds_NonXtal_Prot#'!A:AL,19,FALSE)</f>
        <v>#VALUE!</v>
      </c>
      <c r="AF322" s="1">
        <f>VLOOKUP(A322,'SegEnds_NonXtal_Prot#'!A:AL,28,FALSE)-VLOOKUP(A322,'SegEnds_NonXtal_Prot#'!A:AL,25,FALSE)</f>
        <v>19</v>
      </c>
      <c r="AG322" s="1">
        <f>VLOOKUP(A322,'SegEnds_NonXtal_Prot#'!A:AL,28,FALSE)-VLOOKUP(A322,'SegEnds_NonXtal_Prot#'!A:AL,22,FALSE)</f>
        <v>42</v>
      </c>
      <c r="AH322" s="1">
        <f>VLOOKUP(A322,'SegEnds_NonXtal_Prot#'!A:AL,31,FALSE)-VLOOKUP(A322,'SegEnds_NonXtal_Prot#'!A:AL,28,FALSE)</f>
        <v>52</v>
      </c>
      <c r="AI322" s="1">
        <f>VLOOKUP(A322,'SegEnds_NonXtal_Prot#'!A:AL,34,FALSE)-VLOOKUP(A322,'SegEnds_NonXtal_Prot#'!A:AL,31,FALSE)</f>
        <v>32</v>
      </c>
      <c r="AJ322" s="1" t="str">
        <f>IF(ISERROR(MATCH(A322,'SegEnds_Xtal_Prot#'!B:B, 0)), "NoXtal", "Xtal")</f>
        <v>NoXtal</v>
      </c>
    </row>
    <row r="323" spans="1:36" x14ac:dyDescent="0.2">
      <c r="A323" s="1" t="s">
        <v>1188</v>
      </c>
      <c r="B323" s="1" t="str">
        <f>VLOOKUP(A323,Xtal_Templ!A:B,2,FALSE)</f>
        <v>crfr1_human</v>
      </c>
      <c r="C323" s="5">
        <v>23</v>
      </c>
      <c r="D323" s="1">
        <f>VLOOKUP($B323&amp;"__wt",'SegEnds_Xtal_BW#'!$A:$Z,4,FALSE)</f>
        <v>60</v>
      </c>
      <c r="E323" s="1">
        <f>VLOOKUP($B323&amp;"__wt",'SegEnds_Xtal_BW#'!$A:$Z,5,FALSE)</f>
        <v>48</v>
      </c>
      <c r="F323" s="1">
        <f>VLOOKUP($B323&amp;"__wt",'SegEnds_Xtal_BW#'!$A:$Z,6,FALSE)</f>
        <v>51</v>
      </c>
      <c r="G323" s="1">
        <v>37</v>
      </c>
      <c r="H323" s="12">
        <v>63</v>
      </c>
      <c r="I323" s="1" t="str">
        <f>VLOOKUP($B323&amp;"__wt",'SegEnds_Xtal_BW#'!$A:$Z,9,FALSE)</f>
        <v>-</v>
      </c>
      <c r="J323" s="1" t="str">
        <f>VLOOKUP($B323&amp;"__wt",'SegEnds_Xtal_BW#'!$A:$Z,10,FALSE)</f>
        <v>-</v>
      </c>
      <c r="K323" s="12">
        <v>23</v>
      </c>
      <c r="L323" s="1">
        <f>VLOOKUP($B323&amp;"__wt",'SegEnds_Xtal_BW#'!$A:$Z,12,FALSE)</f>
        <v>56</v>
      </c>
      <c r="M323" s="1" t="str">
        <f>VLOOKUP($B323&amp;"__wt",'SegEnds_Xtal_BW#'!$A:$Z,13,FALSE)</f>
        <v>-</v>
      </c>
      <c r="N323" s="12" t="str">
        <f>VLOOKUP($B323&amp;"__wt",'SegEnds_Xtal_BW#'!$A:$Z,14,FALSE)</f>
        <v>-</v>
      </c>
      <c r="O323" s="89">
        <f>VLOOKUP($B323&amp;"__wt",'SegEnds_Xtal_BW#'!$A:$Z,15,FALSE)</f>
        <v>40</v>
      </c>
      <c r="P323" s="1">
        <f>VLOOKUP($B323&amp;"__wt",'SegEnds_Xtal_BW#'!$A:$Z,16,FALSE)</f>
        <v>68</v>
      </c>
      <c r="Q323" s="1">
        <f>VLOOKUP($B323&amp;"__wt",'SegEnds_Xtal_BW#'!$A:$Z,17,FALSE)</f>
        <v>50</v>
      </c>
      <c r="R323" s="1">
        <f>VLOOKUP($B323&amp;"__wt",'SegEnds_Xtal_BW#'!$A:$Z,18,FALSE)</f>
        <v>52</v>
      </c>
      <c r="S323" s="1">
        <v>36</v>
      </c>
      <c r="T323" s="1">
        <v>69</v>
      </c>
      <c r="U323" s="1">
        <v>29</v>
      </c>
      <c r="V323" s="1">
        <f>VLOOKUP($B323&amp;"__wt",'SegEnds_Xtal_BW#'!$A:$Z,22,FALSE)</f>
        <v>53</v>
      </c>
      <c r="W323" s="1">
        <v>31</v>
      </c>
      <c r="X323" s="1">
        <f>VLOOKUP($B323&amp;"__wt",'SegEnds_Xtal_BW#'!$A:$Z,24,FALSE)</f>
        <v>56</v>
      </c>
      <c r="Y323" s="1">
        <f>VLOOKUP($B323&amp;"__wt",'SegEnds_Xtal_BW#'!$A:$Z,25,FALSE)</f>
        <v>47</v>
      </c>
      <c r="Z323" s="1">
        <v>63</v>
      </c>
      <c r="AA323" s="27" t="str">
        <f>VLOOKUP(A323,Classification!A:B,2,FALSE)</f>
        <v>B2</v>
      </c>
      <c r="AB323" s="1" t="e">
        <f>VLOOKUP(A323,'SegEnds_NonXtal_Prot#'!A:AL,10,FALSE)-VLOOKUP(A323,'SegEnds_NonXtal_Prot#'!A:AL,7,FALSE)</f>
        <v>#VALUE!</v>
      </c>
      <c r="AC323" s="1" t="e">
        <f>VLOOKUP(A323,'SegEnds_NonXtal_Prot#'!A:AL,13,FALSE)-VLOOKUP(A323,'SegEnds_NonXtal_Prot#'!A:AL,10,FALSE)</f>
        <v>#VALUE!</v>
      </c>
      <c r="AD323" s="1">
        <f>VLOOKUP(A323,'SegEnds_NonXtal_Prot#'!A:AL,16,FALSE)-VLOOKUP(A323,'SegEnds_NonXtal_Prot#'!A:AL,10,FALSE)</f>
        <v>51</v>
      </c>
      <c r="AE323" s="1" t="e">
        <f>VLOOKUP(A323,'SegEnds_NonXtal_Prot#'!A:AL,22,FALSE)-VLOOKUP(A323,'SegEnds_NonXtal_Prot#'!A:AL,19,FALSE)</f>
        <v>#VALUE!</v>
      </c>
      <c r="AF323" s="1">
        <f>VLOOKUP(A323,'SegEnds_NonXtal_Prot#'!A:AL,28,FALSE)-VLOOKUP(A323,'SegEnds_NonXtal_Prot#'!A:AL,25,FALSE)</f>
        <v>21</v>
      </c>
      <c r="AG323" s="1">
        <f>VLOOKUP(A323,'SegEnds_NonXtal_Prot#'!A:AL,28,FALSE)-VLOOKUP(A323,'SegEnds_NonXtal_Prot#'!A:AL,22,FALSE)</f>
        <v>47</v>
      </c>
      <c r="AH323" s="1">
        <f>VLOOKUP(A323,'SegEnds_NonXtal_Prot#'!A:AL,31,FALSE)-VLOOKUP(A323,'SegEnds_NonXtal_Prot#'!A:AL,28,FALSE)</f>
        <v>52</v>
      </c>
      <c r="AI323" s="1">
        <f>VLOOKUP(A323,'SegEnds_NonXtal_Prot#'!A:AL,34,FALSE)-VLOOKUP(A323,'SegEnds_NonXtal_Prot#'!A:AL,31,FALSE)</f>
        <v>29</v>
      </c>
      <c r="AJ323" s="1" t="str">
        <f>IF(ISERROR(MATCH(A323,'SegEnds_Xtal_Prot#'!B:B, 0)), "NoXtal", "Xtal")</f>
        <v>NoXtal</v>
      </c>
    </row>
    <row r="324" spans="1:36" x14ac:dyDescent="0.2">
      <c r="A324" s="1" t="s">
        <v>1189</v>
      </c>
      <c r="B324" s="1" t="str">
        <f>VLOOKUP(A324,Xtal_Templ!A:B,2,FALSE)</f>
        <v>calcr_human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9">
        <f>VLOOKUP($B324&amp;"__wt",'SegEnds_Xtal_BW#'!$A:$Z,15,FALSE)</f>
        <v>41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53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 t="e">
        <f>VLOOKUP(A324,'SegEnds_NonXtal_Prot#'!A:AL,10,FALSE)-VLOOKUP(A324,'SegEnds_NonXtal_Prot#'!A:AL,7,FALSE)</f>
        <v>#VALUE!</v>
      </c>
      <c r="AC324" s="1" t="e">
        <f>VLOOKUP(A324,'SegEnds_NonXtal_Prot#'!A:AL,13,FALSE)-VLOOKUP(A324,'SegEnds_NonXtal_Prot#'!A:AL,10,FALSE)</f>
        <v>#VALUE!</v>
      </c>
      <c r="AD324" s="1">
        <f>VLOOKUP(A324,'SegEnds_NonXtal_Prot#'!A:AL,16,FALSE)-VLOOKUP(A324,'SegEnds_NonXtal_Prot#'!A:AL,10,FALSE)</f>
        <v>51</v>
      </c>
      <c r="AE324" s="1" t="e">
        <f>VLOOKUP(A324,'SegEnds_NonXtal_Prot#'!A:AL,22,FALSE)-VLOOKUP(A324,'SegEnds_NonXtal_Prot#'!A:AL,19,FALSE)</f>
        <v>#VALUE!</v>
      </c>
      <c r="AF324" s="1">
        <f>VLOOKUP(A324,'SegEnds_NonXtal_Prot#'!A:AL,28,FALSE)-VLOOKUP(A324,'SegEnds_NonXtal_Prot#'!A:AL,25,FALSE)</f>
        <v>20</v>
      </c>
      <c r="AG324" s="1">
        <f>VLOOKUP(A324,'SegEnds_NonXtal_Prot#'!A:AL,28,FALSE)-VLOOKUP(A324,'SegEnds_NonXtal_Prot#'!A:AL,22,FALSE)</f>
        <v>46</v>
      </c>
      <c r="AH324" s="1">
        <f>VLOOKUP(A324,'SegEnds_NonXtal_Prot#'!A:AL,31,FALSE)-VLOOKUP(A324,'SegEnds_NonXtal_Prot#'!A:AL,28,FALSE)</f>
        <v>57</v>
      </c>
      <c r="AI324" s="1">
        <f>VLOOKUP(A324,'SegEnds_NonXtal_Prot#'!A:AL,34,FALSE)-VLOOKUP(A324,'SegEnds_NonXtal_Prot#'!A:AL,31,FALSE)</f>
        <v>23</v>
      </c>
      <c r="AJ324" s="1" t="str">
        <f>IF(ISERROR(MATCH(A324,'SegEnds_Xtal_Prot#'!B:B, 0)), "NoXtal", "Xtal")</f>
        <v>NoXtal</v>
      </c>
    </row>
    <row r="325" spans="1:36" x14ac:dyDescent="0.2">
      <c r="A325" s="1" t="s">
        <v>1190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9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 t="e">
        <f>VLOOKUP(A325,'SegEnds_NonXtal_Prot#'!A:AL,10,FALSE)-VLOOKUP(A325,'SegEnds_NonXtal_Prot#'!A:AL,7,FALSE)</f>
        <v>#VALUE!</v>
      </c>
      <c r="AC325" s="1" t="e">
        <f>VLOOKUP(A325,'SegEnds_NonXtal_Prot#'!A:AL,13,FALSE)-VLOOKUP(A325,'SegEnds_NonXtal_Prot#'!A:AL,10,FALSE)</f>
        <v>#VALUE!</v>
      </c>
      <c r="AD325" s="1">
        <f>VLOOKUP(A325,'SegEnds_NonXtal_Prot#'!A:AL,16,FALSE)-VLOOKUP(A325,'SegEnds_NonXtal_Prot#'!A:AL,10,FALSE)</f>
        <v>50</v>
      </c>
      <c r="AE325" s="1" t="e">
        <f>VLOOKUP(A325,'SegEnds_NonXtal_Prot#'!A:AL,22,FALSE)-VLOOKUP(A325,'SegEnds_NonXtal_Prot#'!A:AL,19,FALSE)</f>
        <v>#VALUE!</v>
      </c>
      <c r="AF325" s="1">
        <f>VLOOKUP(A325,'SegEnds_NonXtal_Prot#'!A:AL,28,FALSE)-VLOOKUP(A325,'SegEnds_NonXtal_Prot#'!A:AL,25,FALSE)</f>
        <v>19</v>
      </c>
      <c r="AG325" s="1">
        <f>VLOOKUP(A325,'SegEnds_NonXtal_Prot#'!A:AL,28,FALSE)-VLOOKUP(A325,'SegEnds_NonXtal_Prot#'!A:AL,22,FALSE)</f>
        <v>45</v>
      </c>
      <c r="AH325" s="1">
        <f>VLOOKUP(A325,'SegEnds_NonXtal_Prot#'!A:AL,31,FALSE)-VLOOKUP(A325,'SegEnds_NonXtal_Prot#'!A:AL,28,FALSE)</f>
        <v>52</v>
      </c>
      <c r="AI325" s="1">
        <f>VLOOKUP(A325,'SegEnds_NonXtal_Prot#'!A:AL,34,FALSE)-VLOOKUP(A325,'SegEnds_NonXtal_Prot#'!A:AL,31,FALSE)</f>
        <v>29</v>
      </c>
      <c r="AJ325" s="1" t="str">
        <f>IF(ISERROR(MATCH(A325,'SegEnds_Xtal_Prot#'!B:B, 0)), "NoXtal", "Xtal")</f>
        <v>NoXtal</v>
      </c>
    </row>
    <row r="326" spans="1:36" x14ac:dyDescent="0.2">
      <c r="A326" s="1" t="s">
        <v>1191</v>
      </c>
      <c r="B326" s="1" t="str">
        <f>VLOOKUP(A326,Xtal_Templ!A:B,2,FALSE)</f>
        <v>crfr1_human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9">
        <f>VLOOKUP($B326&amp;"__wt",'SegEnds_Xtal_BW#'!$A:$Z,15,FALSE)</f>
        <v>40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 t="e">
        <f>VLOOKUP(A326,'SegEnds_NonXtal_Prot#'!A:AL,10,FALSE)-VLOOKUP(A326,'SegEnds_NonXtal_Prot#'!A:AL,7,FALSE)</f>
        <v>#VALUE!</v>
      </c>
      <c r="AC326" s="1" t="e">
        <f>VLOOKUP(A326,'SegEnds_NonXtal_Prot#'!A:AL,13,FALSE)-VLOOKUP(A326,'SegEnds_NonXtal_Prot#'!A:AL,10,FALSE)</f>
        <v>#VALUE!</v>
      </c>
      <c r="AD326" s="1">
        <f>VLOOKUP(A326,'SegEnds_NonXtal_Prot#'!A:AL,16,FALSE)-VLOOKUP(A326,'SegEnds_NonXtal_Prot#'!A:AL,10,FALSE)</f>
        <v>51</v>
      </c>
      <c r="AE326" s="1" t="e">
        <f>VLOOKUP(A326,'SegEnds_NonXtal_Prot#'!A:AL,22,FALSE)-VLOOKUP(A326,'SegEnds_NonXtal_Prot#'!A:AL,19,FALSE)</f>
        <v>#VALUE!</v>
      </c>
      <c r="AF326" s="1">
        <f>VLOOKUP(A326,'SegEnds_NonXtal_Prot#'!A:AL,28,FALSE)-VLOOKUP(A326,'SegEnds_NonXtal_Prot#'!A:AL,25,FALSE)</f>
        <v>20</v>
      </c>
      <c r="AG326" s="1">
        <f>VLOOKUP(A326,'SegEnds_NonXtal_Prot#'!A:AL,28,FALSE)-VLOOKUP(A326,'SegEnds_NonXtal_Prot#'!A:AL,22,FALSE)</f>
        <v>46</v>
      </c>
      <c r="AH326" s="1">
        <f>VLOOKUP(A326,'SegEnds_NonXtal_Prot#'!A:AL,31,FALSE)-VLOOKUP(A326,'SegEnds_NonXtal_Prot#'!A:AL,28,FALSE)</f>
        <v>51</v>
      </c>
      <c r="AI326" s="1">
        <f>VLOOKUP(A326,'SegEnds_NonXtal_Prot#'!A:AL,34,FALSE)-VLOOKUP(A326,'SegEnds_NonXtal_Prot#'!A:AL,31,FALSE)</f>
        <v>29</v>
      </c>
      <c r="AJ326" s="1" t="str">
        <f>IF(ISERROR(MATCH(A326,'SegEnds_Xtal_Prot#'!B:B, 0)), "NoXtal", "Xtal")</f>
        <v>NoXtal</v>
      </c>
    </row>
    <row r="327" spans="1:36" x14ac:dyDescent="0.2">
      <c r="A327" s="1" t="s">
        <v>1192</v>
      </c>
      <c r="B327" s="1" t="str">
        <f>VLOOKUP(A327,Xtal_Templ!A:B,2,FALSE)</f>
        <v>crfr1_human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9">
        <f>VLOOKUP($B327&amp;"__wt",'SegEnds_Xtal_BW#'!$A:$Z,15,FALSE)</f>
        <v>40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VLOOKUP(A327,'SegEnds_NonXtal_Prot#'!A:AL,10,FALSE)-VLOOKUP(A327,'SegEnds_NonXtal_Prot#'!A:AL,7,FALSE)</f>
        <v>17</v>
      </c>
      <c r="AC327" s="1" t="e">
        <f>VLOOKUP(A327,'SegEnds_NonXtal_Prot#'!A:AL,13,FALSE)-VLOOKUP(A327,'SegEnds_NonXtal_Prot#'!A:AL,10,FALSE)</f>
        <v>#VALUE!</v>
      </c>
      <c r="AD327" s="1">
        <f>VLOOKUP(A327,'SegEnds_NonXtal_Prot#'!A:AL,16,FALSE)-VLOOKUP(A327,'SegEnds_NonXtal_Prot#'!A:AL,10,FALSE)</f>
        <v>53</v>
      </c>
      <c r="AE327" s="1" t="e">
        <f>VLOOKUP(A327,'SegEnds_NonXtal_Prot#'!A:AL,22,FALSE)-VLOOKUP(A327,'SegEnds_NonXtal_Prot#'!A:AL,19,FALSE)</f>
        <v>#VALUE!</v>
      </c>
      <c r="AF327" s="1">
        <f>VLOOKUP(A327,'SegEnds_NonXtal_Prot#'!A:AL,28,FALSE)-VLOOKUP(A327,'SegEnds_NonXtal_Prot#'!A:AL,25,FALSE)</f>
        <v>20</v>
      </c>
      <c r="AG327" s="1">
        <f>VLOOKUP(A327,'SegEnds_NonXtal_Prot#'!A:AL,28,FALSE)-VLOOKUP(A327,'SegEnds_NonXtal_Prot#'!A:AL,22,FALSE)</f>
        <v>46</v>
      </c>
      <c r="AH327" s="1">
        <f>VLOOKUP(A327,'SegEnds_NonXtal_Prot#'!A:AL,31,FALSE)-VLOOKUP(A327,'SegEnds_NonXtal_Prot#'!A:AL,28,FALSE)</f>
        <v>52</v>
      </c>
      <c r="AI327" s="1">
        <f>VLOOKUP(A327,'SegEnds_NonXtal_Prot#'!A:AL,34,FALSE)-VLOOKUP(A327,'SegEnds_NonXtal_Prot#'!A:AL,31,FALSE)</f>
        <v>29</v>
      </c>
      <c r="AJ327" s="1" t="str">
        <f>IF(ISERROR(MATCH(A327,'SegEnds_Xtal_Prot#'!B:B, 0)), "NoXtal", "Xtal")</f>
        <v>NoXtal</v>
      </c>
    </row>
    <row r="328" spans="1:36" x14ac:dyDescent="0.2">
      <c r="A328" s="4" t="s">
        <v>1193</v>
      </c>
      <c r="B328" s="4" t="str">
        <f>VLOOKUP(A328,Xtal_Templ!A:B,2,FALSE)</f>
        <v>crfr1_human</v>
      </c>
      <c r="C328" s="5">
        <v>23</v>
      </c>
      <c r="D328" s="4">
        <f>VLOOKUP($B328&amp;"__wt",'SegEnds_Xtal_BW#'!$A:$Z,4,FALSE)</f>
        <v>60</v>
      </c>
      <c r="E328" s="4">
        <f>VLOOKUP($B328&amp;"__wt",'SegEnds_Xtal_BW#'!$A:$Z,5,FALSE)</f>
        <v>48</v>
      </c>
      <c r="F328" s="4">
        <f>VLOOKUP($B328&amp;"__wt",'SegEnds_Xtal_BW#'!$A:$Z,6,FALSE)</f>
        <v>51</v>
      </c>
      <c r="G328" s="4">
        <v>37</v>
      </c>
      <c r="H328" s="11">
        <v>63</v>
      </c>
      <c r="I328" s="4" t="str">
        <f>VLOOKUP($B328&amp;"__wt",'SegEnds_Xtal_BW#'!$A:$Z,9,FALSE)</f>
        <v>-</v>
      </c>
      <c r="J328" s="4" t="str">
        <f>VLOOKUP($B328&amp;"__wt",'SegEnds_Xtal_BW#'!$A:$Z,10,FALSE)</f>
        <v>-</v>
      </c>
      <c r="K328" s="11">
        <v>23</v>
      </c>
      <c r="L328" s="4">
        <f>VLOOKUP($B328&amp;"__wt",'SegEnds_Xtal_BW#'!$A:$Z,12,FALSE)</f>
        <v>56</v>
      </c>
      <c r="M328" s="4" t="str">
        <f>VLOOKUP($B328&amp;"__wt",'SegEnds_Xtal_BW#'!$A:$Z,13,FALSE)</f>
        <v>-</v>
      </c>
      <c r="N328" s="11" t="str">
        <f>VLOOKUP($B328&amp;"__wt",'SegEnds_Xtal_BW#'!$A:$Z,14,FALSE)</f>
        <v>-</v>
      </c>
      <c r="O328" s="90">
        <f>VLOOKUP($B328&amp;"__wt",'SegEnds_Xtal_BW#'!$A:$Z,15,FALSE)</f>
        <v>40</v>
      </c>
      <c r="P328" s="4">
        <f>VLOOKUP($B328&amp;"__wt",'SegEnds_Xtal_BW#'!$A:$Z,16,FALSE)</f>
        <v>68</v>
      </c>
      <c r="Q328" s="4">
        <f>VLOOKUP($B328&amp;"__wt",'SegEnds_Xtal_BW#'!$A:$Z,17,FALSE)</f>
        <v>50</v>
      </c>
      <c r="R328" s="4">
        <f>VLOOKUP($B328&amp;"__wt",'SegEnds_Xtal_BW#'!$A:$Z,18,FALSE)</f>
        <v>52</v>
      </c>
      <c r="S328" s="4">
        <v>36</v>
      </c>
      <c r="T328" s="4">
        <v>69</v>
      </c>
      <c r="U328" s="4">
        <v>29</v>
      </c>
      <c r="V328" s="4">
        <f>VLOOKUP($B328&amp;"__wt",'SegEnds_Xtal_BW#'!$A:$Z,22,FALSE)</f>
        <v>53</v>
      </c>
      <c r="W328" s="4">
        <v>30</v>
      </c>
      <c r="X328" s="4">
        <f>VLOOKUP($B328&amp;"__wt",'SegEnds_Xtal_BW#'!$A:$Z,24,FALSE)</f>
        <v>56</v>
      </c>
      <c r="Y328" s="4">
        <f>VLOOKUP($B328&amp;"__wt",'SegEnds_Xtal_BW#'!$A:$Z,25,FALSE)</f>
        <v>47</v>
      </c>
      <c r="Z328" s="4">
        <v>63</v>
      </c>
      <c r="AA328" s="27" t="str">
        <f>VLOOKUP(A328,Classification!A:B,2,FALSE)</f>
        <v>B2</v>
      </c>
      <c r="AB328" s="4">
        <f>VLOOKUP(A328,'SegEnds_NonXtal_Prot#'!A:AL,10,FALSE)-VLOOKUP(A328,'SegEnds_NonXtal_Prot#'!A:AL,7,FALSE)</f>
        <v>21</v>
      </c>
      <c r="AC328" s="4" t="e">
        <f>VLOOKUP(A328,'SegEnds_NonXtal_Prot#'!A:AL,13,FALSE)-VLOOKUP(A328,'SegEnds_NonXtal_Prot#'!A:AL,10,FALSE)</f>
        <v>#VALUE!</v>
      </c>
      <c r="AD328" s="4">
        <f>VLOOKUP(A328,'SegEnds_NonXtal_Prot#'!A:AL,16,FALSE)-VLOOKUP(A328,'SegEnds_NonXtal_Prot#'!A:AL,10,FALSE)</f>
        <v>47</v>
      </c>
      <c r="AE328" s="1" t="e">
        <f>VLOOKUP(A328,'SegEnds_NonXtal_Prot#'!A:AL,22,FALSE)-VLOOKUP(A328,'SegEnds_NonXtal_Prot#'!A:AL,19,FALSE)</f>
        <v>#VALUE!</v>
      </c>
      <c r="AF328" s="4">
        <f>VLOOKUP(A328,'SegEnds_NonXtal_Prot#'!A:AL,28,FALSE)-VLOOKUP(A328,'SegEnds_NonXtal_Prot#'!A:AL,25,FALSE)</f>
        <v>19</v>
      </c>
      <c r="AG328" s="1">
        <f>VLOOKUP(A328,'SegEnds_NonXtal_Prot#'!A:AL,28,FALSE)-VLOOKUP(A328,'SegEnds_NonXtal_Prot#'!A:AL,22,FALSE)</f>
        <v>57</v>
      </c>
      <c r="AH328" s="4">
        <f>VLOOKUP(A328,'SegEnds_NonXtal_Prot#'!A:AL,31,FALSE)-VLOOKUP(A328,'SegEnds_NonXtal_Prot#'!A:AL,28,FALSE)</f>
        <v>44</v>
      </c>
      <c r="AI328" s="4">
        <f>VLOOKUP(A328,'SegEnds_NonXtal_Prot#'!A:AL,34,FALSE)-VLOOKUP(A328,'SegEnds_NonXtal_Prot#'!A:AL,31,FALSE)</f>
        <v>30</v>
      </c>
      <c r="AJ328" s="1" t="str">
        <f>IF(ISERROR(MATCH(A328,'SegEnds_Xtal_Prot#'!B:B, 0)), "NoXtal", "Xtal")</f>
        <v>NoXtal</v>
      </c>
    </row>
    <row r="329" spans="1:36" x14ac:dyDescent="0.2">
      <c r="A329" s="4" t="s">
        <v>1194</v>
      </c>
      <c r="B329" s="4" t="str">
        <f>VLOOKUP(A329,Xtal_Templ!A:B,2,FALSE)</f>
        <v>crfr1_human</v>
      </c>
      <c r="C329" s="5">
        <v>23</v>
      </c>
      <c r="D329" s="4">
        <f>VLOOKUP($B329&amp;"__wt",'SegEnds_Xtal_BW#'!$A:$Z,4,FALSE)</f>
        <v>60</v>
      </c>
      <c r="E329" s="4">
        <f>VLOOKUP($B329&amp;"__wt",'SegEnds_Xtal_BW#'!$A:$Z,5,FALSE)</f>
        <v>48</v>
      </c>
      <c r="F329" s="4">
        <f>VLOOKUP($B329&amp;"__wt",'SegEnds_Xtal_BW#'!$A:$Z,6,FALSE)</f>
        <v>51</v>
      </c>
      <c r="G329" s="4">
        <v>37</v>
      </c>
      <c r="H329" s="11">
        <v>63</v>
      </c>
      <c r="I329" s="4" t="str">
        <f>VLOOKUP($B329&amp;"__wt",'SegEnds_Xtal_BW#'!$A:$Z,9,FALSE)</f>
        <v>-</v>
      </c>
      <c r="J329" s="4" t="str">
        <f>VLOOKUP($B329&amp;"__wt",'SegEnds_Xtal_BW#'!$A:$Z,10,FALSE)</f>
        <v>-</v>
      </c>
      <c r="K329" s="11">
        <v>23</v>
      </c>
      <c r="L329" s="4">
        <f>VLOOKUP($B329&amp;"__wt",'SegEnds_Xtal_BW#'!$A:$Z,12,FALSE)</f>
        <v>56</v>
      </c>
      <c r="M329" s="4" t="str">
        <f>VLOOKUP($B329&amp;"__wt",'SegEnds_Xtal_BW#'!$A:$Z,13,FALSE)</f>
        <v>-</v>
      </c>
      <c r="N329" s="11" t="str">
        <f>VLOOKUP($B329&amp;"__wt",'SegEnds_Xtal_BW#'!$A:$Z,14,FALSE)</f>
        <v>-</v>
      </c>
      <c r="O329" s="90">
        <f>VLOOKUP($B329&amp;"__wt",'SegEnds_Xtal_BW#'!$A:$Z,15,FALSE)</f>
        <v>40</v>
      </c>
      <c r="P329" s="4">
        <f>VLOOKUP($B329&amp;"__wt",'SegEnds_Xtal_BW#'!$A:$Z,16,FALSE)</f>
        <v>68</v>
      </c>
      <c r="Q329" s="4">
        <f>VLOOKUP($B329&amp;"__wt",'SegEnds_Xtal_BW#'!$A:$Z,17,FALSE)</f>
        <v>50</v>
      </c>
      <c r="R329" s="4">
        <f>VLOOKUP($B329&amp;"__wt",'SegEnds_Xtal_BW#'!$A:$Z,18,FALSE)</f>
        <v>52</v>
      </c>
      <c r="S329" s="4">
        <v>36</v>
      </c>
      <c r="T329" s="4">
        <v>69</v>
      </c>
      <c r="U329" s="4">
        <v>29</v>
      </c>
      <c r="V329" s="4">
        <f>VLOOKUP($B329&amp;"__wt",'SegEnds_Xtal_BW#'!$A:$Z,22,FALSE)</f>
        <v>53</v>
      </c>
      <c r="W329" s="4">
        <v>31</v>
      </c>
      <c r="X329" s="4">
        <f>VLOOKUP($B329&amp;"__wt",'SegEnds_Xtal_BW#'!$A:$Z,24,FALSE)</f>
        <v>56</v>
      </c>
      <c r="Y329" s="4">
        <f>VLOOKUP($B329&amp;"__wt",'SegEnds_Xtal_BW#'!$A:$Z,25,FALSE)</f>
        <v>47</v>
      </c>
      <c r="Z329" s="4">
        <v>63</v>
      </c>
      <c r="AA329" s="27" t="str">
        <f>VLOOKUP(A329,Classification!A:B,2,FALSE)</f>
        <v>B2</v>
      </c>
      <c r="AB329" s="4" t="e">
        <f>VLOOKUP(A329,'SegEnds_NonXtal_Prot#'!A:AL,10,FALSE)-VLOOKUP(A329,'SegEnds_NonXtal_Prot#'!A:AL,7,FALSE)</f>
        <v>#VALUE!</v>
      </c>
      <c r="AC329" s="4" t="e">
        <f>VLOOKUP(A329,'SegEnds_NonXtal_Prot#'!A:AL,13,FALSE)-VLOOKUP(A329,'SegEnds_NonXtal_Prot#'!A:AL,10,FALSE)</f>
        <v>#VALUE!</v>
      </c>
      <c r="AD329" s="4">
        <f>VLOOKUP(A329,'SegEnds_NonXtal_Prot#'!A:AL,16,FALSE)-VLOOKUP(A329,'SegEnds_NonXtal_Prot#'!A:AL,10,FALSE)</f>
        <v>47</v>
      </c>
      <c r="AE329" s="1" t="e">
        <f>VLOOKUP(A329,'SegEnds_NonXtal_Prot#'!A:AL,22,FALSE)-VLOOKUP(A329,'SegEnds_NonXtal_Prot#'!A:AL,19,FALSE)</f>
        <v>#VALUE!</v>
      </c>
      <c r="AF329" s="4">
        <f>VLOOKUP(A329,'SegEnds_NonXtal_Prot#'!A:AL,28,FALSE)-VLOOKUP(A329,'SegEnds_NonXtal_Prot#'!A:AL,25,FALSE)</f>
        <v>19</v>
      </c>
      <c r="AG329" s="1">
        <f>VLOOKUP(A329,'SegEnds_NonXtal_Prot#'!A:AL,28,FALSE)-VLOOKUP(A329,'SegEnds_NonXtal_Prot#'!A:AL,22,FALSE)</f>
        <v>54</v>
      </c>
      <c r="AH329" s="4">
        <f>VLOOKUP(A329,'SegEnds_NonXtal_Prot#'!A:AL,31,FALSE)-VLOOKUP(A329,'SegEnds_NonXtal_Prot#'!A:AL,28,FALSE)</f>
        <v>51</v>
      </c>
      <c r="AI329" s="4">
        <f>VLOOKUP(A329,'SegEnds_NonXtal_Prot#'!A:AL,34,FALSE)-VLOOKUP(A329,'SegEnds_NonXtal_Prot#'!A:AL,31,FALSE)</f>
        <v>28</v>
      </c>
      <c r="AJ329" s="1" t="str">
        <f>IF(ISERROR(MATCH(A329,'SegEnds_Xtal_Prot#'!B:B, 0)), "NoXtal", "Xtal")</f>
        <v>NoXtal</v>
      </c>
    </row>
    <row r="330" spans="1:36" x14ac:dyDescent="0.2">
      <c r="A330" s="1" t="s">
        <v>1195</v>
      </c>
      <c r="B330" s="1" t="str">
        <f>VLOOKUP(A330,Xtal_Templ!A:B,2,FALSE)</f>
        <v>crfr1_human</v>
      </c>
      <c r="C330" s="5">
        <v>23</v>
      </c>
      <c r="D330" s="1">
        <f>VLOOKUP($B330&amp;"__wt",'SegEnds_Xtal_BW#'!$A:$Z,4,FALSE)</f>
        <v>60</v>
      </c>
      <c r="E330" s="1">
        <f>VLOOKUP($B330&amp;"__wt",'SegEnds_Xtal_BW#'!$A:$Z,5,FALSE)</f>
        <v>48</v>
      </c>
      <c r="F330" s="1">
        <f>VLOOKUP($B330&amp;"__wt",'SegEnds_Xtal_BW#'!$A:$Z,6,FALSE)</f>
        <v>51</v>
      </c>
      <c r="G330" s="1">
        <v>37</v>
      </c>
      <c r="H330" s="12">
        <v>63</v>
      </c>
      <c r="I330" s="1" t="str">
        <f>VLOOKUP($B330&amp;"__wt",'SegEnds_Xtal_BW#'!$A:$Z,9,FALSE)</f>
        <v>-</v>
      </c>
      <c r="J330" s="1" t="str">
        <f>VLOOKUP($B330&amp;"__wt",'SegEnds_Xtal_BW#'!$A:$Z,10,FALSE)</f>
        <v>-</v>
      </c>
      <c r="K330" s="12">
        <v>23</v>
      </c>
      <c r="L330" s="1">
        <f>VLOOKUP($B330&amp;"__wt",'SegEnds_Xtal_BW#'!$A:$Z,12,FALSE)</f>
        <v>56</v>
      </c>
      <c r="M330" s="1" t="str">
        <f>VLOOKUP($B330&amp;"__wt",'SegEnds_Xtal_BW#'!$A:$Z,13,FALSE)</f>
        <v>-</v>
      </c>
      <c r="N330" s="12" t="str">
        <f>VLOOKUP($B330&amp;"__wt",'SegEnds_Xtal_BW#'!$A:$Z,14,FALSE)</f>
        <v>-</v>
      </c>
      <c r="O330" s="89">
        <f>VLOOKUP($B330&amp;"__wt",'SegEnds_Xtal_BW#'!$A:$Z,15,FALSE)</f>
        <v>40</v>
      </c>
      <c r="P330" s="1">
        <f>VLOOKUP($B330&amp;"__wt",'SegEnds_Xtal_BW#'!$A:$Z,16,FALSE)</f>
        <v>68</v>
      </c>
      <c r="Q330" s="1">
        <f>VLOOKUP($B330&amp;"__wt",'SegEnds_Xtal_BW#'!$A:$Z,17,FALSE)</f>
        <v>50</v>
      </c>
      <c r="R330" s="1">
        <f>VLOOKUP($B330&amp;"__wt",'SegEnds_Xtal_BW#'!$A:$Z,18,FALSE)</f>
        <v>52</v>
      </c>
      <c r="S330" s="1">
        <v>36</v>
      </c>
      <c r="T330" s="1">
        <v>69</v>
      </c>
      <c r="U330" s="1">
        <v>29</v>
      </c>
      <c r="V330" s="1">
        <v>50</v>
      </c>
      <c r="W330" s="1">
        <v>31</v>
      </c>
      <c r="X330" s="1">
        <f>VLOOKUP($B330&amp;"__wt",'SegEnds_Xtal_BW#'!$A:$Z,24,FALSE)</f>
        <v>56</v>
      </c>
      <c r="Y330" s="1">
        <f>VLOOKUP($B330&amp;"__wt",'SegEnds_Xtal_BW#'!$A:$Z,25,FALSE)</f>
        <v>47</v>
      </c>
      <c r="Z330" s="1">
        <v>63</v>
      </c>
      <c r="AA330" s="27" t="str">
        <f>VLOOKUP(A330,Classification!A:B,2,FALSE)</f>
        <v>B2</v>
      </c>
      <c r="AB330" s="1" t="e">
        <f>VLOOKUP(A330,'SegEnds_NonXtal_Prot#'!A:AL,10,FALSE)-VLOOKUP(A330,'SegEnds_NonXtal_Prot#'!A:AL,7,FALSE)</f>
        <v>#VALUE!</v>
      </c>
      <c r="AC330" s="1" t="e">
        <f>VLOOKUP(A330,'SegEnds_NonXtal_Prot#'!A:AL,13,FALSE)-VLOOKUP(A330,'SegEnds_NonXtal_Prot#'!A:AL,10,FALSE)</f>
        <v>#VALUE!</v>
      </c>
      <c r="AD330" s="1">
        <f>VLOOKUP(A330,'SegEnds_NonXtal_Prot#'!A:AL,16,FALSE)-VLOOKUP(A330,'SegEnds_NonXtal_Prot#'!A:AL,10,FALSE)</f>
        <v>47</v>
      </c>
      <c r="AE330" s="1" t="e">
        <f>VLOOKUP(A330,'SegEnds_NonXtal_Prot#'!A:AL,22,FALSE)-VLOOKUP(A330,'SegEnds_NonXtal_Prot#'!A:AL,19,FALSE)</f>
        <v>#VALUE!</v>
      </c>
      <c r="AF330" s="1">
        <f>VLOOKUP(A330,'SegEnds_NonXtal_Prot#'!A:AL,28,FALSE)-VLOOKUP(A330,'SegEnds_NonXtal_Prot#'!A:AL,25,FALSE)</f>
        <v>18</v>
      </c>
      <c r="AG330" s="1">
        <f>VLOOKUP(A330,'SegEnds_NonXtal_Prot#'!A:AL,28,FALSE)-VLOOKUP(A330,'SegEnds_NonXtal_Prot#'!A:AL,22,FALSE)</f>
        <v>51</v>
      </c>
      <c r="AH330" s="1">
        <f>VLOOKUP(A330,'SegEnds_NonXtal_Prot#'!A:AL,31,FALSE)-VLOOKUP(A330,'SegEnds_NonXtal_Prot#'!A:AL,28,FALSE)</f>
        <v>54</v>
      </c>
      <c r="AI330" s="1">
        <f>VLOOKUP(A330,'SegEnds_NonXtal_Prot#'!A:AL,34,FALSE)-VLOOKUP(A330,'SegEnds_NonXtal_Prot#'!A:AL,31,FALSE)</f>
        <v>26</v>
      </c>
      <c r="AJ330" s="1" t="str">
        <f>IF(ISERROR(MATCH(A330,'SegEnds_Xtal_Prot#'!B:B, 0)), "NoXtal", "Xtal")</f>
        <v>NoXtal</v>
      </c>
    </row>
    <row r="331" spans="1:36" x14ac:dyDescent="0.2">
      <c r="A331" s="4" t="s">
        <v>1196</v>
      </c>
      <c r="B331" s="4" t="str">
        <f>VLOOKUP(A331,Xtal_Templ!A:B,2,FALSE)</f>
        <v>crfr1_human</v>
      </c>
      <c r="C331" s="5">
        <v>23</v>
      </c>
      <c r="D331" s="4">
        <f>VLOOKUP($B331&amp;"__wt",'SegEnds_Xtal_BW#'!$A:$Z,4,FALSE)</f>
        <v>60</v>
      </c>
      <c r="E331" s="4">
        <f>VLOOKUP($B331&amp;"__wt",'SegEnds_Xtal_BW#'!$A:$Z,5,FALSE)</f>
        <v>48</v>
      </c>
      <c r="F331" s="4">
        <f>VLOOKUP($B331&amp;"__wt",'SegEnds_Xtal_BW#'!$A:$Z,6,FALSE)</f>
        <v>51</v>
      </c>
      <c r="G331" s="4">
        <v>37</v>
      </c>
      <c r="H331" s="11">
        <v>63</v>
      </c>
      <c r="I331" s="4" t="str">
        <f>VLOOKUP($B331&amp;"__wt",'SegEnds_Xtal_BW#'!$A:$Z,9,FALSE)</f>
        <v>-</v>
      </c>
      <c r="J331" s="4" t="str">
        <f>VLOOKUP($B331&amp;"__wt",'SegEnds_Xtal_BW#'!$A:$Z,10,FALSE)</f>
        <v>-</v>
      </c>
      <c r="K331" s="11">
        <v>23</v>
      </c>
      <c r="L331" s="4">
        <f>VLOOKUP($B331&amp;"__wt",'SegEnds_Xtal_BW#'!$A:$Z,12,FALSE)</f>
        <v>56</v>
      </c>
      <c r="M331" s="4" t="str">
        <f>VLOOKUP($B331&amp;"__wt",'SegEnds_Xtal_BW#'!$A:$Z,13,FALSE)</f>
        <v>-</v>
      </c>
      <c r="N331" s="11" t="str">
        <f>VLOOKUP($B331&amp;"__wt",'SegEnds_Xtal_BW#'!$A:$Z,14,FALSE)</f>
        <v>-</v>
      </c>
      <c r="O331" s="90">
        <f>VLOOKUP($B331&amp;"__wt",'SegEnds_Xtal_BW#'!$A:$Z,15,FALSE)</f>
        <v>40</v>
      </c>
      <c r="P331" s="4">
        <f>VLOOKUP($B331&amp;"__wt",'SegEnds_Xtal_BW#'!$A:$Z,16,FALSE)</f>
        <v>68</v>
      </c>
      <c r="Q331" s="4">
        <f>VLOOKUP($B331&amp;"__wt",'SegEnds_Xtal_BW#'!$A:$Z,17,FALSE)</f>
        <v>50</v>
      </c>
      <c r="R331" s="4">
        <f>VLOOKUP($B331&amp;"__wt",'SegEnds_Xtal_BW#'!$A:$Z,18,FALSE)</f>
        <v>52</v>
      </c>
      <c r="S331" s="4">
        <v>36</v>
      </c>
      <c r="T331" s="4">
        <v>69</v>
      </c>
      <c r="U331" s="4">
        <v>29</v>
      </c>
      <c r="V331" s="4">
        <f>VLOOKUP($B331&amp;"__wt",'SegEnds_Xtal_BW#'!$A:$Z,22,FALSE)</f>
        <v>53</v>
      </c>
      <c r="W331" s="4">
        <v>31</v>
      </c>
      <c r="X331" s="4">
        <f>VLOOKUP($B331&amp;"__wt",'SegEnds_Xtal_BW#'!$A:$Z,24,FALSE)</f>
        <v>56</v>
      </c>
      <c r="Y331" s="4">
        <f>VLOOKUP($B331&amp;"__wt",'SegEnds_Xtal_BW#'!$A:$Z,25,FALSE)</f>
        <v>47</v>
      </c>
      <c r="Z331" s="4">
        <v>63</v>
      </c>
      <c r="AA331" s="27" t="str">
        <f>VLOOKUP(A331,Classification!A:B,2,FALSE)</f>
        <v>B2</v>
      </c>
      <c r="AB331" s="4" t="e">
        <f>VLOOKUP(A331,'SegEnds_NonXtal_Prot#'!A:AL,10,FALSE)-VLOOKUP(A331,'SegEnds_NonXtal_Prot#'!A:AL,7,FALSE)</f>
        <v>#VALUE!</v>
      </c>
      <c r="AC331" s="4" t="e">
        <f>VLOOKUP(A331,'SegEnds_NonXtal_Prot#'!A:AL,13,FALSE)-VLOOKUP(A331,'SegEnds_NonXtal_Prot#'!A:AL,10,FALSE)</f>
        <v>#VALUE!</v>
      </c>
      <c r="AD331" s="4">
        <f>VLOOKUP(A331,'SegEnds_NonXtal_Prot#'!A:AL,16,FALSE)-VLOOKUP(A331,'SegEnds_NonXtal_Prot#'!A:AL,10,FALSE)</f>
        <v>47</v>
      </c>
      <c r="AE331" s="1" t="e">
        <f>VLOOKUP(A331,'SegEnds_NonXtal_Prot#'!A:AL,22,FALSE)-VLOOKUP(A331,'SegEnds_NonXtal_Prot#'!A:AL,19,FALSE)</f>
        <v>#VALUE!</v>
      </c>
      <c r="AF331" s="4">
        <f>VLOOKUP(A331,'SegEnds_NonXtal_Prot#'!A:AL,28,FALSE)-VLOOKUP(A331,'SegEnds_NonXtal_Prot#'!A:AL,25,FALSE)</f>
        <v>19</v>
      </c>
      <c r="AG331" s="1">
        <f>VLOOKUP(A331,'SegEnds_NonXtal_Prot#'!A:AL,28,FALSE)-VLOOKUP(A331,'SegEnds_NonXtal_Prot#'!A:AL,22,FALSE)</f>
        <v>47</v>
      </c>
      <c r="AH331" s="4">
        <f>VLOOKUP(A331,'SegEnds_NonXtal_Prot#'!A:AL,31,FALSE)-VLOOKUP(A331,'SegEnds_NonXtal_Prot#'!A:AL,28,FALSE)</f>
        <v>50</v>
      </c>
      <c r="AI331" s="4">
        <f>VLOOKUP(A331,'SegEnds_NonXtal_Prot#'!A:AL,34,FALSE)-VLOOKUP(A331,'SegEnds_NonXtal_Prot#'!A:AL,31,FALSE)</f>
        <v>28</v>
      </c>
      <c r="AJ331" s="1" t="str">
        <f>IF(ISERROR(MATCH(A331,'SegEnds_Xtal_Prot#'!B:B, 0)), "NoXtal", "Xtal")</f>
        <v>NoXtal</v>
      </c>
    </row>
    <row r="332" spans="1:36" x14ac:dyDescent="0.2">
      <c r="A332" s="1" t="s">
        <v>1197</v>
      </c>
      <c r="B332" s="1" t="str">
        <f>VLOOKUP(A332,Xtal_Templ!A:B,2,FALSE)</f>
        <v>glr_human</v>
      </c>
      <c r="C332" s="5">
        <v>23</v>
      </c>
      <c r="D332" s="1">
        <f>VLOOKUP($B332&amp;"__wt",'SegEnds_Xtal_BW#'!$A:$Z,4,FALSE)</f>
        <v>60</v>
      </c>
      <c r="E332" s="1">
        <f>VLOOKUP($B332&amp;"__wt",'SegEnds_Xtal_BW#'!$A:$Z,5,FALSE)</f>
        <v>48</v>
      </c>
      <c r="F332" s="1">
        <f>VLOOKUP($B332&amp;"__wt",'SegEnds_Xtal_BW#'!$A:$Z,6,FALSE)</f>
        <v>51</v>
      </c>
      <c r="G332" s="1">
        <v>37</v>
      </c>
      <c r="H332" s="12">
        <v>63</v>
      </c>
      <c r="I332" s="1" t="str">
        <f>VLOOKUP($B332&amp;"__wt",'SegEnds_Xtal_BW#'!$A:$Z,9,FALSE)</f>
        <v>-</v>
      </c>
      <c r="J332" s="1" t="str">
        <f>VLOOKUP($B332&amp;"__wt",'SegEnds_Xtal_BW#'!$A:$Z,10,FALSE)</f>
        <v>-</v>
      </c>
      <c r="K332" s="12">
        <v>23</v>
      </c>
      <c r="L332" s="1">
        <f>VLOOKUP($B332&amp;"__wt",'SegEnds_Xtal_BW#'!$A:$Z,12,FALSE)</f>
        <v>56</v>
      </c>
      <c r="M332" s="1" t="str">
        <f>VLOOKUP($B332&amp;"__wt",'SegEnds_Xtal_BW#'!$A:$Z,13,FALSE)</f>
        <v>-</v>
      </c>
      <c r="N332" s="12" t="str">
        <f>VLOOKUP($B332&amp;"__wt",'SegEnds_Xtal_BW#'!$A:$Z,14,FALSE)</f>
        <v>-</v>
      </c>
      <c r="O332" s="89">
        <f>VLOOKUP($B332&amp;"__wt",'SegEnds_Xtal_BW#'!$A:$Z,15,FALSE)</f>
        <v>40</v>
      </c>
      <c r="P332" s="1">
        <f>VLOOKUP($B332&amp;"__wt",'SegEnds_Xtal_BW#'!$A:$Z,16,FALSE)</f>
        <v>68</v>
      </c>
      <c r="Q332" s="1">
        <f>VLOOKUP($B332&amp;"__wt",'SegEnds_Xtal_BW#'!$A:$Z,17,FALSE)</f>
        <v>50</v>
      </c>
      <c r="R332" s="1">
        <f>VLOOKUP($B332&amp;"__wt",'SegEnds_Xtal_BW#'!$A:$Z,18,FALSE)</f>
        <v>52</v>
      </c>
      <c r="S332" s="1">
        <v>36</v>
      </c>
      <c r="T332" s="1">
        <v>69</v>
      </c>
      <c r="U332" s="1">
        <v>29</v>
      </c>
      <c r="V332" s="1">
        <f>VLOOKUP($B332&amp;"__wt",'SegEnds_Xtal_BW#'!$A:$Z,22,FALSE)</f>
        <v>53</v>
      </c>
      <c r="W332" s="1">
        <v>31</v>
      </c>
      <c r="X332" s="1">
        <f>VLOOKUP($B332&amp;"__wt",'SegEnds_Xtal_BW#'!$A:$Z,24,FALSE)</f>
        <v>56</v>
      </c>
      <c r="Y332" s="1">
        <f>VLOOKUP($B332&amp;"__wt",'SegEnds_Xtal_BW#'!$A:$Z,25,FALSE)</f>
        <v>47</v>
      </c>
      <c r="Z332" s="1">
        <v>63</v>
      </c>
      <c r="AA332" s="27" t="str">
        <f>VLOOKUP(A332,Classification!A:B,2,FALSE)</f>
        <v>B2</v>
      </c>
      <c r="AB332" s="1" t="e">
        <f>VLOOKUP(A332,'SegEnds_NonXtal_Prot#'!A:AL,10,FALSE)-VLOOKUP(A332,'SegEnds_NonXtal_Prot#'!A:AL,7,FALSE)</f>
        <v>#VALUE!</v>
      </c>
      <c r="AC332" s="1" t="e">
        <f>VLOOKUP(A332,'SegEnds_NonXtal_Prot#'!A:AL,13,FALSE)-VLOOKUP(A332,'SegEnds_NonXtal_Prot#'!A:AL,10,FALSE)</f>
        <v>#VALUE!</v>
      </c>
      <c r="AD332" s="1">
        <f>VLOOKUP(A332,'SegEnds_NonXtal_Prot#'!A:AL,16,FALSE)-VLOOKUP(A332,'SegEnds_NonXtal_Prot#'!A:AL,10,FALSE)</f>
        <v>48</v>
      </c>
      <c r="AE332" s="1" t="e">
        <f>VLOOKUP(A332,'SegEnds_NonXtal_Prot#'!A:AL,22,FALSE)-VLOOKUP(A332,'SegEnds_NonXtal_Prot#'!A:AL,19,FALSE)</f>
        <v>#VALUE!</v>
      </c>
      <c r="AF332" s="1">
        <f>VLOOKUP(A332,'SegEnds_NonXtal_Prot#'!A:AL,28,FALSE)-VLOOKUP(A332,'SegEnds_NonXtal_Prot#'!A:AL,25,FALSE)</f>
        <v>19</v>
      </c>
      <c r="AG332" s="1">
        <f>VLOOKUP(A332,'SegEnds_NonXtal_Prot#'!A:AL,28,FALSE)-VLOOKUP(A332,'SegEnds_NonXtal_Prot#'!A:AL,22,FALSE)</f>
        <v>60</v>
      </c>
      <c r="AH332" s="1">
        <f>VLOOKUP(A332,'SegEnds_NonXtal_Prot#'!A:AL,31,FALSE)-VLOOKUP(A332,'SegEnds_NonXtal_Prot#'!A:AL,28,FALSE)</f>
        <v>49</v>
      </c>
      <c r="AI332" s="1">
        <f>VLOOKUP(A332,'SegEnds_NonXtal_Prot#'!A:AL,34,FALSE)-VLOOKUP(A332,'SegEnds_NonXtal_Prot#'!A:AL,31,FALSE)</f>
        <v>28</v>
      </c>
      <c r="AJ332" s="1" t="str">
        <f>IF(ISERROR(MATCH(A332,'SegEnds_Xtal_Prot#'!B:B, 0)), "NoXtal", "Xtal")</f>
        <v>NoXtal</v>
      </c>
    </row>
    <row r="333" spans="1:36" x14ac:dyDescent="0.2">
      <c r="A333" s="1" t="s">
        <v>1423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9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VLOOKUP(A333,'SegEnds_NonXtal_Prot#'!A:AL,10,FALSE)-VLOOKUP(A333,'SegEnds_NonXtal_Prot#'!A:AL,7,FALSE)</f>
        <v>16</v>
      </c>
      <c r="AC333" s="1" t="e">
        <f>VLOOKUP(A333,'SegEnds_NonXtal_Prot#'!A:AL,13,FALSE)-VLOOKUP(A333,'SegEnds_NonXtal_Prot#'!A:AL,10,FALSE)</f>
        <v>#VALUE!</v>
      </c>
      <c r="AD333" s="1">
        <f>VLOOKUP(A333,'SegEnds_NonXtal_Prot#'!A:AL,16,FALSE)-VLOOKUP(A333,'SegEnds_NonXtal_Prot#'!A:AL,10,FALSE)</f>
        <v>47</v>
      </c>
      <c r="AE333" s="1" t="e">
        <f>VLOOKUP(A333,'SegEnds_NonXtal_Prot#'!A:AL,22,FALSE)-VLOOKUP(A333,'SegEnds_NonXtal_Prot#'!A:AL,19,FALSE)</f>
        <v>#VALUE!</v>
      </c>
      <c r="AF333" s="1">
        <f>VLOOKUP(A333,'SegEnds_NonXtal_Prot#'!A:AL,28,FALSE)-VLOOKUP(A333,'SegEnds_NonXtal_Prot#'!A:AL,25,FALSE)</f>
        <v>19</v>
      </c>
      <c r="AG333" s="1">
        <f>VLOOKUP(A333,'SegEnds_NonXtal_Prot#'!A:AL,28,FALSE)-VLOOKUP(A333,'SegEnds_NonXtal_Prot#'!A:AL,22,FALSE)</f>
        <v>53</v>
      </c>
      <c r="AH333" s="1">
        <f>VLOOKUP(A333,'SegEnds_NonXtal_Prot#'!A:AL,31,FALSE)-VLOOKUP(A333,'SegEnds_NonXtal_Prot#'!A:AL,28,FALSE)</f>
        <v>51</v>
      </c>
      <c r="AI333" s="1">
        <f>VLOOKUP(A333,'SegEnds_NonXtal_Prot#'!A:AL,34,FALSE)-VLOOKUP(A333,'SegEnds_NonXtal_Prot#'!A:AL,31,FALSE)</f>
        <v>28</v>
      </c>
      <c r="AJ333" s="1" t="str">
        <f>IF(ISERROR(MATCH(A333,'SegEnds_Xtal_Prot#'!B:B, 0)), "NoXtal", "Xtal")</f>
        <v>NoXtal</v>
      </c>
    </row>
    <row r="334" spans="1:36" x14ac:dyDescent="0.2">
      <c r="A334" s="1" t="s">
        <v>1198</v>
      </c>
      <c r="B334" s="1" t="str">
        <f>VLOOKUP(A334,Xtal_Templ!A:B,2,FALSE)</f>
        <v>glp1r_human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65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18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9">
        <f>VLOOKUP($B334&amp;"__wt",'SegEnds_Xtal_BW#'!$A:$Z,15,FALSE)</f>
        <v>38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58</v>
      </c>
      <c r="W334" s="1">
        <v>29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 t="e">
        <f>VLOOKUP(A334,'SegEnds_NonXtal_Prot#'!A:AL,10,FALSE)-VLOOKUP(A334,'SegEnds_NonXtal_Prot#'!A:AL,7,FALSE)</f>
        <v>#VALUE!</v>
      </c>
      <c r="AC334" s="1" t="e">
        <f>VLOOKUP(A334,'SegEnds_NonXtal_Prot#'!A:AL,13,FALSE)-VLOOKUP(A334,'SegEnds_NonXtal_Prot#'!A:AL,10,FALSE)</f>
        <v>#VALUE!</v>
      </c>
      <c r="AD334" s="1">
        <f>VLOOKUP(A334,'SegEnds_NonXtal_Prot#'!A:AL,16,FALSE)-VLOOKUP(A334,'SegEnds_NonXtal_Prot#'!A:AL,10,FALSE)</f>
        <v>73</v>
      </c>
      <c r="AE334" s="1" t="e">
        <f>VLOOKUP(A334,'SegEnds_NonXtal_Prot#'!A:AL,22,FALSE)-VLOOKUP(A334,'SegEnds_NonXtal_Prot#'!A:AL,19,FALSE)</f>
        <v>#VALUE!</v>
      </c>
      <c r="AF334" s="1">
        <f>VLOOKUP(A334,'SegEnds_NonXtal_Prot#'!A:AL,28,FALSE)-VLOOKUP(A334,'SegEnds_NonXtal_Prot#'!A:AL,25,FALSE)</f>
        <v>26</v>
      </c>
      <c r="AG334" s="1">
        <f>VLOOKUP(A334,'SegEnds_NonXtal_Prot#'!A:AL,28,FALSE)-VLOOKUP(A334,'SegEnds_NonXtal_Prot#'!A:AL,22,FALSE)</f>
        <v>60</v>
      </c>
      <c r="AH334" s="1">
        <f>VLOOKUP(A334,'SegEnds_NonXtal_Prot#'!A:AL,31,FALSE)-VLOOKUP(A334,'SegEnds_NonXtal_Prot#'!A:AL,28,FALSE)</f>
        <v>51</v>
      </c>
      <c r="AI334" s="1">
        <f>VLOOKUP(A334,'SegEnds_NonXtal_Prot#'!A:AL,34,FALSE)-VLOOKUP(A334,'SegEnds_NonXtal_Prot#'!A:AL,31,FALSE)</f>
        <v>31</v>
      </c>
      <c r="AJ334" s="1" t="str">
        <f>IF(ISERROR(MATCH(A334,'SegEnds_Xtal_Prot#'!B:B, 0)), "NoXtal", "Xtal")</f>
        <v>NoXtal</v>
      </c>
    </row>
    <row r="335" spans="1:36" x14ac:dyDescent="0.2">
      <c r="A335" s="1" t="s">
        <v>1199</v>
      </c>
      <c r="B335" s="1" t="str">
        <f>VLOOKUP(A335,Xtal_Templ!A:B,2,FALSE)</f>
        <v>calcr_human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9">
        <f>VLOOKUP($B335&amp;"__wt",'SegEnds_Xtal_BW#'!$A:$Z,15,FALSE)</f>
        <v>41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VLOOKUP(A335,'SegEnds_NonXtal_Prot#'!A:AL,10,FALSE)-VLOOKUP(A335,'SegEnds_NonXtal_Prot#'!A:AL,7,FALSE)</f>
        <v>15</v>
      </c>
      <c r="AC335" s="1" t="e">
        <f>VLOOKUP(A335,'SegEnds_NonXtal_Prot#'!A:AL,13,FALSE)-VLOOKUP(A335,'SegEnds_NonXtal_Prot#'!A:AL,10,FALSE)</f>
        <v>#VALUE!</v>
      </c>
      <c r="AD335" s="1">
        <f>VLOOKUP(A335,'SegEnds_NonXtal_Prot#'!A:AL,16,FALSE)-VLOOKUP(A335,'SegEnds_NonXtal_Prot#'!A:AL,10,FALSE)</f>
        <v>45</v>
      </c>
      <c r="AE335" s="1" t="e">
        <f>VLOOKUP(A335,'SegEnds_NonXtal_Prot#'!A:AL,22,FALSE)-VLOOKUP(A335,'SegEnds_NonXtal_Prot#'!A:AL,19,FALSE)</f>
        <v>#VALUE!</v>
      </c>
      <c r="AF335" s="1">
        <f>VLOOKUP(A335,'SegEnds_NonXtal_Prot#'!A:AL,28,FALSE)-VLOOKUP(A335,'SegEnds_NonXtal_Prot#'!A:AL,25,FALSE)</f>
        <v>19</v>
      </c>
      <c r="AG335" s="1">
        <f>VLOOKUP(A335,'SegEnds_NonXtal_Prot#'!A:AL,28,FALSE)-VLOOKUP(A335,'SegEnds_NonXtal_Prot#'!A:AL,22,FALSE)</f>
        <v>43</v>
      </c>
      <c r="AH335" s="1">
        <f>VLOOKUP(A335,'SegEnds_NonXtal_Prot#'!A:AL,31,FALSE)-VLOOKUP(A335,'SegEnds_NonXtal_Prot#'!A:AL,28,FALSE)</f>
        <v>52</v>
      </c>
      <c r="AI335" s="1">
        <f>VLOOKUP(A335,'SegEnds_NonXtal_Prot#'!A:AL,34,FALSE)-VLOOKUP(A335,'SegEnds_NonXtal_Prot#'!A:AL,31,FALSE)</f>
        <v>28</v>
      </c>
      <c r="AJ335" s="1" t="str">
        <f>IF(ISERROR(MATCH(A335,'SegEnds_Xtal_Prot#'!B:B, 0)), "NoXtal", "Xtal")</f>
        <v>NoXtal</v>
      </c>
    </row>
    <row r="336" spans="1:36" x14ac:dyDescent="0.2">
      <c r="A336" s="1" t="s">
        <v>1200</v>
      </c>
      <c r="B336" s="1" t="str">
        <f>VLOOKUP(A336,Xtal_Templ!A:B,2,FALSE)</f>
        <v>calcr_human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9">
        <f>VLOOKUP($B336&amp;"__wt",'SegEnds_Xtal_BW#'!$A:$Z,15,FALSE)</f>
        <v>41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 t="e">
        <f>VLOOKUP(A336,'SegEnds_NonXtal_Prot#'!A:AL,10,FALSE)-VLOOKUP(A336,'SegEnds_NonXtal_Prot#'!A:AL,7,FALSE)</f>
        <v>#VALUE!</v>
      </c>
      <c r="AC336" s="1" t="e">
        <f>VLOOKUP(A336,'SegEnds_NonXtal_Prot#'!A:AL,13,FALSE)-VLOOKUP(A336,'SegEnds_NonXtal_Prot#'!A:AL,10,FALSE)</f>
        <v>#VALUE!</v>
      </c>
      <c r="AD336" s="1">
        <f>VLOOKUP(A336,'SegEnds_NonXtal_Prot#'!A:AL,16,FALSE)-VLOOKUP(A336,'SegEnds_NonXtal_Prot#'!A:AL,10,FALSE)</f>
        <v>45</v>
      </c>
      <c r="AE336" s="1" t="e">
        <f>VLOOKUP(A336,'SegEnds_NonXtal_Prot#'!A:AL,22,FALSE)-VLOOKUP(A336,'SegEnds_NonXtal_Prot#'!A:AL,19,FALSE)</f>
        <v>#VALUE!</v>
      </c>
      <c r="AF336" s="1">
        <f>VLOOKUP(A336,'SegEnds_NonXtal_Prot#'!A:AL,28,FALSE)-VLOOKUP(A336,'SegEnds_NonXtal_Prot#'!A:AL,25,FALSE)</f>
        <v>19</v>
      </c>
      <c r="AG336" s="1">
        <f>VLOOKUP(A336,'SegEnds_NonXtal_Prot#'!A:AL,28,FALSE)-VLOOKUP(A336,'SegEnds_NonXtal_Prot#'!A:AL,22,FALSE)</f>
        <v>43</v>
      </c>
      <c r="AH336" s="1">
        <f>VLOOKUP(A336,'SegEnds_NonXtal_Prot#'!A:AL,31,FALSE)-VLOOKUP(A336,'SegEnds_NonXtal_Prot#'!A:AL,28,FALSE)</f>
        <v>52</v>
      </c>
      <c r="AI336" s="1">
        <f>VLOOKUP(A336,'SegEnds_NonXtal_Prot#'!A:AL,34,FALSE)-VLOOKUP(A336,'SegEnds_NonXtal_Prot#'!A:AL,31,FALSE)</f>
        <v>28</v>
      </c>
      <c r="AJ336" s="1" t="str">
        <f>IF(ISERROR(MATCH(A336,'SegEnds_Xtal_Prot#'!B:B, 0)), "NoXtal", "Xtal")</f>
        <v>NoXtal</v>
      </c>
    </row>
    <row r="337" spans="1:36" x14ac:dyDescent="0.2">
      <c r="A337" s="1" t="s">
        <v>1201</v>
      </c>
      <c r="B337" s="1" t="str">
        <f>VLOOKUP(A337,Xtal_Templ!A:B,2,FALSE)</f>
        <v>crfr1_human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9">
        <f>VLOOKUP($B337&amp;"__wt",'SegEnds_Xtal_BW#'!$A:$Z,15,FALSE)</f>
        <v>40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53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VLOOKUP(A337,'SegEnds_NonXtal_Prot#'!A:AL,10,FALSE)-VLOOKUP(A337,'SegEnds_NonXtal_Prot#'!A:AL,7,FALSE)</f>
        <v>15</v>
      </c>
      <c r="AC337" s="1" t="e">
        <f>VLOOKUP(A337,'SegEnds_NonXtal_Prot#'!A:AL,13,FALSE)-VLOOKUP(A337,'SegEnds_NonXtal_Prot#'!A:AL,10,FALSE)</f>
        <v>#VALUE!</v>
      </c>
      <c r="AD337" s="1">
        <f>VLOOKUP(A337,'SegEnds_NonXtal_Prot#'!A:AL,16,FALSE)-VLOOKUP(A337,'SegEnds_NonXtal_Prot#'!A:AL,10,FALSE)</f>
        <v>45</v>
      </c>
      <c r="AE337" s="1" t="e">
        <f>VLOOKUP(A337,'SegEnds_NonXtal_Prot#'!A:AL,22,FALSE)-VLOOKUP(A337,'SegEnds_NonXtal_Prot#'!A:AL,19,FALSE)</f>
        <v>#VALUE!</v>
      </c>
      <c r="AF337" s="1">
        <f>VLOOKUP(A337,'SegEnds_NonXtal_Prot#'!A:AL,28,FALSE)-VLOOKUP(A337,'SegEnds_NonXtal_Prot#'!A:AL,25,FALSE)</f>
        <v>19</v>
      </c>
      <c r="AG337" s="1">
        <f>VLOOKUP(A337,'SegEnds_NonXtal_Prot#'!A:AL,28,FALSE)-VLOOKUP(A337,'SegEnds_NonXtal_Prot#'!A:AL,22,FALSE)</f>
        <v>43</v>
      </c>
      <c r="AH337" s="1">
        <f>VLOOKUP(A337,'SegEnds_NonXtal_Prot#'!A:AL,31,FALSE)-VLOOKUP(A337,'SegEnds_NonXtal_Prot#'!A:AL,28,FALSE)</f>
        <v>52</v>
      </c>
      <c r="AI337" s="1">
        <f>VLOOKUP(A337,'SegEnds_NonXtal_Prot#'!A:AL,34,FALSE)-VLOOKUP(A337,'SegEnds_NonXtal_Prot#'!A:AL,31,FALSE)</f>
        <v>28</v>
      </c>
      <c r="AJ337" s="1" t="str">
        <f>IF(ISERROR(MATCH(A337,'SegEnds_Xtal_Prot#'!B:B, 0)), "NoXtal", "Xtal")</f>
        <v>NoXtal</v>
      </c>
    </row>
    <row r="338" spans="1:36" x14ac:dyDescent="0.2">
      <c r="A338" s="1" t="s">
        <v>1202</v>
      </c>
      <c r="B338" s="1" t="str">
        <f>VLOOKUP(A338,Xtal_Templ!A:B,2,FALSE)</f>
        <v>crfr1_human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9">
        <f>VLOOKUP($B338&amp;"__wt",'SegEnds_Xtal_BW#'!$A:$Z,15,FALSE)</f>
        <v>40</v>
      </c>
      <c r="P338" s="1">
        <f>VLOOKUP($B338&amp;"__wt",'SegEnds_Xtal_BW#'!$A:$Z,16,FALSE)</f>
        <v>68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 t="e">
        <f>VLOOKUP(A338,'SegEnds_NonXtal_Prot#'!A:AL,10,FALSE)-VLOOKUP(A338,'SegEnds_NonXtal_Prot#'!A:AL,7,FALSE)</f>
        <v>#VALUE!</v>
      </c>
      <c r="AC338" s="1" t="e">
        <f>VLOOKUP(A338,'SegEnds_NonXtal_Prot#'!A:AL,13,FALSE)-VLOOKUP(A338,'SegEnds_NonXtal_Prot#'!A:AL,10,FALSE)</f>
        <v>#VALUE!</v>
      </c>
      <c r="AD338" s="1">
        <f>VLOOKUP(A338,'SegEnds_NonXtal_Prot#'!A:AL,16,FALSE)-VLOOKUP(A338,'SegEnds_NonXtal_Prot#'!A:AL,10,FALSE)</f>
        <v>45</v>
      </c>
      <c r="AE338" s="1" t="e">
        <f>VLOOKUP(A338,'SegEnds_NonXtal_Prot#'!A:AL,22,FALSE)-VLOOKUP(A338,'SegEnds_NonXtal_Prot#'!A:AL,19,FALSE)</f>
        <v>#VALUE!</v>
      </c>
      <c r="AF338" s="1">
        <f>VLOOKUP(A338,'SegEnds_NonXtal_Prot#'!A:AL,28,FALSE)-VLOOKUP(A338,'SegEnds_NonXtal_Prot#'!A:AL,25,FALSE)</f>
        <v>19</v>
      </c>
      <c r="AG338" s="1">
        <f>VLOOKUP(A338,'SegEnds_NonXtal_Prot#'!A:AL,28,FALSE)-VLOOKUP(A338,'SegEnds_NonXtal_Prot#'!A:AL,22,FALSE)</f>
        <v>43</v>
      </c>
      <c r="AH338" s="1">
        <f>VLOOKUP(A338,'SegEnds_NonXtal_Prot#'!A:AL,31,FALSE)-VLOOKUP(A338,'SegEnds_NonXtal_Prot#'!A:AL,28,FALSE)</f>
        <v>52</v>
      </c>
      <c r="AI338" s="1">
        <f>VLOOKUP(A338,'SegEnds_NonXtal_Prot#'!A:AL,34,FALSE)-VLOOKUP(A338,'SegEnds_NonXtal_Prot#'!A:AL,31,FALSE)</f>
        <v>28</v>
      </c>
      <c r="AJ338" s="1" t="str">
        <f>IF(ISERROR(MATCH(A338,'SegEnds_Xtal_Prot#'!B:B, 0)), "NoXtal", "Xtal")</f>
        <v>NoXtal</v>
      </c>
    </row>
    <row r="339" spans="1:36" x14ac:dyDescent="0.2">
      <c r="A339" s="1" t="s">
        <v>414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9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 t="e">
        <f>VLOOKUP(A339,'SegEnds_NonXtal_Prot#'!A:AL,10,FALSE)-VLOOKUP(A339,'SegEnds_NonXtal_Prot#'!A:AL,7,FALSE)</f>
        <v>#VALUE!</v>
      </c>
      <c r="AC339" s="1" t="e">
        <f>VLOOKUP(A339,'SegEnds_NonXtal_Prot#'!A:AL,13,FALSE)-VLOOKUP(A339,'SegEnds_NonXtal_Prot#'!A:AL,10,FALSE)</f>
        <v>#VALUE!</v>
      </c>
      <c r="AD339" s="1">
        <f>VLOOKUP(A339,'SegEnds_NonXtal_Prot#'!A:AL,16,FALSE)-VLOOKUP(A339,'SegEnds_NonXtal_Prot#'!A:AL,10,FALSE)</f>
        <v>45</v>
      </c>
      <c r="AE339" s="1" t="e">
        <f>VLOOKUP(A339,'SegEnds_NonXtal_Prot#'!A:AL,22,FALSE)-VLOOKUP(A339,'SegEnds_NonXtal_Prot#'!A:AL,19,FALSE)</f>
        <v>#VALUE!</v>
      </c>
      <c r="AF339" s="1">
        <f>VLOOKUP(A339,'SegEnds_NonXtal_Prot#'!A:AL,28,FALSE)-VLOOKUP(A339,'SegEnds_NonXtal_Prot#'!A:AL,25,FALSE)</f>
        <v>19</v>
      </c>
      <c r="AG339" s="1">
        <f>VLOOKUP(A339,'SegEnds_NonXtal_Prot#'!A:AL,28,FALSE)-VLOOKUP(A339,'SegEnds_NonXtal_Prot#'!A:AL,22,FALSE)</f>
        <v>44</v>
      </c>
      <c r="AH339" s="1">
        <f>VLOOKUP(A339,'SegEnds_NonXtal_Prot#'!A:AL,31,FALSE)-VLOOKUP(A339,'SegEnds_NonXtal_Prot#'!A:AL,28,FALSE)</f>
        <v>50</v>
      </c>
      <c r="AI339" s="1">
        <f>VLOOKUP(A339,'SegEnds_NonXtal_Prot#'!A:AL,34,FALSE)-VLOOKUP(A339,'SegEnds_NonXtal_Prot#'!A:AL,31,FALSE)</f>
        <v>29</v>
      </c>
      <c r="AJ339" s="1" t="str">
        <f>IF(ISERROR(MATCH(A339,'SegEnds_Xtal_Prot#'!B:B, 0)), "NoXtal", "Xtal")</f>
        <v>NoXtal</v>
      </c>
    </row>
    <row r="340" spans="1:36" x14ac:dyDescent="0.2">
      <c r="A340" s="4" t="s">
        <v>417</v>
      </c>
      <c r="B340" s="4" t="str">
        <f>VLOOKUP(A340,Xtal_Templ!A:B,2,FALSE)</f>
        <v>glp1r_human</v>
      </c>
      <c r="C340" s="5">
        <v>23</v>
      </c>
      <c r="D340" s="4">
        <f>VLOOKUP($B340&amp;"__wt",'SegEnds_Xtal_BW#'!$A:$Z,4,FALSE)</f>
        <v>60</v>
      </c>
      <c r="E340" s="4">
        <f>VLOOKUP($B340&amp;"__wt",'SegEnds_Xtal_BW#'!$A:$Z,5,FALSE)</f>
        <v>48</v>
      </c>
      <c r="F340" s="4">
        <f>VLOOKUP($B340&amp;"__wt",'SegEnds_Xtal_BW#'!$A:$Z,6,FALSE)</f>
        <v>51</v>
      </c>
      <c r="G340" s="4">
        <v>37</v>
      </c>
      <c r="H340" s="11">
        <v>63</v>
      </c>
      <c r="I340" s="4" t="str">
        <f>VLOOKUP($B340&amp;"__wt",'SegEnds_Xtal_BW#'!$A:$Z,9,FALSE)</f>
        <v>-</v>
      </c>
      <c r="J340" s="4" t="str">
        <f>VLOOKUP($B340&amp;"__wt",'SegEnds_Xtal_BW#'!$A:$Z,10,FALSE)</f>
        <v>-</v>
      </c>
      <c r="K340" s="11">
        <v>23</v>
      </c>
      <c r="L340" s="4">
        <f>VLOOKUP($B340&amp;"__wt",'SegEnds_Xtal_BW#'!$A:$Z,12,FALSE)</f>
        <v>56</v>
      </c>
      <c r="M340" s="4" t="str">
        <f>VLOOKUP($B340&amp;"__wt",'SegEnds_Xtal_BW#'!$A:$Z,13,FALSE)</f>
        <v>-</v>
      </c>
      <c r="N340" s="11" t="str">
        <f>VLOOKUP($B340&amp;"__wt",'SegEnds_Xtal_BW#'!$A:$Z,14,FALSE)</f>
        <v>-</v>
      </c>
      <c r="O340" s="90">
        <f>VLOOKUP($B340&amp;"__wt",'SegEnds_Xtal_BW#'!$A:$Z,15,FALSE)</f>
        <v>38</v>
      </c>
      <c r="P340" s="4">
        <f>VLOOKUP($B340&amp;"__wt",'SegEnds_Xtal_BW#'!$A:$Z,16,FALSE)</f>
        <v>68</v>
      </c>
      <c r="Q340" s="4">
        <f>VLOOKUP($B340&amp;"__wt",'SegEnds_Xtal_BW#'!$A:$Z,17,FALSE)</f>
        <v>50</v>
      </c>
      <c r="R340" s="4">
        <f>VLOOKUP($B340&amp;"__wt",'SegEnds_Xtal_BW#'!$A:$Z,18,FALSE)</f>
        <v>52</v>
      </c>
      <c r="S340" s="4">
        <v>36</v>
      </c>
      <c r="T340" s="4">
        <v>69</v>
      </c>
      <c r="U340" s="4">
        <v>29</v>
      </c>
      <c r="V340" s="4">
        <f>VLOOKUP($B340&amp;"__wt",'SegEnds_Xtal_BW#'!$A:$Z,22,FALSE)</f>
        <v>58</v>
      </c>
      <c r="W340" s="4">
        <v>31</v>
      </c>
      <c r="X340" s="4">
        <f>VLOOKUP($B340&amp;"__wt",'SegEnds_Xtal_BW#'!$A:$Z,24,FALSE)</f>
        <v>56</v>
      </c>
      <c r="Y340" s="4">
        <f>VLOOKUP($B340&amp;"__wt",'SegEnds_Xtal_BW#'!$A:$Z,25,FALSE)</f>
        <v>47</v>
      </c>
      <c r="Z340" s="4">
        <v>63</v>
      </c>
      <c r="AA340" s="27" t="str">
        <f>VLOOKUP(A340,Classification!A:B,2,FALSE)</f>
        <v>B2</v>
      </c>
      <c r="AB340" s="4" t="e">
        <f>VLOOKUP(A340,'SegEnds_NonXtal_Prot#'!A:AL,10,FALSE)-VLOOKUP(A340,'SegEnds_NonXtal_Prot#'!A:AL,7,FALSE)</f>
        <v>#VALUE!</v>
      </c>
      <c r="AC340" s="4" t="e">
        <f>VLOOKUP(A340,'SegEnds_NonXtal_Prot#'!A:AL,13,FALSE)-VLOOKUP(A340,'SegEnds_NonXtal_Prot#'!A:AL,10,FALSE)</f>
        <v>#VALUE!</v>
      </c>
      <c r="AD340" s="4">
        <f>VLOOKUP(A340,'SegEnds_NonXtal_Prot#'!A:AL,16,FALSE)-VLOOKUP(A340,'SegEnds_NonXtal_Prot#'!A:AL,10,FALSE)</f>
        <v>47</v>
      </c>
      <c r="AE340" s="1" t="e">
        <f>VLOOKUP(A340,'SegEnds_NonXtal_Prot#'!A:AL,22,FALSE)-VLOOKUP(A340,'SegEnds_NonXtal_Prot#'!A:AL,19,FALSE)</f>
        <v>#VALUE!</v>
      </c>
      <c r="AF340" s="4">
        <f>VLOOKUP(A340,'SegEnds_NonXtal_Prot#'!A:AL,28,FALSE)-VLOOKUP(A340,'SegEnds_NonXtal_Prot#'!A:AL,25,FALSE)</f>
        <v>19</v>
      </c>
      <c r="AG340" s="1">
        <f>VLOOKUP(A340,'SegEnds_NonXtal_Prot#'!A:AL,28,FALSE)-VLOOKUP(A340,'SegEnds_NonXtal_Prot#'!A:AL,22,FALSE)</f>
        <v>43</v>
      </c>
      <c r="AH340" s="4">
        <f>VLOOKUP(A340,'SegEnds_NonXtal_Prot#'!A:AL,31,FALSE)-VLOOKUP(A340,'SegEnds_NonXtal_Prot#'!A:AL,28,FALSE)</f>
        <v>52</v>
      </c>
      <c r="AI340" s="4">
        <f>VLOOKUP(A340,'SegEnds_NonXtal_Prot#'!A:AL,34,FALSE)-VLOOKUP(A340,'SegEnds_NonXtal_Prot#'!A:AL,31,FALSE)</f>
        <v>28</v>
      </c>
      <c r="AJ340" s="1" t="str">
        <f>IF(ISERROR(MATCH(A340,'SegEnds_Xtal_Prot#'!B:B, 0)), "NoXtal", "Xtal")</f>
        <v>NoXtal</v>
      </c>
    </row>
    <row r="341" spans="1:36" x14ac:dyDescent="0.2">
      <c r="A341" s="1" t="s">
        <v>418</v>
      </c>
      <c r="B341" s="1" t="str">
        <f>VLOOKUP(A341,Xtal_Templ!A:B,2,FALSE)</f>
        <v>calcr_human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9">
        <f>VLOOKUP($B341&amp;"__wt",'SegEnds_Xtal_BW#'!$A:$Z,15,FALSE)</f>
        <v>41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VLOOKUP(A341,'SegEnds_NonXtal_Prot#'!A:AL,10,FALSE)-VLOOKUP(A341,'SegEnds_NonXtal_Prot#'!A:AL,7,FALSE)</f>
        <v>15</v>
      </c>
      <c r="AC341" s="1" t="e">
        <f>VLOOKUP(A341,'SegEnds_NonXtal_Prot#'!A:AL,13,FALSE)-VLOOKUP(A341,'SegEnds_NonXtal_Prot#'!A:AL,10,FALSE)</f>
        <v>#VALUE!</v>
      </c>
      <c r="AD341" s="1">
        <f>VLOOKUP(A341,'SegEnds_NonXtal_Prot#'!A:AL,16,FALSE)-VLOOKUP(A341,'SegEnds_NonXtal_Prot#'!A:AL,10,FALSE)</f>
        <v>45</v>
      </c>
      <c r="AE341" s="1" t="e">
        <f>VLOOKUP(A341,'SegEnds_NonXtal_Prot#'!A:AL,22,FALSE)-VLOOKUP(A341,'SegEnds_NonXtal_Prot#'!A:AL,19,FALSE)</f>
        <v>#VALUE!</v>
      </c>
      <c r="AF341" s="1">
        <f>VLOOKUP(A341,'SegEnds_NonXtal_Prot#'!A:AL,28,FALSE)-VLOOKUP(A341,'SegEnds_NonXtal_Prot#'!A:AL,25,FALSE)</f>
        <v>19</v>
      </c>
      <c r="AG341" s="1">
        <f>VLOOKUP(A341,'SegEnds_NonXtal_Prot#'!A:AL,28,FALSE)-VLOOKUP(A341,'SegEnds_NonXtal_Prot#'!A:AL,22,FALSE)</f>
        <v>43</v>
      </c>
      <c r="AH341" s="1">
        <f>VLOOKUP(A341,'SegEnds_NonXtal_Prot#'!A:AL,31,FALSE)-VLOOKUP(A341,'SegEnds_NonXtal_Prot#'!A:AL,28,FALSE)</f>
        <v>48</v>
      </c>
      <c r="AI341" s="1">
        <f>VLOOKUP(A341,'SegEnds_NonXtal_Prot#'!A:AL,34,FALSE)-VLOOKUP(A341,'SegEnds_NonXtal_Prot#'!A:AL,31,FALSE)</f>
        <v>28</v>
      </c>
      <c r="AJ341" s="1" t="str">
        <f>IF(ISERROR(MATCH(A341,'SegEnds_Xtal_Prot#'!B:B, 0)), "NoXtal", "Xtal")</f>
        <v>NoXtal</v>
      </c>
    </row>
    <row r="342" spans="1:36" x14ac:dyDescent="0.2">
      <c r="A342" s="4" t="s">
        <v>419</v>
      </c>
      <c r="B342" s="4" t="str">
        <f>VLOOKUP(A342,Xtal_Templ!A:B,2,FALSE)</f>
        <v>calcr_human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90">
        <f>VLOOKUP($B342&amp;"__wt",'SegEnds_Xtal_BW#'!$A:$Z,15,FALSE)</f>
        <v>41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4">
        <v>31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4">
        <f>VLOOKUP(A342,'SegEnds_NonXtal_Prot#'!A:AL,10,FALSE)-VLOOKUP(A342,'SegEnds_NonXtal_Prot#'!A:AL,7,FALSE)</f>
        <v>15</v>
      </c>
      <c r="AC342" s="4" t="e">
        <f>VLOOKUP(A342,'SegEnds_NonXtal_Prot#'!A:AL,13,FALSE)-VLOOKUP(A342,'SegEnds_NonXtal_Prot#'!A:AL,10,FALSE)</f>
        <v>#VALUE!</v>
      </c>
      <c r="AD342" s="4">
        <f>VLOOKUP(A342,'SegEnds_NonXtal_Prot#'!A:AL,16,FALSE)-VLOOKUP(A342,'SegEnds_NonXtal_Prot#'!A:AL,10,FALSE)</f>
        <v>45</v>
      </c>
      <c r="AE342" s="1" t="e">
        <f>VLOOKUP(A342,'SegEnds_NonXtal_Prot#'!A:AL,22,FALSE)-VLOOKUP(A342,'SegEnds_NonXtal_Prot#'!A:AL,19,FALSE)</f>
        <v>#VALUE!</v>
      </c>
      <c r="AF342" s="4">
        <f>VLOOKUP(A342,'SegEnds_NonXtal_Prot#'!A:AL,28,FALSE)-VLOOKUP(A342,'SegEnds_NonXtal_Prot#'!A:AL,25,FALSE)</f>
        <v>19</v>
      </c>
      <c r="AG342" s="1">
        <f>VLOOKUP(A342,'SegEnds_NonXtal_Prot#'!A:AL,28,FALSE)-VLOOKUP(A342,'SegEnds_NonXtal_Prot#'!A:AL,22,FALSE)</f>
        <v>43</v>
      </c>
      <c r="AH342" s="4">
        <f>VLOOKUP(A342,'SegEnds_NonXtal_Prot#'!A:AL,31,FALSE)-VLOOKUP(A342,'SegEnds_NonXtal_Prot#'!A:AL,28,FALSE)</f>
        <v>48</v>
      </c>
      <c r="AI342" s="4">
        <f>VLOOKUP(A342,'SegEnds_NonXtal_Prot#'!A:AL,34,FALSE)-VLOOKUP(A342,'SegEnds_NonXtal_Prot#'!A:AL,31,FALSE)</f>
        <v>28</v>
      </c>
      <c r="AJ342" s="1" t="str">
        <f>IF(ISERROR(MATCH(A342,'SegEnds_Xtal_Prot#'!B:B, 0)), "NoXtal", "Xtal")</f>
        <v>NoXtal</v>
      </c>
    </row>
    <row r="343" spans="1:36" x14ac:dyDescent="0.2">
      <c r="A343" s="1" t="s">
        <v>420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9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31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VLOOKUP(A343,'SegEnds_NonXtal_Prot#'!A:AL,10,FALSE)-VLOOKUP(A343,'SegEnds_NonXtal_Prot#'!A:AL,7,FALSE)</f>
        <v>15</v>
      </c>
      <c r="AC343" s="1" t="e">
        <f>VLOOKUP(A343,'SegEnds_NonXtal_Prot#'!A:AL,13,FALSE)-VLOOKUP(A343,'SegEnds_NonXtal_Prot#'!A:AL,10,FALSE)</f>
        <v>#VALUE!</v>
      </c>
      <c r="AD343" s="1">
        <f>VLOOKUP(A343,'SegEnds_NonXtal_Prot#'!A:AL,16,FALSE)-VLOOKUP(A343,'SegEnds_NonXtal_Prot#'!A:AL,10,FALSE)</f>
        <v>45</v>
      </c>
      <c r="AE343" s="1" t="e">
        <f>VLOOKUP(A343,'SegEnds_NonXtal_Prot#'!A:AL,22,FALSE)-VLOOKUP(A343,'SegEnds_NonXtal_Prot#'!A:AL,19,FALSE)</f>
        <v>#VALUE!</v>
      </c>
      <c r="AF343" s="1">
        <f>VLOOKUP(A343,'SegEnds_NonXtal_Prot#'!A:AL,28,FALSE)-VLOOKUP(A343,'SegEnds_NonXtal_Prot#'!A:AL,25,FALSE)</f>
        <v>19</v>
      </c>
      <c r="AG343" s="1">
        <f>VLOOKUP(A343,'SegEnds_NonXtal_Prot#'!A:AL,28,FALSE)-VLOOKUP(A343,'SegEnds_NonXtal_Prot#'!A:AL,22,FALSE)</f>
        <v>43</v>
      </c>
      <c r="AH343" s="1">
        <f>VLOOKUP(A343,'SegEnds_NonXtal_Prot#'!A:AL,31,FALSE)-VLOOKUP(A343,'SegEnds_NonXtal_Prot#'!A:AL,28,FALSE)</f>
        <v>47</v>
      </c>
      <c r="AI343" s="1">
        <f>VLOOKUP(A343,'SegEnds_NonXtal_Prot#'!A:AL,34,FALSE)-VLOOKUP(A343,'SegEnds_NonXtal_Prot#'!A:AL,31,FALSE)</f>
        <v>28</v>
      </c>
      <c r="AJ343" s="1" t="str">
        <f>IF(ISERROR(MATCH(A343,'SegEnds_Xtal_Prot#'!B:B, 0)), "NoXtal", "Xtal")</f>
        <v>NoXtal</v>
      </c>
    </row>
    <row r="344" spans="1:36" x14ac:dyDescent="0.2">
      <c r="A344" s="1" t="s">
        <v>442</v>
      </c>
      <c r="B344" s="1" t="str">
        <f>VLOOKUP(A344,Xtal_Templ!A:B,2,FALSE)</f>
        <v>crfr1_human</v>
      </c>
      <c r="C344" s="5">
        <v>23</v>
      </c>
      <c r="D344" s="1">
        <f>VLOOKUP($B344&amp;"__wt",'SegEnds_Xtal_BW#'!$A:$Z,4,FALSE)</f>
        <v>60</v>
      </c>
      <c r="E344" s="1">
        <f>VLOOKUP($B344&amp;"__wt",'SegEnds_Xtal_BW#'!$A:$Z,5,FALSE)</f>
        <v>48</v>
      </c>
      <c r="F344" s="1">
        <f>VLOOKUP($B344&amp;"__wt",'SegEnds_Xtal_BW#'!$A:$Z,6,FALSE)</f>
        <v>51</v>
      </c>
      <c r="G344" s="1">
        <v>37</v>
      </c>
      <c r="H344" s="12">
        <v>63</v>
      </c>
      <c r="I344" s="1" t="str">
        <f>VLOOKUP($B344&amp;"__wt",'SegEnds_Xtal_BW#'!$A:$Z,9,FALSE)</f>
        <v>-</v>
      </c>
      <c r="J344" s="1" t="str">
        <f>VLOOKUP($B344&amp;"__wt",'SegEnds_Xtal_BW#'!$A:$Z,10,FALSE)</f>
        <v>-</v>
      </c>
      <c r="K344" s="12">
        <v>23</v>
      </c>
      <c r="L344" s="1">
        <f>VLOOKUP($B344&amp;"__wt",'SegEnds_Xtal_BW#'!$A:$Z,12,FALSE)</f>
        <v>56</v>
      </c>
      <c r="M344" s="1" t="str">
        <f>VLOOKUP($B344&amp;"__wt",'SegEnds_Xtal_BW#'!$A:$Z,13,FALSE)</f>
        <v>-</v>
      </c>
      <c r="N344" s="12" t="str">
        <f>VLOOKUP($B344&amp;"__wt",'SegEnds_Xtal_BW#'!$A:$Z,14,FALSE)</f>
        <v>-</v>
      </c>
      <c r="O344" s="89">
        <f>VLOOKUP($B344&amp;"__wt",'SegEnds_Xtal_BW#'!$A:$Z,15,FALSE)</f>
        <v>40</v>
      </c>
      <c r="P344" s="1">
        <f>VLOOKUP($B344&amp;"__wt",'SegEnds_Xtal_BW#'!$A:$Z,16,FALSE)</f>
        <v>68</v>
      </c>
      <c r="Q344" s="1">
        <f>VLOOKUP($B344&amp;"__wt",'SegEnds_Xtal_BW#'!$A:$Z,17,FALSE)</f>
        <v>50</v>
      </c>
      <c r="R344" s="1">
        <f>VLOOKUP($B344&amp;"__wt",'SegEnds_Xtal_BW#'!$A:$Z,18,FALSE)</f>
        <v>52</v>
      </c>
      <c r="S344" s="1">
        <v>36</v>
      </c>
      <c r="T344" s="1">
        <v>69</v>
      </c>
      <c r="U344" s="1">
        <v>29</v>
      </c>
      <c r="V344" s="1">
        <f>VLOOKUP($B344&amp;"__wt",'SegEnds_Xtal_BW#'!$A:$Z,22,FALSE)</f>
        <v>53</v>
      </c>
      <c r="W344" s="1">
        <v>31</v>
      </c>
      <c r="X344" s="1">
        <f>VLOOKUP($B344&amp;"__wt",'SegEnds_Xtal_BW#'!$A:$Z,24,FALSE)</f>
        <v>56</v>
      </c>
      <c r="Y344" s="1">
        <f>VLOOKUP($B344&amp;"__wt",'SegEnds_Xtal_BW#'!$A:$Z,25,FALSE)</f>
        <v>47</v>
      </c>
      <c r="Z344" s="1">
        <v>63</v>
      </c>
      <c r="AA344" s="27" t="str">
        <f>VLOOKUP(A344,Classification!A:B,2,FALSE)</f>
        <v>B2</v>
      </c>
      <c r="AB344" s="1" t="e">
        <f>VLOOKUP(A344,'SegEnds_NonXtal_Prot#'!A:AL,10,FALSE)-VLOOKUP(A344,'SegEnds_NonXtal_Prot#'!A:AL,7,FALSE)</f>
        <v>#VALUE!</v>
      </c>
      <c r="AC344" s="1" t="e">
        <f>VLOOKUP(A344,'SegEnds_NonXtal_Prot#'!A:AL,13,FALSE)-VLOOKUP(A344,'SegEnds_NonXtal_Prot#'!A:AL,10,FALSE)</f>
        <v>#VALUE!</v>
      </c>
      <c r="AD344" s="1">
        <f>VLOOKUP(A344,'SegEnds_NonXtal_Prot#'!A:AL,16,FALSE)-VLOOKUP(A344,'SegEnds_NonXtal_Prot#'!A:AL,10,FALSE)</f>
        <v>47</v>
      </c>
      <c r="AE344" s="1" t="e">
        <f>VLOOKUP(A344,'SegEnds_NonXtal_Prot#'!A:AL,22,FALSE)-VLOOKUP(A344,'SegEnds_NonXtal_Prot#'!A:AL,19,FALSE)</f>
        <v>#VALUE!</v>
      </c>
      <c r="AF344" s="1">
        <f>VLOOKUP(A344,'SegEnds_NonXtal_Prot#'!A:AL,28,FALSE)-VLOOKUP(A344,'SegEnds_NonXtal_Prot#'!A:AL,25,FALSE)</f>
        <v>20</v>
      </c>
      <c r="AG344" s="1">
        <f>VLOOKUP(A344,'SegEnds_NonXtal_Prot#'!A:AL,28,FALSE)-VLOOKUP(A344,'SegEnds_NonXtal_Prot#'!A:AL,22,FALSE)</f>
        <v>54</v>
      </c>
      <c r="AH344" s="1">
        <f>VLOOKUP(A344,'SegEnds_NonXtal_Prot#'!A:AL,31,FALSE)-VLOOKUP(A344,'SegEnds_NonXtal_Prot#'!A:AL,28,FALSE)</f>
        <v>49</v>
      </c>
      <c r="AI344" s="1">
        <f>VLOOKUP(A344,'SegEnds_NonXtal_Prot#'!A:AL,34,FALSE)-VLOOKUP(A344,'SegEnds_NonXtal_Prot#'!A:AL,31,FALSE)</f>
        <v>28</v>
      </c>
      <c r="AJ344" s="1" t="str">
        <f>IF(ISERROR(MATCH(A344,'SegEnds_Xtal_Prot#'!B:B, 0)), "NoXtal", "Xtal")</f>
        <v>NoXtal</v>
      </c>
    </row>
    <row r="345" spans="1:36" s="43" customFormat="1" x14ac:dyDescent="0.2">
      <c r="A345" s="43" t="s">
        <v>105</v>
      </c>
      <c r="B345" s="43" t="str">
        <f>VLOOKUP(A345,Xtal_Templ!A:B,2,FALSE)</f>
        <v>grm5_human</v>
      </c>
      <c r="C345" s="44">
        <f>VLOOKUP($B345&amp;"__wt",'SegEnds_Xtal_BW#'!$A:$Z,3,FALSE)</f>
        <v>34</v>
      </c>
      <c r="D345" s="43">
        <f>VLOOKUP($B345&amp;"__wt",'SegEnds_Xtal_BW#'!$A:$Z,4,FALSE)</f>
        <v>60</v>
      </c>
      <c r="E345" s="43">
        <f>VLOOKUP($B345&amp;"__wt",'SegEnds_Xtal_BW#'!$A:$Z,5,FALSE)</f>
        <v>47</v>
      </c>
      <c r="F345" s="43">
        <f>VLOOKUP($B345&amp;"__wt",'SegEnds_Xtal_BW#'!$A:$Z,6,FALSE)</f>
        <v>53</v>
      </c>
      <c r="G345" s="43">
        <v>39</v>
      </c>
      <c r="H345" s="104">
        <f>VLOOKUP($B345&amp;"__wt",'SegEnds_Xtal_BW#'!$A:$Z,8,FALSE)</f>
        <v>61</v>
      </c>
      <c r="I345" s="43" t="str">
        <f>VLOOKUP($B345&amp;"__wt",'SegEnds_Xtal_BW#'!$A:$Z,9,FALSE)</f>
        <v>-</v>
      </c>
      <c r="J345" s="43" t="str">
        <f>VLOOKUP($B345&amp;"__wt",'SegEnds_Xtal_BW#'!$A:$Z,10,FALSE)</f>
        <v>-</v>
      </c>
      <c r="K345" s="104">
        <f>VLOOKUP($B345&amp;"__wt",'SegEnds_Xtal_BW#'!$A:$Z,11,FALSE)</f>
        <v>22</v>
      </c>
      <c r="L345" s="43">
        <f>VLOOKUP($B345&amp;"__wt",'SegEnds_Xtal_BW#'!$A:$Z,12,FALSE)</f>
        <v>54</v>
      </c>
      <c r="M345" s="43" t="str">
        <f>VLOOKUP($B345&amp;"__wt",'SegEnds_Xtal_BW#'!$A:$Z,13,FALSE)</f>
        <v>-</v>
      </c>
      <c r="N345" s="104" t="str">
        <f>VLOOKUP($B345&amp;"__wt",'SegEnds_Xtal_BW#'!$A:$Z,14,FALSE)</f>
        <v>-</v>
      </c>
      <c r="O345" s="91">
        <f>VLOOKUP($B345&amp;"__wt",'SegEnds_Xtal_BW#'!$A:$Z,15,FALSE)</f>
        <v>38</v>
      </c>
      <c r="P345" s="43">
        <f>VLOOKUP($B345&amp;"__wt",'SegEnds_Xtal_BW#'!$A:$Z,16,FALSE)</f>
        <v>64</v>
      </c>
      <c r="Q345" s="43">
        <f>VLOOKUP($B345&amp;"__wt",'SegEnds_Xtal_BW#'!$A:$Z,17,FALSE)</f>
        <v>50</v>
      </c>
      <c r="R345" s="43">
        <f>VLOOKUP($B345&amp;"__wt",'SegEnds_Xtal_BW#'!$A:$Z,18,FALSE)</f>
        <v>52</v>
      </c>
      <c r="S345" s="43">
        <f>VLOOKUP($B345&amp;"__wt",'SegEnds_Xtal_BW#'!$A:$Z,19,FALSE)</f>
        <v>37</v>
      </c>
      <c r="T345" s="43">
        <f>VLOOKUP($B345&amp;"__wt",'SegEnds_Xtal_BW#'!$A:$Z,20,FALSE)</f>
        <v>61</v>
      </c>
      <c r="U345" s="43">
        <f>VLOOKUP($B345&amp;"__wt",'SegEnds_Xtal_BW#'!$A:$Z,21,FALSE)</f>
        <v>33</v>
      </c>
      <c r="V345" s="43">
        <f>VLOOKUP($B345&amp;"__wt",'SegEnds_Xtal_BW#'!$A:$Z,22,FALSE)</f>
        <v>57</v>
      </c>
      <c r="W345" s="43">
        <f>VLOOKUP($B345&amp;"__wt",'SegEnds_Xtal_BW#'!$A:$Z,23,FALSE)</f>
        <v>34</v>
      </c>
      <c r="X345" s="43">
        <f>VLOOKUP($B345&amp;"__wt",'SegEnds_Xtal_BW#'!$A:$Z,24,FALSE)</f>
        <v>63</v>
      </c>
      <c r="Y345" s="43">
        <f>VLOOKUP($B345&amp;"__wt",'SegEnds_Xtal_BW#'!$A:$Z,25,FALSE)</f>
        <v>47</v>
      </c>
      <c r="Z345" s="43">
        <f>VLOOKUP($B345&amp;"__wt",'SegEnds_Xtal_BW#'!$A:$Z,26,FALSE)</f>
        <v>59</v>
      </c>
      <c r="AA345" s="45" t="str">
        <f>VLOOKUP(A345,Classification!A:B,2,FALSE)</f>
        <v>C</v>
      </c>
      <c r="AB345" s="43">
        <f>VLOOKUP(A345,'SegEnds_NonXtal_Prot#'!A:AL,10,FALSE)-VLOOKUP(A345,'SegEnds_NonXtal_Prot#'!A:AL,7,FALSE)</f>
        <v>15</v>
      </c>
      <c r="AC345" s="43" t="e">
        <f>VLOOKUP(A345,'SegEnds_NonXtal_Prot#'!A:AL,13,FALSE)-VLOOKUP(A345,'SegEnds_NonXtal_Prot#'!A:AL,10,FALSE)</f>
        <v>#VALUE!</v>
      </c>
      <c r="AD345" s="43">
        <f>VLOOKUP(A345,'SegEnds_NonXtal_Prot#'!A:AL,16,FALSE)-VLOOKUP(A345,'SegEnds_NonXtal_Prot#'!A:AL,10,FALSE)</f>
        <v>44</v>
      </c>
      <c r="AE345" s="1" t="e">
        <f>VLOOKUP(A345,'SegEnds_NonXtal_Prot#'!A:AL,22,FALSE)-VLOOKUP(A345,'SegEnds_NonXtal_Prot#'!A:AL,19,FALSE)</f>
        <v>#VALUE!</v>
      </c>
      <c r="AF345" s="43">
        <f>VLOOKUP(A345,'SegEnds_NonXtal_Prot#'!A:AL,28,FALSE)-VLOOKUP(A345,'SegEnds_NonXtal_Prot#'!A:AL,25,FALSE)</f>
        <v>18</v>
      </c>
      <c r="AG345" s="1">
        <f>VLOOKUP(A345,'SegEnds_NonXtal_Prot#'!A:AL,28,FALSE)-VLOOKUP(A345,'SegEnds_NonXtal_Prot#'!A:AL,22,FALSE)</f>
        <v>51</v>
      </c>
      <c r="AH345" s="43">
        <f>VLOOKUP(A345,'SegEnds_NonXtal_Prot#'!A:AL,31,FALSE)-VLOOKUP(A345,'SegEnds_NonXtal_Prot#'!A:AL,28,FALSE)</f>
        <v>37</v>
      </c>
      <c r="AI345" s="43">
        <f>VLOOKUP(A345,'SegEnds_NonXtal_Prot#'!A:AL,34,FALSE)-VLOOKUP(A345,'SegEnds_NonXtal_Prot#'!A:AL,31,FALSE)</f>
        <v>29</v>
      </c>
      <c r="AJ345" s="1" t="str">
        <f>IF(ISERROR(MATCH(A345,'SegEnds_Xtal_Prot#'!B:B, 0)), "NoXtal", "Xtal")</f>
        <v>NoXtal</v>
      </c>
    </row>
    <row r="346" spans="1:36" x14ac:dyDescent="0.2">
      <c r="A346" s="4" t="s">
        <v>106</v>
      </c>
      <c r="B346" s="4" t="str">
        <f>VLOOKUP(A346,Xtal_Templ!A:B,2,FALSE)</f>
        <v>grm5_human</v>
      </c>
      <c r="C346" s="5">
        <f>VLOOKUP($B346&amp;"__wt",'SegEnds_Xtal_BW#'!$A:$Z,3,FALSE)</f>
        <v>34</v>
      </c>
      <c r="D346" s="4">
        <f>VLOOKUP($B346&amp;"__wt",'SegEnds_Xtal_BW#'!$A:$Z,4,FALSE)</f>
        <v>60</v>
      </c>
      <c r="E346" s="4">
        <f>VLOOKUP($B346&amp;"__wt",'SegEnds_Xtal_BW#'!$A:$Z,5,FALSE)</f>
        <v>47</v>
      </c>
      <c r="F346" s="4">
        <f>VLOOKUP($B346&amp;"__wt",'SegEnds_Xtal_BW#'!$A:$Z,6,FALSE)</f>
        <v>53</v>
      </c>
      <c r="G346" s="4">
        <v>39</v>
      </c>
      <c r="H346" s="11">
        <f>VLOOKUP($B346&amp;"__wt",'SegEnds_Xtal_BW#'!$A:$Z,8,FALSE)</f>
        <v>61</v>
      </c>
      <c r="I346" s="4" t="str">
        <f>VLOOKUP($B346&amp;"__wt",'SegEnds_Xtal_BW#'!$A:$Z,9,FALSE)</f>
        <v>-</v>
      </c>
      <c r="J346" s="4" t="str">
        <f>VLOOKUP($B346&amp;"__wt",'SegEnds_Xtal_BW#'!$A:$Z,10,FALSE)</f>
        <v>-</v>
      </c>
      <c r="K346" s="11">
        <f>VLOOKUP($B346&amp;"__wt",'SegEnds_Xtal_BW#'!$A:$Z,11,FALSE)</f>
        <v>22</v>
      </c>
      <c r="L346" s="4">
        <f>VLOOKUP($B346&amp;"__wt",'SegEnds_Xtal_BW#'!$A:$Z,12,FALSE)</f>
        <v>54</v>
      </c>
      <c r="M346" s="4" t="str">
        <f>VLOOKUP($B346&amp;"__wt",'SegEnds_Xtal_BW#'!$A:$Z,13,FALSE)</f>
        <v>-</v>
      </c>
      <c r="N346" s="11" t="str">
        <f>VLOOKUP($B346&amp;"__wt",'SegEnds_Xtal_BW#'!$A:$Z,14,FALSE)</f>
        <v>-</v>
      </c>
      <c r="O346" s="90">
        <f>VLOOKUP($B346&amp;"__wt",'SegEnds_Xtal_BW#'!$A:$Z,15,FALSE)</f>
        <v>38</v>
      </c>
      <c r="P346" s="4">
        <f>VLOOKUP($B346&amp;"__wt",'SegEnds_Xtal_BW#'!$A:$Z,16,FALSE)</f>
        <v>64</v>
      </c>
      <c r="Q346" s="4">
        <f>VLOOKUP($B346&amp;"__wt",'SegEnds_Xtal_BW#'!$A:$Z,17,FALSE)</f>
        <v>50</v>
      </c>
      <c r="R346" s="4">
        <f>VLOOKUP($B346&amp;"__wt",'SegEnds_Xtal_BW#'!$A:$Z,18,FALSE)</f>
        <v>52</v>
      </c>
      <c r="S346" s="4">
        <f>VLOOKUP($B346&amp;"__wt",'SegEnds_Xtal_BW#'!$A:$Z,19,FALSE)</f>
        <v>37</v>
      </c>
      <c r="T346" s="4">
        <f>VLOOKUP($B346&amp;"__wt",'SegEnds_Xtal_BW#'!$A:$Z,20,FALSE)</f>
        <v>61</v>
      </c>
      <c r="U346" s="4">
        <f>VLOOKUP($B346&amp;"__wt",'SegEnds_Xtal_BW#'!$A:$Z,21,FALSE)</f>
        <v>33</v>
      </c>
      <c r="V346" s="4">
        <f>VLOOKUP($B346&amp;"__wt",'SegEnds_Xtal_BW#'!$A:$Z,22,FALSE)</f>
        <v>57</v>
      </c>
      <c r="W346" s="4">
        <f>VLOOKUP($B346&amp;"__wt",'SegEnds_Xtal_BW#'!$A:$Z,23,FALSE)</f>
        <v>34</v>
      </c>
      <c r="X346" s="4">
        <f>VLOOKUP($B346&amp;"__wt",'SegEnds_Xtal_BW#'!$A:$Z,24,FALSE)</f>
        <v>63</v>
      </c>
      <c r="Y346" s="4">
        <f>VLOOKUP($B346&amp;"__wt",'SegEnds_Xtal_BW#'!$A:$Z,25,FALSE)</f>
        <v>47</v>
      </c>
      <c r="Z346" s="4">
        <f>VLOOKUP($B346&amp;"__wt",'SegEnds_Xtal_BW#'!$A:$Z,26,FALSE)</f>
        <v>59</v>
      </c>
      <c r="AA346" s="27" t="str">
        <f>VLOOKUP(A346,Classification!A:B,2,FALSE)</f>
        <v>C</v>
      </c>
      <c r="AB346" s="4">
        <f>VLOOKUP(A346,'SegEnds_NonXtal_Prot#'!A:AL,10,FALSE)-VLOOKUP(A346,'SegEnds_NonXtal_Prot#'!A:AL,7,FALSE)</f>
        <v>15</v>
      </c>
      <c r="AC346" s="4" t="e">
        <f>VLOOKUP(A346,'SegEnds_NonXtal_Prot#'!A:AL,13,FALSE)-VLOOKUP(A346,'SegEnds_NonXtal_Prot#'!A:AL,10,FALSE)</f>
        <v>#VALUE!</v>
      </c>
      <c r="AD346" s="4">
        <f>VLOOKUP(A346,'SegEnds_NonXtal_Prot#'!A:AL,16,FALSE)-VLOOKUP(A346,'SegEnds_NonXtal_Prot#'!A:AL,10,FALSE)</f>
        <v>51</v>
      </c>
      <c r="AE346" s="1" t="e">
        <f>VLOOKUP(A346,'SegEnds_NonXtal_Prot#'!A:AL,22,FALSE)-VLOOKUP(A346,'SegEnds_NonXtal_Prot#'!A:AL,19,FALSE)</f>
        <v>#VALUE!</v>
      </c>
      <c r="AF346" s="4">
        <f>VLOOKUP(A346,'SegEnds_NonXtal_Prot#'!A:AL,28,FALSE)-VLOOKUP(A346,'SegEnds_NonXtal_Prot#'!A:AL,25,FALSE)</f>
        <v>19</v>
      </c>
      <c r="AG346" s="1">
        <f>VLOOKUP(A346,'SegEnds_NonXtal_Prot#'!A:AL,28,FALSE)-VLOOKUP(A346,'SegEnds_NonXtal_Prot#'!A:AL,22,FALSE)</f>
        <v>62</v>
      </c>
      <c r="AH346" s="4">
        <f>VLOOKUP(A346,'SegEnds_NonXtal_Prot#'!A:AL,31,FALSE)-VLOOKUP(A346,'SegEnds_NonXtal_Prot#'!A:AL,28,FALSE)</f>
        <v>38</v>
      </c>
      <c r="AI346" s="4">
        <f>VLOOKUP(A346,'SegEnds_NonXtal_Prot#'!A:AL,34,FALSE)-VLOOKUP(A346,'SegEnds_NonXtal_Prot#'!A:AL,31,FALSE)</f>
        <v>31</v>
      </c>
      <c r="AJ346" s="1" t="str">
        <f>IF(ISERROR(MATCH(A346,'SegEnds_Xtal_Prot#'!B:B, 0)), "NoXtal", "Xtal")</f>
        <v>NoXtal</v>
      </c>
    </row>
    <row r="347" spans="1:36" x14ac:dyDescent="0.2">
      <c r="A347" s="1" t="s">
        <v>107</v>
      </c>
      <c r="B347" s="1" t="str">
        <f>VLOOKUP(A347,Xtal_Templ!A:B,2,FALSE)</f>
        <v>grm5_human</v>
      </c>
      <c r="C347" s="5">
        <f>VLOOKUP($B347&amp;"__wt",'SegEnds_Xtal_BW#'!$A:$Z,3,FALSE)</f>
        <v>34</v>
      </c>
      <c r="D347" s="1">
        <f>VLOOKUP($B347&amp;"__wt",'SegEnds_Xtal_BW#'!$A:$Z,4,FALSE)</f>
        <v>60</v>
      </c>
      <c r="E347" s="1">
        <f>VLOOKUP($B347&amp;"__wt",'SegEnds_Xtal_BW#'!$A:$Z,5,FALSE)</f>
        <v>47</v>
      </c>
      <c r="F347" s="1">
        <f>VLOOKUP($B347&amp;"__wt",'SegEnds_Xtal_BW#'!$A:$Z,6,FALSE)</f>
        <v>53</v>
      </c>
      <c r="G347" s="1">
        <v>39</v>
      </c>
      <c r="H347" s="12">
        <f>VLOOKUP($B347&amp;"__wt",'SegEnds_Xtal_BW#'!$A:$Z,8,FALSE)</f>
        <v>61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f>VLOOKUP($B347&amp;"__wt",'SegEnds_Xtal_BW#'!$A:$Z,11,FALSE)</f>
        <v>22</v>
      </c>
      <c r="L347" s="1">
        <f>VLOOKUP($B347&amp;"__wt",'SegEnds_Xtal_BW#'!$A:$Z,12,FALSE)</f>
        <v>54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9">
        <f>VLOOKUP($B347&amp;"__wt",'SegEnds_Xtal_BW#'!$A:$Z,15,FALSE)</f>
        <v>38</v>
      </c>
      <c r="P347" s="1">
        <f>VLOOKUP($B347&amp;"__wt",'SegEnds_Xtal_BW#'!$A:$Z,16,FALSE)</f>
        <v>64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f>VLOOKUP($B347&amp;"__wt",'SegEnds_Xtal_BW#'!$A:$Z,19,FALSE)</f>
        <v>37</v>
      </c>
      <c r="T347" s="1">
        <f>VLOOKUP($B347&amp;"__wt",'SegEnds_Xtal_BW#'!$A:$Z,20,FALSE)</f>
        <v>61</v>
      </c>
      <c r="U347" s="1">
        <f>VLOOKUP($B347&amp;"__wt",'SegEnds_Xtal_BW#'!$A:$Z,21,FALSE)</f>
        <v>33</v>
      </c>
      <c r="V347" s="1">
        <f>VLOOKUP($B347&amp;"__wt",'SegEnds_Xtal_BW#'!$A:$Z,22,FALSE)</f>
        <v>57</v>
      </c>
      <c r="W347" s="1">
        <f>VLOOKUP($B347&amp;"__wt",'SegEnds_Xtal_BW#'!$A:$Z,23,FALSE)</f>
        <v>34</v>
      </c>
      <c r="X347" s="1">
        <f>VLOOKUP($B347&amp;"__wt",'SegEnds_Xtal_BW#'!$A:$Z,24,FALSE)</f>
        <v>63</v>
      </c>
      <c r="Y347" s="1">
        <f>VLOOKUP($B347&amp;"__wt",'SegEnds_Xtal_BW#'!$A:$Z,25,FALSE)</f>
        <v>47</v>
      </c>
      <c r="Z347" s="1">
        <f>VLOOKUP($B347&amp;"__wt",'SegEnds_Xtal_BW#'!$A:$Z,26,FALSE)</f>
        <v>59</v>
      </c>
      <c r="AA347" s="27" t="str">
        <f>VLOOKUP(A347,Classification!A:B,2,FALSE)</f>
        <v>C</v>
      </c>
      <c r="AB347" s="1">
        <f>VLOOKUP(A347,'SegEnds_NonXtal_Prot#'!A:AL,10,FALSE)-VLOOKUP(A347,'SegEnds_NonXtal_Prot#'!A:AL,7,FALSE)</f>
        <v>15</v>
      </c>
      <c r="AC347" s="1" t="e">
        <f>VLOOKUP(A347,'SegEnds_NonXtal_Prot#'!A:AL,13,FALSE)-VLOOKUP(A347,'SegEnds_NonXtal_Prot#'!A:AL,10,FALSE)</f>
        <v>#VALUE!</v>
      </c>
      <c r="AD347" s="1">
        <f>VLOOKUP(A347,'SegEnds_NonXtal_Prot#'!A:AL,16,FALSE)-VLOOKUP(A347,'SegEnds_NonXtal_Prot#'!A:AL,10,FALSE)</f>
        <v>51</v>
      </c>
      <c r="AE347" s="1" t="e">
        <f>VLOOKUP(A347,'SegEnds_NonXtal_Prot#'!A:AL,22,FALSE)-VLOOKUP(A347,'SegEnds_NonXtal_Prot#'!A:AL,19,FALSE)</f>
        <v>#VALUE!</v>
      </c>
      <c r="AF347" s="1">
        <f>VLOOKUP(A347,'SegEnds_NonXtal_Prot#'!A:AL,28,FALSE)-VLOOKUP(A347,'SegEnds_NonXtal_Prot#'!A:AL,25,FALSE)</f>
        <v>19</v>
      </c>
      <c r="AG347" s="1">
        <f>VLOOKUP(A347,'SegEnds_NonXtal_Prot#'!A:AL,28,FALSE)-VLOOKUP(A347,'SegEnds_NonXtal_Prot#'!A:AL,22,FALSE)</f>
        <v>62</v>
      </c>
      <c r="AH347" s="1">
        <f>VLOOKUP(A347,'SegEnds_NonXtal_Prot#'!A:AL,31,FALSE)-VLOOKUP(A347,'SegEnds_NonXtal_Prot#'!A:AL,28,FALSE)</f>
        <v>38</v>
      </c>
      <c r="AI347" s="1">
        <f>VLOOKUP(A347,'SegEnds_NonXtal_Prot#'!A:AL,34,FALSE)-VLOOKUP(A347,'SegEnds_NonXtal_Prot#'!A:AL,31,FALSE)</f>
        <v>31</v>
      </c>
      <c r="AJ347" s="1" t="str">
        <f>IF(ISERROR(MATCH(A347,'SegEnds_Xtal_Prot#'!B:B, 0)), "NoXtal", "Xtal")</f>
        <v>NoXtal</v>
      </c>
    </row>
    <row r="348" spans="1:36" x14ac:dyDescent="0.2">
      <c r="A348" s="1" t="s">
        <v>108</v>
      </c>
      <c r="B348" s="1" t="str">
        <f>VLOOKUP(A348,Xtal_Templ!A:B,2,FALSE)</f>
        <v>grm1_human</v>
      </c>
      <c r="C348" s="5">
        <f>VLOOKUP($B348&amp;"__wt",'SegEnds_Xtal_BW#'!$A:$Z,3,FALSE)</f>
        <v>34</v>
      </c>
      <c r="D348" s="1">
        <f>VLOOKUP($B348&amp;"__wt",'SegEnds_Xtal_BW#'!$A:$Z,4,FALSE)</f>
        <v>60</v>
      </c>
      <c r="E348" s="1">
        <f>VLOOKUP($B348&amp;"__wt",'SegEnds_Xtal_BW#'!$A:$Z,5,FALSE)</f>
        <v>47</v>
      </c>
      <c r="F348" s="1">
        <f>VLOOKUP($B348&amp;"__wt",'SegEnds_Xtal_BW#'!$A:$Z,6,FALSE)</f>
        <v>53</v>
      </c>
      <c r="G348" s="1">
        <v>39</v>
      </c>
      <c r="H348" s="12">
        <f>VLOOKUP($B348&amp;"__wt",'SegEnds_Xtal_BW#'!$A:$Z,8,FALSE)</f>
        <v>61</v>
      </c>
      <c r="I348" s="1" t="str">
        <f>VLOOKUP($B348&amp;"__wt",'SegEnds_Xtal_BW#'!$A:$Z,9,FALSE)</f>
        <v>-</v>
      </c>
      <c r="J348" s="1" t="str">
        <f>VLOOKUP($B348&amp;"__wt",'SegEnds_Xtal_BW#'!$A:$Z,10,FALSE)</f>
        <v>-</v>
      </c>
      <c r="K348" s="12">
        <f>VLOOKUP($B348&amp;"__wt",'SegEnds_Xtal_BW#'!$A:$Z,11,FALSE)</f>
        <v>22</v>
      </c>
      <c r="L348" s="1">
        <f>VLOOKUP($B348&amp;"__wt",'SegEnds_Xtal_BW#'!$A:$Z,12,FALSE)</f>
        <v>54</v>
      </c>
      <c r="M348" s="1" t="str">
        <f>VLOOKUP($B348&amp;"__wt",'SegEnds_Xtal_BW#'!$A:$Z,13,FALSE)</f>
        <v>-</v>
      </c>
      <c r="N348" s="12" t="str">
        <f>VLOOKUP($B348&amp;"__wt",'SegEnds_Xtal_BW#'!$A:$Z,14,FALSE)</f>
        <v>-</v>
      </c>
      <c r="O348" s="89">
        <f>VLOOKUP($B348&amp;"__wt",'SegEnds_Xtal_BW#'!$A:$Z,15,FALSE)</f>
        <v>38</v>
      </c>
      <c r="P348" s="1">
        <f>VLOOKUP($B348&amp;"__wt",'SegEnds_Xtal_BW#'!$A:$Z,16,FALSE)</f>
        <v>64</v>
      </c>
      <c r="Q348" s="1">
        <f>VLOOKUP($B348&amp;"__wt",'SegEnds_Xtal_BW#'!$A:$Z,17,FALSE)</f>
        <v>50</v>
      </c>
      <c r="R348" s="1">
        <f>VLOOKUP($B348&amp;"__wt",'SegEnds_Xtal_BW#'!$A:$Z,18,FALSE)</f>
        <v>52</v>
      </c>
      <c r="S348" s="1">
        <f>VLOOKUP($B348&amp;"__wt",'SegEnds_Xtal_BW#'!$A:$Z,19,FALSE)</f>
        <v>37</v>
      </c>
      <c r="T348" s="1">
        <f>VLOOKUP($B348&amp;"__wt",'SegEnds_Xtal_BW#'!$A:$Z,20,FALSE)</f>
        <v>61</v>
      </c>
      <c r="U348" s="1">
        <f>VLOOKUP($B348&amp;"__wt",'SegEnds_Xtal_BW#'!$A:$Z,21,FALSE)</f>
        <v>33</v>
      </c>
      <c r="V348" s="1">
        <f>VLOOKUP($B348&amp;"__wt",'SegEnds_Xtal_BW#'!$A:$Z,22,FALSE)</f>
        <v>57</v>
      </c>
      <c r="W348" s="1">
        <f>VLOOKUP($B348&amp;"__wt",'SegEnds_Xtal_BW#'!$A:$Z,23,FALSE)</f>
        <v>34</v>
      </c>
      <c r="X348" s="1">
        <f>VLOOKUP($B348&amp;"__wt",'SegEnds_Xtal_BW#'!$A:$Z,24,FALSE)</f>
        <v>63</v>
      </c>
      <c r="Y348" s="1">
        <f>VLOOKUP($B348&amp;"__wt",'SegEnds_Xtal_BW#'!$A:$Z,25,FALSE)</f>
        <v>47</v>
      </c>
      <c r="Z348" s="1">
        <f>VLOOKUP($B348&amp;"__wt",'SegEnds_Xtal_BW#'!$A:$Z,26,FALSE)</f>
        <v>59</v>
      </c>
      <c r="AA348" s="27" t="str">
        <f>VLOOKUP(A348,Classification!A:B,2,FALSE)</f>
        <v>C</v>
      </c>
      <c r="AB348" s="1">
        <f>VLOOKUP(A348,'SegEnds_NonXtal_Prot#'!A:AL,10,FALSE)-VLOOKUP(A348,'SegEnds_NonXtal_Prot#'!A:AL,7,FALSE)</f>
        <v>15</v>
      </c>
      <c r="AC348" s="1" t="e">
        <f>VLOOKUP(A348,'SegEnds_NonXtal_Prot#'!A:AL,13,FALSE)-VLOOKUP(A348,'SegEnds_NonXtal_Prot#'!A:AL,10,FALSE)</f>
        <v>#VALUE!</v>
      </c>
      <c r="AD348" s="1">
        <f>VLOOKUP(A348,'SegEnds_NonXtal_Prot#'!A:AL,16,FALSE)-VLOOKUP(A348,'SegEnds_NonXtal_Prot#'!A:AL,10,FALSE)</f>
        <v>50</v>
      </c>
      <c r="AE348" s="1" t="e">
        <f>VLOOKUP(A348,'SegEnds_NonXtal_Prot#'!A:AL,22,FALSE)-VLOOKUP(A348,'SegEnds_NonXtal_Prot#'!A:AL,19,FALSE)</f>
        <v>#VALUE!</v>
      </c>
      <c r="AF348" s="1" t="e">
        <f>VLOOKUP(A348,'SegEnds_NonXtal_Prot#'!A:AL,28,FALSE)-VLOOKUP(A348,'SegEnds_NonXtal_Prot#'!A:AL,25,FALSE)</f>
        <v>#VALUE!</v>
      </c>
      <c r="AG348" s="1">
        <f>VLOOKUP(A348,'SegEnds_NonXtal_Prot#'!A:AL,28,FALSE)-VLOOKUP(A348,'SegEnds_NonXtal_Prot#'!A:AL,22,FALSE)</f>
        <v>62</v>
      </c>
      <c r="AH348" s="1">
        <f>VLOOKUP(A348,'SegEnds_NonXtal_Prot#'!A:AL,31,FALSE)-VLOOKUP(A348,'SegEnds_NonXtal_Prot#'!A:AL,28,FALSE)</f>
        <v>39</v>
      </c>
      <c r="AI348" s="1">
        <f>VLOOKUP(A348,'SegEnds_NonXtal_Prot#'!A:AL,34,FALSE)-VLOOKUP(A348,'SegEnds_NonXtal_Prot#'!A:AL,31,FALSE)</f>
        <v>30</v>
      </c>
      <c r="AJ348" s="1" t="str">
        <f>IF(ISERROR(MATCH(A348,'SegEnds_Xtal_Prot#'!B:B, 0)), "NoXtal", "Xtal")</f>
        <v>NoXtal</v>
      </c>
    </row>
    <row r="349" spans="1:36" x14ac:dyDescent="0.2">
      <c r="A349" s="4" t="s">
        <v>109</v>
      </c>
      <c r="B349" s="4" t="str">
        <f>VLOOKUP(A349,Xtal_Templ!A:B,2,FALSE)</f>
        <v>grm1_human</v>
      </c>
      <c r="C349" s="5">
        <f>VLOOKUP($B349&amp;"__wt",'SegEnds_Xtal_BW#'!$A:$Z,3,FALSE)</f>
        <v>34</v>
      </c>
      <c r="D349" s="4">
        <f>VLOOKUP($B349&amp;"__wt",'SegEnds_Xtal_BW#'!$A:$Z,4,FALSE)</f>
        <v>60</v>
      </c>
      <c r="E349" s="4">
        <f>VLOOKUP($B349&amp;"__wt",'SegEnds_Xtal_BW#'!$A:$Z,5,FALSE)</f>
        <v>47</v>
      </c>
      <c r="F349" s="4">
        <f>VLOOKUP($B349&amp;"__wt",'SegEnds_Xtal_BW#'!$A:$Z,6,FALSE)</f>
        <v>53</v>
      </c>
      <c r="G349" s="4">
        <v>39</v>
      </c>
      <c r="H349" s="11">
        <f>VLOOKUP($B349&amp;"__wt",'SegEnds_Xtal_BW#'!$A:$Z,8,FALSE)</f>
        <v>61</v>
      </c>
      <c r="I349" s="4" t="str">
        <f>VLOOKUP($B349&amp;"__wt",'SegEnds_Xtal_BW#'!$A:$Z,9,FALSE)</f>
        <v>-</v>
      </c>
      <c r="J349" s="4" t="str">
        <f>VLOOKUP($B349&amp;"__wt",'SegEnds_Xtal_BW#'!$A:$Z,10,FALSE)</f>
        <v>-</v>
      </c>
      <c r="K349" s="11">
        <f>VLOOKUP($B349&amp;"__wt",'SegEnds_Xtal_BW#'!$A:$Z,11,FALSE)</f>
        <v>22</v>
      </c>
      <c r="L349" s="4">
        <f>VLOOKUP($B349&amp;"__wt",'SegEnds_Xtal_BW#'!$A:$Z,12,FALSE)</f>
        <v>54</v>
      </c>
      <c r="M349" s="4" t="str">
        <f>VLOOKUP($B349&amp;"__wt",'SegEnds_Xtal_BW#'!$A:$Z,13,FALSE)</f>
        <v>-</v>
      </c>
      <c r="N349" s="11" t="str">
        <f>VLOOKUP($B349&amp;"__wt",'SegEnds_Xtal_BW#'!$A:$Z,14,FALSE)</f>
        <v>-</v>
      </c>
      <c r="O349" s="90">
        <f>VLOOKUP($B349&amp;"__wt",'SegEnds_Xtal_BW#'!$A:$Z,15,FALSE)</f>
        <v>38</v>
      </c>
      <c r="P349" s="4">
        <f>VLOOKUP($B349&amp;"__wt",'SegEnds_Xtal_BW#'!$A:$Z,16,FALSE)</f>
        <v>64</v>
      </c>
      <c r="Q349" s="4">
        <f>VLOOKUP($B349&amp;"__wt",'SegEnds_Xtal_BW#'!$A:$Z,17,FALSE)</f>
        <v>50</v>
      </c>
      <c r="R349" s="4">
        <f>VLOOKUP($B349&amp;"__wt",'SegEnds_Xtal_BW#'!$A:$Z,18,FALSE)</f>
        <v>52</v>
      </c>
      <c r="S349" s="4">
        <f>VLOOKUP($B349&amp;"__wt",'SegEnds_Xtal_BW#'!$A:$Z,19,FALSE)</f>
        <v>37</v>
      </c>
      <c r="T349" s="4">
        <f>VLOOKUP($B349&amp;"__wt",'SegEnds_Xtal_BW#'!$A:$Z,20,FALSE)</f>
        <v>61</v>
      </c>
      <c r="U349" s="4">
        <f>VLOOKUP($B349&amp;"__wt",'SegEnds_Xtal_BW#'!$A:$Z,21,FALSE)</f>
        <v>33</v>
      </c>
      <c r="V349" s="4">
        <f>VLOOKUP($B349&amp;"__wt",'SegEnds_Xtal_BW#'!$A:$Z,22,FALSE)</f>
        <v>57</v>
      </c>
      <c r="W349" s="4">
        <f>VLOOKUP($B349&amp;"__wt",'SegEnds_Xtal_BW#'!$A:$Z,23,FALSE)</f>
        <v>34</v>
      </c>
      <c r="X349" s="4">
        <f>VLOOKUP($B349&amp;"__wt",'SegEnds_Xtal_BW#'!$A:$Z,24,FALSE)</f>
        <v>63</v>
      </c>
      <c r="Y349" s="4">
        <f>VLOOKUP($B349&amp;"__wt",'SegEnds_Xtal_BW#'!$A:$Z,25,FALSE)</f>
        <v>47</v>
      </c>
      <c r="Z349" s="4">
        <f>VLOOKUP($B349&amp;"__wt",'SegEnds_Xtal_BW#'!$A:$Z,26,FALSE)</f>
        <v>59</v>
      </c>
      <c r="AA349" s="27" t="str">
        <f>VLOOKUP(A349,Classification!A:B,2,FALSE)</f>
        <v>C</v>
      </c>
      <c r="AB349" s="4">
        <f>VLOOKUP(A349,'SegEnds_NonXtal_Prot#'!A:AL,10,FALSE)-VLOOKUP(A349,'SegEnds_NonXtal_Prot#'!A:AL,7,FALSE)</f>
        <v>15</v>
      </c>
      <c r="AC349" s="4" t="e">
        <f>VLOOKUP(A349,'SegEnds_NonXtal_Prot#'!A:AL,13,FALSE)-VLOOKUP(A349,'SegEnds_NonXtal_Prot#'!A:AL,10,FALSE)</f>
        <v>#VALUE!</v>
      </c>
      <c r="AD349" s="4">
        <f>VLOOKUP(A349,'SegEnds_NonXtal_Prot#'!A:AL,16,FALSE)-VLOOKUP(A349,'SegEnds_NonXtal_Prot#'!A:AL,10,FALSE)</f>
        <v>44</v>
      </c>
      <c r="AE349" s="1" t="e">
        <f>VLOOKUP(A349,'SegEnds_NonXtal_Prot#'!A:AL,22,FALSE)-VLOOKUP(A349,'SegEnds_NonXtal_Prot#'!A:AL,19,FALSE)</f>
        <v>#VALUE!</v>
      </c>
      <c r="AF349" s="4">
        <f>VLOOKUP(A349,'SegEnds_NonXtal_Prot#'!A:AL,28,FALSE)-VLOOKUP(A349,'SegEnds_NonXtal_Prot#'!A:AL,25,FALSE)</f>
        <v>16</v>
      </c>
      <c r="AG349" s="1">
        <f>VLOOKUP(A349,'SegEnds_NonXtal_Prot#'!A:AL,28,FALSE)-VLOOKUP(A349,'SegEnds_NonXtal_Prot#'!A:AL,22,FALSE)</f>
        <v>65</v>
      </c>
      <c r="AH349" s="4">
        <f>VLOOKUP(A349,'SegEnds_NonXtal_Prot#'!A:AL,31,FALSE)-VLOOKUP(A349,'SegEnds_NonXtal_Prot#'!A:AL,28,FALSE)</f>
        <v>37</v>
      </c>
      <c r="AI349" s="4">
        <f>VLOOKUP(A349,'SegEnds_NonXtal_Prot#'!A:AL,34,FALSE)-VLOOKUP(A349,'SegEnds_NonXtal_Prot#'!A:AL,31,FALSE)</f>
        <v>33</v>
      </c>
      <c r="AJ349" s="1" t="str">
        <f>IF(ISERROR(MATCH(A349,'SegEnds_Xtal_Prot#'!B:B, 0)), "NoXtal", "Xtal")</f>
        <v>NoXtal</v>
      </c>
    </row>
    <row r="350" spans="1:36" x14ac:dyDescent="0.2">
      <c r="A350" s="1" t="s">
        <v>110</v>
      </c>
      <c r="B350" s="1" t="str">
        <f>VLOOKUP(A350,Xtal_Templ!A:B,2,FALSE)</f>
        <v>grm1_human</v>
      </c>
      <c r="C350" s="5">
        <f>VLOOKUP($B350&amp;"__wt",'SegEnds_Xtal_BW#'!$A:$Z,3,FALSE)</f>
        <v>34</v>
      </c>
      <c r="D350" s="1">
        <f>VLOOKUP($B350&amp;"__wt",'SegEnds_Xtal_BW#'!$A:$Z,4,FALSE)</f>
        <v>60</v>
      </c>
      <c r="E350" s="1">
        <f>VLOOKUP($B350&amp;"__wt",'SegEnds_Xtal_BW#'!$A:$Z,5,FALSE)</f>
        <v>47</v>
      </c>
      <c r="F350" s="1">
        <f>VLOOKUP($B350&amp;"__wt",'SegEnds_Xtal_BW#'!$A:$Z,6,FALSE)</f>
        <v>53</v>
      </c>
      <c r="G350" s="1">
        <v>39</v>
      </c>
      <c r="H350" s="12">
        <f>VLOOKUP($B350&amp;"__wt",'SegEnds_Xtal_BW#'!$A:$Z,8,FALSE)</f>
        <v>61</v>
      </c>
      <c r="I350" s="1" t="str">
        <f>VLOOKUP($B350&amp;"__wt",'SegEnds_Xtal_BW#'!$A:$Z,9,FALSE)</f>
        <v>-</v>
      </c>
      <c r="J350" s="1" t="str">
        <f>VLOOKUP($B350&amp;"__wt",'SegEnds_Xtal_BW#'!$A:$Z,10,FALSE)</f>
        <v>-</v>
      </c>
      <c r="K350" s="12">
        <f>VLOOKUP($B350&amp;"__wt",'SegEnds_Xtal_BW#'!$A:$Z,11,FALSE)</f>
        <v>22</v>
      </c>
      <c r="L350" s="1">
        <f>VLOOKUP($B350&amp;"__wt",'SegEnds_Xtal_BW#'!$A:$Z,12,FALSE)</f>
        <v>54</v>
      </c>
      <c r="M350" s="1" t="str">
        <f>VLOOKUP($B350&amp;"__wt",'SegEnds_Xtal_BW#'!$A:$Z,13,FALSE)</f>
        <v>-</v>
      </c>
      <c r="N350" s="12" t="str">
        <f>VLOOKUP($B350&amp;"__wt",'SegEnds_Xtal_BW#'!$A:$Z,14,FALSE)</f>
        <v>-</v>
      </c>
      <c r="O350" s="89">
        <f>VLOOKUP($B350&amp;"__wt",'SegEnds_Xtal_BW#'!$A:$Z,15,FALSE)</f>
        <v>38</v>
      </c>
      <c r="P350" s="1">
        <f>VLOOKUP($B350&amp;"__wt",'SegEnds_Xtal_BW#'!$A:$Z,16,FALSE)</f>
        <v>64</v>
      </c>
      <c r="Q350" s="1">
        <f>VLOOKUP($B350&amp;"__wt",'SegEnds_Xtal_BW#'!$A:$Z,17,FALSE)</f>
        <v>50</v>
      </c>
      <c r="R350" s="1">
        <f>VLOOKUP($B350&amp;"__wt",'SegEnds_Xtal_BW#'!$A:$Z,18,FALSE)</f>
        <v>52</v>
      </c>
      <c r="S350" s="1">
        <f>VLOOKUP($B350&amp;"__wt",'SegEnds_Xtal_BW#'!$A:$Z,19,FALSE)</f>
        <v>37</v>
      </c>
      <c r="T350" s="1">
        <f>VLOOKUP($B350&amp;"__wt",'SegEnds_Xtal_BW#'!$A:$Z,20,FALSE)</f>
        <v>61</v>
      </c>
      <c r="U350" s="1">
        <f>VLOOKUP($B350&amp;"__wt",'SegEnds_Xtal_BW#'!$A:$Z,21,FALSE)</f>
        <v>33</v>
      </c>
      <c r="V350" s="1">
        <f>VLOOKUP($B350&amp;"__wt",'SegEnds_Xtal_BW#'!$A:$Z,22,FALSE)</f>
        <v>57</v>
      </c>
      <c r="W350" s="1">
        <f>VLOOKUP($B350&amp;"__wt",'SegEnds_Xtal_BW#'!$A:$Z,23,FALSE)</f>
        <v>34</v>
      </c>
      <c r="X350" s="1">
        <f>VLOOKUP($B350&amp;"__wt",'SegEnds_Xtal_BW#'!$A:$Z,24,FALSE)</f>
        <v>63</v>
      </c>
      <c r="Y350" s="1">
        <f>VLOOKUP($B350&amp;"__wt",'SegEnds_Xtal_BW#'!$A:$Z,25,FALSE)</f>
        <v>47</v>
      </c>
      <c r="Z350" s="1">
        <f>VLOOKUP($B350&amp;"__wt",'SegEnds_Xtal_BW#'!$A:$Z,26,FALSE)</f>
        <v>59</v>
      </c>
      <c r="AA350" s="27" t="str">
        <f>VLOOKUP(A350,Classification!A:B,2,FALSE)</f>
        <v>C</v>
      </c>
      <c r="AB350" s="1">
        <f>VLOOKUP(A350,'SegEnds_NonXtal_Prot#'!A:AL,10,FALSE)-VLOOKUP(A350,'SegEnds_NonXtal_Prot#'!A:AL,7,FALSE)</f>
        <v>15</v>
      </c>
      <c r="AC350" s="1" t="e">
        <f>VLOOKUP(A350,'SegEnds_NonXtal_Prot#'!A:AL,13,FALSE)-VLOOKUP(A350,'SegEnds_NonXtal_Prot#'!A:AL,10,FALSE)</f>
        <v>#VALUE!</v>
      </c>
      <c r="AD350" s="1">
        <f>VLOOKUP(A350,'SegEnds_NonXtal_Prot#'!A:AL,16,FALSE)-VLOOKUP(A350,'SegEnds_NonXtal_Prot#'!A:AL,10,FALSE)</f>
        <v>44</v>
      </c>
      <c r="AE350" s="1" t="e">
        <f>VLOOKUP(A350,'SegEnds_NonXtal_Prot#'!A:AL,22,FALSE)-VLOOKUP(A350,'SegEnds_NonXtal_Prot#'!A:AL,19,FALSE)</f>
        <v>#VALUE!</v>
      </c>
      <c r="AF350" s="1">
        <f>VLOOKUP(A350,'SegEnds_NonXtal_Prot#'!A:AL,28,FALSE)-VLOOKUP(A350,'SegEnds_NonXtal_Prot#'!A:AL,25,FALSE)</f>
        <v>16</v>
      </c>
      <c r="AG350" s="1">
        <f>VLOOKUP(A350,'SegEnds_NonXtal_Prot#'!A:AL,28,FALSE)-VLOOKUP(A350,'SegEnds_NonXtal_Prot#'!A:AL,22,FALSE)</f>
        <v>65</v>
      </c>
      <c r="AH350" s="1">
        <f>VLOOKUP(A350,'SegEnds_NonXtal_Prot#'!A:AL,31,FALSE)-VLOOKUP(A350,'SegEnds_NonXtal_Prot#'!A:AL,28,FALSE)</f>
        <v>37</v>
      </c>
      <c r="AI350" s="1">
        <f>VLOOKUP(A350,'SegEnds_NonXtal_Prot#'!A:AL,34,FALSE)-VLOOKUP(A350,'SegEnds_NonXtal_Prot#'!A:AL,31,FALSE)</f>
        <v>33</v>
      </c>
      <c r="AJ350" s="1" t="str">
        <f>IF(ISERROR(MATCH(A350,'SegEnds_Xtal_Prot#'!B:B, 0)), "NoXtal", "Xtal")</f>
        <v>NoXtal</v>
      </c>
    </row>
    <row r="351" spans="1:36" x14ac:dyDescent="0.2">
      <c r="A351" s="4" t="s">
        <v>111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90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37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34</v>
      </c>
      <c r="X351" s="4">
        <f>VLOOKUP($B351&amp;"__wt",'SegEnds_Xtal_BW#'!$A:$Z,24,FALSE)</f>
        <v>63</v>
      </c>
      <c r="Y351" s="4">
        <f>VLOOKUP($B351&amp;"__wt",'SegEnds_Xtal_BW#'!$A:$Z,25,FALSE)</f>
        <v>47</v>
      </c>
      <c r="Z351" s="4">
        <f>VLOOKUP($B351&amp;"__wt",'SegEnds_Xtal_BW#'!$A:$Z,26,FALSE)</f>
        <v>59</v>
      </c>
      <c r="AA351" s="27" t="str">
        <f>VLOOKUP(A351,Classification!A:B,2,FALSE)</f>
        <v>C</v>
      </c>
      <c r="AB351" s="4">
        <f>VLOOKUP(A351,'SegEnds_NonXtal_Prot#'!A:AL,10,FALSE)-VLOOKUP(A351,'SegEnds_NonXtal_Prot#'!A:AL,7,FALSE)</f>
        <v>19</v>
      </c>
      <c r="AC351" s="4" t="e">
        <f>VLOOKUP(A351,'SegEnds_NonXtal_Prot#'!A:AL,13,FALSE)-VLOOKUP(A351,'SegEnds_NonXtal_Prot#'!A:AL,10,FALSE)</f>
        <v>#VALUE!</v>
      </c>
      <c r="AD351" s="4">
        <f>VLOOKUP(A351,'SegEnds_NonXtal_Prot#'!A:AL,16,FALSE)-VLOOKUP(A351,'SegEnds_NonXtal_Prot#'!A:AL,10,FALSE)</f>
        <v>44</v>
      </c>
      <c r="AE351" s="1" t="e">
        <f>VLOOKUP(A351,'SegEnds_NonXtal_Prot#'!A:AL,22,FALSE)-VLOOKUP(A351,'SegEnds_NonXtal_Prot#'!A:AL,19,FALSE)</f>
        <v>#VALUE!</v>
      </c>
      <c r="AF351" s="4">
        <f>VLOOKUP(A351,'SegEnds_NonXtal_Prot#'!A:AL,28,FALSE)-VLOOKUP(A351,'SegEnds_NonXtal_Prot#'!A:AL,25,FALSE)</f>
        <v>17</v>
      </c>
      <c r="AG351" s="1">
        <f>VLOOKUP(A351,'SegEnds_NonXtal_Prot#'!A:AL,28,FALSE)-VLOOKUP(A351,'SegEnds_NonXtal_Prot#'!A:AL,22,FALSE)</f>
        <v>40</v>
      </c>
      <c r="AH351" s="4">
        <f>VLOOKUP(A351,'SegEnds_NonXtal_Prot#'!A:AL,31,FALSE)-VLOOKUP(A351,'SegEnds_NonXtal_Prot#'!A:AL,28,FALSE)</f>
        <v>39</v>
      </c>
      <c r="AI351" s="4">
        <f>VLOOKUP(A351,'SegEnds_NonXtal_Prot#'!A:AL,34,FALSE)-VLOOKUP(A351,'SegEnds_NonXtal_Prot#'!A:AL,31,FALSE)</f>
        <v>35</v>
      </c>
      <c r="AJ351" s="1" t="str">
        <f>IF(ISERROR(MATCH(A351,'SegEnds_Xtal_Prot#'!B:B, 0)), "NoXtal", "Xtal")</f>
        <v>NoXtal</v>
      </c>
    </row>
    <row r="352" spans="1:36" x14ac:dyDescent="0.2">
      <c r="A352" s="1" t="s">
        <v>112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9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37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34</v>
      </c>
      <c r="X352" s="1">
        <f>VLOOKUP($B352&amp;"__wt",'SegEnds_Xtal_BW#'!$A:$Z,24,FALSE)</f>
        <v>63</v>
      </c>
      <c r="Y352" s="1">
        <f>VLOOKUP($B352&amp;"__wt",'SegEnds_Xtal_BW#'!$A:$Z,25,FALSE)</f>
        <v>47</v>
      </c>
      <c r="Z352" s="1">
        <f>VLOOKUP($B352&amp;"__wt",'SegEnds_Xtal_BW#'!$A:$Z,26,FALSE)</f>
        <v>59</v>
      </c>
      <c r="AA352" s="27" t="str">
        <f>VLOOKUP(A352,Classification!A:B,2,FALSE)</f>
        <v>C</v>
      </c>
      <c r="AB352" s="1">
        <f>VLOOKUP(A352,'SegEnds_NonXtal_Prot#'!A:AL,10,FALSE)-VLOOKUP(A352,'SegEnds_NonXtal_Prot#'!A:AL,7,FALSE)</f>
        <v>19</v>
      </c>
      <c r="AC352" s="1" t="e">
        <f>VLOOKUP(A352,'SegEnds_NonXtal_Prot#'!A:AL,13,FALSE)-VLOOKUP(A352,'SegEnds_NonXtal_Prot#'!A:AL,10,FALSE)</f>
        <v>#VALUE!</v>
      </c>
      <c r="AD352" s="1">
        <f>VLOOKUP(A352,'SegEnds_NonXtal_Prot#'!A:AL,16,FALSE)-VLOOKUP(A352,'SegEnds_NonXtal_Prot#'!A:AL,10,FALSE)</f>
        <v>44</v>
      </c>
      <c r="AE352" s="1" t="e">
        <f>VLOOKUP(A352,'SegEnds_NonXtal_Prot#'!A:AL,22,FALSE)-VLOOKUP(A352,'SegEnds_NonXtal_Prot#'!A:AL,19,FALSE)</f>
        <v>#VALUE!</v>
      </c>
      <c r="AF352" s="1">
        <f>VLOOKUP(A352,'SegEnds_NonXtal_Prot#'!A:AL,28,FALSE)-VLOOKUP(A352,'SegEnds_NonXtal_Prot#'!A:AL,25,FALSE)</f>
        <v>17</v>
      </c>
      <c r="AG352" s="1">
        <f>VLOOKUP(A352,'SegEnds_NonXtal_Prot#'!A:AL,28,FALSE)-VLOOKUP(A352,'SegEnds_NonXtal_Prot#'!A:AL,22,FALSE)</f>
        <v>55</v>
      </c>
      <c r="AH352" s="1">
        <f>VLOOKUP(A352,'SegEnds_NonXtal_Prot#'!A:AL,31,FALSE)-VLOOKUP(A352,'SegEnds_NonXtal_Prot#'!A:AL,28,FALSE)</f>
        <v>39</v>
      </c>
      <c r="AI352" s="1">
        <f>VLOOKUP(A352,'SegEnds_NonXtal_Prot#'!A:AL,34,FALSE)-VLOOKUP(A352,'SegEnds_NonXtal_Prot#'!A:AL,31,FALSE)</f>
        <v>34</v>
      </c>
      <c r="AJ352" s="1" t="str">
        <f>IF(ISERROR(MATCH(A352,'SegEnds_Xtal_Prot#'!B:B, 0)), "NoXtal", "Xtal")</f>
        <v>NoXtal</v>
      </c>
    </row>
    <row r="353" spans="1:36" x14ac:dyDescent="0.2">
      <c r="A353" s="4" t="s">
        <v>113</v>
      </c>
      <c r="B353" s="4" t="str">
        <f>VLOOKUP(A353,Xtal_Templ!A:B,2,FALSE)</f>
        <v>grm1_human</v>
      </c>
      <c r="C353" s="5">
        <f>VLOOKUP($B353&amp;"__wt",'SegEnds_Xtal_BW#'!$A:$Z,3,FALSE)</f>
        <v>34</v>
      </c>
      <c r="D353" s="4">
        <f>VLOOKUP($B353&amp;"__wt",'SegEnds_Xtal_BW#'!$A:$Z,4,FALSE)</f>
        <v>60</v>
      </c>
      <c r="E353" s="4">
        <f>VLOOKUP($B353&amp;"__wt",'SegEnds_Xtal_BW#'!$A:$Z,5,FALSE)</f>
        <v>47</v>
      </c>
      <c r="F353" s="4">
        <f>VLOOKUP($B353&amp;"__wt",'SegEnds_Xtal_BW#'!$A:$Z,6,FALSE)</f>
        <v>53</v>
      </c>
      <c r="G353" s="4">
        <v>39</v>
      </c>
      <c r="H353" s="11">
        <f>VLOOKUP($B353&amp;"__wt",'SegEnds_Xtal_BW#'!$A:$Z,8,FALSE)</f>
        <v>61</v>
      </c>
      <c r="I353" s="4" t="str">
        <f>VLOOKUP($B353&amp;"__wt",'SegEnds_Xtal_BW#'!$A:$Z,9,FALSE)</f>
        <v>-</v>
      </c>
      <c r="J353" s="4" t="str">
        <f>VLOOKUP($B353&amp;"__wt",'SegEnds_Xtal_BW#'!$A:$Z,10,FALSE)</f>
        <v>-</v>
      </c>
      <c r="K353" s="11">
        <f>VLOOKUP($B353&amp;"__wt",'SegEnds_Xtal_BW#'!$A:$Z,11,FALSE)</f>
        <v>22</v>
      </c>
      <c r="L353" s="4">
        <f>VLOOKUP($B353&amp;"__wt",'SegEnds_Xtal_BW#'!$A:$Z,12,FALSE)</f>
        <v>54</v>
      </c>
      <c r="M353" s="4" t="str">
        <f>VLOOKUP($B353&amp;"__wt",'SegEnds_Xtal_BW#'!$A:$Z,13,FALSE)</f>
        <v>-</v>
      </c>
      <c r="N353" s="11" t="str">
        <f>VLOOKUP($B353&amp;"__wt",'SegEnds_Xtal_BW#'!$A:$Z,14,FALSE)</f>
        <v>-</v>
      </c>
      <c r="O353" s="90">
        <f>VLOOKUP($B353&amp;"__wt",'SegEnds_Xtal_BW#'!$A:$Z,15,FALSE)</f>
        <v>38</v>
      </c>
      <c r="P353" s="4">
        <f>VLOOKUP($B353&amp;"__wt",'SegEnds_Xtal_BW#'!$A:$Z,16,FALSE)</f>
        <v>64</v>
      </c>
      <c r="Q353" s="4">
        <f>VLOOKUP($B353&amp;"__wt",'SegEnds_Xtal_BW#'!$A:$Z,17,FALSE)</f>
        <v>50</v>
      </c>
      <c r="R353" s="4">
        <f>VLOOKUP($B353&amp;"__wt",'SegEnds_Xtal_BW#'!$A:$Z,18,FALSE)</f>
        <v>52</v>
      </c>
      <c r="S353" s="4">
        <f>VLOOKUP($B353&amp;"__wt",'SegEnds_Xtal_BW#'!$A:$Z,19,FALSE)</f>
        <v>37</v>
      </c>
      <c r="T353" s="4">
        <f>VLOOKUP($B353&amp;"__wt",'SegEnds_Xtal_BW#'!$A:$Z,20,FALSE)</f>
        <v>61</v>
      </c>
      <c r="U353" s="4">
        <f>VLOOKUP($B353&amp;"__wt",'SegEnds_Xtal_BW#'!$A:$Z,21,FALSE)</f>
        <v>33</v>
      </c>
      <c r="V353" s="4">
        <f>VLOOKUP($B353&amp;"__wt",'SegEnds_Xtal_BW#'!$A:$Z,22,FALSE)</f>
        <v>57</v>
      </c>
      <c r="W353" s="4">
        <f>VLOOKUP($B353&amp;"__wt",'SegEnds_Xtal_BW#'!$A:$Z,23,FALSE)</f>
        <v>34</v>
      </c>
      <c r="X353" s="4">
        <f>VLOOKUP($B353&amp;"__wt",'SegEnds_Xtal_BW#'!$A:$Z,24,FALSE)</f>
        <v>63</v>
      </c>
      <c r="Y353" s="4">
        <f>VLOOKUP($B353&amp;"__wt",'SegEnds_Xtal_BW#'!$A:$Z,25,FALSE)</f>
        <v>47</v>
      </c>
      <c r="Z353" s="4">
        <f>VLOOKUP($B353&amp;"__wt",'SegEnds_Xtal_BW#'!$A:$Z,26,FALSE)</f>
        <v>59</v>
      </c>
      <c r="AA353" s="27" t="str">
        <f>VLOOKUP(A353,Classification!A:B,2,FALSE)</f>
        <v>C</v>
      </c>
      <c r="AB353" s="4">
        <f>VLOOKUP(A353,'SegEnds_NonXtal_Prot#'!A:AL,10,FALSE)-VLOOKUP(A353,'SegEnds_NonXtal_Prot#'!A:AL,7,FALSE)</f>
        <v>19</v>
      </c>
      <c r="AC353" s="4" t="e">
        <f>VLOOKUP(A353,'SegEnds_NonXtal_Prot#'!A:AL,13,FALSE)-VLOOKUP(A353,'SegEnds_NonXtal_Prot#'!A:AL,10,FALSE)</f>
        <v>#VALUE!</v>
      </c>
      <c r="AD353" s="4">
        <f>VLOOKUP(A353,'SegEnds_NonXtal_Prot#'!A:AL,16,FALSE)-VLOOKUP(A353,'SegEnds_NonXtal_Prot#'!A:AL,10,FALSE)</f>
        <v>44</v>
      </c>
      <c r="AE353" s="1" t="e">
        <f>VLOOKUP(A353,'SegEnds_NonXtal_Prot#'!A:AL,22,FALSE)-VLOOKUP(A353,'SegEnds_NonXtal_Prot#'!A:AL,19,FALSE)</f>
        <v>#VALUE!</v>
      </c>
      <c r="AF353" s="4" t="e">
        <f>VLOOKUP(A353,'SegEnds_NonXtal_Prot#'!A:AL,28,FALSE)-VLOOKUP(A353,'SegEnds_NonXtal_Prot#'!A:AL,25,FALSE)</f>
        <v>#VALUE!</v>
      </c>
      <c r="AG353" s="1">
        <f>VLOOKUP(A353,'SegEnds_NonXtal_Prot#'!A:AL,28,FALSE)-VLOOKUP(A353,'SegEnds_NonXtal_Prot#'!A:AL,22,FALSE)</f>
        <v>43</v>
      </c>
      <c r="AH353" s="4">
        <f>VLOOKUP(A353,'SegEnds_NonXtal_Prot#'!A:AL,31,FALSE)-VLOOKUP(A353,'SegEnds_NonXtal_Prot#'!A:AL,28,FALSE)</f>
        <v>39</v>
      </c>
      <c r="AI353" s="4">
        <f>VLOOKUP(A353,'SegEnds_NonXtal_Prot#'!A:AL,34,FALSE)-VLOOKUP(A353,'SegEnds_NonXtal_Prot#'!A:AL,31,FALSE)</f>
        <v>35</v>
      </c>
      <c r="AJ353" s="1" t="str">
        <f>IF(ISERROR(MATCH(A353,'SegEnds_Xtal_Prot#'!B:B, 0)), "NoXtal", "Xtal")</f>
        <v>NoXtal</v>
      </c>
    </row>
    <row r="354" spans="1:36" x14ac:dyDescent="0.2">
      <c r="A354" s="4" t="s">
        <v>114</v>
      </c>
      <c r="B354" s="4" t="str">
        <f>VLOOKUP(A354,Xtal_Templ!A:B,2,FALSE)</f>
        <v>grm1_human</v>
      </c>
      <c r="C354" s="5">
        <f>VLOOKUP($B354&amp;"__wt",'SegEnds_Xtal_BW#'!$A:$Z,3,FALSE)</f>
        <v>34</v>
      </c>
      <c r="D354" s="4">
        <f>VLOOKUP($B354&amp;"__wt",'SegEnds_Xtal_BW#'!$A:$Z,4,FALSE)</f>
        <v>60</v>
      </c>
      <c r="E354" s="4">
        <f>VLOOKUP($B354&amp;"__wt",'SegEnds_Xtal_BW#'!$A:$Z,5,FALSE)</f>
        <v>47</v>
      </c>
      <c r="F354" s="4">
        <f>VLOOKUP($B354&amp;"__wt",'SegEnds_Xtal_BW#'!$A:$Z,6,FALSE)</f>
        <v>53</v>
      </c>
      <c r="G354" s="4">
        <v>39</v>
      </c>
      <c r="H354" s="11">
        <f>VLOOKUP($B354&amp;"__wt",'SegEnds_Xtal_BW#'!$A:$Z,8,FALSE)</f>
        <v>61</v>
      </c>
      <c r="I354" s="4" t="str">
        <f>VLOOKUP($B354&amp;"__wt",'SegEnds_Xtal_BW#'!$A:$Z,9,FALSE)</f>
        <v>-</v>
      </c>
      <c r="J354" s="4" t="str">
        <f>VLOOKUP($B354&amp;"__wt",'SegEnds_Xtal_BW#'!$A:$Z,10,FALSE)</f>
        <v>-</v>
      </c>
      <c r="K354" s="11">
        <f>VLOOKUP($B354&amp;"__wt",'SegEnds_Xtal_BW#'!$A:$Z,11,FALSE)</f>
        <v>22</v>
      </c>
      <c r="L354" s="4">
        <f>VLOOKUP($B354&amp;"__wt",'SegEnds_Xtal_BW#'!$A:$Z,12,FALSE)</f>
        <v>54</v>
      </c>
      <c r="M354" s="4" t="str">
        <f>VLOOKUP($B354&amp;"__wt",'SegEnds_Xtal_BW#'!$A:$Z,13,FALSE)</f>
        <v>-</v>
      </c>
      <c r="N354" s="11" t="str">
        <f>VLOOKUP($B354&amp;"__wt",'SegEnds_Xtal_BW#'!$A:$Z,14,FALSE)</f>
        <v>-</v>
      </c>
      <c r="O354" s="90">
        <f>VLOOKUP($B354&amp;"__wt",'SegEnds_Xtal_BW#'!$A:$Z,15,FALSE)</f>
        <v>38</v>
      </c>
      <c r="P354" s="4">
        <f>VLOOKUP($B354&amp;"__wt",'SegEnds_Xtal_BW#'!$A:$Z,16,FALSE)</f>
        <v>64</v>
      </c>
      <c r="Q354" s="4">
        <f>VLOOKUP($B354&amp;"__wt",'SegEnds_Xtal_BW#'!$A:$Z,17,FALSE)</f>
        <v>50</v>
      </c>
      <c r="R354" s="4">
        <f>VLOOKUP($B354&amp;"__wt",'SegEnds_Xtal_BW#'!$A:$Z,18,FALSE)</f>
        <v>52</v>
      </c>
      <c r="S354" s="4">
        <f>VLOOKUP($B354&amp;"__wt",'SegEnds_Xtal_BW#'!$A:$Z,19,FALSE)</f>
        <v>37</v>
      </c>
      <c r="T354" s="4">
        <f>VLOOKUP($B354&amp;"__wt",'SegEnds_Xtal_BW#'!$A:$Z,20,FALSE)</f>
        <v>61</v>
      </c>
      <c r="U354" s="4">
        <f>VLOOKUP($B354&amp;"__wt",'SegEnds_Xtal_BW#'!$A:$Z,21,FALSE)</f>
        <v>33</v>
      </c>
      <c r="V354" s="4">
        <f>VLOOKUP($B354&amp;"__wt",'SegEnds_Xtal_BW#'!$A:$Z,22,FALSE)</f>
        <v>57</v>
      </c>
      <c r="W354" s="4">
        <f>VLOOKUP($B354&amp;"__wt",'SegEnds_Xtal_BW#'!$A:$Z,23,FALSE)</f>
        <v>34</v>
      </c>
      <c r="X354" s="4">
        <f>VLOOKUP($B354&amp;"__wt",'SegEnds_Xtal_BW#'!$A:$Z,24,FALSE)</f>
        <v>63</v>
      </c>
      <c r="Y354" s="4">
        <f>VLOOKUP($B354&amp;"__wt",'SegEnds_Xtal_BW#'!$A:$Z,25,FALSE)</f>
        <v>47</v>
      </c>
      <c r="Z354" s="4">
        <f>VLOOKUP($B354&amp;"__wt",'SegEnds_Xtal_BW#'!$A:$Z,26,FALSE)</f>
        <v>59</v>
      </c>
      <c r="AA354" s="27" t="str">
        <f>VLOOKUP(A354,Classification!A:B,2,FALSE)</f>
        <v>C</v>
      </c>
      <c r="AB354" s="4">
        <f>VLOOKUP(A354,'SegEnds_NonXtal_Prot#'!A:AL,10,FALSE)-VLOOKUP(A354,'SegEnds_NonXtal_Prot#'!A:AL,7,FALSE)</f>
        <v>16</v>
      </c>
      <c r="AC354" s="4" t="e">
        <f>VLOOKUP(A354,'SegEnds_NonXtal_Prot#'!A:AL,13,FALSE)-VLOOKUP(A354,'SegEnds_NonXtal_Prot#'!A:AL,10,FALSE)</f>
        <v>#VALUE!</v>
      </c>
      <c r="AD354" s="4">
        <f>VLOOKUP(A354,'SegEnds_NonXtal_Prot#'!A:AL,16,FALSE)-VLOOKUP(A354,'SegEnds_NonXtal_Prot#'!A:AL,10,FALSE)</f>
        <v>44</v>
      </c>
      <c r="AE354" s="1" t="e">
        <f>VLOOKUP(A354,'SegEnds_NonXtal_Prot#'!A:AL,22,FALSE)-VLOOKUP(A354,'SegEnds_NonXtal_Prot#'!A:AL,19,FALSE)</f>
        <v>#VALUE!</v>
      </c>
      <c r="AF354" s="4">
        <f>VLOOKUP(A354,'SegEnds_NonXtal_Prot#'!A:AL,28,FALSE)-VLOOKUP(A354,'SegEnds_NonXtal_Prot#'!A:AL,25,FALSE)</f>
        <v>18</v>
      </c>
      <c r="AG354" s="1">
        <f>VLOOKUP(A354,'SegEnds_NonXtal_Prot#'!A:AL,28,FALSE)-VLOOKUP(A354,'SegEnds_NonXtal_Prot#'!A:AL,22,FALSE)</f>
        <v>50</v>
      </c>
      <c r="AH354" s="4">
        <f>VLOOKUP(A354,'SegEnds_NonXtal_Prot#'!A:AL,31,FALSE)-VLOOKUP(A354,'SegEnds_NonXtal_Prot#'!A:AL,28,FALSE)</f>
        <v>35</v>
      </c>
      <c r="AI354" s="4">
        <f>VLOOKUP(A354,'SegEnds_NonXtal_Prot#'!A:AL,34,FALSE)-VLOOKUP(A354,'SegEnds_NonXtal_Prot#'!A:AL,31,FALSE)</f>
        <v>29</v>
      </c>
      <c r="AJ354" s="1" t="str">
        <f>IF(ISERROR(MATCH(A354,'SegEnds_Xtal_Prot#'!B:B, 0)), "NoXtal", "Xtal")</f>
        <v>NoXtal</v>
      </c>
    </row>
    <row r="355" spans="1:36" x14ac:dyDescent="0.2">
      <c r="A355" s="4" t="s">
        <v>40</v>
      </c>
      <c r="B355" s="4" t="str">
        <f>VLOOKUP(A355,Xtal_Templ!A:B,2,FALSE)</f>
        <v>grm1_human</v>
      </c>
      <c r="C355" s="5">
        <f>VLOOKUP($B355&amp;"__wt",'SegEnds_Xtal_BW#'!$A:$Z,3,FALSE)</f>
        <v>34</v>
      </c>
      <c r="D355" s="4">
        <f>VLOOKUP($B355&amp;"__wt",'SegEnds_Xtal_BW#'!$A:$Z,4,FALSE)</f>
        <v>60</v>
      </c>
      <c r="E355" s="4">
        <f>VLOOKUP($B355&amp;"__wt",'SegEnds_Xtal_BW#'!$A:$Z,5,FALSE)</f>
        <v>47</v>
      </c>
      <c r="F355" s="4">
        <f>VLOOKUP($B355&amp;"__wt",'SegEnds_Xtal_BW#'!$A:$Z,6,FALSE)</f>
        <v>53</v>
      </c>
      <c r="G355" s="4">
        <v>39</v>
      </c>
      <c r="H355" s="11">
        <f>VLOOKUP($B355&amp;"__wt",'SegEnds_Xtal_BW#'!$A:$Z,8,FALSE)</f>
        <v>61</v>
      </c>
      <c r="I355" s="4" t="str">
        <f>VLOOKUP($B355&amp;"__wt",'SegEnds_Xtal_BW#'!$A:$Z,9,FALSE)</f>
        <v>-</v>
      </c>
      <c r="J355" s="4" t="str">
        <f>VLOOKUP($B355&amp;"__wt",'SegEnds_Xtal_BW#'!$A:$Z,10,FALSE)</f>
        <v>-</v>
      </c>
      <c r="K355" s="11">
        <f>VLOOKUP($B355&amp;"__wt",'SegEnds_Xtal_BW#'!$A:$Z,11,FALSE)</f>
        <v>22</v>
      </c>
      <c r="L355" s="4">
        <f>VLOOKUP($B355&amp;"__wt",'SegEnds_Xtal_BW#'!$A:$Z,12,FALSE)</f>
        <v>54</v>
      </c>
      <c r="M355" s="4" t="str">
        <f>VLOOKUP($B355&amp;"__wt",'SegEnds_Xtal_BW#'!$A:$Z,13,FALSE)</f>
        <v>-</v>
      </c>
      <c r="N355" s="11" t="str">
        <f>VLOOKUP($B355&amp;"__wt",'SegEnds_Xtal_BW#'!$A:$Z,14,FALSE)</f>
        <v>-</v>
      </c>
      <c r="O355" s="90">
        <f>VLOOKUP($B355&amp;"__wt",'SegEnds_Xtal_BW#'!$A:$Z,15,FALSE)</f>
        <v>38</v>
      </c>
      <c r="P355" s="4">
        <f>VLOOKUP($B355&amp;"__wt",'SegEnds_Xtal_BW#'!$A:$Z,16,FALSE)</f>
        <v>64</v>
      </c>
      <c r="Q355" s="4">
        <f>VLOOKUP($B355&amp;"__wt",'SegEnds_Xtal_BW#'!$A:$Z,17,FALSE)</f>
        <v>50</v>
      </c>
      <c r="R355" s="4">
        <f>VLOOKUP($B355&amp;"__wt",'SegEnds_Xtal_BW#'!$A:$Z,18,FALSE)</f>
        <v>52</v>
      </c>
      <c r="S355" s="4">
        <f>VLOOKUP($B355&amp;"__wt",'SegEnds_Xtal_BW#'!$A:$Z,19,FALSE)</f>
        <v>37</v>
      </c>
      <c r="T355" s="4">
        <f>VLOOKUP($B355&amp;"__wt",'SegEnds_Xtal_BW#'!$A:$Z,20,FALSE)</f>
        <v>61</v>
      </c>
      <c r="U355" s="4">
        <f>VLOOKUP($B355&amp;"__wt",'SegEnds_Xtal_BW#'!$A:$Z,21,FALSE)</f>
        <v>33</v>
      </c>
      <c r="V355" s="4">
        <f>VLOOKUP($B355&amp;"__wt",'SegEnds_Xtal_BW#'!$A:$Z,22,FALSE)</f>
        <v>57</v>
      </c>
      <c r="W355" s="4">
        <f>VLOOKUP($B355&amp;"__wt",'SegEnds_Xtal_BW#'!$A:$Z,23,FALSE)</f>
        <v>34</v>
      </c>
      <c r="X355" s="4">
        <f>VLOOKUP($B355&amp;"__wt",'SegEnds_Xtal_BW#'!$A:$Z,24,FALSE)</f>
        <v>63</v>
      </c>
      <c r="Y355" s="4">
        <f>VLOOKUP($B355&amp;"__wt",'SegEnds_Xtal_BW#'!$A:$Z,25,FALSE)</f>
        <v>47</v>
      </c>
      <c r="Z355" s="4">
        <f>VLOOKUP($B355&amp;"__wt",'SegEnds_Xtal_BW#'!$A:$Z,26,FALSE)</f>
        <v>59</v>
      </c>
      <c r="AA355" s="27" t="str">
        <f>VLOOKUP(A355,Classification!A:B,2,FALSE)</f>
        <v>C</v>
      </c>
      <c r="AB355" s="4">
        <f>VLOOKUP(A355,'SegEnds_NonXtal_Prot#'!A:AL,10,FALSE)-VLOOKUP(A355,'SegEnds_NonXtal_Prot#'!A:AL,7,FALSE)</f>
        <v>15</v>
      </c>
      <c r="AC355" s="4" t="e">
        <f>VLOOKUP(A355,'SegEnds_NonXtal_Prot#'!A:AL,13,FALSE)-VLOOKUP(A355,'SegEnds_NonXtal_Prot#'!A:AL,10,FALSE)</f>
        <v>#VALUE!</v>
      </c>
      <c r="AD355" s="4">
        <f>VLOOKUP(A355,'SegEnds_NonXtal_Prot#'!A:AL,16,FALSE)-VLOOKUP(A355,'SegEnds_NonXtal_Prot#'!A:AL,10,FALSE)</f>
        <v>44</v>
      </c>
      <c r="AE355" s="1" t="e">
        <f>VLOOKUP(A355,'SegEnds_NonXtal_Prot#'!A:AL,22,FALSE)-VLOOKUP(A355,'SegEnds_NonXtal_Prot#'!A:AL,19,FALSE)</f>
        <v>#VALUE!</v>
      </c>
      <c r="AF355" s="4">
        <f>VLOOKUP(A355,'SegEnds_NonXtal_Prot#'!A:AL,28,FALSE)-VLOOKUP(A355,'SegEnds_NonXtal_Prot#'!A:AL,25,FALSE)</f>
        <v>17</v>
      </c>
      <c r="AG355" s="1">
        <f>VLOOKUP(A355,'SegEnds_NonXtal_Prot#'!A:AL,28,FALSE)-VLOOKUP(A355,'SegEnds_NonXtal_Prot#'!A:AL,22,FALSE)</f>
        <v>49</v>
      </c>
      <c r="AH355" s="4">
        <f>VLOOKUP(A355,'SegEnds_NonXtal_Prot#'!A:AL,31,FALSE)-VLOOKUP(A355,'SegEnds_NonXtal_Prot#'!A:AL,28,FALSE)</f>
        <v>37</v>
      </c>
      <c r="AI355" s="4">
        <f>VLOOKUP(A355,'SegEnds_NonXtal_Prot#'!A:AL,34,FALSE)-VLOOKUP(A355,'SegEnds_NonXtal_Prot#'!A:AL,31,FALSE)</f>
        <v>27</v>
      </c>
      <c r="AJ355" s="1" t="str">
        <f>IF(ISERROR(MATCH(A355,'SegEnds_Xtal_Prot#'!B:B, 0)), "NoXtal", "Xtal")</f>
        <v>Xtal</v>
      </c>
    </row>
    <row r="356" spans="1:36" x14ac:dyDescent="0.2">
      <c r="A356" s="1" t="s">
        <v>115</v>
      </c>
      <c r="B356" s="1" t="str">
        <f>VLOOKUP(A356,Xtal_Templ!A:B,2,FALSE)</f>
        <v>grm5_human</v>
      </c>
      <c r="C356" s="5">
        <f>VLOOKUP($B356&amp;"__wt",'SegEnds_Xtal_BW#'!$A:$Z,3,FALSE)</f>
        <v>34</v>
      </c>
      <c r="D356" s="1">
        <f>VLOOKUP($B356&amp;"__wt",'SegEnds_Xtal_BW#'!$A:$Z,4,FALSE)</f>
        <v>60</v>
      </c>
      <c r="E356" s="1">
        <f>VLOOKUP($B356&amp;"__wt",'SegEnds_Xtal_BW#'!$A:$Z,5,FALSE)</f>
        <v>47</v>
      </c>
      <c r="F356" s="1">
        <f>VLOOKUP($B356&amp;"__wt",'SegEnds_Xtal_BW#'!$A:$Z,6,FALSE)</f>
        <v>53</v>
      </c>
      <c r="G356" s="1">
        <v>39</v>
      </c>
      <c r="H356" s="12">
        <f>VLOOKUP($B356&amp;"__wt",'SegEnds_Xtal_BW#'!$A:$Z,8,FALSE)</f>
        <v>61</v>
      </c>
      <c r="I356" s="1" t="str">
        <f>VLOOKUP($B356&amp;"__wt",'SegEnds_Xtal_BW#'!$A:$Z,9,FALSE)</f>
        <v>-</v>
      </c>
      <c r="J356" s="1" t="str">
        <f>VLOOKUP($B356&amp;"__wt",'SegEnds_Xtal_BW#'!$A:$Z,10,FALSE)</f>
        <v>-</v>
      </c>
      <c r="K356" s="12">
        <f>VLOOKUP($B356&amp;"__wt",'SegEnds_Xtal_BW#'!$A:$Z,11,FALSE)</f>
        <v>22</v>
      </c>
      <c r="L356" s="1">
        <f>VLOOKUP($B356&amp;"__wt",'SegEnds_Xtal_BW#'!$A:$Z,12,FALSE)</f>
        <v>54</v>
      </c>
      <c r="M356" s="1" t="str">
        <f>VLOOKUP($B356&amp;"__wt",'SegEnds_Xtal_BW#'!$A:$Z,13,FALSE)</f>
        <v>-</v>
      </c>
      <c r="N356" s="12" t="str">
        <f>VLOOKUP($B356&amp;"__wt",'SegEnds_Xtal_BW#'!$A:$Z,14,FALSE)</f>
        <v>-</v>
      </c>
      <c r="O356" s="89">
        <f>VLOOKUP($B356&amp;"__wt",'SegEnds_Xtal_BW#'!$A:$Z,15,FALSE)</f>
        <v>38</v>
      </c>
      <c r="P356" s="1">
        <f>VLOOKUP($B356&amp;"__wt",'SegEnds_Xtal_BW#'!$A:$Z,16,FALSE)</f>
        <v>64</v>
      </c>
      <c r="Q356" s="1">
        <f>VLOOKUP($B356&amp;"__wt",'SegEnds_Xtal_BW#'!$A:$Z,17,FALSE)</f>
        <v>50</v>
      </c>
      <c r="R356" s="1">
        <f>VLOOKUP($B356&amp;"__wt",'SegEnds_Xtal_BW#'!$A:$Z,18,FALSE)</f>
        <v>52</v>
      </c>
      <c r="S356" s="1">
        <f>VLOOKUP($B356&amp;"__wt",'SegEnds_Xtal_BW#'!$A:$Z,19,FALSE)</f>
        <v>37</v>
      </c>
      <c r="T356" s="1">
        <f>VLOOKUP($B356&amp;"__wt",'SegEnds_Xtal_BW#'!$A:$Z,20,FALSE)</f>
        <v>61</v>
      </c>
      <c r="U356" s="1">
        <f>VLOOKUP($B356&amp;"__wt",'SegEnds_Xtal_BW#'!$A:$Z,21,FALSE)</f>
        <v>33</v>
      </c>
      <c r="V356" s="1">
        <f>VLOOKUP($B356&amp;"__wt",'SegEnds_Xtal_BW#'!$A:$Z,22,FALSE)</f>
        <v>57</v>
      </c>
      <c r="W356" s="1">
        <f>VLOOKUP($B356&amp;"__wt",'SegEnds_Xtal_BW#'!$A:$Z,23,FALSE)</f>
        <v>34</v>
      </c>
      <c r="X356" s="1">
        <f>VLOOKUP($B356&amp;"__wt",'SegEnds_Xtal_BW#'!$A:$Z,24,FALSE)</f>
        <v>63</v>
      </c>
      <c r="Y356" s="1">
        <f>VLOOKUP($B356&amp;"__wt",'SegEnds_Xtal_BW#'!$A:$Z,25,FALSE)</f>
        <v>47</v>
      </c>
      <c r="Z356" s="1">
        <f>VLOOKUP($B356&amp;"__wt",'SegEnds_Xtal_BW#'!$A:$Z,26,FALSE)</f>
        <v>59</v>
      </c>
      <c r="AA356" s="27" t="str">
        <f>VLOOKUP(A356,Classification!A:B,2,FALSE)</f>
        <v>C</v>
      </c>
      <c r="AB356" s="1">
        <f>VLOOKUP(A356,'SegEnds_NonXtal_Prot#'!A:AL,10,FALSE)-VLOOKUP(A356,'SegEnds_NonXtal_Prot#'!A:AL,7,FALSE)</f>
        <v>15</v>
      </c>
      <c r="AC356" s="1" t="e">
        <f>VLOOKUP(A356,'SegEnds_NonXtal_Prot#'!A:AL,13,FALSE)-VLOOKUP(A356,'SegEnds_NonXtal_Prot#'!A:AL,10,FALSE)</f>
        <v>#VALUE!</v>
      </c>
      <c r="AD356" s="1">
        <f>VLOOKUP(A356,'SegEnds_NonXtal_Prot#'!A:AL,16,FALSE)-VLOOKUP(A356,'SegEnds_NonXtal_Prot#'!A:AL,10,FALSE)</f>
        <v>44</v>
      </c>
      <c r="AE356" s="1" t="e">
        <f>VLOOKUP(A356,'SegEnds_NonXtal_Prot#'!A:AL,22,FALSE)-VLOOKUP(A356,'SegEnds_NonXtal_Prot#'!A:AL,19,FALSE)</f>
        <v>#VALUE!</v>
      </c>
      <c r="AF356" s="1">
        <f>VLOOKUP(A356,'SegEnds_NonXtal_Prot#'!A:AL,28,FALSE)-VLOOKUP(A356,'SegEnds_NonXtal_Prot#'!A:AL,25,FALSE)</f>
        <v>17</v>
      </c>
      <c r="AG356" s="1">
        <f>VLOOKUP(A356,'SegEnds_NonXtal_Prot#'!A:AL,28,FALSE)-VLOOKUP(A356,'SegEnds_NonXtal_Prot#'!A:AL,22,FALSE)</f>
        <v>51</v>
      </c>
      <c r="AH356" s="1">
        <f>VLOOKUP(A356,'SegEnds_NonXtal_Prot#'!A:AL,31,FALSE)-VLOOKUP(A356,'SegEnds_NonXtal_Prot#'!A:AL,28,FALSE)</f>
        <v>37</v>
      </c>
      <c r="AI356" s="1">
        <f>VLOOKUP(A356,'SegEnds_NonXtal_Prot#'!A:AL,34,FALSE)-VLOOKUP(A356,'SegEnds_NonXtal_Prot#'!A:AL,31,FALSE)</f>
        <v>31</v>
      </c>
      <c r="AJ356" s="1" t="str">
        <f>IF(ISERROR(MATCH(A356,'SegEnds_Xtal_Prot#'!B:B, 0)), "NoXtal", "Xtal")</f>
        <v>NoXtal</v>
      </c>
    </row>
    <row r="357" spans="1:36" x14ac:dyDescent="0.2">
      <c r="A357" s="1" t="s">
        <v>116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22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9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37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34</v>
      </c>
      <c r="X357" s="1">
        <f>VLOOKUP($B357&amp;"__wt",'SegEnds_Xtal_BW#'!$A:$Z,24,FALSE)</f>
        <v>63</v>
      </c>
      <c r="Y357" s="1">
        <f>VLOOKUP($B357&amp;"__wt",'SegEnds_Xtal_BW#'!$A:$Z,25,FALSE)</f>
        <v>47</v>
      </c>
      <c r="Z357" s="1">
        <f>VLOOKUP($B357&amp;"__wt",'SegEnds_Xtal_BW#'!$A:$Z,26,FALSE)</f>
        <v>59</v>
      </c>
      <c r="AA357" s="27" t="str">
        <f>VLOOKUP(A357,Classification!A:B,2,FALSE)</f>
        <v>C</v>
      </c>
      <c r="AB357" s="1">
        <f>VLOOKUP(A357,'SegEnds_NonXtal_Prot#'!A:AL,10,FALSE)-VLOOKUP(A357,'SegEnds_NonXtal_Prot#'!A:AL,7,FALSE)</f>
        <v>15</v>
      </c>
      <c r="AC357" s="1" t="e">
        <f>VLOOKUP(A357,'SegEnds_NonXtal_Prot#'!A:AL,13,FALSE)-VLOOKUP(A357,'SegEnds_NonXtal_Prot#'!A:AL,10,FALSE)</f>
        <v>#VALUE!</v>
      </c>
      <c r="AD357" s="1">
        <f>VLOOKUP(A357,'SegEnds_NonXtal_Prot#'!A:AL,16,FALSE)-VLOOKUP(A357,'SegEnds_NonXtal_Prot#'!A:AL,10,FALSE)</f>
        <v>44</v>
      </c>
      <c r="AE357" s="1" t="e">
        <f>VLOOKUP(A357,'SegEnds_NonXtal_Prot#'!A:AL,22,FALSE)-VLOOKUP(A357,'SegEnds_NonXtal_Prot#'!A:AL,19,FALSE)</f>
        <v>#VALUE!</v>
      </c>
      <c r="AF357" s="1">
        <f>VLOOKUP(A357,'SegEnds_NonXtal_Prot#'!A:AL,28,FALSE)-VLOOKUP(A357,'SegEnds_NonXtal_Prot#'!A:AL,25,FALSE)</f>
        <v>17</v>
      </c>
      <c r="AG357" s="1">
        <f>VLOOKUP(A357,'SegEnds_NonXtal_Prot#'!A:AL,28,FALSE)-VLOOKUP(A357,'SegEnds_NonXtal_Prot#'!A:AL,22,FALSE)</f>
        <v>51</v>
      </c>
      <c r="AH357" s="1">
        <f>VLOOKUP(A357,'SegEnds_NonXtal_Prot#'!A:AL,31,FALSE)-VLOOKUP(A357,'SegEnds_NonXtal_Prot#'!A:AL,28,FALSE)</f>
        <v>37</v>
      </c>
      <c r="AI357" s="1">
        <f>VLOOKUP(A357,'SegEnds_NonXtal_Prot#'!A:AL,34,FALSE)-VLOOKUP(A357,'SegEnds_NonXtal_Prot#'!A:AL,31,FALSE)</f>
        <v>31</v>
      </c>
      <c r="AJ357" s="1" t="str">
        <f>IF(ISERROR(MATCH(A357,'SegEnds_Xtal_Prot#'!B:B, 0)), "NoXtal", "Xtal")</f>
        <v>NoXtal</v>
      </c>
    </row>
    <row r="358" spans="1:36" x14ac:dyDescent="0.2">
      <c r="A358" s="1" t="s">
        <v>117</v>
      </c>
      <c r="B358" s="1" t="str">
        <f>VLOOKUP(A358,Xtal_Templ!A:B,2,FALSE)</f>
        <v>grm5_human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9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37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34</v>
      </c>
      <c r="X358" s="1">
        <f>VLOOKUP($B358&amp;"__wt",'SegEnds_Xtal_BW#'!$A:$Z,24,FALSE)</f>
        <v>63</v>
      </c>
      <c r="Y358" s="1">
        <f>VLOOKUP($B358&amp;"__wt",'SegEnds_Xtal_BW#'!$A:$Z,25,FALSE)</f>
        <v>47</v>
      </c>
      <c r="Z358" s="1">
        <f>VLOOKUP($B358&amp;"__wt",'SegEnds_Xtal_BW#'!$A:$Z,26,FALSE)</f>
        <v>59</v>
      </c>
      <c r="AA358" s="27" t="str">
        <f>VLOOKUP(A358,Classification!A:B,2,FALSE)</f>
        <v>C</v>
      </c>
      <c r="AB358" s="1">
        <f>VLOOKUP(A358,'SegEnds_NonXtal_Prot#'!A:AL,10,FALSE)-VLOOKUP(A358,'SegEnds_NonXtal_Prot#'!A:AL,7,FALSE)</f>
        <v>15</v>
      </c>
      <c r="AC358" s="1" t="e">
        <f>VLOOKUP(A358,'SegEnds_NonXtal_Prot#'!A:AL,13,FALSE)-VLOOKUP(A358,'SegEnds_NonXtal_Prot#'!A:AL,10,FALSE)</f>
        <v>#VALUE!</v>
      </c>
      <c r="AD358" s="1">
        <f>VLOOKUP(A358,'SegEnds_NonXtal_Prot#'!A:AL,16,FALSE)-VLOOKUP(A358,'SegEnds_NonXtal_Prot#'!A:AL,10,FALSE)</f>
        <v>44</v>
      </c>
      <c r="AE358" s="1" t="e">
        <f>VLOOKUP(A358,'SegEnds_NonXtal_Prot#'!A:AL,22,FALSE)-VLOOKUP(A358,'SegEnds_NonXtal_Prot#'!A:AL,19,FALSE)</f>
        <v>#VALUE!</v>
      </c>
      <c r="AF358" s="1">
        <f>VLOOKUP(A358,'SegEnds_NonXtal_Prot#'!A:AL,28,FALSE)-VLOOKUP(A358,'SegEnds_NonXtal_Prot#'!A:AL,25,FALSE)</f>
        <v>17</v>
      </c>
      <c r="AG358" s="1">
        <f>VLOOKUP(A358,'SegEnds_NonXtal_Prot#'!A:AL,28,FALSE)-VLOOKUP(A358,'SegEnds_NonXtal_Prot#'!A:AL,22,FALSE)</f>
        <v>56</v>
      </c>
      <c r="AH358" s="1">
        <f>VLOOKUP(A358,'SegEnds_NonXtal_Prot#'!A:AL,31,FALSE)-VLOOKUP(A358,'SegEnds_NonXtal_Prot#'!A:AL,28,FALSE)</f>
        <v>37</v>
      </c>
      <c r="AI358" s="1">
        <f>VLOOKUP(A358,'SegEnds_NonXtal_Prot#'!A:AL,34,FALSE)-VLOOKUP(A358,'SegEnds_NonXtal_Prot#'!A:AL,31,FALSE)</f>
        <v>34</v>
      </c>
      <c r="AJ358" s="1" t="str">
        <f>IF(ISERROR(MATCH(A358,'SegEnds_Xtal_Prot#'!B:B, 0)), "NoXtal", "Xtal")</f>
        <v>NoXtal</v>
      </c>
    </row>
    <row r="359" spans="1:36" x14ac:dyDescent="0.2">
      <c r="A359" s="1" t="s">
        <v>41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22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9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37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34</v>
      </c>
      <c r="X359" s="1">
        <f>VLOOKUP($B359&amp;"__wt",'SegEnds_Xtal_BW#'!$A:$Z,24,FALSE)</f>
        <v>63</v>
      </c>
      <c r="Y359" s="1">
        <f>VLOOKUP($B359&amp;"__wt",'SegEnds_Xtal_BW#'!$A:$Z,25,FALSE)</f>
        <v>47</v>
      </c>
      <c r="Z359" s="1">
        <f>VLOOKUP($B359&amp;"__wt",'SegEnds_Xtal_BW#'!$A:$Z,26,FALSE)</f>
        <v>59</v>
      </c>
      <c r="AA359" s="27" t="str">
        <f>VLOOKUP(A359,Classification!A:B,2,FALSE)</f>
        <v>C</v>
      </c>
      <c r="AB359" s="1">
        <f>VLOOKUP(A359,'SegEnds_NonXtal_Prot#'!A:AL,10,FALSE)-VLOOKUP(A359,'SegEnds_NonXtal_Prot#'!A:AL,7,FALSE)</f>
        <v>15</v>
      </c>
      <c r="AC359" s="1" t="e">
        <f>VLOOKUP(A359,'SegEnds_NonXtal_Prot#'!A:AL,13,FALSE)-VLOOKUP(A359,'SegEnds_NonXtal_Prot#'!A:AL,10,FALSE)</f>
        <v>#VALUE!</v>
      </c>
      <c r="AD359" s="1">
        <f>VLOOKUP(A359,'SegEnds_NonXtal_Prot#'!A:AL,16,FALSE)-VLOOKUP(A359,'SegEnds_NonXtal_Prot#'!A:AL,10,FALSE)</f>
        <v>44</v>
      </c>
      <c r="AE359" s="1" t="e">
        <f>VLOOKUP(A359,'SegEnds_NonXtal_Prot#'!A:AL,22,FALSE)-VLOOKUP(A359,'SegEnds_NonXtal_Prot#'!A:AL,19,FALSE)</f>
        <v>#VALUE!</v>
      </c>
      <c r="AF359" s="1">
        <f>VLOOKUP(A359,'SegEnds_NonXtal_Prot#'!A:AL,28,FALSE)-VLOOKUP(A359,'SegEnds_NonXtal_Prot#'!A:AL,25,FALSE)</f>
        <v>17</v>
      </c>
      <c r="AG359" s="1">
        <f>VLOOKUP(A359,'SegEnds_NonXtal_Prot#'!A:AL,28,FALSE)-VLOOKUP(A359,'SegEnds_NonXtal_Prot#'!A:AL,22,FALSE)</f>
        <v>49</v>
      </c>
      <c r="AH359" s="1">
        <f>VLOOKUP(A359,'SegEnds_NonXtal_Prot#'!A:AL,31,FALSE)-VLOOKUP(A359,'SegEnds_NonXtal_Prot#'!A:AL,28,FALSE)</f>
        <v>37</v>
      </c>
      <c r="AI359" s="1">
        <f>VLOOKUP(A359,'SegEnds_NonXtal_Prot#'!A:AL,34,FALSE)-VLOOKUP(A359,'SegEnds_NonXtal_Prot#'!A:AL,31,FALSE)</f>
        <v>27</v>
      </c>
      <c r="AJ359" s="1" t="str">
        <f>IF(ISERROR(MATCH(A359,'SegEnds_Xtal_Prot#'!B:B, 0)), "NoXtal", "Xtal")</f>
        <v>Xtal</v>
      </c>
    </row>
    <row r="360" spans="1:36" x14ac:dyDescent="0.2">
      <c r="A360" s="1" t="s">
        <v>118</v>
      </c>
      <c r="B360" s="1" t="str">
        <f>VLOOKUP(A360,Xtal_Templ!A:B,2,FALSE)</f>
        <v>grm5_human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9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37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34</v>
      </c>
      <c r="X360" s="1">
        <f>VLOOKUP($B360&amp;"__wt",'SegEnds_Xtal_BW#'!$A:$Z,24,FALSE)</f>
        <v>63</v>
      </c>
      <c r="Y360" s="1">
        <f>VLOOKUP($B360&amp;"__wt",'SegEnds_Xtal_BW#'!$A:$Z,25,FALSE)</f>
        <v>47</v>
      </c>
      <c r="Z360" s="1">
        <f>VLOOKUP($B360&amp;"__wt",'SegEnds_Xtal_BW#'!$A:$Z,26,FALSE)</f>
        <v>59</v>
      </c>
      <c r="AA360" s="27" t="str">
        <f>VLOOKUP(A360,Classification!A:B,2,FALSE)</f>
        <v>C</v>
      </c>
      <c r="AB360" s="1">
        <f>VLOOKUP(A360,'SegEnds_NonXtal_Prot#'!A:AL,10,FALSE)-VLOOKUP(A360,'SegEnds_NonXtal_Prot#'!A:AL,7,FALSE)</f>
        <v>15</v>
      </c>
      <c r="AC360" s="1" t="e">
        <f>VLOOKUP(A360,'SegEnds_NonXtal_Prot#'!A:AL,13,FALSE)-VLOOKUP(A360,'SegEnds_NonXtal_Prot#'!A:AL,10,FALSE)</f>
        <v>#VALUE!</v>
      </c>
      <c r="AD360" s="1">
        <f>VLOOKUP(A360,'SegEnds_NonXtal_Prot#'!A:AL,16,FALSE)-VLOOKUP(A360,'SegEnds_NonXtal_Prot#'!A:AL,10,FALSE)</f>
        <v>44</v>
      </c>
      <c r="AE360" s="1" t="e">
        <f>VLOOKUP(A360,'SegEnds_NonXtal_Prot#'!A:AL,22,FALSE)-VLOOKUP(A360,'SegEnds_NonXtal_Prot#'!A:AL,19,FALSE)</f>
        <v>#VALUE!</v>
      </c>
      <c r="AF360" s="1">
        <f>VLOOKUP(A360,'SegEnds_NonXtal_Prot#'!A:AL,28,FALSE)-VLOOKUP(A360,'SegEnds_NonXtal_Prot#'!A:AL,25,FALSE)</f>
        <v>17</v>
      </c>
      <c r="AG360" s="1">
        <f>VLOOKUP(A360,'SegEnds_NonXtal_Prot#'!A:AL,28,FALSE)-VLOOKUP(A360,'SegEnds_NonXtal_Prot#'!A:AL,22,FALSE)</f>
        <v>56</v>
      </c>
      <c r="AH360" s="1">
        <f>VLOOKUP(A360,'SegEnds_NonXtal_Prot#'!A:AL,31,FALSE)-VLOOKUP(A360,'SegEnds_NonXtal_Prot#'!A:AL,28,FALSE)</f>
        <v>37</v>
      </c>
      <c r="AI360" s="1">
        <f>VLOOKUP(A360,'SegEnds_NonXtal_Prot#'!A:AL,34,FALSE)-VLOOKUP(A360,'SegEnds_NonXtal_Prot#'!A:AL,31,FALSE)</f>
        <v>34</v>
      </c>
      <c r="AJ360" s="1" t="str">
        <f>IF(ISERROR(MATCH(A360,'SegEnds_Xtal_Prot#'!B:B, 0)), "NoXtal", "Xtal")</f>
        <v>NoXtal</v>
      </c>
    </row>
    <row r="361" spans="1:36" x14ac:dyDescent="0.2">
      <c r="A361" s="1" t="s">
        <v>119</v>
      </c>
      <c r="B361" s="1" t="str">
        <f>VLOOKUP(A361,Xtal_Templ!A:B,2,FALSE)</f>
        <v>grm5_human</v>
      </c>
      <c r="C361" s="5">
        <f>VLOOKUP($B361&amp;"__wt",'SegEnds_Xtal_BW#'!$A:$Z,3,FALSE)</f>
        <v>34</v>
      </c>
      <c r="D361" s="1">
        <f>VLOOKUP($B361&amp;"__wt",'SegEnds_Xtal_BW#'!$A:$Z,4,FALSE)</f>
        <v>60</v>
      </c>
      <c r="E361" s="1">
        <f>VLOOKUP($B361&amp;"__wt",'SegEnds_Xtal_BW#'!$A:$Z,5,FALSE)</f>
        <v>47</v>
      </c>
      <c r="F361" s="1">
        <f>VLOOKUP($B361&amp;"__wt",'SegEnds_Xtal_BW#'!$A:$Z,6,FALSE)</f>
        <v>53</v>
      </c>
      <c r="G361" s="1">
        <v>39</v>
      </c>
      <c r="H361" s="12">
        <f>VLOOKUP($B361&amp;"__wt",'SegEnds_Xtal_BW#'!$A:$Z,8,FALSE)</f>
        <v>61</v>
      </c>
      <c r="I361" s="1" t="str">
        <f>VLOOKUP($B361&amp;"__wt",'SegEnds_Xtal_BW#'!$A:$Z,9,FALSE)</f>
        <v>-</v>
      </c>
      <c r="J361" s="1" t="str">
        <f>VLOOKUP($B361&amp;"__wt",'SegEnds_Xtal_BW#'!$A:$Z,10,FALSE)</f>
        <v>-</v>
      </c>
      <c r="K361" s="12">
        <f>VLOOKUP($B361&amp;"__wt",'SegEnds_Xtal_BW#'!$A:$Z,11,FALSE)</f>
        <v>22</v>
      </c>
      <c r="L361" s="1">
        <f>VLOOKUP($B361&amp;"__wt",'SegEnds_Xtal_BW#'!$A:$Z,12,FALSE)</f>
        <v>54</v>
      </c>
      <c r="M361" s="1" t="str">
        <f>VLOOKUP($B361&amp;"__wt",'SegEnds_Xtal_BW#'!$A:$Z,13,FALSE)</f>
        <v>-</v>
      </c>
      <c r="N361" s="12" t="str">
        <f>VLOOKUP($B361&amp;"__wt",'SegEnds_Xtal_BW#'!$A:$Z,14,FALSE)</f>
        <v>-</v>
      </c>
      <c r="O361" s="89">
        <f>VLOOKUP($B361&amp;"__wt",'SegEnds_Xtal_BW#'!$A:$Z,15,FALSE)</f>
        <v>38</v>
      </c>
      <c r="P361" s="1">
        <f>VLOOKUP($B361&amp;"__wt",'SegEnds_Xtal_BW#'!$A:$Z,16,FALSE)</f>
        <v>64</v>
      </c>
      <c r="Q361" s="1">
        <f>VLOOKUP($B361&amp;"__wt",'SegEnds_Xtal_BW#'!$A:$Z,17,FALSE)</f>
        <v>50</v>
      </c>
      <c r="R361" s="1">
        <f>VLOOKUP($B361&amp;"__wt",'SegEnds_Xtal_BW#'!$A:$Z,18,FALSE)</f>
        <v>52</v>
      </c>
      <c r="S361" s="1">
        <f>VLOOKUP($B361&amp;"__wt",'SegEnds_Xtal_BW#'!$A:$Z,19,FALSE)</f>
        <v>37</v>
      </c>
      <c r="T361" s="1">
        <f>VLOOKUP($B361&amp;"__wt",'SegEnds_Xtal_BW#'!$A:$Z,20,FALSE)</f>
        <v>61</v>
      </c>
      <c r="U361" s="1">
        <f>VLOOKUP($B361&amp;"__wt",'SegEnds_Xtal_BW#'!$A:$Z,21,FALSE)</f>
        <v>33</v>
      </c>
      <c r="V361" s="1">
        <f>VLOOKUP($B361&amp;"__wt",'SegEnds_Xtal_BW#'!$A:$Z,22,FALSE)</f>
        <v>57</v>
      </c>
      <c r="W361" s="1">
        <f>VLOOKUP($B361&amp;"__wt",'SegEnds_Xtal_BW#'!$A:$Z,23,FALSE)</f>
        <v>34</v>
      </c>
      <c r="X361" s="1">
        <f>VLOOKUP($B361&amp;"__wt",'SegEnds_Xtal_BW#'!$A:$Z,24,FALSE)</f>
        <v>63</v>
      </c>
      <c r="Y361" s="1">
        <f>VLOOKUP($B361&amp;"__wt",'SegEnds_Xtal_BW#'!$A:$Z,25,FALSE)</f>
        <v>47</v>
      </c>
      <c r="Z361" s="1">
        <f>VLOOKUP($B361&amp;"__wt",'SegEnds_Xtal_BW#'!$A:$Z,26,FALSE)</f>
        <v>59</v>
      </c>
      <c r="AA361" s="27" t="str">
        <f>VLOOKUP(A361,Classification!A:B,2,FALSE)</f>
        <v>C</v>
      </c>
      <c r="AB361" s="1">
        <f>VLOOKUP(A361,'SegEnds_NonXtal_Prot#'!A:AL,10,FALSE)-VLOOKUP(A361,'SegEnds_NonXtal_Prot#'!A:AL,7,FALSE)</f>
        <v>15</v>
      </c>
      <c r="AC361" s="1" t="e">
        <f>VLOOKUP(A361,'SegEnds_NonXtal_Prot#'!A:AL,13,FALSE)-VLOOKUP(A361,'SegEnds_NonXtal_Prot#'!A:AL,10,FALSE)</f>
        <v>#VALUE!</v>
      </c>
      <c r="AD361" s="1">
        <f>VLOOKUP(A361,'SegEnds_NonXtal_Prot#'!A:AL,16,FALSE)-VLOOKUP(A361,'SegEnds_NonXtal_Prot#'!A:AL,10,FALSE)</f>
        <v>44</v>
      </c>
      <c r="AE361" s="1" t="e">
        <f>VLOOKUP(A361,'SegEnds_NonXtal_Prot#'!A:AL,22,FALSE)-VLOOKUP(A361,'SegEnds_NonXtal_Prot#'!A:AL,19,FALSE)</f>
        <v>#VALUE!</v>
      </c>
      <c r="AF361" s="1">
        <f>VLOOKUP(A361,'SegEnds_NonXtal_Prot#'!A:AL,28,FALSE)-VLOOKUP(A361,'SegEnds_NonXtal_Prot#'!A:AL,25,FALSE)</f>
        <v>17</v>
      </c>
      <c r="AG361" s="1">
        <f>VLOOKUP(A361,'SegEnds_NonXtal_Prot#'!A:AL,28,FALSE)-VLOOKUP(A361,'SegEnds_NonXtal_Prot#'!A:AL,22,FALSE)</f>
        <v>56</v>
      </c>
      <c r="AH361" s="1">
        <f>VLOOKUP(A361,'SegEnds_NonXtal_Prot#'!A:AL,31,FALSE)-VLOOKUP(A361,'SegEnds_NonXtal_Prot#'!A:AL,28,FALSE)</f>
        <v>37</v>
      </c>
      <c r="AI361" s="1">
        <f>VLOOKUP(A361,'SegEnds_NonXtal_Prot#'!A:AL,34,FALSE)-VLOOKUP(A361,'SegEnds_NonXtal_Prot#'!A:AL,31,FALSE)</f>
        <v>34</v>
      </c>
      <c r="AJ361" s="1" t="str">
        <f>IF(ISERROR(MATCH(A361,'SegEnds_Xtal_Prot#'!B:B, 0)), "NoXtal", "Xtal")</f>
        <v>NoXtal</v>
      </c>
    </row>
    <row r="362" spans="1:36" x14ac:dyDescent="0.2">
      <c r="A362" s="1" t="s">
        <v>120</v>
      </c>
      <c r="B362" s="1" t="str">
        <f>VLOOKUP(A362,Xtal_Templ!A:B,2,FALSE)</f>
        <v>grm5_human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9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37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34</v>
      </c>
      <c r="X362" s="1">
        <f>VLOOKUP($B362&amp;"__wt",'SegEnds_Xtal_BW#'!$A:$Z,24,FALSE)</f>
        <v>63</v>
      </c>
      <c r="Y362" s="1">
        <f>VLOOKUP($B362&amp;"__wt",'SegEnds_Xtal_BW#'!$A:$Z,25,FALSE)</f>
        <v>47</v>
      </c>
      <c r="Z362" s="1">
        <f>VLOOKUP($B362&amp;"__wt",'SegEnds_Xtal_BW#'!$A:$Z,26,FALSE)</f>
        <v>59</v>
      </c>
      <c r="AA362" s="27" t="str">
        <f>VLOOKUP(A362,Classification!A:B,2,FALSE)</f>
        <v>C</v>
      </c>
      <c r="AB362" s="1">
        <f>VLOOKUP(A362,'SegEnds_NonXtal_Prot#'!A:AL,10,FALSE)-VLOOKUP(A362,'SegEnds_NonXtal_Prot#'!A:AL,7,FALSE)</f>
        <v>15</v>
      </c>
      <c r="AC362" s="1" t="e">
        <f>VLOOKUP(A362,'SegEnds_NonXtal_Prot#'!A:AL,13,FALSE)-VLOOKUP(A362,'SegEnds_NonXtal_Prot#'!A:AL,10,FALSE)</f>
        <v>#VALUE!</v>
      </c>
      <c r="AD362" s="1">
        <f>VLOOKUP(A362,'SegEnds_NonXtal_Prot#'!A:AL,16,FALSE)-VLOOKUP(A362,'SegEnds_NonXtal_Prot#'!A:AL,10,FALSE)</f>
        <v>44</v>
      </c>
      <c r="AE362" s="1" t="e">
        <f>VLOOKUP(A362,'SegEnds_NonXtal_Prot#'!A:AL,22,FALSE)-VLOOKUP(A362,'SegEnds_NonXtal_Prot#'!A:AL,19,FALSE)</f>
        <v>#VALUE!</v>
      </c>
      <c r="AF362" s="1">
        <f>VLOOKUP(A362,'SegEnds_NonXtal_Prot#'!A:AL,28,FALSE)-VLOOKUP(A362,'SegEnds_NonXtal_Prot#'!A:AL,25,FALSE)</f>
        <v>17</v>
      </c>
      <c r="AG362" s="1">
        <f>VLOOKUP(A362,'SegEnds_NonXtal_Prot#'!A:AL,28,FALSE)-VLOOKUP(A362,'SegEnds_NonXtal_Prot#'!A:AL,22,FALSE)</f>
        <v>56</v>
      </c>
      <c r="AH362" s="1">
        <f>VLOOKUP(A362,'SegEnds_NonXtal_Prot#'!A:AL,31,FALSE)-VLOOKUP(A362,'SegEnds_NonXtal_Prot#'!A:AL,28,FALSE)</f>
        <v>37</v>
      </c>
      <c r="AI362" s="1">
        <f>VLOOKUP(A362,'SegEnds_NonXtal_Prot#'!A:AL,34,FALSE)-VLOOKUP(A362,'SegEnds_NonXtal_Prot#'!A:AL,31,FALSE)</f>
        <v>34</v>
      </c>
      <c r="AJ362" s="1" t="str">
        <f>IF(ISERROR(MATCH(A362,'SegEnds_Xtal_Prot#'!B:B, 0)), "NoXtal", "Xtal")</f>
        <v>NoXtal</v>
      </c>
    </row>
    <row r="363" spans="1:36" x14ac:dyDescent="0.2">
      <c r="A363" s="1" t="s">
        <v>121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9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37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34</v>
      </c>
      <c r="X363" s="1">
        <f>VLOOKUP($B363&amp;"__wt",'SegEnds_Xtal_BW#'!$A:$Z,24,FALSE)</f>
        <v>63</v>
      </c>
      <c r="Y363" s="1">
        <f>VLOOKUP($B363&amp;"__wt",'SegEnds_Xtal_BW#'!$A:$Z,25,FALSE)</f>
        <v>47</v>
      </c>
      <c r="Z363" s="1">
        <f>VLOOKUP($B363&amp;"__wt",'SegEnds_Xtal_BW#'!$A:$Z,26,FALSE)</f>
        <v>59</v>
      </c>
      <c r="AA363" s="27" t="str">
        <f>VLOOKUP(A363,Classification!A:B,2,FALSE)</f>
        <v>C</v>
      </c>
      <c r="AB363" s="1">
        <f>VLOOKUP(A363,'SegEnds_NonXtal_Prot#'!A:AL,10,FALSE)-VLOOKUP(A363,'SegEnds_NonXtal_Prot#'!A:AL,7,FALSE)</f>
        <v>19</v>
      </c>
      <c r="AC363" s="1" t="e">
        <f>VLOOKUP(A363,'SegEnds_NonXtal_Prot#'!A:AL,13,FALSE)-VLOOKUP(A363,'SegEnds_NonXtal_Prot#'!A:AL,10,FALSE)</f>
        <v>#VALUE!</v>
      </c>
      <c r="AD363" s="1">
        <f>VLOOKUP(A363,'SegEnds_NonXtal_Prot#'!A:AL,16,FALSE)-VLOOKUP(A363,'SegEnds_NonXtal_Prot#'!A:AL,10,FALSE)</f>
        <v>44</v>
      </c>
      <c r="AE363" s="1" t="e">
        <f>VLOOKUP(A363,'SegEnds_NonXtal_Prot#'!A:AL,22,FALSE)-VLOOKUP(A363,'SegEnds_NonXtal_Prot#'!A:AL,19,FALSE)</f>
        <v>#VALUE!</v>
      </c>
      <c r="AF363" s="1" t="e">
        <f>VLOOKUP(A363,'SegEnds_NonXtal_Prot#'!A:AL,28,FALSE)-VLOOKUP(A363,'SegEnds_NonXtal_Prot#'!A:AL,25,FALSE)</f>
        <v>#VALUE!</v>
      </c>
      <c r="AG363" s="1">
        <f>VLOOKUP(A363,'SegEnds_NonXtal_Prot#'!A:AL,28,FALSE)-VLOOKUP(A363,'SegEnds_NonXtal_Prot#'!A:AL,22,FALSE)</f>
        <v>45</v>
      </c>
      <c r="AH363" s="1">
        <f>VLOOKUP(A363,'SegEnds_NonXtal_Prot#'!A:AL,31,FALSE)-VLOOKUP(A363,'SegEnds_NonXtal_Prot#'!A:AL,28,FALSE)</f>
        <v>39</v>
      </c>
      <c r="AI363" s="1">
        <f>VLOOKUP(A363,'SegEnds_NonXtal_Prot#'!A:AL,34,FALSE)-VLOOKUP(A363,'SegEnds_NonXtal_Prot#'!A:AL,31,FALSE)</f>
        <v>31</v>
      </c>
      <c r="AJ363" s="1" t="str">
        <f>IF(ISERROR(MATCH(A363,'SegEnds_Xtal_Prot#'!B:B, 0)), "NoXtal", "Xtal")</f>
        <v>NoXtal</v>
      </c>
    </row>
    <row r="364" spans="1:36" x14ac:dyDescent="0.2">
      <c r="A364" s="1" t="s">
        <v>122</v>
      </c>
      <c r="B364" s="1" t="str">
        <f>VLOOKUP(A364,Xtal_Templ!A:B,2,FALSE)</f>
        <v>grm1_human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22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9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37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34</v>
      </c>
      <c r="X364" s="1">
        <f>VLOOKUP($B364&amp;"__wt",'SegEnds_Xtal_BW#'!$A:$Z,24,FALSE)</f>
        <v>63</v>
      </c>
      <c r="Y364" s="1">
        <f>VLOOKUP($B364&amp;"__wt",'SegEnds_Xtal_BW#'!$A:$Z,25,FALSE)</f>
        <v>47</v>
      </c>
      <c r="Z364" s="1">
        <f>VLOOKUP($B364&amp;"__wt",'SegEnds_Xtal_BW#'!$A:$Z,26,FALSE)</f>
        <v>59</v>
      </c>
      <c r="AA364" s="27" t="str">
        <f>VLOOKUP(A364,Classification!A:B,2,FALSE)</f>
        <v>C</v>
      </c>
      <c r="AB364" s="1">
        <f>VLOOKUP(A364,'SegEnds_NonXtal_Prot#'!A:AL,10,FALSE)-VLOOKUP(A364,'SegEnds_NonXtal_Prot#'!A:AL,7,FALSE)</f>
        <v>15</v>
      </c>
      <c r="AC364" s="1" t="e">
        <f>VLOOKUP(A364,'SegEnds_NonXtal_Prot#'!A:AL,13,FALSE)-VLOOKUP(A364,'SegEnds_NonXtal_Prot#'!A:AL,10,FALSE)</f>
        <v>#VALUE!</v>
      </c>
      <c r="AD364" s="1">
        <f>VLOOKUP(A364,'SegEnds_NonXtal_Prot#'!A:AL,16,FALSE)-VLOOKUP(A364,'SegEnds_NonXtal_Prot#'!A:AL,10,FALSE)</f>
        <v>44</v>
      </c>
      <c r="AE364" s="1" t="e">
        <f>VLOOKUP(A364,'SegEnds_NonXtal_Prot#'!A:AL,22,FALSE)-VLOOKUP(A364,'SegEnds_NonXtal_Prot#'!A:AL,19,FALSE)</f>
        <v>#VALUE!</v>
      </c>
      <c r="AF364" s="1">
        <f>VLOOKUP(A364,'SegEnds_NonXtal_Prot#'!A:AL,28,FALSE)-VLOOKUP(A364,'SegEnds_NonXtal_Prot#'!A:AL,25,FALSE)</f>
        <v>18</v>
      </c>
      <c r="AG364" s="1">
        <f>VLOOKUP(A364,'SegEnds_NonXtal_Prot#'!A:AL,28,FALSE)-VLOOKUP(A364,'SegEnds_NonXtal_Prot#'!A:AL,22,FALSE)</f>
        <v>51</v>
      </c>
      <c r="AH364" s="1">
        <f>VLOOKUP(A364,'SegEnds_NonXtal_Prot#'!A:AL,31,FALSE)-VLOOKUP(A364,'SegEnds_NonXtal_Prot#'!A:AL,28,FALSE)</f>
        <v>37</v>
      </c>
      <c r="AI364" s="1">
        <f>VLOOKUP(A364,'SegEnds_NonXtal_Prot#'!A:AL,34,FALSE)-VLOOKUP(A364,'SegEnds_NonXtal_Prot#'!A:AL,31,FALSE)</f>
        <v>29</v>
      </c>
      <c r="AJ364" s="1" t="str">
        <f>IF(ISERROR(MATCH(A364,'SegEnds_Xtal_Prot#'!B:B, 0)), "NoXtal", "Xtal")</f>
        <v>NoXtal</v>
      </c>
    </row>
    <row r="365" spans="1:36" x14ac:dyDescent="0.2">
      <c r="A365" s="1" t="s">
        <v>123</v>
      </c>
      <c r="B365" s="1" t="str">
        <f>VLOOKUP(A365,Xtal_Templ!A:B,2,FALSE)</f>
        <v>grm1_human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22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9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37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34</v>
      </c>
      <c r="X365" s="1">
        <f>VLOOKUP($B365&amp;"__wt",'SegEnds_Xtal_BW#'!$A:$Z,24,FALSE)</f>
        <v>63</v>
      </c>
      <c r="Y365" s="1">
        <f>VLOOKUP($B365&amp;"__wt",'SegEnds_Xtal_BW#'!$A:$Z,25,FALSE)</f>
        <v>47</v>
      </c>
      <c r="Z365" s="1">
        <f>VLOOKUP($B365&amp;"__wt",'SegEnds_Xtal_BW#'!$A:$Z,26,FALSE)</f>
        <v>59</v>
      </c>
      <c r="AA365" s="27" t="str">
        <f>VLOOKUP(A365,Classification!A:B,2,FALSE)</f>
        <v>C</v>
      </c>
      <c r="AB365" s="1">
        <f>VLOOKUP(A365,'SegEnds_NonXtal_Prot#'!A:AL,10,FALSE)-VLOOKUP(A365,'SegEnds_NonXtal_Prot#'!A:AL,7,FALSE)</f>
        <v>15</v>
      </c>
      <c r="AC365" s="1" t="e">
        <f>VLOOKUP(A365,'SegEnds_NonXtal_Prot#'!A:AL,13,FALSE)-VLOOKUP(A365,'SegEnds_NonXtal_Prot#'!A:AL,10,FALSE)</f>
        <v>#VALUE!</v>
      </c>
      <c r="AD365" s="1">
        <f>VLOOKUP(A365,'SegEnds_NonXtal_Prot#'!A:AL,16,FALSE)-VLOOKUP(A365,'SegEnds_NonXtal_Prot#'!A:AL,10,FALSE)</f>
        <v>44</v>
      </c>
      <c r="AE365" s="1" t="e">
        <f>VLOOKUP(A365,'SegEnds_NonXtal_Prot#'!A:AL,22,FALSE)-VLOOKUP(A365,'SegEnds_NonXtal_Prot#'!A:AL,19,FALSE)</f>
        <v>#VALUE!</v>
      </c>
      <c r="AF365" s="1">
        <f>VLOOKUP(A365,'SegEnds_NonXtal_Prot#'!A:AL,28,FALSE)-VLOOKUP(A365,'SegEnds_NonXtal_Prot#'!A:AL,25,FALSE)</f>
        <v>18</v>
      </c>
      <c r="AG365" s="1">
        <f>VLOOKUP(A365,'SegEnds_NonXtal_Prot#'!A:AL,28,FALSE)-VLOOKUP(A365,'SegEnds_NonXtal_Prot#'!A:AL,22,FALSE)</f>
        <v>52</v>
      </c>
      <c r="AH365" s="1">
        <f>VLOOKUP(A365,'SegEnds_NonXtal_Prot#'!A:AL,31,FALSE)-VLOOKUP(A365,'SegEnds_NonXtal_Prot#'!A:AL,28,FALSE)</f>
        <v>37</v>
      </c>
      <c r="AI365" s="1">
        <f>VLOOKUP(A365,'SegEnds_NonXtal_Prot#'!A:AL,34,FALSE)-VLOOKUP(A365,'SegEnds_NonXtal_Prot#'!A:AL,31,FALSE)</f>
        <v>29</v>
      </c>
      <c r="AJ365" s="1" t="str">
        <f>IF(ISERROR(MATCH(A365,'SegEnds_Xtal_Prot#'!B:B, 0)), "NoXtal", "Xtal")</f>
        <v>NoXtal</v>
      </c>
    </row>
    <row r="366" spans="1:36" x14ac:dyDescent="0.2">
      <c r="A366" s="1" t="s">
        <v>124</v>
      </c>
      <c r="B366" s="1" t="str">
        <f>VLOOKUP(A366,Xtal_Templ!A:B,2,FALSE)</f>
        <v>grm1_human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22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9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37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34</v>
      </c>
      <c r="X366" s="1">
        <f>VLOOKUP($B366&amp;"__wt",'SegEnds_Xtal_BW#'!$A:$Z,24,FALSE)</f>
        <v>63</v>
      </c>
      <c r="Y366" s="1">
        <f>VLOOKUP($B366&amp;"__wt",'SegEnds_Xtal_BW#'!$A:$Z,25,FALSE)</f>
        <v>47</v>
      </c>
      <c r="Z366" s="1">
        <f>VLOOKUP($B366&amp;"__wt",'SegEnds_Xtal_BW#'!$A:$Z,26,FALSE)</f>
        <v>59</v>
      </c>
      <c r="AA366" s="27" t="str">
        <f>VLOOKUP(A366,Classification!A:B,2,FALSE)</f>
        <v>C</v>
      </c>
      <c r="AB366" s="1">
        <f>VLOOKUP(A366,'SegEnds_NonXtal_Prot#'!A:AL,10,FALSE)-VLOOKUP(A366,'SegEnds_NonXtal_Prot#'!A:AL,7,FALSE)</f>
        <v>15</v>
      </c>
      <c r="AC366" s="1" t="e">
        <f>VLOOKUP(A366,'SegEnds_NonXtal_Prot#'!A:AL,13,FALSE)-VLOOKUP(A366,'SegEnds_NonXtal_Prot#'!A:AL,10,FALSE)</f>
        <v>#VALUE!</v>
      </c>
      <c r="AD366" s="1">
        <f>VLOOKUP(A366,'SegEnds_NonXtal_Prot#'!A:AL,16,FALSE)-VLOOKUP(A366,'SegEnds_NonXtal_Prot#'!A:AL,10,FALSE)</f>
        <v>44</v>
      </c>
      <c r="AE366" s="1" t="e">
        <f>VLOOKUP(A366,'SegEnds_NonXtal_Prot#'!A:AL,22,FALSE)-VLOOKUP(A366,'SegEnds_NonXtal_Prot#'!A:AL,19,FALSE)</f>
        <v>#VALUE!</v>
      </c>
      <c r="AF366" s="1">
        <f>VLOOKUP(A366,'SegEnds_NonXtal_Prot#'!A:AL,28,FALSE)-VLOOKUP(A366,'SegEnds_NonXtal_Prot#'!A:AL,25,FALSE)</f>
        <v>18</v>
      </c>
      <c r="AG366" s="1">
        <f>VLOOKUP(A366,'SegEnds_NonXtal_Prot#'!A:AL,28,FALSE)-VLOOKUP(A366,'SegEnds_NonXtal_Prot#'!A:AL,22,FALSE)</f>
        <v>51</v>
      </c>
      <c r="AH366" s="1">
        <f>VLOOKUP(A366,'SegEnds_NonXtal_Prot#'!A:AL,31,FALSE)-VLOOKUP(A366,'SegEnds_NonXtal_Prot#'!A:AL,28,FALSE)</f>
        <v>37</v>
      </c>
      <c r="AI366" s="1">
        <f>VLOOKUP(A366,'SegEnds_NonXtal_Prot#'!A:AL,34,FALSE)-VLOOKUP(A366,'SegEnds_NonXtal_Prot#'!A:AL,31,FALSE)</f>
        <v>29</v>
      </c>
      <c r="AJ366" s="1" t="str">
        <f>IF(ISERROR(MATCH(A366,'SegEnds_Xtal_Prot#'!B:B, 0)), "NoXtal", "Xtal")</f>
        <v>NoXtal</v>
      </c>
    </row>
    <row r="367" spans="1:36" x14ac:dyDescent="0.2">
      <c r="A367" s="1" t="s">
        <v>446</v>
      </c>
      <c r="B367" s="1" t="str">
        <f>VLOOKUP(A367,Xtal_Templ!A:B,2,FALSE)</f>
        <v>smo_human</v>
      </c>
      <c r="C367" s="5">
        <f>VLOOKUP($B367&amp;"__wt",'SegEnds_Xtal_BW#'!$A:$Z,3,FALSE)</f>
        <v>29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51</v>
      </c>
      <c r="G367" s="1">
        <v>39</v>
      </c>
      <c r="H367" s="12">
        <f>VLOOKUP($B367&amp;"__wt",'SegEnds_Xtal_BW#'!$A:$Z,8,FALSE)</f>
        <v>63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23</v>
      </c>
      <c r="L367" s="1">
        <f>VLOOKUP($B367&amp;"__wt",'SegEnds_Xtal_BW#'!$A:$Z,12,FALSE)</f>
        <v>59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9">
        <f>VLOOKUP($B367&amp;"__wt",'SegEnds_Xtal_BW#'!$A:$Z,15,FALSE)</f>
        <v>38</v>
      </c>
      <c r="P367" s="1">
        <f>VLOOKUP($B367&amp;"__wt",'SegEnds_Xtal_BW#'!$A:$Z,16,FALSE)</f>
        <v>63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72</v>
      </c>
      <c r="U367" s="1">
        <f>VLOOKUP($B367&amp;"__wt",'SegEnds_Xtal_BW#'!$A:$Z,21,FALSE)</f>
        <v>24</v>
      </c>
      <c r="V367" s="1">
        <f>VLOOKUP($B367&amp;"__wt",'SegEnds_Xtal_BW#'!$A:$Z,22,FALSE)</f>
        <v>78</v>
      </c>
      <c r="W367" s="1">
        <f>VLOOKUP($B367&amp;"__wt",'SegEnds_Xtal_BW#'!$A:$Z,23,FALSE)</f>
        <v>35</v>
      </c>
      <c r="X367" s="1">
        <f>VLOOKUP($B367&amp;"__wt",'SegEnds_Xtal_BW#'!$A:$Z,24,FALSE)</f>
        <v>57</v>
      </c>
      <c r="Y367" s="1">
        <f>VLOOKUP($B367&amp;"__wt",'SegEnds_Xtal_BW#'!$A:$Z,25,FALSE)</f>
        <v>47</v>
      </c>
      <c r="Z367" s="1">
        <f>VLOOKUP($B367&amp;"__wt",'SegEnds_Xtal_BW#'!$A:$Z,26,FALSE)</f>
        <v>62</v>
      </c>
      <c r="AA367" s="27" t="str">
        <f>VLOOKUP(A367,Classification!A:B,2,FALSE)</f>
        <v>F</v>
      </c>
      <c r="AB367" s="1">
        <f>VLOOKUP(A367,'SegEnds_NonXtal_Prot#'!A:AL,10,FALSE)-VLOOKUP(A367,'SegEnds_NonXtal_Prot#'!A:AL,7,FALSE)</f>
        <v>12</v>
      </c>
      <c r="AC367" s="1" t="e">
        <f>VLOOKUP(A367,'SegEnds_NonXtal_Prot#'!A:AL,13,FALSE)-VLOOKUP(A367,'SegEnds_NonXtal_Prot#'!A:AL,10,FALSE)</f>
        <v>#VALUE!</v>
      </c>
      <c r="AD367" s="1">
        <f>VLOOKUP(A367,'SegEnds_NonXtal_Prot#'!A:AL,16,FALSE)-VLOOKUP(A367,'SegEnds_NonXtal_Prot#'!A:AL,10,FALSE)</f>
        <v>67</v>
      </c>
      <c r="AE367" s="1" t="e">
        <f>VLOOKUP(A367,'SegEnds_NonXtal_Prot#'!A:AL,22,FALSE)-VLOOKUP(A367,'SegEnds_NonXtal_Prot#'!A:AL,19,FALSE)</f>
        <v>#VALUE!</v>
      </c>
      <c r="AF367" s="1">
        <f>VLOOKUP(A367,'SegEnds_NonXtal_Prot#'!A:AL,28,FALSE)-VLOOKUP(A367,'SegEnds_NonXtal_Prot#'!A:AL,25,FALSE)</f>
        <v>21</v>
      </c>
      <c r="AG367" s="1">
        <f>VLOOKUP(A367,'SegEnds_NonXtal_Prot#'!A:AL,28,FALSE)-VLOOKUP(A367,'SegEnds_NonXtal_Prot#'!A:AL,22,FALSE)</f>
        <v>46</v>
      </c>
      <c r="AH367" s="1">
        <f>VLOOKUP(A367,'SegEnds_NonXtal_Prot#'!A:AL,31,FALSE)-VLOOKUP(A367,'SegEnds_NonXtal_Prot#'!A:AL,28,FALSE)</f>
        <v>55</v>
      </c>
      <c r="AI367" s="1">
        <f>VLOOKUP(A367,'SegEnds_NonXtal_Prot#'!A:AL,34,FALSE)-VLOOKUP(A367,'SegEnds_NonXtal_Prot#'!A:AL,31,FALSE)</f>
        <v>62</v>
      </c>
      <c r="AJ367" s="1" t="str">
        <f>IF(ISERROR(MATCH(A367,'SegEnds_Xtal_Prot#'!B:B, 0)), "NoXtal", "Xtal")</f>
        <v>NoXtal</v>
      </c>
    </row>
    <row r="368" spans="1:36" x14ac:dyDescent="0.2">
      <c r="A368" s="1" t="s">
        <v>447</v>
      </c>
      <c r="B368" s="1" t="str">
        <f>VLOOKUP(A368,Xtal_Templ!A:B,2,FALSE)</f>
        <v>smo_human</v>
      </c>
      <c r="C368" s="5">
        <f>VLOOKUP($B368&amp;"__wt",'SegEnds_Xtal_BW#'!$A:$Z,3,FALSE)</f>
        <v>29</v>
      </c>
      <c r="D368" s="1">
        <f>VLOOKUP($B368&amp;"__wt",'SegEnds_Xtal_BW#'!$A:$Z,4,FALSE)</f>
        <v>60</v>
      </c>
      <c r="E368" s="1">
        <f>VLOOKUP($B368&amp;"__wt",'SegEnds_Xtal_BW#'!$A:$Z,5,FALSE)</f>
        <v>47</v>
      </c>
      <c r="F368" s="1">
        <f>VLOOKUP($B368&amp;"__wt",'SegEnds_Xtal_BW#'!$A:$Z,6,FALSE)</f>
        <v>51</v>
      </c>
      <c r="G368" s="1">
        <v>39</v>
      </c>
      <c r="H368" s="12">
        <f>VLOOKUP($B368&amp;"__wt",'SegEnds_Xtal_BW#'!$A:$Z,8,FALSE)</f>
        <v>63</v>
      </c>
      <c r="I368" s="1" t="str">
        <f>VLOOKUP($B368&amp;"__wt",'SegEnds_Xtal_BW#'!$A:$Z,9,FALSE)</f>
        <v>-</v>
      </c>
      <c r="J368" s="1" t="str">
        <f>VLOOKUP($B368&amp;"__wt",'SegEnds_Xtal_BW#'!$A:$Z,10,FALSE)</f>
        <v>-</v>
      </c>
      <c r="K368" s="12">
        <f>VLOOKUP($B368&amp;"__wt",'SegEnds_Xtal_BW#'!$A:$Z,11,FALSE)</f>
        <v>23</v>
      </c>
      <c r="L368" s="1">
        <f>VLOOKUP($B368&amp;"__wt",'SegEnds_Xtal_BW#'!$A:$Z,12,FALSE)</f>
        <v>59</v>
      </c>
      <c r="M368" s="1" t="str">
        <f>VLOOKUP($B368&amp;"__wt",'SegEnds_Xtal_BW#'!$A:$Z,13,FALSE)</f>
        <v>-</v>
      </c>
      <c r="N368" s="12" t="str">
        <f>VLOOKUP($B368&amp;"__wt",'SegEnds_Xtal_BW#'!$A:$Z,14,FALSE)</f>
        <v>-</v>
      </c>
      <c r="O368" s="89">
        <f>VLOOKUP($B368&amp;"__wt",'SegEnds_Xtal_BW#'!$A:$Z,15,FALSE)</f>
        <v>38</v>
      </c>
      <c r="P368" s="1">
        <f>VLOOKUP($B368&amp;"__wt",'SegEnds_Xtal_BW#'!$A:$Z,16,FALSE)</f>
        <v>63</v>
      </c>
      <c r="Q368" s="1">
        <f>VLOOKUP($B368&amp;"__wt",'SegEnds_Xtal_BW#'!$A:$Z,17,FALSE)</f>
        <v>50</v>
      </c>
      <c r="R368" s="1">
        <f>VLOOKUP($B368&amp;"__wt",'SegEnds_Xtal_BW#'!$A:$Z,18,FALSE)</f>
        <v>52</v>
      </c>
      <c r="S368" s="1">
        <f>VLOOKUP($B368&amp;"__wt",'SegEnds_Xtal_BW#'!$A:$Z,19,FALSE)</f>
        <v>36</v>
      </c>
      <c r="T368" s="1">
        <f>VLOOKUP($B368&amp;"__wt",'SegEnds_Xtal_BW#'!$A:$Z,20,FALSE)</f>
        <v>72</v>
      </c>
      <c r="U368" s="1">
        <f>VLOOKUP($B368&amp;"__wt",'SegEnds_Xtal_BW#'!$A:$Z,21,FALSE)</f>
        <v>24</v>
      </c>
      <c r="V368" s="1">
        <f>VLOOKUP($B368&amp;"__wt",'SegEnds_Xtal_BW#'!$A:$Z,22,FALSE)</f>
        <v>78</v>
      </c>
      <c r="W368" s="1">
        <f>VLOOKUP($B368&amp;"__wt",'SegEnds_Xtal_BW#'!$A:$Z,23,FALSE)</f>
        <v>35</v>
      </c>
      <c r="X368" s="1">
        <f>VLOOKUP($B368&amp;"__wt",'SegEnds_Xtal_BW#'!$A:$Z,24,FALSE)</f>
        <v>57</v>
      </c>
      <c r="Y368" s="1">
        <f>VLOOKUP($B368&amp;"__wt",'SegEnds_Xtal_BW#'!$A:$Z,25,FALSE)</f>
        <v>47</v>
      </c>
      <c r="Z368" s="1">
        <f>VLOOKUP($B368&amp;"__wt",'SegEnds_Xtal_BW#'!$A:$Z,26,FALSE)</f>
        <v>62</v>
      </c>
      <c r="AA368" s="27" t="str">
        <f>VLOOKUP(A368,Classification!A:B,2,FALSE)</f>
        <v>F</v>
      </c>
      <c r="AB368" s="1">
        <f>VLOOKUP(A368,'SegEnds_NonXtal_Prot#'!A:AL,10,FALSE)-VLOOKUP(A368,'SegEnds_NonXtal_Prot#'!A:AL,7,FALSE)</f>
        <v>12</v>
      </c>
      <c r="AC368" s="1" t="e">
        <f>VLOOKUP(A368,'SegEnds_NonXtal_Prot#'!A:AL,13,FALSE)-VLOOKUP(A368,'SegEnds_NonXtal_Prot#'!A:AL,10,FALSE)</f>
        <v>#VALUE!</v>
      </c>
      <c r="AD368" s="1">
        <f>VLOOKUP(A368,'SegEnds_NonXtal_Prot#'!A:AL,16,FALSE)-VLOOKUP(A368,'SegEnds_NonXtal_Prot#'!A:AL,10,FALSE)</f>
        <v>66</v>
      </c>
      <c r="AE368" s="1" t="e">
        <f>VLOOKUP(A368,'SegEnds_NonXtal_Prot#'!A:AL,22,FALSE)-VLOOKUP(A368,'SegEnds_NonXtal_Prot#'!A:AL,19,FALSE)</f>
        <v>#VALUE!</v>
      </c>
      <c r="AF368" s="1">
        <f>VLOOKUP(A368,'SegEnds_NonXtal_Prot#'!A:AL,28,FALSE)-VLOOKUP(A368,'SegEnds_NonXtal_Prot#'!A:AL,25,FALSE)</f>
        <v>21</v>
      </c>
      <c r="AG368" s="1">
        <f>VLOOKUP(A368,'SegEnds_NonXtal_Prot#'!A:AL,28,FALSE)-VLOOKUP(A368,'SegEnds_NonXtal_Prot#'!A:AL,22,FALSE)</f>
        <v>46</v>
      </c>
      <c r="AH368" s="1">
        <f>VLOOKUP(A368,'SegEnds_NonXtal_Prot#'!A:AL,31,FALSE)-VLOOKUP(A368,'SegEnds_NonXtal_Prot#'!A:AL,28,FALSE)</f>
        <v>55</v>
      </c>
      <c r="AI368" s="1">
        <f>VLOOKUP(A368,'SegEnds_NonXtal_Prot#'!A:AL,34,FALSE)-VLOOKUP(A368,'SegEnds_NonXtal_Prot#'!A:AL,31,FALSE)</f>
        <v>56</v>
      </c>
      <c r="AJ368" s="1" t="str">
        <f>IF(ISERROR(MATCH(A368,'SegEnds_Xtal_Prot#'!B:B, 0)), "NoXtal", "Xtal")</f>
        <v>NoXtal</v>
      </c>
    </row>
    <row r="369" spans="1:36" x14ac:dyDescent="0.2">
      <c r="A369" s="1" t="s">
        <v>448</v>
      </c>
      <c r="B369" s="1" t="str">
        <f>VLOOKUP(A369,Xtal_Templ!A:B,2,FALSE)</f>
        <v>smo_human</v>
      </c>
      <c r="C369" s="5">
        <f>VLOOKUP($B369&amp;"__wt",'SegEnds_Xtal_BW#'!$A:$Z,3,FALSE)</f>
        <v>29</v>
      </c>
      <c r="D369" s="1">
        <f>VLOOKUP($B369&amp;"__wt",'SegEnds_Xtal_BW#'!$A:$Z,4,FALSE)</f>
        <v>60</v>
      </c>
      <c r="E369" s="1">
        <f>VLOOKUP($B369&amp;"__wt",'SegEnds_Xtal_BW#'!$A:$Z,5,FALSE)</f>
        <v>47</v>
      </c>
      <c r="F369" s="1">
        <f>VLOOKUP($B369&amp;"__wt",'SegEnds_Xtal_BW#'!$A:$Z,6,FALSE)</f>
        <v>51</v>
      </c>
      <c r="G369" s="1">
        <v>39</v>
      </c>
      <c r="H369" s="12">
        <f>VLOOKUP($B369&amp;"__wt",'SegEnds_Xtal_BW#'!$A:$Z,8,FALSE)</f>
        <v>63</v>
      </c>
      <c r="I369" s="1" t="str">
        <f>VLOOKUP($B369&amp;"__wt",'SegEnds_Xtal_BW#'!$A:$Z,9,FALSE)</f>
        <v>-</v>
      </c>
      <c r="J369" s="1" t="str">
        <f>VLOOKUP($B369&amp;"__wt",'SegEnds_Xtal_BW#'!$A:$Z,10,FALSE)</f>
        <v>-</v>
      </c>
      <c r="K369" s="12">
        <f>VLOOKUP($B369&amp;"__wt",'SegEnds_Xtal_BW#'!$A:$Z,11,FALSE)</f>
        <v>23</v>
      </c>
      <c r="L369" s="1">
        <f>VLOOKUP($B369&amp;"__wt",'SegEnds_Xtal_BW#'!$A:$Z,12,FALSE)</f>
        <v>59</v>
      </c>
      <c r="M369" s="1" t="str">
        <f>VLOOKUP($B369&amp;"__wt",'SegEnds_Xtal_BW#'!$A:$Z,13,FALSE)</f>
        <v>-</v>
      </c>
      <c r="N369" s="12" t="str">
        <f>VLOOKUP($B369&amp;"__wt",'SegEnds_Xtal_BW#'!$A:$Z,14,FALSE)</f>
        <v>-</v>
      </c>
      <c r="O369" s="89">
        <f>VLOOKUP($B369&amp;"__wt",'SegEnds_Xtal_BW#'!$A:$Z,15,FALSE)</f>
        <v>38</v>
      </c>
      <c r="P369" s="1">
        <f>VLOOKUP($B369&amp;"__wt",'SegEnds_Xtal_BW#'!$A:$Z,16,FALSE)</f>
        <v>63</v>
      </c>
      <c r="Q369" s="1">
        <f>VLOOKUP($B369&amp;"__wt",'SegEnds_Xtal_BW#'!$A:$Z,17,FALSE)</f>
        <v>50</v>
      </c>
      <c r="R369" s="1">
        <f>VLOOKUP($B369&amp;"__wt",'SegEnds_Xtal_BW#'!$A:$Z,18,FALSE)</f>
        <v>52</v>
      </c>
      <c r="S369" s="1">
        <f>VLOOKUP($B369&amp;"__wt",'SegEnds_Xtal_BW#'!$A:$Z,19,FALSE)</f>
        <v>36</v>
      </c>
      <c r="T369" s="1">
        <f>VLOOKUP($B369&amp;"__wt",'SegEnds_Xtal_BW#'!$A:$Z,20,FALSE)</f>
        <v>72</v>
      </c>
      <c r="U369" s="1">
        <f>VLOOKUP($B369&amp;"__wt",'SegEnds_Xtal_BW#'!$A:$Z,21,FALSE)</f>
        <v>24</v>
      </c>
      <c r="V369" s="1">
        <f>VLOOKUP($B369&amp;"__wt",'SegEnds_Xtal_BW#'!$A:$Z,22,FALSE)</f>
        <v>78</v>
      </c>
      <c r="W369" s="1">
        <f>VLOOKUP($B369&amp;"__wt",'SegEnds_Xtal_BW#'!$A:$Z,23,FALSE)</f>
        <v>35</v>
      </c>
      <c r="X369" s="1">
        <f>VLOOKUP($B369&amp;"__wt",'SegEnds_Xtal_BW#'!$A:$Z,24,FALSE)</f>
        <v>57</v>
      </c>
      <c r="Y369" s="1">
        <f>VLOOKUP($B369&amp;"__wt",'SegEnds_Xtal_BW#'!$A:$Z,25,FALSE)</f>
        <v>47</v>
      </c>
      <c r="Z369" s="1">
        <f>VLOOKUP($B369&amp;"__wt",'SegEnds_Xtal_BW#'!$A:$Z,26,FALSE)</f>
        <v>62</v>
      </c>
      <c r="AA369" s="27" t="str">
        <f>VLOOKUP(A369,Classification!A:B,2,FALSE)</f>
        <v>F</v>
      </c>
      <c r="AB369" s="1">
        <f>VLOOKUP(A369,'SegEnds_NonXtal_Prot#'!A:AL,10,FALSE)-VLOOKUP(A369,'SegEnds_NonXtal_Prot#'!A:AL,7,FALSE)</f>
        <v>12</v>
      </c>
      <c r="AC369" s="1" t="e">
        <f>VLOOKUP(A369,'SegEnds_NonXtal_Prot#'!A:AL,13,FALSE)-VLOOKUP(A369,'SegEnds_NonXtal_Prot#'!A:AL,10,FALSE)</f>
        <v>#VALUE!</v>
      </c>
      <c r="AD369" s="1">
        <f>VLOOKUP(A369,'SegEnds_NonXtal_Prot#'!A:AL,16,FALSE)-VLOOKUP(A369,'SegEnds_NonXtal_Prot#'!A:AL,10,FALSE)</f>
        <v>67</v>
      </c>
      <c r="AE369" s="1" t="e">
        <f>VLOOKUP(A369,'SegEnds_NonXtal_Prot#'!A:AL,22,FALSE)-VLOOKUP(A369,'SegEnds_NonXtal_Prot#'!A:AL,19,FALSE)</f>
        <v>#VALUE!</v>
      </c>
      <c r="AF369" s="1">
        <f>VLOOKUP(A369,'SegEnds_NonXtal_Prot#'!A:AL,28,FALSE)-VLOOKUP(A369,'SegEnds_NonXtal_Prot#'!A:AL,25,FALSE)</f>
        <v>21</v>
      </c>
      <c r="AG369" s="1">
        <f>VLOOKUP(A369,'SegEnds_NonXtal_Prot#'!A:AL,28,FALSE)-VLOOKUP(A369,'SegEnds_NonXtal_Prot#'!A:AL,22,FALSE)</f>
        <v>46</v>
      </c>
      <c r="AH369" s="1">
        <f>VLOOKUP(A369,'SegEnds_NonXtal_Prot#'!A:AL,31,FALSE)-VLOOKUP(A369,'SegEnds_NonXtal_Prot#'!A:AL,28,FALSE)</f>
        <v>55</v>
      </c>
      <c r="AI369" s="1">
        <f>VLOOKUP(A369,'SegEnds_NonXtal_Prot#'!A:AL,34,FALSE)-VLOOKUP(A369,'SegEnds_NonXtal_Prot#'!A:AL,31,FALSE)</f>
        <v>55</v>
      </c>
      <c r="AJ369" s="1" t="str">
        <f>IF(ISERROR(MATCH(A369,'SegEnds_Xtal_Prot#'!B:B, 0)), "NoXtal", "Xtal")</f>
        <v>NoXtal</v>
      </c>
    </row>
    <row r="370" spans="1:36" x14ac:dyDescent="0.2">
      <c r="A370" s="1" t="s">
        <v>449</v>
      </c>
      <c r="B370" s="1" t="str">
        <f>VLOOKUP(A370,Xtal_Templ!A:B,2,FALSE)</f>
        <v>smo_human</v>
      </c>
      <c r="C370" s="5">
        <f>VLOOKUP($B370&amp;"__wt",'SegEnds_Xtal_BW#'!$A:$Z,3,FALSE)</f>
        <v>29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63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23</v>
      </c>
      <c r="L370" s="1">
        <f>VLOOKUP($B370&amp;"__wt",'SegEnds_Xtal_BW#'!$A:$Z,12,FALSE)</f>
        <v>59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9">
        <f>VLOOKUP($B370&amp;"__wt",'SegEnds_Xtal_BW#'!$A:$Z,15,FALSE)</f>
        <v>38</v>
      </c>
      <c r="P370" s="1">
        <f>VLOOKUP($B370&amp;"__wt",'SegEnds_Xtal_BW#'!$A:$Z,16,FALSE)</f>
        <v>63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36</v>
      </c>
      <c r="T370" s="1">
        <f>VLOOKUP($B370&amp;"__wt",'SegEnds_Xtal_BW#'!$A:$Z,20,FALSE)</f>
        <v>72</v>
      </c>
      <c r="U370" s="1">
        <f>VLOOKUP($B370&amp;"__wt",'SegEnds_Xtal_BW#'!$A:$Z,21,FALSE)</f>
        <v>24</v>
      </c>
      <c r="V370" s="1">
        <f>VLOOKUP($B370&amp;"__wt",'SegEnds_Xtal_BW#'!$A:$Z,22,FALSE)</f>
        <v>78</v>
      </c>
      <c r="W370" s="1">
        <f>VLOOKUP($B370&amp;"__wt",'SegEnds_Xtal_BW#'!$A:$Z,23,FALSE)</f>
        <v>35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VLOOKUP(A370,'SegEnds_NonXtal_Prot#'!A:AL,10,FALSE)-VLOOKUP(A370,'SegEnds_NonXtal_Prot#'!A:AL,7,FALSE)</f>
        <v>12</v>
      </c>
      <c r="AC370" s="1" t="e">
        <f>VLOOKUP(A370,'SegEnds_NonXtal_Prot#'!A:AL,13,FALSE)-VLOOKUP(A370,'SegEnds_NonXtal_Prot#'!A:AL,10,FALSE)</f>
        <v>#VALUE!</v>
      </c>
      <c r="AD370" s="1">
        <f>VLOOKUP(A370,'SegEnds_NonXtal_Prot#'!A:AL,16,FALSE)-VLOOKUP(A370,'SegEnds_NonXtal_Prot#'!A:AL,10,FALSE)</f>
        <v>68</v>
      </c>
      <c r="AE370" s="1" t="e">
        <f>VLOOKUP(A370,'SegEnds_NonXtal_Prot#'!A:AL,22,FALSE)-VLOOKUP(A370,'SegEnds_NonXtal_Prot#'!A:AL,19,FALSE)</f>
        <v>#VALUE!</v>
      </c>
      <c r="AF370" s="1">
        <f>VLOOKUP(A370,'SegEnds_NonXtal_Prot#'!A:AL,28,FALSE)-VLOOKUP(A370,'SegEnds_NonXtal_Prot#'!A:AL,25,FALSE)</f>
        <v>21</v>
      </c>
      <c r="AG370" s="1">
        <f>VLOOKUP(A370,'SegEnds_NonXtal_Prot#'!A:AL,28,FALSE)-VLOOKUP(A370,'SegEnds_NonXtal_Prot#'!A:AL,22,FALSE)</f>
        <v>46</v>
      </c>
      <c r="AH370" s="1">
        <f>VLOOKUP(A370,'SegEnds_NonXtal_Prot#'!A:AL,31,FALSE)-VLOOKUP(A370,'SegEnds_NonXtal_Prot#'!A:AL,28,FALSE)</f>
        <v>55</v>
      </c>
      <c r="AI370" s="1">
        <f>VLOOKUP(A370,'SegEnds_NonXtal_Prot#'!A:AL,34,FALSE)-VLOOKUP(A370,'SegEnds_NonXtal_Prot#'!A:AL,31,FALSE)</f>
        <v>55</v>
      </c>
      <c r="AJ370" s="1" t="str">
        <f>IF(ISERROR(MATCH(A370,'SegEnds_Xtal_Prot#'!B:B, 0)), "NoXtal", "Xtal")</f>
        <v>NoXtal</v>
      </c>
    </row>
    <row r="371" spans="1:36" x14ac:dyDescent="0.2">
      <c r="A371" s="1" t="s">
        <v>450</v>
      </c>
      <c r="B371" s="1" t="str">
        <f>VLOOKUP(A371,Xtal_Templ!A:B,2,FALSE)</f>
        <v>smo_human</v>
      </c>
      <c r="C371" s="5">
        <f>VLOOKUP($B371&amp;"__wt",'SegEnds_Xtal_BW#'!$A:$Z,3,FALSE)</f>
        <v>29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63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23</v>
      </c>
      <c r="L371" s="1">
        <f>VLOOKUP($B371&amp;"__wt",'SegEnds_Xtal_BW#'!$A:$Z,12,FALSE)</f>
        <v>59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9">
        <f>VLOOKUP($B371&amp;"__wt",'SegEnds_Xtal_BW#'!$A:$Z,15,FALSE)</f>
        <v>38</v>
      </c>
      <c r="P371" s="1">
        <f>VLOOKUP($B371&amp;"__wt",'SegEnds_Xtal_BW#'!$A:$Z,16,FALSE)</f>
        <v>63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36</v>
      </c>
      <c r="T371" s="1">
        <f>VLOOKUP($B371&amp;"__wt",'SegEnds_Xtal_BW#'!$A:$Z,20,FALSE)</f>
        <v>72</v>
      </c>
      <c r="U371" s="1">
        <f>VLOOKUP($B371&amp;"__wt",'SegEnds_Xtal_BW#'!$A:$Z,21,FALSE)</f>
        <v>24</v>
      </c>
      <c r="V371" s="1">
        <v>66</v>
      </c>
      <c r="W371" s="1">
        <f>VLOOKUP($B371&amp;"__wt",'SegEnds_Xtal_BW#'!$A:$Z,23,FALSE)</f>
        <v>35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VLOOKUP(A371,'SegEnds_NonXtal_Prot#'!A:AL,10,FALSE)-VLOOKUP(A371,'SegEnds_NonXtal_Prot#'!A:AL,7,FALSE)</f>
        <v>12</v>
      </c>
      <c r="AC371" s="1" t="e">
        <f>VLOOKUP(A371,'SegEnds_NonXtal_Prot#'!A:AL,13,FALSE)-VLOOKUP(A371,'SegEnds_NonXtal_Prot#'!A:AL,10,FALSE)</f>
        <v>#VALUE!</v>
      </c>
      <c r="AD371" s="1">
        <f>VLOOKUP(A371,'SegEnds_NonXtal_Prot#'!A:AL,16,FALSE)-VLOOKUP(A371,'SegEnds_NonXtal_Prot#'!A:AL,10,FALSE)</f>
        <v>67</v>
      </c>
      <c r="AE371" s="1" t="e">
        <f>VLOOKUP(A371,'SegEnds_NonXtal_Prot#'!A:AL,22,FALSE)-VLOOKUP(A371,'SegEnds_NonXtal_Prot#'!A:AL,19,FALSE)</f>
        <v>#VALUE!</v>
      </c>
      <c r="AF371" s="1">
        <f>VLOOKUP(A371,'SegEnds_NonXtal_Prot#'!A:AL,28,FALSE)-VLOOKUP(A371,'SegEnds_NonXtal_Prot#'!A:AL,25,FALSE)</f>
        <v>21</v>
      </c>
      <c r="AG371" s="1">
        <f>VLOOKUP(A371,'SegEnds_NonXtal_Prot#'!A:AL,28,FALSE)-VLOOKUP(A371,'SegEnds_NonXtal_Prot#'!A:AL,22,FALSE)</f>
        <v>46</v>
      </c>
      <c r="AH371" s="1">
        <f>VLOOKUP(A371,'SegEnds_NonXtal_Prot#'!A:AL,31,FALSE)-VLOOKUP(A371,'SegEnds_NonXtal_Prot#'!A:AL,28,FALSE)</f>
        <v>55</v>
      </c>
      <c r="AI371" s="1">
        <f>VLOOKUP(A371,'SegEnds_NonXtal_Prot#'!A:AL,34,FALSE)-VLOOKUP(A371,'SegEnds_NonXtal_Prot#'!A:AL,31,FALSE)</f>
        <v>36</v>
      </c>
      <c r="AJ371" s="1" t="str">
        <f>IF(ISERROR(MATCH(A371,'SegEnds_Xtal_Prot#'!B:B, 0)), "NoXtal", "Xtal")</f>
        <v>NoXtal</v>
      </c>
    </row>
    <row r="372" spans="1:36" x14ac:dyDescent="0.2">
      <c r="A372" s="1" t="s">
        <v>451</v>
      </c>
      <c r="B372" s="1" t="str">
        <f>VLOOKUP(A372,Xtal_Templ!A:B,2,FALSE)</f>
        <v>smo_human</v>
      </c>
      <c r="C372" s="5">
        <f>VLOOKUP($B372&amp;"__wt",'SegEnds_Xtal_BW#'!$A:$Z,3,FALSE)</f>
        <v>29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63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23</v>
      </c>
      <c r="L372" s="1">
        <f>VLOOKUP($B372&amp;"__wt",'SegEnds_Xtal_BW#'!$A:$Z,12,FALSE)</f>
        <v>59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9">
        <f>VLOOKUP($B372&amp;"__wt",'SegEnds_Xtal_BW#'!$A:$Z,15,FALSE)</f>
        <v>38</v>
      </c>
      <c r="P372" s="1">
        <f>VLOOKUP($B372&amp;"__wt",'SegEnds_Xtal_BW#'!$A:$Z,16,FALSE)</f>
        <v>63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36</v>
      </c>
      <c r="T372" s="1">
        <f>VLOOKUP($B372&amp;"__wt",'SegEnds_Xtal_BW#'!$A:$Z,20,FALSE)</f>
        <v>72</v>
      </c>
      <c r="U372" s="1">
        <f>VLOOKUP($B372&amp;"__wt",'SegEnds_Xtal_BW#'!$A:$Z,21,FALSE)</f>
        <v>24</v>
      </c>
      <c r="V372" s="1">
        <f>VLOOKUP($B372&amp;"__wt",'SegEnds_Xtal_BW#'!$A:$Z,22,FALSE)</f>
        <v>78</v>
      </c>
      <c r="W372" s="1">
        <f>VLOOKUP($B372&amp;"__wt",'SegEnds_Xtal_BW#'!$A:$Z,23,FALSE)</f>
        <v>35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VLOOKUP(A372,'SegEnds_NonXtal_Prot#'!A:AL,10,FALSE)-VLOOKUP(A372,'SegEnds_NonXtal_Prot#'!A:AL,7,FALSE)</f>
        <v>12</v>
      </c>
      <c r="AC372" s="1" t="e">
        <f>VLOOKUP(A372,'SegEnds_NonXtal_Prot#'!A:AL,13,FALSE)-VLOOKUP(A372,'SegEnds_NonXtal_Prot#'!A:AL,10,FALSE)</f>
        <v>#VALUE!</v>
      </c>
      <c r="AD372" s="1">
        <f>VLOOKUP(A372,'SegEnds_NonXtal_Prot#'!A:AL,16,FALSE)-VLOOKUP(A372,'SegEnds_NonXtal_Prot#'!A:AL,10,FALSE)</f>
        <v>64</v>
      </c>
      <c r="AE372" s="1" t="e">
        <f>VLOOKUP(A372,'SegEnds_NonXtal_Prot#'!A:AL,22,FALSE)-VLOOKUP(A372,'SegEnds_NonXtal_Prot#'!A:AL,19,FALSE)</f>
        <v>#VALUE!</v>
      </c>
      <c r="AF372" s="1">
        <f>VLOOKUP(A372,'SegEnds_NonXtal_Prot#'!A:AL,28,FALSE)-VLOOKUP(A372,'SegEnds_NonXtal_Prot#'!A:AL,25,FALSE)</f>
        <v>21</v>
      </c>
      <c r="AG372" s="1">
        <f>VLOOKUP(A372,'SegEnds_NonXtal_Prot#'!A:AL,28,FALSE)-VLOOKUP(A372,'SegEnds_NonXtal_Prot#'!A:AL,22,FALSE)</f>
        <v>46</v>
      </c>
      <c r="AH372" s="1">
        <f>VLOOKUP(A372,'SegEnds_NonXtal_Prot#'!A:AL,31,FALSE)-VLOOKUP(A372,'SegEnds_NonXtal_Prot#'!A:AL,28,FALSE)</f>
        <v>55</v>
      </c>
      <c r="AI372" s="1">
        <f>VLOOKUP(A372,'SegEnds_NonXtal_Prot#'!A:AL,34,FALSE)-VLOOKUP(A372,'SegEnds_NonXtal_Prot#'!A:AL,31,FALSE)</f>
        <v>49</v>
      </c>
      <c r="AJ372" s="1" t="str">
        <f>IF(ISERROR(MATCH(A372,'SegEnds_Xtal_Prot#'!B:B, 0)), "NoXtal", "Xtal")</f>
        <v>NoXtal</v>
      </c>
    </row>
    <row r="373" spans="1:36" x14ac:dyDescent="0.2">
      <c r="A373" s="1" t="s">
        <v>452</v>
      </c>
      <c r="B373" s="1" t="str">
        <f>VLOOKUP(A373,Xtal_Templ!A:B,2,FALSE)</f>
        <v>smo_human</v>
      </c>
      <c r="C373" s="5">
        <f>VLOOKUP($B373&amp;"__wt",'SegEnds_Xtal_BW#'!$A:$Z,3,FALSE)</f>
        <v>29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63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23</v>
      </c>
      <c r="L373" s="1">
        <f>VLOOKUP($B373&amp;"__wt",'SegEnds_Xtal_BW#'!$A:$Z,12,FALSE)</f>
        <v>59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9">
        <f>VLOOKUP($B373&amp;"__wt",'SegEnds_Xtal_BW#'!$A:$Z,15,FALSE)</f>
        <v>38</v>
      </c>
      <c r="P373" s="1">
        <f>VLOOKUP($B373&amp;"__wt",'SegEnds_Xtal_BW#'!$A:$Z,16,FALSE)</f>
        <v>63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36</v>
      </c>
      <c r="T373" s="1">
        <f>VLOOKUP($B373&amp;"__wt",'SegEnds_Xtal_BW#'!$A:$Z,20,FALSE)</f>
        <v>72</v>
      </c>
      <c r="U373" s="1">
        <f>VLOOKUP($B373&amp;"__wt",'SegEnds_Xtal_BW#'!$A:$Z,21,FALSE)</f>
        <v>24</v>
      </c>
      <c r="V373" s="1">
        <f>VLOOKUP($B373&amp;"__wt",'SegEnds_Xtal_BW#'!$A:$Z,22,FALSE)</f>
        <v>78</v>
      </c>
      <c r="W373" s="1">
        <f>VLOOKUP($B373&amp;"__wt",'SegEnds_Xtal_BW#'!$A:$Z,23,FALSE)</f>
        <v>35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VLOOKUP(A373,'SegEnds_NonXtal_Prot#'!A:AL,10,FALSE)-VLOOKUP(A373,'SegEnds_NonXtal_Prot#'!A:AL,7,FALSE)</f>
        <v>12</v>
      </c>
      <c r="AC373" s="1" t="e">
        <f>VLOOKUP(A373,'SegEnds_NonXtal_Prot#'!A:AL,13,FALSE)-VLOOKUP(A373,'SegEnds_NonXtal_Prot#'!A:AL,10,FALSE)</f>
        <v>#VALUE!</v>
      </c>
      <c r="AD373" s="1">
        <f>VLOOKUP(A373,'SegEnds_NonXtal_Prot#'!A:AL,16,FALSE)-VLOOKUP(A373,'SegEnds_NonXtal_Prot#'!A:AL,10,FALSE)</f>
        <v>68</v>
      </c>
      <c r="AE373" s="1" t="e">
        <f>VLOOKUP(A373,'SegEnds_NonXtal_Prot#'!A:AL,22,FALSE)-VLOOKUP(A373,'SegEnds_NonXtal_Prot#'!A:AL,19,FALSE)</f>
        <v>#VALUE!</v>
      </c>
      <c r="AF373" s="1">
        <f>VLOOKUP(A373,'SegEnds_NonXtal_Prot#'!A:AL,28,FALSE)-VLOOKUP(A373,'SegEnds_NonXtal_Prot#'!A:AL,25,FALSE)</f>
        <v>21</v>
      </c>
      <c r="AG373" s="1">
        <f>VLOOKUP(A373,'SegEnds_NonXtal_Prot#'!A:AL,28,FALSE)-VLOOKUP(A373,'SegEnds_NonXtal_Prot#'!A:AL,22,FALSE)</f>
        <v>46</v>
      </c>
      <c r="AH373" s="1">
        <f>VLOOKUP(A373,'SegEnds_NonXtal_Prot#'!A:AL,31,FALSE)-VLOOKUP(A373,'SegEnds_NonXtal_Prot#'!A:AL,28,FALSE)</f>
        <v>55</v>
      </c>
      <c r="AI373" s="1">
        <f>VLOOKUP(A373,'SegEnds_NonXtal_Prot#'!A:AL,34,FALSE)-VLOOKUP(A373,'SegEnds_NonXtal_Prot#'!A:AL,31,FALSE)</f>
        <v>55</v>
      </c>
      <c r="AJ373" s="1" t="str">
        <f>IF(ISERROR(MATCH(A373,'SegEnds_Xtal_Prot#'!B:B, 0)), "NoXtal", "Xtal")</f>
        <v>NoXtal</v>
      </c>
    </row>
    <row r="374" spans="1:36" x14ac:dyDescent="0.2">
      <c r="A374" s="1" t="s">
        <v>453</v>
      </c>
      <c r="B374" s="1" t="str">
        <f>VLOOKUP(A374,Xtal_Templ!A:B,2,FALSE)</f>
        <v>smo_human</v>
      </c>
      <c r="C374" s="5">
        <f>VLOOKUP($B374&amp;"__wt",'SegEnds_Xtal_BW#'!$A:$Z,3,FALSE)</f>
        <v>29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63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23</v>
      </c>
      <c r="L374" s="1">
        <f>VLOOKUP($B374&amp;"__wt",'SegEnds_Xtal_BW#'!$A:$Z,12,FALSE)</f>
        <v>59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9">
        <f>VLOOKUP($B374&amp;"__wt",'SegEnds_Xtal_BW#'!$A:$Z,15,FALSE)</f>
        <v>38</v>
      </c>
      <c r="P374" s="1">
        <f>VLOOKUP($B374&amp;"__wt",'SegEnds_Xtal_BW#'!$A:$Z,16,FALSE)</f>
        <v>63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36</v>
      </c>
      <c r="T374" s="1">
        <f>VLOOKUP($B374&amp;"__wt",'SegEnds_Xtal_BW#'!$A:$Z,20,FALSE)</f>
        <v>72</v>
      </c>
      <c r="U374" s="1">
        <f>VLOOKUP($B374&amp;"__wt",'SegEnds_Xtal_BW#'!$A:$Z,21,FALSE)</f>
        <v>24</v>
      </c>
      <c r="V374" s="1">
        <f>VLOOKUP($B374&amp;"__wt",'SegEnds_Xtal_BW#'!$A:$Z,22,FALSE)</f>
        <v>78</v>
      </c>
      <c r="W374" s="1">
        <f>VLOOKUP($B374&amp;"__wt",'SegEnds_Xtal_BW#'!$A:$Z,23,FALSE)</f>
        <v>35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VLOOKUP(A374,'SegEnds_NonXtal_Prot#'!A:AL,10,FALSE)-VLOOKUP(A374,'SegEnds_NonXtal_Prot#'!A:AL,7,FALSE)</f>
        <v>12</v>
      </c>
      <c r="AC374" s="1" t="e">
        <f>VLOOKUP(A374,'SegEnds_NonXtal_Prot#'!A:AL,13,FALSE)-VLOOKUP(A374,'SegEnds_NonXtal_Prot#'!A:AL,10,FALSE)</f>
        <v>#VALUE!</v>
      </c>
      <c r="AD374" s="1">
        <f>VLOOKUP(A374,'SegEnds_NonXtal_Prot#'!A:AL,16,FALSE)-VLOOKUP(A374,'SegEnds_NonXtal_Prot#'!A:AL,10,FALSE)</f>
        <v>67</v>
      </c>
      <c r="AE374" s="1" t="e">
        <f>VLOOKUP(A374,'SegEnds_NonXtal_Prot#'!A:AL,22,FALSE)-VLOOKUP(A374,'SegEnds_NonXtal_Prot#'!A:AL,19,FALSE)</f>
        <v>#VALUE!</v>
      </c>
      <c r="AF374" s="1">
        <f>VLOOKUP(A374,'SegEnds_NonXtal_Prot#'!A:AL,28,FALSE)-VLOOKUP(A374,'SegEnds_NonXtal_Prot#'!A:AL,25,FALSE)</f>
        <v>21</v>
      </c>
      <c r="AG374" s="1">
        <f>VLOOKUP(A374,'SegEnds_NonXtal_Prot#'!A:AL,28,FALSE)-VLOOKUP(A374,'SegEnds_NonXtal_Prot#'!A:AL,22,FALSE)</f>
        <v>46</v>
      </c>
      <c r="AH374" s="1">
        <f>VLOOKUP(A374,'SegEnds_NonXtal_Prot#'!A:AL,31,FALSE)-VLOOKUP(A374,'SegEnds_NonXtal_Prot#'!A:AL,28,FALSE)</f>
        <v>55</v>
      </c>
      <c r="AI374" s="1">
        <f>VLOOKUP(A374,'SegEnds_NonXtal_Prot#'!A:AL,34,FALSE)-VLOOKUP(A374,'SegEnds_NonXtal_Prot#'!A:AL,31,FALSE)</f>
        <v>55</v>
      </c>
      <c r="AJ374" s="1" t="str">
        <f>IF(ISERROR(MATCH(A374,'SegEnds_Xtal_Prot#'!B:B, 0)), "NoXtal", "Xtal")</f>
        <v>NoXtal</v>
      </c>
    </row>
    <row r="375" spans="1:36" x14ac:dyDescent="0.2">
      <c r="A375" s="1" t="s">
        <v>454</v>
      </c>
      <c r="B375" s="1" t="str">
        <f>VLOOKUP(A375,Xtal_Templ!A:B,2,FALSE)</f>
        <v>smo_human</v>
      </c>
      <c r="C375" s="5">
        <f>VLOOKUP($B375&amp;"__wt",'SegEnds_Xtal_BW#'!$A:$Z,3,FALSE)</f>
        <v>29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63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23</v>
      </c>
      <c r="L375" s="1">
        <f>VLOOKUP($B375&amp;"__wt",'SegEnds_Xtal_BW#'!$A:$Z,12,FALSE)</f>
        <v>59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9">
        <f>VLOOKUP($B375&amp;"__wt",'SegEnds_Xtal_BW#'!$A:$Z,15,FALSE)</f>
        <v>38</v>
      </c>
      <c r="P375" s="1">
        <f>VLOOKUP($B375&amp;"__wt",'SegEnds_Xtal_BW#'!$A:$Z,16,FALSE)</f>
        <v>63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36</v>
      </c>
      <c r="T375" s="1">
        <f>VLOOKUP($B375&amp;"__wt",'SegEnds_Xtal_BW#'!$A:$Z,20,FALSE)</f>
        <v>72</v>
      </c>
      <c r="U375" s="1">
        <f>VLOOKUP($B375&amp;"__wt",'SegEnds_Xtal_BW#'!$A:$Z,21,FALSE)</f>
        <v>24</v>
      </c>
      <c r="V375" s="1">
        <f>VLOOKUP($B375&amp;"__wt",'SegEnds_Xtal_BW#'!$A:$Z,22,FALSE)</f>
        <v>78</v>
      </c>
      <c r="W375" s="1">
        <f>VLOOKUP($B375&amp;"__wt",'SegEnds_Xtal_BW#'!$A:$Z,23,FALSE)</f>
        <v>35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VLOOKUP(A375,'SegEnds_NonXtal_Prot#'!A:AL,10,FALSE)-VLOOKUP(A375,'SegEnds_NonXtal_Prot#'!A:AL,7,FALSE)</f>
        <v>12</v>
      </c>
      <c r="AC375" s="1" t="e">
        <f>VLOOKUP(A375,'SegEnds_NonXtal_Prot#'!A:AL,13,FALSE)-VLOOKUP(A375,'SegEnds_NonXtal_Prot#'!A:AL,10,FALSE)</f>
        <v>#VALUE!</v>
      </c>
      <c r="AD375" s="1">
        <f>VLOOKUP(A375,'SegEnds_NonXtal_Prot#'!A:AL,16,FALSE)-VLOOKUP(A375,'SegEnds_NonXtal_Prot#'!A:AL,10,FALSE)</f>
        <v>103</v>
      </c>
      <c r="AE375" s="1" t="e">
        <f>VLOOKUP(A375,'SegEnds_NonXtal_Prot#'!A:AL,22,FALSE)-VLOOKUP(A375,'SegEnds_NonXtal_Prot#'!A:AL,19,FALSE)</f>
        <v>#VALUE!</v>
      </c>
      <c r="AF375" s="1">
        <f>VLOOKUP(A375,'SegEnds_NonXtal_Prot#'!A:AL,28,FALSE)-VLOOKUP(A375,'SegEnds_NonXtal_Prot#'!A:AL,25,FALSE)</f>
        <v>21</v>
      </c>
      <c r="AG375" s="1">
        <f>VLOOKUP(A375,'SegEnds_NonXtal_Prot#'!A:AL,28,FALSE)-VLOOKUP(A375,'SegEnds_NonXtal_Prot#'!A:AL,22,FALSE)</f>
        <v>46</v>
      </c>
      <c r="AH375" s="1">
        <f>VLOOKUP(A375,'SegEnds_NonXtal_Prot#'!A:AL,31,FALSE)-VLOOKUP(A375,'SegEnds_NonXtal_Prot#'!A:AL,28,FALSE)</f>
        <v>57</v>
      </c>
      <c r="AI375" s="1">
        <f>VLOOKUP(A375,'SegEnds_NonXtal_Prot#'!A:AL,34,FALSE)-VLOOKUP(A375,'SegEnds_NonXtal_Prot#'!A:AL,31,FALSE)</f>
        <v>49</v>
      </c>
      <c r="AJ375" s="1" t="str">
        <f>IF(ISERROR(MATCH(A375,'SegEnds_Xtal_Prot#'!B:B, 0)), "NoXtal", "Xtal")</f>
        <v>NoXtal</v>
      </c>
    </row>
    <row r="376" spans="1:36" x14ac:dyDescent="0.2">
      <c r="A376" s="1" t="s">
        <v>455</v>
      </c>
      <c r="B376" s="1" t="str">
        <f>VLOOKUP(A376,Xtal_Templ!A:B,2,FALSE)</f>
        <v>smo_human</v>
      </c>
      <c r="C376" s="5">
        <f>VLOOKUP($B376&amp;"__wt",'SegEnds_Xtal_BW#'!$A:$Z,3,FALSE)</f>
        <v>29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63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23</v>
      </c>
      <c r="L376" s="1">
        <f>VLOOKUP($B376&amp;"__wt",'SegEnds_Xtal_BW#'!$A:$Z,12,FALSE)</f>
        <v>59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9">
        <f>VLOOKUP($B376&amp;"__wt",'SegEnds_Xtal_BW#'!$A:$Z,15,FALSE)</f>
        <v>38</v>
      </c>
      <c r="P376" s="1">
        <f>VLOOKUP($B376&amp;"__wt",'SegEnds_Xtal_BW#'!$A:$Z,16,FALSE)</f>
        <v>63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36</v>
      </c>
      <c r="T376" s="1">
        <f>VLOOKUP($B376&amp;"__wt",'SegEnds_Xtal_BW#'!$A:$Z,20,FALSE)</f>
        <v>72</v>
      </c>
      <c r="U376" s="1">
        <f>VLOOKUP($B376&amp;"__wt",'SegEnds_Xtal_BW#'!$A:$Z,21,FALSE)</f>
        <v>24</v>
      </c>
      <c r="V376" s="1">
        <f>VLOOKUP($B376&amp;"__wt",'SegEnds_Xtal_BW#'!$A:$Z,22,FALSE)</f>
        <v>78</v>
      </c>
      <c r="W376" s="1">
        <f>VLOOKUP($B376&amp;"__wt",'SegEnds_Xtal_BW#'!$A:$Z,23,FALSE)</f>
        <v>35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VLOOKUP(A376,'SegEnds_NonXtal_Prot#'!A:AL,10,FALSE)-VLOOKUP(A376,'SegEnds_NonXtal_Prot#'!A:AL,7,FALSE)</f>
        <v>12</v>
      </c>
      <c r="AC376" s="1" t="e">
        <f>VLOOKUP(A376,'SegEnds_NonXtal_Prot#'!A:AL,13,FALSE)-VLOOKUP(A376,'SegEnds_NonXtal_Prot#'!A:AL,10,FALSE)</f>
        <v>#VALUE!</v>
      </c>
      <c r="AD376" s="1">
        <f>VLOOKUP(A376,'SegEnds_NonXtal_Prot#'!A:AL,16,FALSE)-VLOOKUP(A376,'SegEnds_NonXtal_Prot#'!A:AL,10,FALSE)</f>
        <v>66</v>
      </c>
      <c r="AE376" s="1" t="e">
        <f>VLOOKUP(A376,'SegEnds_NonXtal_Prot#'!A:AL,22,FALSE)-VLOOKUP(A376,'SegEnds_NonXtal_Prot#'!A:AL,19,FALSE)</f>
        <v>#VALUE!</v>
      </c>
      <c r="AF376" s="1">
        <f>VLOOKUP(A376,'SegEnds_NonXtal_Prot#'!A:AL,28,FALSE)-VLOOKUP(A376,'SegEnds_NonXtal_Prot#'!A:AL,25,FALSE)</f>
        <v>21</v>
      </c>
      <c r="AG376" s="1">
        <f>VLOOKUP(A376,'SegEnds_NonXtal_Prot#'!A:AL,28,FALSE)-VLOOKUP(A376,'SegEnds_NonXtal_Prot#'!A:AL,22,FALSE)</f>
        <v>46</v>
      </c>
      <c r="AH376" s="1">
        <f>VLOOKUP(A376,'SegEnds_NonXtal_Prot#'!A:AL,31,FALSE)-VLOOKUP(A376,'SegEnds_NonXtal_Prot#'!A:AL,28,FALSE)</f>
        <v>55</v>
      </c>
      <c r="AI376" s="1">
        <f>VLOOKUP(A376,'SegEnds_NonXtal_Prot#'!A:AL,34,FALSE)-VLOOKUP(A376,'SegEnds_NonXtal_Prot#'!A:AL,31,FALSE)</f>
        <v>58</v>
      </c>
      <c r="AJ376" s="1" t="str">
        <f>IF(ISERROR(MATCH(A376,'SegEnds_Xtal_Prot#'!B:B, 0)), "NoXtal", "Xtal")</f>
        <v>NoXtal</v>
      </c>
    </row>
    <row r="377" spans="1:36" x14ac:dyDescent="0.2">
      <c r="A377" s="1" t="s">
        <v>33</v>
      </c>
      <c r="B377" s="1" t="str">
        <f>VLOOKUP(A377,Xtal_Templ!A:B,2,FALSE)</f>
        <v>smo_human</v>
      </c>
      <c r="C377" s="5">
        <f>VLOOKUP($B377&amp;"__wt",'SegEnds_Xtal_BW#'!$A:$Z,3,FALSE)</f>
        <v>29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40</v>
      </c>
      <c r="H377" s="12">
        <f>VLOOKUP($B377&amp;"__wt",'SegEnds_Xtal_BW#'!$A:$Z,8,FALSE)</f>
        <v>63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23</v>
      </c>
      <c r="L377" s="1">
        <f>VLOOKUP($B377&amp;"__wt",'SegEnds_Xtal_BW#'!$A:$Z,12,FALSE)</f>
        <v>59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9">
        <f>VLOOKUP($B377&amp;"__wt",'SegEnds_Xtal_BW#'!$A:$Z,15,FALSE)</f>
        <v>38</v>
      </c>
      <c r="P377" s="1">
        <f>VLOOKUP($B377&amp;"__wt",'SegEnds_Xtal_BW#'!$A:$Z,16,FALSE)</f>
        <v>63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36</v>
      </c>
      <c r="T377" s="1">
        <f>VLOOKUP($B377&amp;"__wt",'SegEnds_Xtal_BW#'!$A:$Z,20,FALSE)</f>
        <v>72</v>
      </c>
      <c r="U377" s="1">
        <f>VLOOKUP($B377&amp;"__wt",'SegEnds_Xtal_BW#'!$A:$Z,21,FALSE)</f>
        <v>24</v>
      </c>
      <c r="V377" s="1">
        <f>VLOOKUP($B377&amp;"__wt",'SegEnds_Xtal_BW#'!$A:$Z,22,FALSE)</f>
        <v>78</v>
      </c>
      <c r="W377" s="1">
        <f>VLOOKUP($B377&amp;"__wt",'SegEnds_Xtal_BW#'!$A:$Z,23,FALSE)</f>
        <v>35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VLOOKUP(A377,'SegEnds_NonXtal_Prot#'!A:AL,10,FALSE)-VLOOKUP(A377,'SegEnds_NonXtal_Prot#'!A:AL,7,FALSE)</f>
        <v>13</v>
      </c>
      <c r="AC377" s="1" t="e">
        <f>VLOOKUP(A377,'SegEnds_NonXtal_Prot#'!A:AL,13,FALSE)-VLOOKUP(A377,'SegEnds_NonXtal_Prot#'!A:AL,10,FALSE)</f>
        <v>#VALUE!</v>
      </c>
      <c r="AD377" s="1">
        <f>VLOOKUP(A377,'SegEnds_NonXtal_Prot#'!A:AL,16,FALSE)-VLOOKUP(A377,'SegEnds_NonXtal_Prot#'!A:AL,10,FALSE)</f>
        <v>67</v>
      </c>
      <c r="AE377" s="1" t="e">
        <f>VLOOKUP(A377,'SegEnds_NonXtal_Prot#'!A:AL,22,FALSE)-VLOOKUP(A377,'SegEnds_NonXtal_Prot#'!A:AL,19,FALSE)</f>
        <v>#VALUE!</v>
      </c>
      <c r="AF377" s="1">
        <f>VLOOKUP(A377,'SegEnds_NonXtal_Prot#'!A:AL,28,FALSE)-VLOOKUP(A377,'SegEnds_NonXtal_Prot#'!A:AL,25,FALSE)</f>
        <v>21</v>
      </c>
      <c r="AG377" s="1">
        <f>VLOOKUP(A377,'SegEnds_NonXtal_Prot#'!A:AL,28,FALSE)-VLOOKUP(A377,'SegEnds_NonXtal_Prot#'!A:AL,22,FALSE)</f>
        <v>46</v>
      </c>
      <c r="AH377" s="1">
        <f>VLOOKUP(A377,'SegEnds_NonXtal_Prot#'!A:AL,31,FALSE)-VLOOKUP(A377,'SegEnds_NonXtal_Prot#'!A:AL,28,FALSE)</f>
        <v>57</v>
      </c>
      <c r="AI377" s="1">
        <f>VLOOKUP(A377,'SegEnds_NonXtal_Prot#'!A:AL,34,FALSE)-VLOOKUP(A377,'SegEnds_NonXtal_Prot#'!A:AL,31,FALSE)</f>
        <v>62</v>
      </c>
      <c r="AJ377" s="1" t="str">
        <f>IF(ISERROR(MATCH(A377,'SegEnds_Xtal_Prot#'!B:B, 0)), "NoXtal", "Xtal")</f>
        <v>Xtal</v>
      </c>
    </row>
    <row r="378" spans="1:36" x14ac:dyDescent="0.2">
      <c r="A378" s="1" t="s">
        <v>481</v>
      </c>
      <c r="B378" s="1" t="str">
        <f>VLOOKUP(A378,Xtal_Templ!A:B,2,FALSE)</f>
        <v>agtr1_human</v>
      </c>
      <c r="C378" s="5">
        <f>VLOOKUP($B378&amp;"__wt",'SegEnds_Xtal_BW#'!$A:$Z,3,FALSE)</f>
        <v>30</v>
      </c>
      <c r="D378" s="1">
        <v>60</v>
      </c>
      <c r="E378" s="1" t="s">
        <v>23</v>
      </c>
      <c r="F378" s="1" t="s">
        <v>23</v>
      </c>
      <c r="G378" s="1">
        <v>39</v>
      </c>
      <c r="H378" s="12">
        <v>63</v>
      </c>
      <c r="I378" s="1" t="s">
        <v>23</v>
      </c>
      <c r="J378" s="1" t="s">
        <v>23</v>
      </c>
      <c r="K378" s="12">
        <v>23</v>
      </c>
      <c r="L378" s="1">
        <v>56</v>
      </c>
      <c r="M378" s="1" t="s">
        <v>23</v>
      </c>
      <c r="N378" s="12" t="s">
        <v>23</v>
      </c>
      <c r="O378" s="89">
        <v>40</v>
      </c>
      <c r="P378" s="1">
        <f>VLOOKUP($B378&amp;"__wt",'SegEnds_Xtal_BW#'!$A:$Z,16,FALSE)</f>
        <v>64</v>
      </c>
      <c r="Q378" s="1" t="s">
        <v>23</v>
      </c>
      <c r="R378" s="1" t="s">
        <v>23</v>
      </c>
      <c r="S378" s="1">
        <v>39</v>
      </c>
      <c r="T378" s="1">
        <v>61</v>
      </c>
      <c r="U378" s="1">
        <v>29</v>
      </c>
      <c r="V378" s="1">
        <v>53</v>
      </c>
      <c r="W378" s="1">
        <v>35</v>
      </c>
      <c r="X378" s="1">
        <v>56</v>
      </c>
      <c r="Y378" s="1">
        <v>47</v>
      </c>
      <c r="Z378" s="1">
        <v>57</v>
      </c>
      <c r="AA378" s="27" t="str">
        <f>VLOOKUP(A378,Classification!A:B,2,FALSE)</f>
        <v>O</v>
      </c>
      <c r="AB378" s="1" t="e">
        <f>VLOOKUP(A378,'SegEnds_NonXtal_Prot#'!A:AL,10,FALSE)-VLOOKUP(A378,'SegEnds_NonXtal_Prot#'!A:AL,7,FALSE)</f>
        <v>#VALUE!</v>
      </c>
      <c r="AC378" s="1" t="e">
        <f>VLOOKUP(A378,'SegEnds_NonXtal_Prot#'!A:AL,13,FALSE)-VLOOKUP(A378,'SegEnds_NonXtal_Prot#'!A:AL,10,FALSE)</f>
        <v>#VALUE!</v>
      </c>
      <c r="AD378" s="1">
        <f>VLOOKUP(A378,'SegEnds_NonXtal_Prot#'!A:AL,16,FALSE)-VLOOKUP(A378,'SegEnds_NonXtal_Prot#'!A:AL,10,FALSE)</f>
        <v>81</v>
      </c>
      <c r="AE378" s="1" t="e">
        <f>VLOOKUP(A378,'SegEnds_NonXtal_Prot#'!A:AL,22,FALSE)-VLOOKUP(A378,'SegEnds_NonXtal_Prot#'!A:AL,19,FALSE)</f>
        <v>#VALUE!</v>
      </c>
      <c r="AF378" s="1" t="e">
        <f>VLOOKUP(A378,'SegEnds_NonXtal_Prot#'!A:AL,28,FALSE)-VLOOKUP(A378,'SegEnds_NonXtal_Prot#'!A:AL,25,FALSE)</f>
        <v>#VALUE!</v>
      </c>
      <c r="AG378" s="1">
        <f>VLOOKUP(A378,'SegEnds_NonXtal_Prot#'!A:AL,28,FALSE)-VLOOKUP(A378,'SegEnds_NonXtal_Prot#'!A:AL,22,FALSE)</f>
        <v>83</v>
      </c>
      <c r="AH378" s="1">
        <f>VLOOKUP(A378,'SegEnds_NonXtal_Prot#'!A:AL,31,FALSE)-VLOOKUP(A378,'SegEnds_NonXtal_Prot#'!A:AL,28,FALSE)</f>
        <v>79</v>
      </c>
      <c r="AI378" s="1">
        <f>VLOOKUP(A378,'SegEnds_NonXtal_Prot#'!A:AL,34,FALSE)-VLOOKUP(A378,'SegEnds_NonXtal_Prot#'!A:AL,31,FALSE)</f>
        <v>33</v>
      </c>
      <c r="AJ378" s="1" t="str">
        <f>IF(ISERROR(MATCH(A378,'SegEnds_Xtal_Prot#'!B:B, 0)), "NoXtal", "Xtal")</f>
        <v>NoXtal</v>
      </c>
    </row>
    <row r="379" spans="1:36" x14ac:dyDescent="0.2">
      <c r="A379" s="1" t="s">
        <v>482</v>
      </c>
      <c r="B379" s="1" t="str">
        <f>VLOOKUP(A379,Xtal_Templ!A:B,2,FALSE)</f>
        <v>ccr9_human</v>
      </c>
      <c r="C379" s="5">
        <f>VLOOKUP($B379&amp;"__wt",'SegEnds_Xtal_BW#'!$A:$Z,3,FALSE)</f>
        <v>27</v>
      </c>
      <c r="D379" s="1">
        <v>60</v>
      </c>
      <c r="E379" s="1" t="s">
        <v>23</v>
      </c>
      <c r="F379" s="1" t="s">
        <v>23</v>
      </c>
      <c r="G379" s="1">
        <v>39</v>
      </c>
      <c r="H379" s="12">
        <v>63</v>
      </c>
      <c r="I379" s="1" t="s">
        <v>23</v>
      </c>
      <c r="J379" s="1" t="s">
        <v>23</v>
      </c>
      <c r="K379" s="12">
        <v>23</v>
      </c>
      <c r="L379" s="1">
        <v>56</v>
      </c>
      <c r="M379" s="1" t="s">
        <v>23</v>
      </c>
      <c r="N379" s="12" t="s">
        <v>23</v>
      </c>
      <c r="O379" s="89">
        <v>40</v>
      </c>
      <c r="P379" s="1">
        <v>64</v>
      </c>
      <c r="Q379" s="1" t="s">
        <v>23</v>
      </c>
      <c r="R379" s="1" t="s">
        <v>23</v>
      </c>
      <c r="S379" s="1">
        <v>39</v>
      </c>
      <c r="T379" s="1">
        <v>61</v>
      </c>
      <c r="U379" s="1">
        <v>29</v>
      </c>
      <c r="V379" s="1">
        <v>53</v>
      </c>
      <c r="W379" s="1">
        <v>35</v>
      </c>
      <c r="X379" s="1">
        <v>56</v>
      </c>
      <c r="Y379" s="1">
        <v>47</v>
      </c>
      <c r="Z379" s="1">
        <v>57</v>
      </c>
      <c r="AA379" s="27" t="str">
        <f>VLOOKUP(A379,Classification!A:B,2,FALSE)</f>
        <v>O</v>
      </c>
      <c r="AB379" s="1" t="e">
        <f>VLOOKUP(A379,'SegEnds_NonXtal_Prot#'!A:AL,10,FALSE)-VLOOKUP(A379,'SegEnds_NonXtal_Prot#'!A:AL,7,FALSE)</f>
        <v>#VALUE!</v>
      </c>
      <c r="AC379" s="1" t="e">
        <f>VLOOKUP(A379,'SegEnds_NonXtal_Prot#'!A:AL,13,FALSE)-VLOOKUP(A379,'SegEnds_NonXtal_Prot#'!A:AL,10,FALSE)</f>
        <v>#VALUE!</v>
      </c>
      <c r="AD379" s="1">
        <f>VLOOKUP(A379,'SegEnds_NonXtal_Prot#'!A:AL,16,FALSE)-VLOOKUP(A379,'SegEnds_NonXtal_Prot#'!A:AL,10,FALSE)</f>
        <v>74</v>
      </c>
      <c r="AE379" s="1" t="e">
        <f>VLOOKUP(A379,'SegEnds_NonXtal_Prot#'!A:AL,22,FALSE)-VLOOKUP(A379,'SegEnds_NonXtal_Prot#'!A:AL,19,FALSE)</f>
        <v>#VALUE!</v>
      </c>
      <c r="AF379" s="1" t="e">
        <f>VLOOKUP(A379,'SegEnds_NonXtal_Prot#'!A:AL,28,FALSE)-VLOOKUP(A379,'SegEnds_NonXtal_Prot#'!A:AL,25,FALSE)</f>
        <v>#VALUE!</v>
      </c>
      <c r="AG379" s="1">
        <f>VLOOKUP(A379,'SegEnds_NonXtal_Prot#'!A:AL,28,FALSE)-VLOOKUP(A379,'SegEnds_NonXtal_Prot#'!A:AL,22,FALSE)</f>
        <v>81</v>
      </c>
      <c r="AH379" s="1">
        <f>VLOOKUP(A379,'SegEnds_NonXtal_Prot#'!A:AL,31,FALSE)-VLOOKUP(A379,'SegEnds_NonXtal_Prot#'!A:AL,28,FALSE)</f>
        <v>37</v>
      </c>
      <c r="AI379" s="1">
        <f>VLOOKUP(A379,'SegEnds_NonXtal_Prot#'!A:AL,34,FALSE)-VLOOKUP(A379,'SegEnds_NonXtal_Prot#'!A:AL,31,FALSE)</f>
        <v>44</v>
      </c>
      <c r="AJ379" s="1" t="str">
        <f>IF(ISERROR(MATCH(A379,'SegEnds_Xtal_Prot#'!B:B, 0)), "NoXtal", "Xtal")</f>
        <v>NoXtal</v>
      </c>
    </row>
    <row r="380" spans="1:36" x14ac:dyDescent="0.2">
      <c r="A380" s="4" t="s">
        <v>485</v>
      </c>
      <c r="B380" s="4" t="str">
        <f>VLOOKUP(A380,Xtal_Templ!A:B,2,FALSE)</f>
        <v>aa2ar_human</v>
      </c>
      <c r="C380" s="5">
        <f>VLOOKUP($B380&amp;"__wt",'SegEnds_Xtal_BW#'!$A:$Z,3,FALSE)</f>
        <v>27</v>
      </c>
      <c r="D380" s="4">
        <v>60</v>
      </c>
      <c r="E380" s="4" t="s">
        <v>23</v>
      </c>
      <c r="F380" s="4" t="s">
        <v>23</v>
      </c>
      <c r="G380" s="4">
        <v>39</v>
      </c>
      <c r="H380" s="11">
        <v>63</v>
      </c>
      <c r="I380" s="4" t="s">
        <v>23</v>
      </c>
      <c r="J380" s="4" t="s">
        <v>23</v>
      </c>
      <c r="K380" s="11">
        <v>23</v>
      </c>
      <c r="L380" s="4">
        <v>56</v>
      </c>
      <c r="M380" s="4" t="s">
        <v>23</v>
      </c>
      <c r="N380" s="11" t="s">
        <v>23</v>
      </c>
      <c r="O380" s="90">
        <v>40</v>
      </c>
      <c r="P380" s="4">
        <v>64</v>
      </c>
      <c r="Q380" s="4" t="s">
        <v>23</v>
      </c>
      <c r="R380" s="4" t="s">
        <v>23</v>
      </c>
      <c r="S380" s="4">
        <v>39</v>
      </c>
      <c r="T380" s="4">
        <v>61</v>
      </c>
      <c r="U380" s="4">
        <v>29</v>
      </c>
      <c r="V380" s="4">
        <v>53</v>
      </c>
      <c r="W380" s="4">
        <v>35</v>
      </c>
      <c r="X380" s="4">
        <v>56</v>
      </c>
      <c r="Y380" s="4">
        <v>47</v>
      </c>
      <c r="Z380" s="4">
        <v>57</v>
      </c>
      <c r="AA380" s="27" t="str">
        <f>VLOOKUP(A380,Classification!A:B,2,FALSE)</f>
        <v>O</v>
      </c>
      <c r="AB380" s="4" t="e">
        <f>VLOOKUP(A380,'SegEnds_NonXtal_Prot#'!A:AL,10,FALSE)-VLOOKUP(A380,'SegEnds_NonXtal_Prot#'!A:AL,7,FALSE)</f>
        <v>#VALUE!</v>
      </c>
      <c r="AC380" s="4" t="e">
        <f>VLOOKUP(A380,'SegEnds_NonXtal_Prot#'!A:AL,13,FALSE)-VLOOKUP(A380,'SegEnds_NonXtal_Prot#'!A:AL,10,FALSE)</f>
        <v>#VALUE!</v>
      </c>
      <c r="AD380" s="4">
        <f>VLOOKUP(A380,'SegEnds_NonXtal_Prot#'!A:AL,16,FALSE)-VLOOKUP(A380,'SegEnds_NonXtal_Prot#'!A:AL,10,FALSE)</f>
        <v>63</v>
      </c>
      <c r="AE380" s="1" t="e">
        <f>VLOOKUP(A380,'SegEnds_NonXtal_Prot#'!A:AL,22,FALSE)-VLOOKUP(A380,'SegEnds_NonXtal_Prot#'!A:AL,19,FALSE)</f>
        <v>#VALUE!</v>
      </c>
      <c r="AF380" s="4" t="e">
        <f>VLOOKUP(A380,'SegEnds_NonXtal_Prot#'!A:AL,28,FALSE)-VLOOKUP(A380,'SegEnds_NonXtal_Prot#'!A:AL,25,FALSE)</f>
        <v>#VALUE!</v>
      </c>
      <c r="AG380" s="1">
        <f>VLOOKUP(A380,'SegEnds_NonXtal_Prot#'!A:AL,28,FALSE)-VLOOKUP(A380,'SegEnds_NonXtal_Prot#'!A:AL,22,FALSE)</f>
        <v>39</v>
      </c>
      <c r="AH380" s="4">
        <f>VLOOKUP(A380,'SegEnds_NonXtal_Prot#'!A:AL,31,FALSE)-VLOOKUP(A380,'SegEnds_NonXtal_Prot#'!A:AL,28,FALSE)</f>
        <v>58</v>
      </c>
      <c r="AI380" s="4">
        <f>VLOOKUP(A380,'SegEnds_NonXtal_Prot#'!A:AL,34,FALSE)-VLOOKUP(A380,'SegEnds_NonXtal_Prot#'!A:AL,31,FALSE)</f>
        <v>49</v>
      </c>
      <c r="AJ380" s="1" t="str">
        <f>IF(ISERROR(MATCH(A380,'SegEnds_Xtal_Prot#'!B:B, 0)), "NoXtal", "Xtal")</f>
        <v>NoXtal</v>
      </c>
    </row>
    <row r="381" spans="1:36" x14ac:dyDescent="0.2">
      <c r="A381" s="1" t="s">
        <v>486</v>
      </c>
      <c r="B381" s="1" t="str">
        <f>VLOOKUP(A381,Xtal_Templ!A:B,2,FALSE)</f>
        <v>5ht2b_human</v>
      </c>
      <c r="C381" s="5">
        <f>VLOOKUP($B381&amp;"__wt",'SegEnds_Xtal_BW#'!$A:$Z,3,FALSE)</f>
        <v>32</v>
      </c>
      <c r="D381" s="1">
        <v>60</v>
      </c>
      <c r="E381" s="1" t="s">
        <v>23</v>
      </c>
      <c r="F381" s="1" t="s">
        <v>23</v>
      </c>
      <c r="G381" s="1">
        <v>39</v>
      </c>
      <c r="H381" s="12">
        <v>63</v>
      </c>
      <c r="I381" s="1" t="s">
        <v>23</v>
      </c>
      <c r="J381" s="1" t="s">
        <v>23</v>
      </c>
      <c r="K381" s="12">
        <v>23</v>
      </c>
      <c r="L381" s="1">
        <v>56</v>
      </c>
      <c r="M381" s="1" t="s">
        <v>23</v>
      </c>
      <c r="N381" s="12" t="s">
        <v>23</v>
      </c>
      <c r="O381" s="89">
        <v>40</v>
      </c>
      <c r="P381" s="1">
        <v>64</v>
      </c>
      <c r="Q381" s="1" t="s">
        <v>23</v>
      </c>
      <c r="R381" s="1" t="s">
        <v>23</v>
      </c>
      <c r="S381" s="1">
        <v>39</v>
      </c>
      <c r="T381" s="1">
        <v>61</v>
      </c>
      <c r="U381" s="1">
        <v>29</v>
      </c>
      <c r="V381" s="1">
        <v>53</v>
      </c>
      <c r="W381" s="1">
        <v>35</v>
      </c>
      <c r="X381" s="1">
        <v>56</v>
      </c>
      <c r="Y381" s="1">
        <v>47</v>
      </c>
      <c r="Z381" s="1">
        <v>57</v>
      </c>
      <c r="AA381" s="27" t="str">
        <f>VLOOKUP(A381,Classification!A:B,2,FALSE)</f>
        <v>O</v>
      </c>
      <c r="AB381" s="1" t="e">
        <f>VLOOKUP(A381,'SegEnds_NonXtal_Prot#'!A:AL,10,FALSE)-VLOOKUP(A381,'SegEnds_NonXtal_Prot#'!A:AL,7,FALSE)</f>
        <v>#VALUE!</v>
      </c>
      <c r="AC381" s="1" t="e">
        <f>VLOOKUP(A381,'SegEnds_NonXtal_Prot#'!A:AL,13,FALSE)-VLOOKUP(A381,'SegEnds_NonXtal_Prot#'!A:AL,10,FALSE)</f>
        <v>#VALUE!</v>
      </c>
      <c r="AD381" s="1">
        <f>VLOOKUP(A381,'SegEnds_NonXtal_Prot#'!A:AL,16,FALSE)-VLOOKUP(A381,'SegEnds_NonXtal_Prot#'!A:AL,10,FALSE)</f>
        <v>47</v>
      </c>
      <c r="AE381" s="1" t="e">
        <f>VLOOKUP(A381,'SegEnds_NonXtal_Prot#'!A:AL,22,FALSE)-VLOOKUP(A381,'SegEnds_NonXtal_Prot#'!A:AL,19,FALSE)</f>
        <v>#VALUE!</v>
      </c>
      <c r="AF381" s="1" t="e">
        <f>VLOOKUP(A381,'SegEnds_NonXtal_Prot#'!A:AL,28,FALSE)-VLOOKUP(A381,'SegEnds_NonXtal_Prot#'!A:AL,25,FALSE)</f>
        <v>#VALUE!</v>
      </c>
      <c r="AG381" s="1">
        <f>VLOOKUP(A381,'SegEnds_NonXtal_Prot#'!A:AL,28,FALSE)-VLOOKUP(A381,'SegEnds_NonXtal_Prot#'!A:AL,22,FALSE)</f>
        <v>29</v>
      </c>
      <c r="AH381" s="1">
        <f>VLOOKUP(A381,'SegEnds_NonXtal_Prot#'!A:AL,31,FALSE)-VLOOKUP(A381,'SegEnds_NonXtal_Prot#'!A:AL,28,FALSE)</f>
        <v>67</v>
      </c>
      <c r="AI381" s="1">
        <f>VLOOKUP(A381,'SegEnds_NonXtal_Prot#'!A:AL,34,FALSE)-VLOOKUP(A381,'SegEnds_NonXtal_Prot#'!A:AL,31,FALSE)</f>
        <v>45</v>
      </c>
      <c r="AJ381" s="1" t="str">
        <f>IF(ISERROR(MATCH(A381,'SegEnds_Xtal_Prot#'!B:B, 0)), "NoXtal", "Xtal")</f>
        <v>NoXtal</v>
      </c>
    </row>
    <row r="382" spans="1:36" x14ac:dyDescent="0.2">
      <c r="A382" s="1" t="s">
        <v>484</v>
      </c>
      <c r="B382" s="1" t="str">
        <f>VLOOKUP(A382,Xtal_Templ!A:B,2,FALSE)</f>
        <v>oprk_human</v>
      </c>
      <c r="C382" s="5">
        <f>VLOOKUP($B382&amp;"__wt",'SegEnds_Xtal_BW#'!$A:$Z,3,FALSE)</f>
        <v>30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9">
        <v>40</v>
      </c>
      <c r="P382" s="111">
        <v>61</v>
      </c>
      <c r="Q382" s="1" t="s">
        <v>23</v>
      </c>
      <c r="R382" s="1" t="s">
        <v>23</v>
      </c>
      <c r="S382" s="111">
        <v>40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 t="e">
        <f>VLOOKUP(A382,'SegEnds_NonXtal_Prot#'!A:AL,10,FALSE)-VLOOKUP(A382,'SegEnds_NonXtal_Prot#'!A:AL,7,FALSE)</f>
        <v>#VALUE!</v>
      </c>
      <c r="AC382" s="1" t="e">
        <f>VLOOKUP(A382,'SegEnds_NonXtal_Prot#'!A:AL,13,FALSE)-VLOOKUP(A382,'SegEnds_NonXtal_Prot#'!A:AL,10,FALSE)</f>
        <v>#VALUE!</v>
      </c>
      <c r="AD382" s="1">
        <f>VLOOKUP(A382,'SegEnds_NonXtal_Prot#'!A:AL,16,FALSE)-VLOOKUP(A382,'SegEnds_NonXtal_Prot#'!A:AL,10,FALSE)</f>
        <v>45</v>
      </c>
      <c r="AE382" s="1" t="e">
        <f>VLOOKUP(A382,'SegEnds_NonXtal_Prot#'!A:AL,22,FALSE)-VLOOKUP(A382,'SegEnds_NonXtal_Prot#'!A:AL,19,FALSE)</f>
        <v>#VALUE!</v>
      </c>
      <c r="AF382" s="1" t="e">
        <f>VLOOKUP(A382,'SegEnds_NonXtal_Prot#'!A:AL,28,FALSE)-VLOOKUP(A382,'SegEnds_NonXtal_Prot#'!A:AL,25,FALSE)</f>
        <v>#VALUE!</v>
      </c>
      <c r="AG382" s="1">
        <f>VLOOKUP(A382,'SegEnds_NonXtal_Prot#'!A:AL,28,FALSE)-VLOOKUP(A382,'SegEnds_NonXtal_Prot#'!A:AL,22,FALSE)</f>
        <v>25</v>
      </c>
      <c r="AH382" s="1">
        <f>VLOOKUP(A382,'SegEnds_NonXtal_Prot#'!A:AL,31,FALSE)-VLOOKUP(A382,'SegEnds_NonXtal_Prot#'!A:AL,28,FALSE)</f>
        <v>76</v>
      </c>
      <c r="AI382" s="1">
        <f>VLOOKUP(A382,'SegEnds_NonXtal_Prot#'!A:AL,34,FALSE)-VLOOKUP(A382,'SegEnds_NonXtal_Prot#'!A:AL,31,FALSE)</f>
        <v>36</v>
      </c>
      <c r="AJ382" s="1" t="str">
        <f>IF(ISERROR(MATCH(A382,'SegEnds_Xtal_Prot#'!B:B, 0)), "NoXtal", "Xtal")</f>
        <v>NoXtal</v>
      </c>
    </row>
    <row r="383" spans="1:36" x14ac:dyDescent="0.2">
      <c r="A383" s="1" t="s">
        <v>456</v>
      </c>
      <c r="B383" s="1" t="str">
        <f>VLOOKUP(A383,Xtal_Templ!A:B,2,FALSE)</f>
        <v>aa2ar_human</v>
      </c>
      <c r="C383" s="5">
        <v>32</v>
      </c>
      <c r="D383" s="1">
        <v>62</v>
      </c>
      <c r="E383" s="1">
        <f>VLOOKUP($B383&amp;"__wt",'SegEnds_Xtal_BW#'!$A:$Z,5,FALSE)</f>
        <v>48</v>
      </c>
      <c r="F383" s="1">
        <f>VLOOKUP($B383&amp;"__wt",'SegEnds_Xtal_BW#'!$A:$Z,6,FALSE)</f>
        <v>51</v>
      </c>
      <c r="G383" s="1">
        <v>39</v>
      </c>
      <c r="H383" s="12">
        <v>67</v>
      </c>
      <c r="I383" s="1" t="s">
        <v>23</v>
      </c>
      <c r="J383" s="1" t="s">
        <v>23</v>
      </c>
      <c r="K383" s="12">
        <v>21</v>
      </c>
      <c r="L383" s="1">
        <f>VLOOKUP($B383&amp;"__wt",'SegEnds_Xtal_BW#'!$A:$Z,12,FALSE)</f>
        <v>56</v>
      </c>
      <c r="M383" s="1">
        <f>VLOOKUP($B383&amp;"__wt",'SegEnds_Xtal_BW#'!$A:$Z,13,FALSE)</f>
        <v>50</v>
      </c>
      <c r="N383" s="12">
        <f>VLOOKUP($B383&amp;"__wt",'SegEnds_Xtal_BW#'!$A:$Z,14,FALSE)</f>
        <v>57</v>
      </c>
      <c r="O383" s="90">
        <v>38</v>
      </c>
      <c r="P383" s="1">
        <f>VLOOKUP($B383&amp;"__wt",'SegEnds_Xtal_BW#'!$A:$Z,16,FALSE)</f>
        <v>63</v>
      </c>
      <c r="Q383" s="1">
        <f>VLOOKUP($B383&amp;"__wt",'SegEnds_Xtal_BW#'!$A:$Z,17,FALSE)</f>
        <v>50</v>
      </c>
      <c r="R383" s="1">
        <f>VLOOKUP($B383&amp;"__wt",'SegEnds_Xtal_BW#'!$A:$Z,18,FALSE)</f>
        <v>52</v>
      </c>
      <c r="S383" s="1">
        <v>32</v>
      </c>
      <c r="T383" s="1">
        <v>72</v>
      </c>
      <c r="U383" s="1">
        <v>29</v>
      </c>
      <c r="V383" s="1">
        <v>61</v>
      </c>
      <c r="W383" s="1">
        <v>31</v>
      </c>
      <c r="X383" s="1">
        <f>VLOOKUP($B383&amp;"__wt",'SegEnds_Xtal_BW#'!$A:$Z,24,FALSE)</f>
        <v>56</v>
      </c>
      <c r="Y383" s="1">
        <f>VLOOKUP($B383&amp;"__wt",'SegEnds_Xtal_BW#'!$A:$Z,25,FALSE)</f>
        <v>47</v>
      </c>
      <c r="Z383" s="1">
        <v>60</v>
      </c>
      <c r="AA383" s="27" t="str">
        <f>VLOOKUP(A383,Classification!A:B,2,FALSE)</f>
        <v>T</v>
      </c>
      <c r="AB383" s="1">
        <f>VLOOKUP(A383,'SegEnds_NonXtal_Prot#'!A:AL,10,FALSE)-VLOOKUP(A383,'SegEnds_NonXtal_Prot#'!A:AL,7,FALSE)</f>
        <v>15</v>
      </c>
      <c r="AC383" s="1" t="e">
        <f>VLOOKUP(A383,'SegEnds_NonXtal_Prot#'!A:AL,13,FALSE)-VLOOKUP(A383,'SegEnds_NonXtal_Prot#'!A:AL,10,FALSE)</f>
        <v>#VALUE!</v>
      </c>
      <c r="AD383" s="1">
        <f>VLOOKUP(A383,'SegEnds_NonXtal_Prot#'!A:AL,16,FALSE)-VLOOKUP(A383,'SegEnds_NonXtal_Prot#'!A:AL,10,FALSE)</f>
        <v>52</v>
      </c>
      <c r="AE383" s="1">
        <f>VLOOKUP(A383,'SegEnds_NonXtal_Prot#'!A:AL,22,FALSE)-VLOOKUP(A383,'SegEnds_NonXtal_Prot#'!A:AL,19,FALSE)</f>
        <v>20</v>
      </c>
      <c r="AF383" s="1" t="e">
        <f>VLOOKUP(A383,'SegEnds_NonXtal_Prot#'!A:AL,28,FALSE)-VLOOKUP(A383,'SegEnds_NonXtal_Prot#'!A:AL,25,FALSE)</f>
        <v>#VALUE!</v>
      </c>
      <c r="AG383" s="1">
        <f>VLOOKUP(A383,'SegEnds_NonXtal_Prot#'!A:AL,28,FALSE)-VLOOKUP(A383,'SegEnds_NonXtal_Prot#'!A:AL,22,FALSE)</f>
        <v>50</v>
      </c>
      <c r="AH383" s="1">
        <f>VLOOKUP(A383,'SegEnds_NonXtal_Prot#'!A:AL,31,FALSE)-VLOOKUP(A383,'SegEnds_NonXtal_Prot#'!A:AL,28,FALSE)</f>
        <v>53</v>
      </c>
      <c r="AI383" s="1">
        <f>VLOOKUP(A383,'SegEnds_NonXtal_Prot#'!A:AL,34,FALSE)-VLOOKUP(A383,'SegEnds_NonXtal_Prot#'!A:AL,31,FALSE)</f>
        <v>36</v>
      </c>
      <c r="AJ383" s="1" t="str">
        <f>IF(ISERROR(MATCH(A383,'SegEnds_Xtal_Prot#'!B:B, 0)), "NoXtal", "Xtal")</f>
        <v>NoXtal</v>
      </c>
    </row>
    <row r="384" spans="1:36" x14ac:dyDescent="0.2">
      <c r="A384" s="1" t="s">
        <v>457</v>
      </c>
      <c r="B384" s="1" t="str">
        <f>VLOOKUP(A384,Xtal_Templ!A:B,2,FALSE)</f>
        <v>apj_human</v>
      </c>
      <c r="C384" s="5">
        <v>32</v>
      </c>
      <c r="D384" s="1">
        <v>62</v>
      </c>
      <c r="E384" s="1">
        <f>VLOOKUP($B384&amp;"__wt",'SegEnds_Xtal_BW#'!$A:$Z,5,FALSE)</f>
        <v>48</v>
      </c>
      <c r="F384" s="1">
        <f>VLOOKUP($B384&amp;"__wt",'SegEnds_Xtal_BW#'!$A:$Z,6,FALSE)</f>
        <v>52</v>
      </c>
      <c r="G384" s="1">
        <v>39</v>
      </c>
      <c r="H384" s="12">
        <v>67</v>
      </c>
      <c r="I384" s="1" t="s">
        <v>23</v>
      </c>
      <c r="J384" s="1" t="s">
        <v>23</v>
      </c>
      <c r="K384" s="12">
        <v>21</v>
      </c>
      <c r="L384" s="1">
        <f>VLOOKUP($B384&amp;"__wt",'SegEnds_Xtal_BW#'!$A:$Z,12,FALSE)</f>
        <v>56</v>
      </c>
      <c r="M384" s="1">
        <f>VLOOKUP($B384&amp;"__wt",'SegEnds_Xtal_BW#'!$A:$Z,13,FALSE)</f>
        <v>50</v>
      </c>
      <c r="N384" s="12">
        <v>57</v>
      </c>
      <c r="O384" s="89">
        <v>38</v>
      </c>
      <c r="P384" s="1">
        <f>VLOOKUP($B384&amp;"__wt",'SegEnds_Xtal_BW#'!$A:$Z,16,FALSE)</f>
        <v>64</v>
      </c>
      <c r="Q384" s="1">
        <f>VLOOKUP($B384&amp;"__wt",'SegEnds_Xtal_BW#'!$A:$Z,17,FALSE)</f>
        <v>50</v>
      </c>
      <c r="R384" s="1">
        <f>VLOOKUP($B384&amp;"__wt",'SegEnds_Xtal_BW#'!$A:$Z,18,FALSE)</f>
        <v>52</v>
      </c>
      <c r="S384" s="1">
        <v>32</v>
      </c>
      <c r="T384" s="1">
        <v>72</v>
      </c>
      <c r="U384" s="1">
        <v>29</v>
      </c>
      <c r="V384" s="1">
        <v>61</v>
      </c>
      <c r="W384" s="1">
        <v>31</v>
      </c>
      <c r="X384" s="1">
        <f>VLOOKUP($B384&amp;"__wt",'SegEnds_Xtal_BW#'!$A:$Z,24,FALSE)</f>
        <v>56</v>
      </c>
      <c r="Y384" s="1">
        <f>VLOOKUP($B384&amp;"__wt",'SegEnds_Xtal_BW#'!$A:$Z,25,FALSE)</f>
        <v>47</v>
      </c>
      <c r="Z384" s="1">
        <v>60</v>
      </c>
      <c r="AA384" s="27" t="str">
        <f>VLOOKUP(A384,Classification!A:B,2,FALSE)</f>
        <v>T</v>
      </c>
      <c r="AB384" s="1">
        <f>VLOOKUP(A384,'SegEnds_NonXtal_Prot#'!A:AL,10,FALSE)-VLOOKUP(A384,'SegEnds_NonXtal_Prot#'!A:AL,7,FALSE)</f>
        <v>16</v>
      </c>
      <c r="AC384" s="1" t="e">
        <f>VLOOKUP(A384,'SegEnds_NonXtal_Prot#'!A:AL,13,FALSE)-VLOOKUP(A384,'SegEnds_NonXtal_Prot#'!A:AL,10,FALSE)</f>
        <v>#VALUE!</v>
      </c>
      <c r="AD384" s="1">
        <f>VLOOKUP(A384,'SegEnds_NonXtal_Prot#'!A:AL,16,FALSE)-VLOOKUP(A384,'SegEnds_NonXtal_Prot#'!A:AL,10,FALSE)</f>
        <v>52</v>
      </c>
      <c r="AE384" s="1">
        <f>VLOOKUP(A384,'SegEnds_NonXtal_Prot#'!A:AL,22,FALSE)-VLOOKUP(A384,'SegEnds_NonXtal_Prot#'!A:AL,19,FALSE)</f>
        <v>20</v>
      </c>
      <c r="AF384" s="1" t="e">
        <f>VLOOKUP(A384,'SegEnds_NonXtal_Prot#'!A:AL,28,FALSE)-VLOOKUP(A384,'SegEnds_NonXtal_Prot#'!A:AL,25,FALSE)</f>
        <v>#VALUE!</v>
      </c>
      <c r="AG384" s="1">
        <f>VLOOKUP(A384,'SegEnds_NonXtal_Prot#'!A:AL,28,FALSE)-VLOOKUP(A384,'SegEnds_NonXtal_Prot#'!A:AL,22,FALSE)</f>
        <v>54</v>
      </c>
      <c r="AH384" s="1">
        <f>VLOOKUP(A384,'SegEnds_NonXtal_Prot#'!A:AL,31,FALSE)-VLOOKUP(A384,'SegEnds_NonXtal_Prot#'!A:AL,28,FALSE)</f>
        <v>53</v>
      </c>
      <c r="AI384" s="1">
        <f>VLOOKUP(A384,'SegEnds_NonXtal_Prot#'!A:AL,34,FALSE)-VLOOKUP(A384,'SegEnds_NonXtal_Prot#'!A:AL,31,FALSE)</f>
        <v>35</v>
      </c>
      <c r="AJ384" s="1" t="str">
        <f>IF(ISERROR(MATCH(A384,'SegEnds_Xtal_Prot#'!B:B, 0)), "NoXtal", "Xtal")</f>
        <v>NoXtal</v>
      </c>
    </row>
    <row r="385" spans="1:36" x14ac:dyDescent="0.2">
      <c r="A385" s="1" t="s">
        <v>458</v>
      </c>
      <c r="B385" s="1" t="str">
        <f>VLOOKUP(A385,Xtal_Templ!A:B,2,FALSE)</f>
        <v>apj_human</v>
      </c>
      <c r="C385" s="5">
        <v>32</v>
      </c>
      <c r="D385" s="1">
        <v>62</v>
      </c>
      <c r="E385" s="1">
        <f>VLOOKUP($B385&amp;"__wt",'SegEnds_Xtal_BW#'!$A:$Z,5,FALSE)</f>
        <v>48</v>
      </c>
      <c r="F385" s="1">
        <f>VLOOKUP($B385&amp;"__wt",'SegEnds_Xtal_BW#'!$A:$Z,6,FALSE)</f>
        <v>52</v>
      </c>
      <c r="G385" s="1">
        <v>39</v>
      </c>
      <c r="H385" s="12">
        <v>67</v>
      </c>
      <c r="I385" s="1" t="s">
        <v>23</v>
      </c>
      <c r="J385" s="1" t="s">
        <v>23</v>
      </c>
      <c r="K385" s="12">
        <v>21</v>
      </c>
      <c r="L385" s="1">
        <f>VLOOKUP($B385&amp;"__wt",'SegEnds_Xtal_BW#'!$A:$Z,12,FALSE)</f>
        <v>56</v>
      </c>
      <c r="M385" s="1">
        <f>VLOOKUP($B385&amp;"__wt",'SegEnds_Xtal_BW#'!$A:$Z,13,FALSE)</f>
        <v>50</v>
      </c>
      <c r="N385" s="12">
        <v>57</v>
      </c>
      <c r="O385" s="89">
        <v>38</v>
      </c>
      <c r="P385" s="1">
        <f>VLOOKUP($B385&amp;"__wt",'SegEnds_Xtal_BW#'!$A:$Z,16,FALSE)</f>
        <v>64</v>
      </c>
      <c r="Q385" s="1">
        <f>VLOOKUP($B385&amp;"__wt",'SegEnds_Xtal_BW#'!$A:$Z,17,FALSE)</f>
        <v>50</v>
      </c>
      <c r="R385" s="1">
        <f>VLOOKUP($B385&amp;"__wt",'SegEnds_Xtal_BW#'!$A:$Z,18,FALSE)</f>
        <v>52</v>
      </c>
      <c r="S385" s="1">
        <v>32</v>
      </c>
      <c r="T385" s="1">
        <v>72</v>
      </c>
      <c r="U385" s="1">
        <v>29</v>
      </c>
      <c r="V385" s="1">
        <v>61</v>
      </c>
      <c r="W385" s="1">
        <v>31</v>
      </c>
      <c r="X385" s="1">
        <f>VLOOKUP($B385&amp;"__wt",'SegEnds_Xtal_BW#'!$A:$Z,24,FALSE)</f>
        <v>56</v>
      </c>
      <c r="Y385" s="1">
        <f>VLOOKUP($B385&amp;"__wt",'SegEnds_Xtal_BW#'!$A:$Z,25,FALSE)</f>
        <v>47</v>
      </c>
      <c r="Z385" s="1">
        <v>60</v>
      </c>
      <c r="AA385" s="27" t="str">
        <f>VLOOKUP(A385,Classification!A:B,2,FALSE)</f>
        <v>T</v>
      </c>
      <c r="AB385" s="1">
        <f>VLOOKUP(A385,'SegEnds_NonXtal_Prot#'!A:AL,10,FALSE)-VLOOKUP(A385,'SegEnds_NonXtal_Prot#'!A:AL,7,FALSE)</f>
        <v>16</v>
      </c>
      <c r="AC385" s="1" t="e">
        <f>VLOOKUP(A385,'SegEnds_NonXtal_Prot#'!A:AL,13,FALSE)-VLOOKUP(A385,'SegEnds_NonXtal_Prot#'!A:AL,10,FALSE)</f>
        <v>#VALUE!</v>
      </c>
      <c r="AD385" s="1">
        <f>VLOOKUP(A385,'SegEnds_NonXtal_Prot#'!A:AL,16,FALSE)-VLOOKUP(A385,'SegEnds_NonXtal_Prot#'!A:AL,10,FALSE)</f>
        <v>52</v>
      </c>
      <c r="AE385" s="1">
        <f>VLOOKUP(A385,'SegEnds_NonXtal_Prot#'!A:AL,22,FALSE)-VLOOKUP(A385,'SegEnds_NonXtal_Prot#'!A:AL,19,FALSE)</f>
        <v>20</v>
      </c>
      <c r="AF385" s="1" t="e">
        <f>VLOOKUP(A385,'SegEnds_NonXtal_Prot#'!A:AL,28,FALSE)-VLOOKUP(A385,'SegEnds_NonXtal_Prot#'!A:AL,25,FALSE)</f>
        <v>#VALUE!</v>
      </c>
      <c r="AG385" s="1">
        <f>VLOOKUP(A385,'SegEnds_NonXtal_Prot#'!A:AL,28,FALSE)-VLOOKUP(A385,'SegEnds_NonXtal_Prot#'!A:AL,22,FALSE)</f>
        <v>54</v>
      </c>
      <c r="AH385" s="1">
        <f>VLOOKUP(A385,'SegEnds_NonXtal_Prot#'!A:AL,31,FALSE)-VLOOKUP(A385,'SegEnds_NonXtal_Prot#'!A:AL,28,FALSE)</f>
        <v>52</v>
      </c>
      <c r="AI385" s="1">
        <f>VLOOKUP(A385,'SegEnds_NonXtal_Prot#'!A:AL,34,FALSE)-VLOOKUP(A385,'SegEnds_NonXtal_Prot#'!A:AL,31,FALSE)</f>
        <v>35</v>
      </c>
      <c r="AJ385" s="1" t="str">
        <f>IF(ISERROR(MATCH(A385,'SegEnds_Xtal_Prot#'!B:B, 0)), "NoXtal", "Xtal")</f>
        <v>NoXtal</v>
      </c>
    </row>
    <row r="386" spans="1:36" x14ac:dyDescent="0.2">
      <c r="A386" s="1" t="s">
        <v>459</v>
      </c>
      <c r="B386" s="1" t="str">
        <f>VLOOKUP(A386,Xtal_Templ!A:B,2,FALSE)</f>
        <v>cxcr4_human</v>
      </c>
      <c r="C386" s="5">
        <v>32</v>
      </c>
      <c r="D386" s="1">
        <v>62</v>
      </c>
      <c r="E386" s="1">
        <f>VLOOKUP($B386&amp;"__wt",'SegEnds_Xtal_BW#'!$A:$Z,5,FALSE)</f>
        <v>48</v>
      </c>
      <c r="F386" s="1">
        <f>VLOOKUP($B386&amp;"__wt",'SegEnds_Xtal_BW#'!$A:$Z,6,FALSE)</f>
        <v>51</v>
      </c>
      <c r="G386" s="1">
        <v>39</v>
      </c>
      <c r="H386" s="12">
        <v>66</v>
      </c>
      <c r="I386" s="1" t="s">
        <v>23</v>
      </c>
      <c r="J386" s="1" t="s">
        <v>23</v>
      </c>
      <c r="K386" s="12">
        <v>24</v>
      </c>
      <c r="L386" s="1">
        <f>VLOOKUP($B386&amp;"__wt",'SegEnds_Xtal_BW#'!$A:$Z,12,FALSE)</f>
        <v>56</v>
      </c>
      <c r="M386" s="1">
        <f>VLOOKUP($B386&amp;"__wt",'SegEnds_Xtal_BW#'!$A:$Z,13,FALSE)</f>
        <v>50</v>
      </c>
      <c r="N386" s="12">
        <v>57</v>
      </c>
      <c r="O386" s="89">
        <v>38</v>
      </c>
      <c r="P386" s="1">
        <f>VLOOKUP($B386&amp;"__wt",'SegEnds_Xtal_BW#'!$A:$Z,16,FALSE)</f>
        <v>64</v>
      </c>
      <c r="Q386" s="1">
        <f>VLOOKUP($B386&amp;"__wt",'SegEnds_Xtal_BW#'!$A:$Z,17,FALSE)</f>
        <v>50</v>
      </c>
      <c r="R386" s="1">
        <f>VLOOKUP($B386&amp;"__wt",'SegEnds_Xtal_BW#'!$A:$Z,18,FALSE)</f>
        <v>52</v>
      </c>
      <c r="S386" s="1">
        <v>32</v>
      </c>
      <c r="T386" s="1">
        <v>72</v>
      </c>
      <c r="U386" s="1">
        <v>29</v>
      </c>
      <c r="V386" s="1">
        <v>61</v>
      </c>
      <c r="W386" s="1">
        <v>31</v>
      </c>
      <c r="X386" s="1">
        <f>VLOOKUP($B386&amp;"__wt",'SegEnds_Xtal_BW#'!$A:$Z,24,FALSE)</f>
        <v>56</v>
      </c>
      <c r="Y386" s="1">
        <f>VLOOKUP($B386&amp;"__wt",'SegEnds_Xtal_BW#'!$A:$Z,25,FALSE)</f>
        <v>47</v>
      </c>
      <c r="Z386" s="1">
        <v>60</v>
      </c>
      <c r="AA386" s="27" t="str">
        <f>VLOOKUP(A386,Classification!A:B,2,FALSE)</f>
        <v>T</v>
      </c>
      <c r="AB386" s="1">
        <f>VLOOKUP(A386,'SegEnds_NonXtal_Prot#'!A:AL,10,FALSE)-VLOOKUP(A386,'SegEnds_NonXtal_Prot#'!A:AL,7,FALSE)</f>
        <v>16</v>
      </c>
      <c r="AC386" s="1" t="e">
        <f>VLOOKUP(A386,'SegEnds_NonXtal_Prot#'!A:AL,13,FALSE)-VLOOKUP(A386,'SegEnds_NonXtal_Prot#'!A:AL,10,FALSE)</f>
        <v>#VALUE!</v>
      </c>
      <c r="AD386" s="1">
        <f>VLOOKUP(A386,'SegEnds_NonXtal_Prot#'!A:AL,16,FALSE)-VLOOKUP(A386,'SegEnds_NonXtal_Prot#'!A:AL,10,FALSE)</f>
        <v>47</v>
      </c>
      <c r="AE386" s="1">
        <f>VLOOKUP(A386,'SegEnds_NonXtal_Prot#'!A:AL,22,FALSE)-VLOOKUP(A386,'SegEnds_NonXtal_Prot#'!A:AL,19,FALSE)</f>
        <v>20</v>
      </c>
      <c r="AF386" s="1" t="e">
        <f>VLOOKUP(A386,'SegEnds_NonXtal_Prot#'!A:AL,28,FALSE)-VLOOKUP(A386,'SegEnds_NonXtal_Prot#'!A:AL,25,FALSE)</f>
        <v>#VALUE!</v>
      </c>
      <c r="AG386" s="1">
        <f>VLOOKUP(A386,'SegEnds_NonXtal_Prot#'!A:AL,28,FALSE)-VLOOKUP(A386,'SegEnds_NonXtal_Prot#'!A:AL,22,FALSE)</f>
        <v>56</v>
      </c>
      <c r="AH386" s="1">
        <f>VLOOKUP(A386,'SegEnds_NonXtal_Prot#'!A:AL,31,FALSE)-VLOOKUP(A386,'SegEnds_NonXtal_Prot#'!A:AL,28,FALSE)</f>
        <v>50</v>
      </c>
      <c r="AI386" s="1">
        <f>VLOOKUP(A386,'SegEnds_NonXtal_Prot#'!A:AL,34,FALSE)-VLOOKUP(A386,'SegEnds_NonXtal_Prot#'!A:AL,31,FALSE)</f>
        <v>35</v>
      </c>
      <c r="AJ386" s="1" t="str">
        <f>IF(ISERROR(MATCH(A386,'SegEnds_Xtal_Prot#'!B:B, 0)), "NoXtal", "Xtal")</f>
        <v>NoXtal</v>
      </c>
    </row>
    <row r="387" spans="1:36" x14ac:dyDescent="0.2">
      <c r="A387" s="1" t="s">
        <v>460</v>
      </c>
      <c r="B387" s="1" t="str">
        <f>VLOOKUP(A387,Xtal_Templ!A:B,2,FALSE)</f>
        <v>acm2_human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90">
        <v>38</v>
      </c>
      <c r="P387" s="1">
        <f>VLOOKUP($B387&amp;"__wt",'SegEnds_Xtal_BW#'!$A:$Z,16,FALSE)</f>
        <v>69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31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VLOOKUP(A387,'SegEnds_NonXtal_Prot#'!A:AL,10,FALSE)-VLOOKUP(A387,'SegEnds_NonXtal_Prot#'!A:AL,7,FALSE)</f>
        <v>16</v>
      </c>
      <c r="AC387" s="1" t="e">
        <f>VLOOKUP(A387,'SegEnds_NonXtal_Prot#'!A:AL,13,FALSE)-VLOOKUP(A387,'SegEnds_NonXtal_Prot#'!A:AL,10,FALSE)</f>
        <v>#VALUE!</v>
      </c>
      <c r="AD387" s="1">
        <f>VLOOKUP(A387,'SegEnds_NonXtal_Prot#'!A:AL,16,FALSE)-VLOOKUP(A387,'SegEnds_NonXtal_Prot#'!A:AL,10,FALSE)</f>
        <v>51</v>
      </c>
      <c r="AE387" s="1">
        <f>VLOOKUP(A387,'SegEnds_NonXtal_Prot#'!A:AL,22,FALSE)-VLOOKUP(A387,'SegEnds_NonXtal_Prot#'!A:AL,19,FALSE)</f>
        <v>20</v>
      </c>
      <c r="AF387" s="1" t="e">
        <f>VLOOKUP(A387,'SegEnds_NonXtal_Prot#'!A:AL,28,FALSE)-VLOOKUP(A387,'SegEnds_NonXtal_Prot#'!A:AL,25,FALSE)</f>
        <v>#VALUE!</v>
      </c>
      <c r="AG387" s="1">
        <f>VLOOKUP(A387,'SegEnds_NonXtal_Prot#'!A:AL,28,FALSE)-VLOOKUP(A387,'SegEnds_NonXtal_Prot#'!A:AL,22,FALSE)</f>
        <v>52</v>
      </c>
      <c r="AH387" s="1">
        <f>VLOOKUP(A387,'SegEnds_NonXtal_Prot#'!A:AL,31,FALSE)-VLOOKUP(A387,'SegEnds_NonXtal_Prot#'!A:AL,28,FALSE)</f>
        <v>53</v>
      </c>
      <c r="AI387" s="1">
        <f>VLOOKUP(A387,'SegEnds_NonXtal_Prot#'!A:AL,34,FALSE)-VLOOKUP(A387,'SegEnds_NonXtal_Prot#'!A:AL,31,FALSE)</f>
        <v>36</v>
      </c>
      <c r="AJ387" s="1" t="str">
        <f>IF(ISERROR(MATCH(A387,'SegEnds_Xtal_Prot#'!B:B, 0)), "NoXtal", "Xtal")</f>
        <v>NoXtal</v>
      </c>
    </row>
    <row r="388" spans="1:36" x14ac:dyDescent="0.2">
      <c r="A388" s="1" t="s">
        <v>461</v>
      </c>
      <c r="B388" s="1" t="str">
        <f>VLOOKUP(A388,Xtal_Templ!A:B,2,FALSE)</f>
        <v>5ht2b_human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66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9">
        <v>38</v>
      </c>
      <c r="P388" s="1">
        <f>VLOOKUP($B388&amp;"__wt",'SegEnds_Xtal_BW#'!$A:$Z,16,FALSE)</f>
        <v>64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VLOOKUP(A388,'SegEnds_NonXtal_Prot#'!A:AL,10,FALSE)-VLOOKUP(A388,'SegEnds_NonXtal_Prot#'!A:AL,7,FALSE)</f>
        <v>16</v>
      </c>
      <c r="AC388" s="1" t="e">
        <f>VLOOKUP(A388,'SegEnds_NonXtal_Prot#'!A:AL,13,FALSE)-VLOOKUP(A388,'SegEnds_NonXtal_Prot#'!A:AL,10,FALSE)</f>
        <v>#VALUE!</v>
      </c>
      <c r="AD388" s="1">
        <f>VLOOKUP(A388,'SegEnds_NonXtal_Prot#'!A:AL,16,FALSE)-VLOOKUP(A388,'SegEnds_NonXtal_Prot#'!A:AL,10,FALSE)</f>
        <v>51</v>
      </c>
      <c r="AE388" s="1">
        <f>VLOOKUP(A388,'SegEnds_NonXtal_Prot#'!A:AL,22,FALSE)-VLOOKUP(A388,'SegEnds_NonXtal_Prot#'!A:AL,19,FALSE)</f>
        <v>20</v>
      </c>
      <c r="AF388" s="1" t="e">
        <f>VLOOKUP(A388,'SegEnds_NonXtal_Prot#'!A:AL,28,FALSE)-VLOOKUP(A388,'SegEnds_NonXtal_Prot#'!A:AL,25,FALSE)</f>
        <v>#VALUE!</v>
      </c>
      <c r="AG388" s="1">
        <f>VLOOKUP(A388,'SegEnds_NonXtal_Prot#'!A:AL,28,FALSE)-VLOOKUP(A388,'SegEnds_NonXtal_Prot#'!A:AL,22,FALSE)</f>
        <v>52</v>
      </c>
      <c r="AH388" s="1">
        <f>VLOOKUP(A388,'SegEnds_NonXtal_Prot#'!A:AL,31,FALSE)-VLOOKUP(A388,'SegEnds_NonXtal_Prot#'!A:AL,28,FALSE)</f>
        <v>53</v>
      </c>
      <c r="AI388" s="1">
        <f>VLOOKUP(A388,'SegEnds_NonXtal_Prot#'!A:AL,34,FALSE)-VLOOKUP(A388,'SegEnds_NonXtal_Prot#'!A:AL,31,FALSE)</f>
        <v>36</v>
      </c>
      <c r="AJ388" s="1" t="str">
        <f>IF(ISERROR(MATCH(A388,'SegEnds_Xtal_Prot#'!B:B, 0)), "NoXtal", "Xtal")</f>
        <v>NoXtal</v>
      </c>
    </row>
    <row r="389" spans="1:36" x14ac:dyDescent="0.2">
      <c r="A389" s="1" t="s">
        <v>462</v>
      </c>
      <c r="B389" s="1" t="str">
        <f>VLOOKUP(A389,Xtal_Templ!A:B,2,FALSE)</f>
        <v>5ht2b_human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66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90">
        <v>38</v>
      </c>
      <c r="P389" s="1">
        <f>VLOOKUP($B389&amp;"__wt",'SegEnds_Xtal_BW#'!$A:$Z,16,FALSE)</f>
        <v>64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VLOOKUP(A389,'SegEnds_NonXtal_Prot#'!A:AL,10,FALSE)-VLOOKUP(A389,'SegEnds_NonXtal_Prot#'!A:AL,7,FALSE)</f>
        <v>16</v>
      </c>
      <c r="AC389" s="1" t="e">
        <f>VLOOKUP(A389,'SegEnds_NonXtal_Prot#'!A:AL,13,FALSE)-VLOOKUP(A389,'SegEnds_NonXtal_Prot#'!A:AL,10,FALSE)</f>
        <v>#VALUE!</v>
      </c>
      <c r="AD389" s="1">
        <f>VLOOKUP(A389,'SegEnds_NonXtal_Prot#'!A:AL,16,FALSE)-VLOOKUP(A389,'SegEnds_NonXtal_Prot#'!A:AL,10,FALSE)</f>
        <v>51</v>
      </c>
      <c r="AE389" s="1">
        <f>VLOOKUP(A389,'SegEnds_NonXtal_Prot#'!A:AL,22,FALSE)-VLOOKUP(A389,'SegEnds_NonXtal_Prot#'!A:AL,19,FALSE)</f>
        <v>20</v>
      </c>
      <c r="AF389" s="1" t="e">
        <f>VLOOKUP(A389,'SegEnds_NonXtal_Prot#'!A:AL,28,FALSE)-VLOOKUP(A389,'SegEnds_NonXtal_Prot#'!A:AL,25,FALSE)</f>
        <v>#VALUE!</v>
      </c>
      <c r="AG389" s="1">
        <f>VLOOKUP(A389,'SegEnds_NonXtal_Prot#'!A:AL,28,FALSE)-VLOOKUP(A389,'SegEnds_NonXtal_Prot#'!A:AL,22,FALSE)</f>
        <v>52</v>
      </c>
      <c r="AH389" s="1">
        <f>VLOOKUP(A389,'SegEnds_NonXtal_Prot#'!A:AL,31,FALSE)-VLOOKUP(A389,'SegEnds_NonXtal_Prot#'!A:AL,28,FALSE)</f>
        <v>53</v>
      </c>
      <c r="AI389" s="1">
        <f>VLOOKUP(A389,'SegEnds_NonXtal_Prot#'!A:AL,34,FALSE)-VLOOKUP(A389,'SegEnds_NonXtal_Prot#'!A:AL,31,FALSE)</f>
        <v>36</v>
      </c>
      <c r="AJ389" s="1" t="str">
        <f>IF(ISERROR(MATCH(A389,'SegEnds_Xtal_Prot#'!B:B, 0)), "NoXtal", "Xtal")</f>
        <v>NoXtal</v>
      </c>
    </row>
    <row r="390" spans="1:36" x14ac:dyDescent="0.2">
      <c r="A390" s="1" t="s">
        <v>463</v>
      </c>
      <c r="B390" s="1" t="str">
        <f>VLOOKUP(A390,Xtal_Templ!A:B,2,FALSE)</f>
        <v>agtr1_human</v>
      </c>
      <c r="C390" s="5">
        <v>32</v>
      </c>
      <c r="D390" s="1">
        <v>62</v>
      </c>
      <c r="E390" s="1">
        <f>VLOOKUP($B390&amp;"__wt",'SegEnds_Xtal_BW#'!$A:$Z,5,FALSE)</f>
        <v>48</v>
      </c>
      <c r="F390" s="1">
        <f>VLOOKUP($B390&amp;"__wt",'SegEnds_Xtal_BW#'!$A:$Z,6,FALSE)</f>
        <v>51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21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9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VLOOKUP(A390,'SegEnds_NonXtal_Prot#'!A:AL,10,FALSE)-VLOOKUP(A390,'SegEnds_NonXtal_Prot#'!A:AL,7,FALSE)</f>
        <v>16</v>
      </c>
      <c r="AC390" s="1" t="e">
        <f>VLOOKUP(A390,'SegEnds_NonXtal_Prot#'!A:AL,13,FALSE)-VLOOKUP(A390,'SegEnds_NonXtal_Prot#'!A:AL,10,FALSE)</f>
        <v>#VALUE!</v>
      </c>
      <c r="AD390" s="1">
        <f>VLOOKUP(A390,'SegEnds_NonXtal_Prot#'!A:AL,16,FALSE)-VLOOKUP(A390,'SegEnds_NonXtal_Prot#'!A:AL,10,FALSE)</f>
        <v>51</v>
      </c>
      <c r="AE390" s="1">
        <f>VLOOKUP(A390,'SegEnds_NonXtal_Prot#'!A:AL,22,FALSE)-VLOOKUP(A390,'SegEnds_NonXtal_Prot#'!A:AL,19,FALSE)</f>
        <v>20</v>
      </c>
      <c r="AF390" s="1" t="e">
        <f>VLOOKUP(A390,'SegEnds_NonXtal_Prot#'!A:AL,28,FALSE)-VLOOKUP(A390,'SegEnds_NonXtal_Prot#'!A:AL,25,FALSE)</f>
        <v>#VALUE!</v>
      </c>
      <c r="AG390" s="1">
        <f>VLOOKUP(A390,'SegEnds_NonXtal_Prot#'!A:AL,28,FALSE)-VLOOKUP(A390,'SegEnds_NonXtal_Prot#'!A:AL,22,FALSE)</f>
        <v>52</v>
      </c>
      <c r="AH390" s="1">
        <f>VLOOKUP(A390,'SegEnds_NonXtal_Prot#'!A:AL,31,FALSE)-VLOOKUP(A390,'SegEnds_NonXtal_Prot#'!A:AL,28,FALSE)</f>
        <v>53</v>
      </c>
      <c r="AI390" s="1">
        <f>VLOOKUP(A390,'SegEnds_NonXtal_Prot#'!A:AL,34,FALSE)-VLOOKUP(A390,'SegEnds_NonXtal_Prot#'!A:AL,31,FALSE)</f>
        <v>36</v>
      </c>
      <c r="AJ390" s="1" t="str">
        <f>IF(ISERROR(MATCH(A390,'SegEnds_Xtal_Prot#'!B:B, 0)), "NoXtal", "Xtal")</f>
        <v>NoXtal</v>
      </c>
    </row>
    <row r="391" spans="1:36" x14ac:dyDescent="0.2">
      <c r="A391" s="1" t="s">
        <v>464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67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9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VLOOKUP(A391,'SegEnds_NonXtal_Prot#'!A:AL,10,FALSE)-VLOOKUP(A391,'SegEnds_NonXtal_Prot#'!A:AL,7,FALSE)</f>
        <v>16</v>
      </c>
      <c r="AC391" s="1" t="e">
        <f>VLOOKUP(A391,'SegEnds_NonXtal_Prot#'!A:AL,13,FALSE)-VLOOKUP(A391,'SegEnds_NonXtal_Prot#'!A:AL,10,FALSE)</f>
        <v>#VALUE!</v>
      </c>
      <c r="AD391" s="1">
        <f>VLOOKUP(A391,'SegEnds_NonXtal_Prot#'!A:AL,16,FALSE)-VLOOKUP(A391,'SegEnds_NonXtal_Prot#'!A:AL,10,FALSE)</f>
        <v>53</v>
      </c>
      <c r="AE391" s="1">
        <f>VLOOKUP(A391,'SegEnds_NonXtal_Prot#'!A:AL,22,FALSE)-VLOOKUP(A391,'SegEnds_NonXtal_Prot#'!A:AL,19,FALSE)</f>
        <v>20</v>
      </c>
      <c r="AF391" s="1" t="e">
        <f>VLOOKUP(A391,'SegEnds_NonXtal_Prot#'!A:AL,28,FALSE)-VLOOKUP(A391,'SegEnds_NonXtal_Prot#'!A:AL,25,FALSE)</f>
        <v>#VALUE!</v>
      </c>
      <c r="AG391" s="1">
        <f>VLOOKUP(A391,'SegEnds_NonXtal_Prot#'!A:AL,28,FALSE)-VLOOKUP(A391,'SegEnds_NonXtal_Prot#'!A:AL,22,FALSE)</f>
        <v>59</v>
      </c>
      <c r="AH391" s="1">
        <f>VLOOKUP(A391,'SegEnds_NonXtal_Prot#'!A:AL,31,FALSE)-VLOOKUP(A391,'SegEnds_NonXtal_Prot#'!A:AL,28,FALSE)</f>
        <v>53</v>
      </c>
      <c r="AI391" s="1">
        <f>VLOOKUP(A391,'SegEnds_NonXtal_Prot#'!A:AL,34,FALSE)-VLOOKUP(A391,'SegEnds_NonXtal_Prot#'!A:AL,31,FALSE)</f>
        <v>36</v>
      </c>
      <c r="AJ391" s="1" t="str">
        <f>IF(ISERROR(MATCH(A391,'SegEnds_Xtal_Prot#'!B:B, 0)), "NoXtal", "Xtal")</f>
        <v>NoXtal</v>
      </c>
    </row>
    <row r="392" spans="1:36" x14ac:dyDescent="0.2">
      <c r="A392" s="1" t="s">
        <v>465</v>
      </c>
      <c r="B392" s="1" t="str">
        <f>VLOOKUP(A392,Xtal_Templ!A:B,2,FALSE)</f>
        <v>agtr1_human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90">
        <v>38</v>
      </c>
      <c r="P392" s="1">
        <f>VLOOKUP($B392&amp;"__wt",'SegEnds_Xtal_BW#'!$A:$Z,16,FALSE)</f>
        <v>64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VLOOKUP(A392,'SegEnds_NonXtal_Prot#'!A:AL,10,FALSE)-VLOOKUP(A392,'SegEnds_NonXtal_Prot#'!A:AL,7,FALSE)</f>
        <v>16</v>
      </c>
      <c r="AC392" s="1" t="e">
        <f>VLOOKUP(A392,'SegEnds_NonXtal_Prot#'!A:AL,13,FALSE)-VLOOKUP(A392,'SegEnds_NonXtal_Prot#'!A:AL,10,FALSE)</f>
        <v>#VALUE!</v>
      </c>
      <c r="AD392" s="1">
        <f>VLOOKUP(A392,'SegEnds_NonXtal_Prot#'!A:AL,16,FALSE)-VLOOKUP(A392,'SegEnds_NonXtal_Prot#'!A:AL,10,FALSE)</f>
        <v>52</v>
      </c>
      <c r="AE392" s="1">
        <f>VLOOKUP(A392,'SegEnds_NonXtal_Prot#'!A:AL,22,FALSE)-VLOOKUP(A392,'SegEnds_NonXtal_Prot#'!A:AL,19,FALSE)</f>
        <v>20</v>
      </c>
      <c r="AF392" s="1" t="e">
        <f>VLOOKUP(A392,'SegEnds_NonXtal_Prot#'!A:AL,28,FALSE)-VLOOKUP(A392,'SegEnds_NonXtal_Prot#'!A:AL,25,FALSE)</f>
        <v>#VALUE!</v>
      </c>
      <c r="AG392" s="1">
        <f>VLOOKUP(A392,'SegEnds_NonXtal_Prot#'!A:AL,28,FALSE)-VLOOKUP(A392,'SegEnds_NonXtal_Prot#'!A:AL,22,FALSE)</f>
        <v>56</v>
      </c>
      <c r="AH392" s="1">
        <f>VLOOKUP(A392,'SegEnds_NonXtal_Prot#'!A:AL,31,FALSE)-VLOOKUP(A392,'SegEnds_NonXtal_Prot#'!A:AL,28,FALSE)</f>
        <v>53</v>
      </c>
      <c r="AI392" s="1">
        <f>VLOOKUP(A392,'SegEnds_NonXtal_Prot#'!A:AL,34,FALSE)-VLOOKUP(A392,'SegEnds_NonXtal_Prot#'!A:AL,31,FALSE)</f>
        <v>35</v>
      </c>
      <c r="AJ392" s="1" t="str">
        <f>IF(ISERROR(MATCH(A392,'SegEnds_Xtal_Prot#'!B:B, 0)), "NoXtal", "Xtal")</f>
        <v>NoXtal</v>
      </c>
    </row>
    <row r="393" spans="1:36" x14ac:dyDescent="0.2">
      <c r="A393" s="1" t="s">
        <v>466</v>
      </c>
      <c r="B393" s="1" t="str">
        <f>VLOOKUP(A393,Xtal_Templ!A:B,2,FALSE)</f>
        <v>cxcr4_human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66</v>
      </c>
      <c r="I393" s="1" t="s">
        <v>23</v>
      </c>
      <c r="J393" s="1" t="s">
        <v>23</v>
      </c>
      <c r="K393" s="12">
        <v>18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9">
        <v>38</v>
      </c>
      <c r="P393" s="1">
        <f>VLOOKUP($B393&amp;"__wt",'SegEnds_Xtal_BW#'!$A:$Z,16,FALSE)</f>
        <v>64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VLOOKUP(A393,'SegEnds_NonXtal_Prot#'!A:AL,10,FALSE)-VLOOKUP(A393,'SegEnds_NonXtal_Prot#'!A:AL,7,FALSE)</f>
        <v>16</v>
      </c>
      <c r="AC393" s="1" t="e">
        <f>VLOOKUP(A393,'SegEnds_NonXtal_Prot#'!A:AL,13,FALSE)-VLOOKUP(A393,'SegEnds_NonXtal_Prot#'!A:AL,10,FALSE)</f>
        <v>#VALUE!</v>
      </c>
      <c r="AD393" s="1">
        <f>VLOOKUP(A393,'SegEnds_NonXtal_Prot#'!A:AL,16,FALSE)-VLOOKUP(A393,'SegEnds_NonXtal_Prot#'!A:AL,10,FALSE)</f>
        <v>52</v>
      </c>
      <c r="AE393" s="1">
        <f>VLOOKUP(A393,'SegEnds_NonXtal_Prot#'!A:AL,22,FALSE)-VLOOKUP(A393,'SegEnds_NonXtal_Prot#'!A:AL,19,FALSE)</f>
        <v>20</v>
      </c>
      <c r="AF393" s="1" t="e">
        <f>VLOOKUP(A393,'SegEnds_NonXtal_Prot#'!A:AL,28,FALSE)-VLOOKUP(A393,'SegEnds_NonXtal_Prot#'!A:AL,25,FALSE)</f>
        <v>#VALUE!</v>
      </c>
      <c r="AG393" s="1">
        <f>VLOOKUP(A393,'SegEnds_NonXtal_Prot#'!A:AL,28,FALSE)-VLOOKUP(A393,'SegEnds_NonXtal_Prot#'!A:AL,22,FALSE)</f>
        <v>57</v>
      </c>
      <c r="AH393" s="1">
        <f>VLOOKUP(A393,'SegEnds_NonXtal_Prot#'!A:AL,31,FALSE)-VLOOKUP(A393,'SegEnds_NonXtal_Prot#'!A:AL,28,FALSE)</f>
        <v>53</v>
      </c>
      <c r="AI393" s="1">
        <f>VLOOKUP(A393,'SegEnds_NonXtal_Prot#'!A:AL,34,FALSE)-VLOOKUP(A393,'SegEnds_NonXtal_Prot#'!A:AL,31,FALSE)</f>
        <v>35</v>
      </c>
      <c r="AJ393" s="1" t="str">
        <f>IF(ISERROR(MATCH(A393,'SegEnds_Xtal_Prot#'!B:B, 0)), "NoXtal", "Xtal")</f>
        <v>NoXtal</v>
      </c>
    </row>
    <row r="394" spans="1:36" x14ac:dyDescent="0.2">
      <c r="A394" s="1" t="s">
        <v>467</v>
      </c>
      <c r="B394" s="1" t="str">
        <f>VLOOKUP(A394,Xtal_Templ!A:B,2,FALSE)</f>
        <v>hrh1_human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67</v>
      </c>
      <c r="I394" s="1" t="s">
        <v>23</v>
      </c>
      <c r="J394" s="1" t="s">
        <v>23</v>
      </c>
      <c r="K394" s="12">
        <v>21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90">
        <v>38</v>
      </c>
      <c r="P394" s="1">
        <f>VLOOKUP($B394&amp;"__wt",'SegEnds_Xtal_BW#'!$A:$Z,16,FALSE)</f>
        <v>62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VLOOKUP(A394,'SegEnds_NonXtal_Prot#'!A:AL,10,FALSE)-VLOOKUP(A394,'SegEnds_NonXtal_Prot#'!A:AL,7,FALSE)</f>
        <v>16</v>
      </c>
      <c r="AC394" s="1" t="e">
        <f>VLOOKUP(A394,'SegEnds_NonXtal_Prot#'!A:AL,13,FALSE)-VLOOKUP(A394,'SegEnds_NonXtal_Prot#'!A:AL,10,FALSE)</f>
        <v>#VALUE!</v>
      </c>
      <c r="AD394" s="1">
        <f>VLOOKUP(A394,'SegEnds_NonXtal_Prot#'!A:AL,16,FALSE)-VLOOKUP(A394,'SegEnds_NonXtal_Prot#'!A:AL,10,FALSE)</f>
        <v>52</v>
      </c>
      <c r="AE394" s="1">
        <f>VLOOKUP(A394,'SegEnds_NonXtal_Prot#'!A:AL,22,FALSE)-VLOOKUP(A394,'SegEnds_NonXtal_Prot#'!A:AL,19,FALSE)</f>
        <v>20</v>
      </c>
      <c r="AF394" s="1" t="e">
        <f>VLOOKUP(A394,'SegEnds_NonXtal_Prot#'!A:AL,28,FALSE)-VLOOKUP(A394,'SegEnds_NonXtal_Prot#'!A:AL,25,FALSE)</f>
        <v>#VALUE!</v>
      </c>
      <c r="AG394" s="1">
        <f>VLOOKUP(A394,'SegEnds_NonXtal_Prot#'!A:AL,28,FALSE)-VLOOKUP(A394,'SegEnds_NonXtal_Prot#'!A:AL,22,FALSE)</f>
        <v>56</v>
      </c>
      <c r="AH394" s="1">
        <f>VLOOKUP(A394,'SegEnds_NonXtal_Prot#'!A:AL,31,FALSE)-VLOOKUP(A394,'SegEnds_NonXtal_Prot#'!A:AL,28,FALSE)</f>
        <v>53</v>
      </c>
      <c r="AI394" s="1">
        <f>VLOOKUP(A394,'SegEnds_NonXtal_Prot#'!A:AL,34,FALSE)-VLOOKUP(A394,'SegEnds_NonXtal_Prot#'!A:AL,31,FALSE)</f>
        <v>35</v>
      </c>
      <c r="AJ394" s="1" t="str">
        <f>IF(ISERROR(MATCH(A394,'SegEnds_Xtal_Prot#'!B:B, 0)), "NoXtal", "Xtal")</f>
        <v>NoXtal</v>
      </c>
    </row>
    <row r="395" spans="1:36" x14ac:dyDescent="0.2">
      <c r="A395" s="1" t="s">
        <v>468</v>
      </c>
      <c r="B395" s="1" t="str">
        <f>VLOOKUP(A395,Xtal_Templ!A:B,2,FALSE)</f>
        <v>hrh1_human</v>
      </c>
      <c r="C395" s="5">
        <v>32</v>
      </c>
      <c r="D395" s="1">
        <v>62</v>
      </c>
      <c r="E395" s="1">
        <f>VLOOKUP($B395&amp;"__wt",'SegEnds_Xtal_BW#'!$A:$Z,5,FALSE)</f>
        <v>48</v>
      </c>
      <c r="F395" s="1">
        <f>VLOOKUP($B395&amp;"__wt",'SegEnds_Xtal_BW#'!$A:$Z,6,FALSE)</f>
        <v>51</v>
      </c>
      <c r="G395" s="1">
        <v>39</v>
      </c>
      <c r="H395" s="12">
        <v>67</v>
      </c>
      <c r="I395" s="1" t="s">
        <v>23</v>
      </c>
      <c r="J395" s="1" t="s">
        <v>23</v>
      </c>
      <c r="K395" s="12">
        <v>21</v>
      </c>
      <c r="L395" s="1">
        <f>VLOOKUP($B395&amp;"__wt",'SegEnds_Xtal_BW#'!$A:$Z,12,FALSE)</f>
        <v>56</v>
      </c>
      <c r="M395" s="1">
        <f>VLOOKUP($B395&amp;"__wt",'SegEnds_Xtal_BW#'!$A:$Z,13,FALSE)</f>
        <v>50</v>
      </c>
      <c r="N395" s="12">
        <v>57</v>
      </c>
      <c r="O395" s="89">
        <v>38</v>
      </c>
      <c r="P395" s="1">
        <f>VLOOKUP($B395&amp;"__wt",'SegEnds_Xtal_BW#'!$A:$Z,16,FALSE)</f>
        <v>62</v>
      </c>
      <c r="Q395" s="1">
        <f>VLOOKUP($B395&amp;"__wt",'SegEnds_Xtal_BW#'!$A:$Z,17,FALSE)</f>
        <v>50</v>
      </c>
      <c r="R395" s="1">
        <f>VLOOKUP($B395&amp;"__wt",'SegEnds_Xtal_BW#'!$A:$Z,18,FALSE)</f>
        <v>52</v>
      </c>
      <c r="S395" s="1">
        <v>32</v>
      </c>
      <c r="T395" s="1">
        <v>72</v>
      </c>
      <c r="U395" s="1">
        <v>29</v>
      </c>
      <c r="V395" s="1">
        <v>61</v>
      </c>
      <c r="W395" s="1">
        <v>31</v>
      </c>
      <c r="X395" s="1">
        <f>VLOOKUP($B395&amp;"__wt",'SegEnds_Xtal_BW#'!$A:$Z,24,FALSE)</f>
        <v>56</v>
      </c>
      <c r="Y395" s="1">
        <f>VLOOKUP($B395&amp;"__wt",'SegEnds_Xtal_BW#'!$A:$Z,25,FALSE)</f>
        <v>47</v>
      </c>
      <c r="Z395" s="1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VLOOKUP(A395,'SegEnds_NonXtal_Prot#'!A:AL,10,FALSE)-VLOOKUP(A395,'SegEnds_NonXtal_Prot#'!A:AL,7,FALSE)</f>
        <v>16</v>
      </c>
      <c r="AC395" s="1" t="e">
        <f>VLOOKUP(A395,'SegEnds_NonXtal_Prot#'!A:AL,13,FALSE)-VLOOKUP(A395,'SegEnds_NonXtal_Prot#'!A:AL,10,FALSE)</f>
        <v>#VALUE!</v>
      </c>
      <c r="AD395" s="1">
        <f>VLOOKUP(A395,'SegEnds_NonXtal_Prot#'!A:AL,16,FALSE)-VLOOKUP(A395,'SegEnds_NonXtal_Prot#'!A:AL,10,FALSE)</f>
        <v>52</v>
      </c>
      <c r="AE395" s="1">
        <f>VLOOKUP(A395,'SegEnds_NonXtal_Prot#'!A:AL,22,FALSE)-VLOOKUP(A395,'SegEnds_NonXtal_Prot#'!A:AL,19,FALSE)</f>
        <v>20</v>
      </c>
      <c r="AF395" s="1" t="e">
        <f>VLOOKUP(A395,'SegEnds_NonXtal_Prot#'!A:AL,28,FALSE)-VLOOKUP(A395,'SegEnds_NonXtal_Prot#'!A:AL,25,FALSE)</f>
        <v>#VALUE!</v>
      </c>
      <c r="AG395" s="1">
        <f>VLOOKUP(A395,'SegEnds_NonXtal_Prot#'!A:AL,28,FALSE)-VLOOKUP(A395,'SegEnds_NonXtal_Prot#'!A:AL,22,FALSE)</f>
        <v>56</v>
      </c>
      <c r="AH395" s="1">
        <f>VLOOKUP(A395,'SegEnds_NonXtal_Prot#'!A:AL,31,FALSE)-VLOOKUP(A395,'SegEnds_NonXtal_Prot#'!A:AL,28,FALSE)</f>
        <v>53</v>
      </c>
      <c r="AI395" s="1">
        <f>VLOOKUP(A395,'SegEnds_NonXtal_Prot#'!A:AL,34,FALSE)-VLOOKUP(A395,'SegEnds_NonXtal_Prot#'!A:AL,31,FALSE)</f>
        <v>36</v>
      </c>
      <c r="AJ395" s="1" t="str">
        <f>IF(ISERROR(MATCH(A395,'SegEnds_Xtal_Prot#'!B:B, 0)), "NoXtal", "Xtal")</f>
        <v>NoXtal</v>
      </c>
    </row>
    <row r="396" spans="1:36" x14ac:dyDescent="0.2">
      <c r="A396" s="1" t="s">
        <v>469</v>
      </c>
      <c r="B396" s="1" t="str">
        <f>VLOOKUP(A396,Xtal_Templ!A:B,2,FALSE)</f>
        <v>agtr1_human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66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v>57</v>
      </c>
      <c r="O396" s="90">
        <v>38</v>
      </c>
      <c r="P396" s="1">
        <f>VLOOKUP($B396&amp;"__wt",'SegEnds_Xtal_BW#'!$A:$Z,16,FALSE)</f>
        <v>64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VLOOKUP(A396,'SegEnds_NonXtal_Prot#'!A:AL,10,FALSE)-VLOOKUP(A396,'SegEnds_NonXtal_Prot#'!A:AL,7,FALSE)</f>
        <v>16</v>
      </c>
      <c r="AC396" s="1" t="e">
        <f>VLOOKUP(A396,'SegEnds_NonXtal_Prot#'!A:AL,13,FALSE)-VLOOKUP(A396,'SegEnds_NonXtal_Prot#'!A:AL,10,FALSE)</f>
        <v>#VALUE!</v>
      </c>
      <c r="AD396" s="1">
        <f>VLOOKUP(A396,'SegEnds_NonXtal_Prot#'!A:AL,16,FALSE)-VLOOKUP(A396,'SegEnds_NonXtal_Prot#'!A:AL,10,FALSE)</f>
        <v>51</v>
      </c>
      <c r="AE396" s="1">
        <f>VLOOKUP(A396,'SegEnds_NonXtal_Prot#'!A:AL,22,FALSE)-VLOOKUP(A396,'SegEnds_NonXtal_Prot#'!A:AL,19,FALSE)</f>
        <v>20</v>
      </c>
      <c r="AF396" s="1" t="e">
        <f>VLOOKUP(A396,'SegEnds_NonXtal_Prot#'!A:AL,28,FALSE)-VLOOKUP(A396,'SegEnds_NonXtal_Prot#'!A:AL,25,FALSE)</f>
        <v>#VALUE!</v>
      </c>
      <c r="AG396" s="1">
        <f>VLOOKUP(A396,'SegEnds_NonXtal_Prot#'!A:AL,28,FALSE)-VLOOKUP(A396,'SegEnds_NonXtal_Prot#'!A:AL,22,FALSE)</f>
        <v>52</v>
      </c>
      <c r="AH396" s="1">
        <f>VLOOKUP(A396,'SegEnds_NonXtal_Prot#'!A:AL,31,FALSE)-VLOOKUP(A396,'SegEnds_NonXtal_Prot#'!A:AL,28,FALSE)</f>
        <v>53</v>
      </c>
      <c r="AI396" s="1">
        <f>VLOOKUP(A396,'SegEnds_NonXtal_Prot#'!A:AL,34,FALSE)-VLOOKUP(A396,'SegEnds_NonXtal_Prot#'!A:AL,31,FALSE)</f>
        <v>36</v>
      </c>
      <c r="AJ396" s="1" t="str">
        <f>IF(ISERROR(MATCH(A396,'SegEnds_Xtal_Prot#'!B:B, 0)), "NoXtal", "Xtal")</f>
        <v>NoXtal</v>
      </c>
    </row>
    <row r="397" spans="1:36" x14ac:dyDescent="0.2">
      <c r="A397" s="1" t="s">
        <v>930</v>
      </c>
      <c r="B397" s="1" t="str">
        <f>VLOOKUP(A397,Xtal_Templ!A:B,2,FALSE)</f>
        <v>agtr1_human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90">
        <v>38</v>
      </c>
      <c r="P397" s="1">
        <f>VLOOKUP($B397&amp;"__wt",'SegEnds_Xtal_BW#'!$A:$Z,16,FALSE)</f>
        <v>64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33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VLOOKUP(A397,'SegEnds_NonXtal_Prot#'!A:AL,10,FALSE)-VLOOKUP(A397,'SegEnds_NonXtal_Prot#'!A:AL,7,FALSE)</f>
        <v>16</v>
      </c>
      <c r="AC397" s="1" t="e">
        <f>VLOOKUP(A397,'SegEnds_NonXtal_Prot#'!A:AL,13,FALSE)-VLOOKUP(A397,'SegEnds_NonXtal_Prot#'!A:AL,10,FALSE)</f>
        <v>#VALUE!</v>
      </c>
      <c r="AD397" s="1">
        <f>VLOOKUP(A397,'SegEnds_NonXtal_Prot#'!A:AL,16,FALSE)-VLOOKUP(A397,'SegEnds_NonXtal_Prot#'!A:AL,10,FALSE)</f>
        <v>51</v>
      </c>
      <c r="AE397" s="1">
        <f>VLOOKUP(A397,'SegEnds_NonXtal_Prot#'!A:AL,22,FALSE)-VLOOKUP(A397,'SegEnds_NonXtal_Prot#'!A:AL,19,FALSE)</f>
        <v>20</v>
      </c>
      <c r="AF397" s="1" t="e">
        <f>VLOOKUP(A397,'SegEnds_NonXtal_Prot#'!A:AL,28,FALSE)-VLOOKUP(A397,'SegEnds_NonXtal_Prot#'!A:AL,25,FALSE)</f>
        <v>#VALUE!</v>
      </c>
      <c r="AG397" s="1">
        <f>VLOOKUP(A397,'SegEnds_NonXtal_Prot#'!A:AL,28,FALSE)-VLOOKUP(A397,'SegEnds_NonXtal_Prot#'!A:AL,22,FALSE)</f>
        <v>52</v>
      </c>
      <c r="AH397" s="1">
        <f>VLOOKUP(A397,'SegEnds_NonXtal_Prot#'!A:AL,31,FALSE)-VLOOKUP(A397,'SegEnds_NonXtal_Prot#'!A:AL,28,FALSE)</f>
        <v>56</v>
      </c>
      <c r="AI397" s="1">
        <f>VLOOKUP(A397,'SegEnds_NonXtal_Prot#'!A:AL,34,FALSE)-VLOOKUP(A397,'SegEnds_NonXtal_Prot#'!A:AL,31,FALSE)</f>
        <v>33</v>
      </c>
      <c r="AJ397" s="1" t="str">
        <f>IF(ISERROR(MATCH(A397,'SegEnds_Xtal_Prot#'!B:B, 0)), "NoXtal", "Xtal")</f>
        <v>NoXtal</v>
      </c>
    </row>
    <row r="398" spans="1:36" x14ac:dyDescent="0.2">
      <c r="A398" s="1" t="s">
        <v>470</v>
      </c>
      <c r="B398" s="1" t="str">
        <f>VLOOKUP(A398,Xtal_Templ!A:B,2,FALSE)</f>
        <v>agtr1_human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9">
        <v>38</v>
      </c>
      <c r="P398" s="1">
        <f>VLOOKUP($B398&amp;"__wt",'SegEnds_Xtal_BW#'!$A:$Z,16,FALSE)</f>
        <v>64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VLOOKUP(A398,'SegEnds_NonXtal_Prot#'!A:AL,10,FALSE)-VLOOKUP(A398,'SegEnds_NonXtal_Prot#'!A:AL,7,FALSE)</f>
        <v>16</v>
      </c>
      <c r="AC398" s="1" t="e">
        <f>VLOOKUP(A398,'SegEnds_NonXtal_Prot#'!A:AL,13,FALSE)-VLOOKUP(A398,'SegEnds_NonXtal_Prot#'!A:AL,10,FALSE)</f>
        <v>#VALUE!</v>
      </c>
      <c r="AD398" s="1">
        <f>VLOOKUP(A398,'SegEnds_NonXtal_Prot#'!A:AL,16,FALSE)-VLOOKUP(A398,'SegEnds_NonXtal_Prot#'!A:AL,10,FALSE)</f>
        <v>51</v>
      </c>
      <c r="AE398" s="1">
        <f>VLOOKUP(A398,'SegEnds_NonXtal_Prot#'!A:AL,22,FALSE)-VLOOKUP(A398,'SegEnds_NonXtal_Prot#'!A:AL,19,FALSE)</f>
        <v>20</v>
      </c>
      <c r="AF398" s="1" t="e">
        <f>VLOOKUP(A398,'SegEnds_NonXtal_Prot#'!A:AL,28,FALSE)-VLOOKUP(A398,'SegEnds_NonXtal_Prot#'!A:AL,25,FALSE)</f>
        <v>#VALUE!</v>
      </c>
      <c r="AG398" s="1">
        <f>VLOOKUP(A398,'SegEnds_NonXtal_Prot#'!A:AL,28,FALSE)-VLOOKUP(A398,'SegEnds_NonXtal_Prot#'!A:AL,22,FALSE)</f>
        <v>52</v>
      </c>
      <c r="AH398" s="1">
        <f>VLOOKUP(A398,'SegEnds_NonXtal_Prot#'!A:AL,31,FALSE)-VLOOKUP(A398,'SegEnds_NonXtal_Prot#'!A:AL,28,FALSE)</f>
        <v>53</v>
      </c>
      <c r="AI398" s="1">
        <f>VLOOKUP(A398,'SegEnds_NonXtal_Prot#'!A:AL,34,FALSE)-VLOOKUP(A398,'SegEnds_NonXtal_Prot#'!A:AL,31,FALSE)</f>
        <v>36</v>
      </c>
      <c r="AJ398" s="1" t="str">
        <f>IF(ISERROR(MATCH(A398,'SegEnds_Xtal_Prot#'!B:B, 0)), "NoXtal", "Xtal")</f>
        <v>NoXtal</v>
      </c>
    </row>
    <row r="399" spans="1:36" x14ac:dyDescent="0.2">
      <c r="A399" s="1" t="s">
        <v>471</v>
      </c>
      <c r="B399" s="1" t="str">
        <f>VLOOKUP(A399,Xtal_Templ!A:B,2,FALSE)</f>
        <v>drd3_human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90">
        <v>38</v>
      </c>
      <c r="P399" s="1">
        <f>VLOOKUP($B399&amp;"__wt",'SegEnds_Xtal_BW#'!$A:$Z,16,FALSE)</f>
        <v>63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VLOOKUP(A399,'SegEnds_NonXtal_Prot#'!A:AL,10,FALSE)-VLOOKUP(A399,'SegEnds_NonXtal_Prot#'!A:AL,7,FALSE)</f>
        <v>16</v>
      </c>
      <c r="AC399" s="1" t="e">
        <f>VLOOKUP(A399,'SegEnds_NonXtal_Prot#'!A:AL,13,FALSE)-VLOOKUP(A399,'SegEnds_NonXtal_Prot#'!A:AL,10,FALSE)</f>
        <v>#VALUE!</v>
      </c>
      <c r="AD399" s="1">
        <f>VLOOKUP(A399,'SegEnds_NonXtal_Prot#'!A:AL,16,FALSE)-VLOOKUP(A399,'SegEnds_NonXtal_Prot#'!A:AL,10,FALSE)</f>
        <v>51</v>
      </c>
      <c r="AE399" s="1">
        <f>VLOOKUP(A399,'SegEnds_NonXtal_Prot#'!A:AL,22,FALSE)-VLOOKUP(A399,'SegEnds_NonXtal_Prot#'!A:AL,19,FALSE)</f>
        <v>20</v>
      </c>
      <c r="AF399" s="1" t="e">
        <f>VLOOKUP(A399,'SegEnds_NonXtal_Prot#'!A:AL,28,FALSE)-VLOOKUP(A399,'SegEnds_NonXtal_Prot#'!A:AL,25,FALSE)</f>
        <v>#VALUE!</v>
      </c>
      <c r="AG399" s="1">
        <f>VLOOKUP(A399,'SegEnds_NonXtal_Prot#'!A:AL,28,FALSE)-VLOOKUP(A399,'SegEnds_NonXtal_Prot#'!A:AL,22,FALSE)</f>
        <v>52</v>
      </c>
      <c r="AH399" s="1">
        <f>VLOOKUP(A399,'SegEnds_NonXtal_Prot#'!A:AL,31,FALSE)-VLOOKUP(A399,'SegEnds_NonXtal_Prot#'!A:AL,28,FALSE)</f>
        <v>53</v>
      </c>
      <c r="AI399" s="1">
        <f>VLOOKUP(A399,'SegEnds_NonXtal_Prot#'!A:AL,34,FALSE)-VLOOKUP(A399,'SegEnds_NonXtal_Prot#'!A:AL,31,FALSE)</f>
        <v>36</v>
      </c>
      <c r="AJ399" s="1" t="str">
        <f>IF(ISERROR(MATCH(A399,'SegEnds_Xtal_Prot#'!B:B, 0)), "NoXtal", "Xtal")</f>
        <v>NoXtal</v>
      </c>
    </row>
    <row r="400" spans="1:36" x14ac:dyDescent="0.2">
      <c r="A400" s="1" t="s">
        <v>472</v>
      </c>
      <c r="B400" s="1" t="str">
        <f>VLOOKUP(A400,Xtal_Templ!A:B,2,FALSE)</f>
        <v>oprk_human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18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90">
        <v>38</v>
      </c>
      <c r="P400" s="1">
        <f>VLOOKUP($B400&amp;"__wt",'SegEnds_Xtal_BW#'!$A:$Z,16,FALSE)</f>
        <v>64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VLOOKUP(A400,'SegEnds_NonXtal_Prot#'!A:AL,10,FALSE)-VLOOKUP(A400,'SegEnds_NonXtal_Prot#'!A:AL,7,FALSE)</f>
        <v>16</v>
      </c>
      <c r="AC400" s="1" t="e">
        <f>VLOOKUP(A400,'SegEnds_NonXtal_Prot#'!A:AL,13,FALSE)-VLOOKUP(A400,'SegEnds_NonXtal_Prot#'!A:AL,10,FALSE)</f>
        <v>#VALUE!</v>
      </c>
      <c r="AD400" s="1">
        <f>VLOOKUP(A400,'SegEnds_NonXtal_Prot#'!A:AL,16,FALSE)-VLOOKUP(A400,'SegEnds_NonXtal_Prot#'!A:AL,10,FALSE)</f>
        <v>52</v>
      </c>
      <c r="AE400" s="1">
        <f>VLOOKUP(A400,'SegEnds_NonXtal_Prot#'!A:AL,22,FALSE)-VLOOKUP(A400,'SegEnds_NonXtal_Prot#'!A:AL,19,FALSE)</f>
        <v>20</v>
      </c>
      <c r="AF400" s="1" t="e">
        <f>VLOOKUP(A400,'SegEnds_NonXtal_Prot#'!A:AL,28,FALSE)-VLOOKUP(A400,'SegEnds_NonXtal_Prot#'!A:AL,25,FALSE)</f>
        <v>#VALUE!</v>
      </c>
      <c r="AG400" s="1">
        <f>VLOOKUP(A400,'SegEnds_NonXtal_Prot#'!A:AL,28,FALSE)-VLOOKUP(A400,'SegEnds_NonXtal_Prot#'!A:AL,22,FALSE)</f>
        <v>58</v>
      </c>
      <c r="AH400" s="1">
        <f>VLOOKUP(A400,'SegEnds_NonXtal_Prot#'!A:AL,31,FALSE)-VLOOKUP(A400,'SegEnds_NonXtal_Prot#'!A:AL,28,FALSE)</f>
        <v>53</v>
      </c>
      <c r="AI400" s="1">
        <f>VLOOKUP(A400,'SegEnds_NonXtal_Prot#'!A:AL,34,FALSE)-VLOOKUP(A400,'SegEnds_NonXtal_Prot#'!A:AL,31,FALSE)</f>
        <v>35</v>
      </c>
      <c r="AJ400" s="1" t="str">
        <f>IF(ISERROR(MATCH(A400,'SegEnds_Xtal_Prot#'!B:B, 0)), "NoXtal", "Xtal")</f>
        <v>NoXtal</v>
      </c>
    </row>
    <row r="401" spans="1:36" x14ac:dyDescent="0.2">
      <c r="A401" s="4" t="s">
        <v>474</v>
      </c>
      <c r="B401" s="4" t="str">
        <f>VLOOKUP(A401,Xtal_Templ!A:B,2,FALSE)</f>
        <v>cxcr4_human</v>
      </c>
      <c r="C401" s="5">
        <v>32</v>
      </c>
      <c r="D401" s="4">
        <v>62</v>
      </c>
      <c r="E401" s="4">
        <f>VLOOKUP($B401&amp;"__wt",'SegEnds_Xtal_BW#'!$A:$Z,5,FALSE)</f>
        <v>48</v>
      </c>
      <c r="F401" s="4">
        <f>VLOOKUP($B401&amp;"__wt",'SegEnds_Xtal_BW#'!$A:$Z,6,FALSE)</f>
        <v>51</v>
      </c>
      <c r="G401" s="4">
        <v>39</v>
      </c>
      <c r="H401" s="11">
        <v>66</v>
      </c>
      <c r="I401" s="4" t="s">
        <v>23</v>
      </c>
      <c r="J401" s="4" t="s">
        <v>23</v>
      </c>
      <c r="K401" s="11">
        <v>24</v>
      </c>
      <c r="L401" s="4">
        <f>VLOOKUP($B401&amp;"__wt",'SegEnds_Xtal_BW#'!$A:$Z,12,FALSE)</f>
        <v>56</v>
      </c>
      <c r="M401" s="4">
        <f>VLOOKUP($B401&amp;"__wt",'SegEnds_Xtal_BW#'!$A:$Z,13,FALSE)</f>
        <v>50</v>
      </c>
      <c r="N401" s="11">
        <v>57</v>
      </c>
      <c r="O401" s="90">
        <v>38</v>
      </c>
      <c r="P401" s="4">
        <f>VLOOKUP($B401&amp;"__wt",'SegEnds_Xtal_BW#'!$A:$Z,16,FALSE)</f>
        <v>64</v>
      </c>
      <c r="Q401" s="4">
        <f>VLOOKUP($B401&amp;"__wt",'SegEnds_Xtal_BW#'!$A:$Z,17,FALSE)</f>
        <v>50</v>
      </c>
      <c r="R401" s="4">
        <f>VLOOKUP($B401&amp;"__wt",'SegEnds_Xtal_BW#'!$A:$Z,18,FALSE)</f>
        <v>52</v>
      </c>
      <c r="S401" s="4">
        <v>32</v>
      </c>
      <c r="T401" s="4">
        <v>72</v>
      </c>
      <c r="U401" s="4">
        <v>29</v>
      </c>
      <c r="V401" s="4">
        <v>61</v>
      </c>
      <c r="W401" s="4">
        <v>31</v>
      </c>
      <c r="X401" s="4">
        <f>VLOOKUP($B401&amp;"__wt",'SegEnds_Xtal_BW#'!$A:$Z,24,FALSE)</f>
        <v>56</v>
      </c>
      <c r="Y401" s="4">
        <f>VLOOKUP($B401&amp;"__wt",'SegEnds_Xtal_BW#'!$A:$Z,25,FALSE)</f>
        <v>47</v>
      </c>
      <c r="Z401" s="4">
        <v>60</v>
      </c>
      <c r="AA401" s="27" t="str">
        <f>VLOOKUP(A401,Classification!A:B,2,FALSE)</f>
        <v>T</v>
      </c>
      <c r="AB401" s="4">
        <f>VLOOKUP(A401,'SegEnds_NonXtal_Prot#'!A:AL,10,FALSE)-VLOOKUP(A401,'SegEnds_NonXtal_Prot#'!A:AL,7,FALSE)</f>
        <v>16</v>
      </c>
      <c r="AC401" s="4" t="e">
        <f>VLOOKUP(A401,'SegEnds_NonXtal_Prot#'!A:AL,13,FALSE)-VLOOKUP(A401,'SegEnds_NonXtal_Prot#'!A:AL,10,FALSE)</f>
        <v>#VALUE!</v>
      </c>
      <c r="AD401" s="4">
        <f>VLOOKUP(A401,'SegEnds_NonXtal_Prot#'!A:AL,16,FALSE)-VLOOKUP(A401,'SegEnds_NonXtal_Prot#'!A:AL,10,FALSE)</f>
        <v>48</v>
      </c>
      <c r="AE401" s="1">
        <f>VLOOKUP(A401,'SegEnds_NonXtal_Prot#'!A:AL,22,FALSE)-VLOOKUP(A401,'SegEnds_NonXtal_Prot#'!A:AL,19,FALSE)</f>
        <v>20</v>
      </c>
      <c r="AF401" s="4" t="e">
        <f>VLOOKUP(A401,'SegEnds_NonXtal_Prot#'!A:AL,28,FALSE)-VLOOKUP(A401,'SegEnds_NonXtal_Prot#'!A:AL,25,FALSE)</f>
        <v>#VALUE!</v>
      </c>
      <c r="AG401" s="1">
        <f>VLOOKUP(A401,'SegEnds_NonXtal_Prot#'!A:AL,28,FALSE)-VLOOKUP(A401,'SegEnds_NonXtal_Prot#'!A:AL,22,FALSE)</f>
        <v>54</v>
      </c>
      <c r="AH401" s="4">
        <f>VLOOKUP(A401,'SegEnds_NonXtal_Prot#'!A:AL,31,FALSE)-VLOOKUP(A401,'SegEnds_NonXtal_Prot#'!A:AL,28,FALSE)</f>
        <v>53</v>
      </c>
      <c r="AI401" s="4">
        <f>VLOOKUP(A401,'SegEnds_NonXtal_Prot#'!A:AL,34,FALSE)-VLOOKUP(A401,'SegEnds_NonXtal_Prot#'!A:AL,31,FALSE)</f>
        <v>35</v>
      </c>
      <c r="AJ401" s="1" t="str">
        <f>IF(ISERROR(MATCH(A401,'SegEnds_Xtal_Prot#'!B:B, 0)), "NoXtal", "Xtal")</f>
        <v>NoXtal</v>
      </c>
    </row>
    <row r="402" spans="1:36" x14ac:dyDescent="0.2">
      <c r="A402" s="1" t="s">
        <v>475</v>
      </c>
      <c r="B402" s="1" t="str">
        <f>VLOOKUP(A402,Xtal_Templ!A:B,2,FALSE)</f>
        <v>agtr1_human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9">
        <v>38</v>
      </c>
      <c r="P402" s="1">
        <f>VLOOKUP($B402&amp;"__wt",'SegEnds_Xtal_BW#'!$A:$Z,16,FALSE)</f>
        <v>64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VLOOKUP(A402,'SegEnds_NonXtal_Prot#'!A:AL,10,FALSE)-VLOOKUP(A402,'SegEnds_NonXtal_Prot#'!A:AL,7,FALSE)</f>
        <v>16</v>
      </c>
      <c r="AC402" s="1" t="e">
        <f>VLOOKUP(A402,'SegEnds_NonXtal_Prot#'!A:AL,13,FALSE)-VLOOKUP(A402,'SegEnds_NonXtal_Prot#'!A:AL,10,FALSE)</f>
        <v>#VALUE!</v>
      </c>
      <c r="AD402" s="1">
        <f>VLOOKUP(A402,'SegEnds_NonXtal_Prot#'!A:AL,16,FALSE)-VLOOKUP(A402,'SegEnds_NonXtal_Prot#'!A:AL,10,FALSE)</f>
        <v>52</v>
      </c>
      <c r="AE402" s="1">
        <f>VLOOKUP(A402,'SegEnds_NonXtal_Prot#'!A:AL,22,FALSE)-VLOOKUP(A402,'SegEnds_NonXtal_Prot#'!A:AL,19,FALSE)</f>
        <v>20</v>
      </c>
      <c r="AF402" s="1" t="e">
        <f>VLOOKUP(A402,'SegEnds_NonXtal_Prot#'!A:AL,28,FALSE)-VLOOKUP(A402,'SegEnds_NonXtal_Prot#'!A:AL,25,FALSE)</f>
        <v>#VALUE!</v>
      </c>
      <c r="AG402" s="1">
        <f>VLOOKUP(A402,'SegEnds_NonXtal_Prot#'!A:AL,28,FALSE)-VLOOKUP(A402,'SegEnds_NonXtal_Prot#'!A:AL,22,FALSE)</f>
        <v>56</v>
      </c>
      <c r="AH402" s="1">
        <f>VLOOKUP(A402,'SegEnds_NonXtal_Prot#'!A:AL,31,FALSE)-VLOOKUP(A402,'SegEnds_NonXtal_Prot#'!A:AL,28,FALSE)</f>
        <v>53</v>
      </c>
      <c r="AI402" s="1">
        <f>VLOOKUP(A402,'SegEnds_NonXtal_Prot#'!A:AL,34,FALSE)-VLOOKUP(A402,'SegEnds_NonXtal_Prot#'!A:AL,31,FALSE)</f>
        <v>36</v>
      </c>
      <c r="AJ402" s="1" t="str">
        <f>IF(ISERROR(MATCH(A402,'SegEnds_Xtal_Prot#'!B:B, 0)), "NoXtal", "Xtal")</f>
        <v>NoXtal</v>
      </c>
    </row>
    <row r="403" spans="1:36" x14ac:dyDescent="0.2">
      <c r="A403" s="1" t="s">
        <v>476</v>
      </c>
      <c r="B403" s="1" t="str">
        <f>VLOOKUP(A403,Xtal_Templ!A:B,2,FALSE)</f>
        <v>5ht1b_human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9">
        <v>38</v>
      </c>
      <c r="P403" s="1">
        <f>VLOOKUP($B403&amp;"__wt",'SegEnds_Xtal_BW#'!$A:$Z,16,FALSE)</f>
        <v>63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VLOOKUP(A403,'SegEnds_NonXtal_Prot#'!A:AL,10,FALSE)-VLOOKUP(A403,'SegEnds_NonXtal_Prot#'!A:AL,7,FALSE)</f>
        <v>16</v>
      </c>
      <c r="AC403" s="1" t="e">
        <f>VLOOKUP(A403,'SegEnds_NonXtal_Prot#'!A:AL,13,FALSE)-VLOOKUP(A403,'SegEnds_NonXtal_Prot#'!A:AL,10,FALSE)</f>
        <v>#VALUE!</v>
      </c>
      <c r="AD403" s="1">
        <f>VLOOKUP(A403,'SegEnds_NonXtal_Prot#'!A:AL,16,FALSE)-VLOOKUP(A403,'SegEnds_NonXtal_Prot#'!A:AL,10,FALSE)</f>
        <v>51</v>
      </c>
      <c r="AE403" s="1">
        <f>VLOOKUP(A403,'SegEnds_NonXtal_Prot#'!A:AL,22,FALSE)-VLOOKUP(A403,'SegEnds_NonXtal_Prot#'!A:AL,19,FALSE)</f>
        <v>20</v>
      </c>
      <c r="AF403" s="1" t="e">
        <f>VLOOKUP(A403,'SegEnds_NonXtal_Prot#'!A:AL,28,FALSE)-VLOOKUP(A403,'SegEnds_NonXtal_Prot#'!A:AL,25,FALSE)</f>
        <v>#VALUE!</v>
      </c>
      <c r="AG403" s="1">
        <f>VLOOKUP(A403,'SegEnds_NonXtal_Prot#'!A:AL,28,FALSE)-VLOOKUP(A403,'SegEnds_NonXtal_Prot#'!A:AL,22,FALSE)</f>
        <v>53</v>
      </c>
      <c r="AH403" s="1">
        <f>VLOOKUP(A403,'SegEnds_NonXtal_Prot#'!A:AL,31,FALSE)-VLOOKUP(A403,'SegEnds_NonXtal_Prot#'!A:AL,28,FALSE)</f>
        <v>53</v>
      </c>
      <c r="AI403" s="1">
        <f>VLOOKUP(A403,'SegEnds_NonXtal_Prot#'!A:AL,34,FALSE)-VLOOKUP(A403,'SegEnds_NonXtal_Prot#'!A:AL,31,FALSE)</f>
        <v>36</v>
      </c>
      <c r="AJ403" s="1" t="str">
        <f>IF(ISERROR(MATCH(A403,'SegEnds_Xtal_Prot#'!B:B, 0)), "NoXtal", "Xtal")</f>
        <v>NoXtal</v>
      </c>
    </row>
    <row r="404" spans="1:36" x14ac:dyDescent="0.2">
      <c r="A404" s="1" t="s">
        <v>477</v>
      </c>
      <c r="B404" s="1" t="str">
        <f>VLOOKUP(A404,Xtal_Templ!A:B,2,FALSE)</f>
        <v>hrh1_human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24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f>VLOOKUP($B404&amp;"__wt",'SegEnds_Xtal_BW#'!$A:$Z,14,FALSE)</f>
        <v>57</v>
      </c>
      <c r="O404" s="89">
        <v>38</v>
      </c>
      <c r="P404" s="1">
        <f>VLOOKUP($B404&amp;"__wt",'SegEnds_Xtal_BW#'!$A:$Z,16,FALSE)</f>
        <v>62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VLOOKUP(A404,'SegEnds_NonXtal_Prot#'!A:AL,10,FALSE)-VLOOKUP(A404,'SegEnds_NonXtal_Prot#'!A:AL,7,FALSE)</f>
        <v>16</v>
      </c>
      <c r="AC404" s="1" t="e">
        <f>VLOOKUP(A404,'SegEnds_NonXtal_Prot#'!A:AL,13,FALSE)-VLOOKUP(A404,'SegEnds_NonXtal_Prot#'!A:AL,10,FALSE)</f>
        <v>#VALUE!</v>
      </c>
      <c r="AD404" s="1">
        <f>VLOOKUP(A404,'SegEnds_NonXtal_Prot#'!A:AL,16,FALSE)-VLOOKUP(A404,'SegEnds_NonXtal_Prot#'!A:AL,10,FALSE)</f>
        <v>48</v>
      </c>
      <c r="AE404" s="1">
        <f>VLOOKUP(A404,'SegEnds_NonXtal_Prot#'!A:AL,22,FALSE)-VLOOKUP(A404,'SegEnds_NonXtal_Prot#'!A:AL,19,FALSE)</f>
        <v>20</v>
      </c>
      <c r="AF404" s="1" t="e">
        <f>VLOOKUP(A404,'SegEnds_NonXtal_Prot#'!A:AL,28,FALSE)-VLOOKUP(A404,'SegEnds_NonXtal_Prot#'!A:AL,25,FALSE)</f>
        <v>#VALUE!</v>
      </c>
      <c r="AG404" s="1">
        <f>VLOOKUP(A404,'SegEnds_NonXtal_Prot#'!A:AL,28,FALSE)-VLOOKUP(A404,'SegEnds_NonXtal_Prot#'!A:AL,22,FALSE)</f>
        <v>48</v>
      </c>
      <c r="AH404" s="1">
        <f>VLOOKUP(A404,'SegEnds_NonXtal_Prot#'!A:AL,31,FALSE)-VLOOKUP(A404,'SegEnds_NonXtal_Prot#'!A:AL,28,FALSE)</f>
        <v>53</v>
      </c>
      <c r="AI404" s="1">
        <f>VLOOKUP(A404,'SegEnds_NonXtal_Prot#'!A:AL,34,FALSE)-VLOOKUP(A404,'SegEnds_NonXtal_Prot#'!A:AL,31,FALSE)</f>
        <v>36</v>
      </c>
      <c r="AJ404" s="1" t="str">
        <f>IF(ISERROR(MATCH(A404,'SegEnds_Xtal_Prot#'!B:B, 0)), "NoXtal", "Xtal")</f>
        <v>NoXtal</v>
      </c>
    </row>
    <row r="405" spans="1:36" x14ac:dyDescent="0.2">
      <c r="A405" s="1" t="s">
        <v>478</v>
      </c>
      <c r="B405" s="1" t="str">
        <f>VLOOKUP(A405,Xtal_Templ!A:B,2,FALSE)</f>
        <v>ednrb_human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52</v>
      </c>
      <c r="G405" s="1">
        <v>39</v>
      </c>
      <c r="H405" s="12">
        <v>67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90">
        <v>38</v>
      </c>
      <c r="P405" s="1">
        <f>VLOOKUP($B405&amp;"__wt",'SegEnds_Xtal_BW#'!$A:$Z,16,FALSE)</f>
        <v>64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VLOOKUP(A405,'SegEnds_NonXtal_Prot#'!A:AL,10,FALSE)-VLOOKUP(A405,'SegEnds_NonXtal_Prot#'!A:AL,7,FALSE)</f>
        <v>16</v>
      </c>
      <c r="AC405" s="1" t="e">
        <f>VLOOKUP(A405,'SegEnds_NonXtal_Prot#'!A:AL,13,FALSE)-VLOOKUP(A405,'SegEnds_NonXtal_Prot#'!A:AL,10,FALSE)</f>
        <v>#VALUE!</v>
      </c>
      <c r="AD405" s="1">
        <f>VLOOKUP(A405,'SegEnds_NonXtal_Prot#'!A:AL,16,FALSE)-VLOOKUP(A405,'SegEnds_NonXtal_Prot#'!A:AL,10,FALSE)</f>
        <v>52</v>
      </c>
      <c r="AE405" s="1">
        <f>VLOOKUP(A405,'SegEnds_NonXtal_Prot#'!A:AL,22,FALSE)-VLOOKUP(A405,'SegEnds_NonXtal_Prot#'!A:AL,19,FALSE)</f>
        <v>20</v>
      </c>
      <c r="AF405" s="1" t="e">
        <f>VLOOKUP(A405,'SegEnds_NonXtal_Prot#'!A:AL,28,FALSE)-VLOOKUP(A405,'SegEnds_NonXtal_Prot#'!A:AL,25,FALSE)</f>
        <v>#VALUE!</v>
      </c>
      <c r="AG405" s="1">
        <f>VLOOKUP(A405,'SegEnds_NonXtal_Prot#'!A:AL,28,FALSE)-VLOOKUP(A405,'SegEnds_NonXtal_Prot#'!A:AL,22,FALSE)</f>
        <v>57</v>
      </c>
      <c r="AH405" s="1">
        <f>VLOOKUP(A405,'SegEnds_NonXtal_Prot#'!A:AL,31,FALSE)-VLOOKUP(A405,'SegEnds_NonXtal_Prot#'!A:AL,28,FALSE)</f>
        <v>53</v>
      </c>
      <c r="AI405" s="1">
        <f>VLOOKUP(A405,'SegEnds_NonXtal_Prot#'!A:AL,34,FALSE)-VLOOKUP(A405,'SegEnds_NonXtal_Prot#'!A:AL,31,FALSE)</f>
        <v>36</v>
      </c>
      <c r="AJ405" s="1" t="str">
        <f>IF(ISERROR(MATCH(A405,'SegEnds_Xtal_Prot#'!B:B, 0)), "NoXtal", "Xtal")</f>
        <v>NoXtal</v>
      </c>
    </row>
    <row r="406" spans="1:36" x14ac:dyDescent="0.2">
      <c r="A406" s="1" t="s">
        <v>479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66</v>
      </c>
      <c r="I406" s="1" t="s">
        <v>23</v>
      </c>
      <c r="J406" s="1" t="s">
        <v>23</v>
      </c>
      <c r="K406" s="12">
        <v>18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9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VLOOKUP(A406,'SegEnds_NonXtal_Prot#'!A:AL,10,FALSE)-VLOOKUP(A406,'SegEnds_NonXtal_Prot#'!A:AL,7,FALSE)</f>
        <v>16</v>
      </c>
      <c r="AC406" s="1" t="e">
        <f>VLOOKUP(A406,'SegEnds_NonXtal_Prot#'!A:AL,13,FALSE)-VLOOKUP(A406,'SegEnds_NonXtal_Prot#'!A:AL,10,FALSE)</f>
        <v>#VALUE!</v>
      </c>
      <c r="AD406" s="1">
        <f>VLOOKUP(A406,'SegEnds_NonXtal_Prot#'!A:AL,16,FALSE)-VLOOKUP(A406,'SegEnds_NonXtal_Prot#'!A:AL,10,FALSE)</f>
        <v>52</v>
      </c>
      <c r="AE406" s="1">
        <f>VLOOKUP(A406,'SegEnds_NonXtal_Prot#'!A:AL,22,FALSE)-VLOOKUP(A406,'SegEnds_NonXtal_Prot#'!A:AL,19,FALSE)</f>
        <v>20</v>
      </c>
      <c r="AF406" s="1" t="e">
        <f>VLOOKUP(A406,'SegEnds_NonXtal_Prot#'!A:AL,28,FALSE)-VLOOKUP(A406,'SegEnds_NonXtal_Prot#'!A:AL,25,FALSE)</f>
        <v>#VALUE!</v>
      </c>
      <c r="AG406" s="1">
        <f>VLOOKUP(A406,'SegEnds_NonXtal_Prot#'!A:AL,28,FALSE)-VLOOKUP(A406,'SegEnds_NonXtal_Prot#'!A:AL,22,FALSE)</f>
        <v>57</v>
      </c>
      <c r="AH406" s="1">
        <f>VLOOKUP(A406,'SegEnds_NonXtal_Prot#'!A:AL,31,FALSE)-VLOOKUP(A406,'SegEnds_NonXtal_Prot#'!A:AL,28,FALSE)</f>
        <v>53</v>
      </c>
      <c r="AI406" s="1">
        <f>VLOOKUP(A406,'SegEnds_NonXtal_Prot#'!A:AL,34,FALSE)-VLOOKUP(A406,'SegEnds_NonXtal_Prot#'!A:AL,31,FALSE)</f>
        <v>36</v>
      </c>
      <c r="AJ406" s="1" t="str">
        <f>IF(ISERROR(MATCH(A406,'SegEnds_Xtal_Prot#'!B:B, 0)), "NoXtal", "Xtal")</f>
        <v>NoXtal</v>
      </c>
    </row>
    <row r="407" spans="1:36" x14ac:dyDescent="0.2">
      <c r="A407" s="1" t="s">
        <v>480</v>
      </c>
      <c r="B407" s="1" t="str">
        <f>VLOOKUP(A407,Xtal_Templ!A:B,2,FALSE)</f>
        <v>agtr1_human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18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90">
        <v>38</v>
      </c>
      <c r="P407" s="1">
        <f>VLOOKUP($B407&amp;"__wt",'SegEnds_Xtal_BW#'!$A:$Z,16,FALSE)</f>
        <v>64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VLOOKUP(A407,'SegEnds_NonXtal_Prot#'!A:AL,10,FALSE)-VLOOKUP(A407,'SegEnds_NonXtal_Prot#'!A:AL,7,FALSE)</f>
        <v>16</v>
      </c>
      <c r="AC407" s="1" t="e">
        <f>VLOOKUP(A407,'SegEnds_NonXtal_Prot#'!A:AL,13,FALSE)-VLOOKUP(A407,'SegEnds_NonXtal_Prot#'!A:AL,10,FALSE)</f>
        <v>#VALUE!</v>
      </c>
      <c r="AD407" s="1">
        <f>VLOOKUP(A407,'SegEnds_NonXtal_Prot#'!A:AL,16,FALSE)-VLOOKUP(A407,'SegEnds_NonXtal_Prot#'!A:AL,10,FALSE)</f>
        <v>52</v>
      </c>
      <c r="AE407" s="1">
        <f>VLOOKUP(A407,'SegEnds_NonXtal_Prot#'!A:AL,22,FALSE)-VLOOKUP(A407,'SegEnds_NonXtal_Prot#'!A:AL,19,FALSE)</f>
        <v>20</v>
      </c>
      <c r="AF407" s="1" t="e">
        <f>VLOOKUP(A407,'SegEnds_NonXtal_Prot#'!A:AL,28,FALSE)-VLOOKUP(A407,'SegEnds_NonXtal_Prot#'!A:AL,25,FALSE)</f>
        <v>#VALUE!</v>
      </c>
      <c r="AG407" s="1">
        <f>VLOOKUP(A407,'SegEnds_NonXtal_Prot#'!A:AL,28,FALSE)-VLOOKUP(A407,'SegEnds_NonXtal_Prot#'!A:AL,22,FALSE)</f>
        <v>54</v>
      </c>
      <c r="AH407" s="1">
        <f>VLOOKUP(A407,'SegEnds_NonXtal_Prot#'!A:AL,31,FALSE)-VLOOKUP(A407,'SegEnds_NonXtal_Prot#'!A:AL,28,FALSE)</f>
        <v>53</v>
      </c>
      <c r="AI407" s="1">
        <f>VLOOKUP(A407,'SegEnds_NonXtal_Prot#'!A:AL,34,FALSE)-VLOOKUP(A407,'SegEnds_NonXtal_Prot#'!A:AL,31,FALSE)</f>
        <v>36</v>
      </c>
      <c r="AJ407" s="1" t="str">
        <f>IF(ISERROR(MATCH(A407,'SegEnds_Xtal_Prot#'!B:B, 0)), "NoXtal", "Xtal")</f>
        <v>NoXtal</v>
      </c>
    </row>
  </sheetData>
  <sortState ref="A2:AJ406">
    <sortCondition ref="AA2:AA406"/>
    <sortCondition ref="AE2:AE406"/>
    <sortCondition ref="A2:A406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H1:A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:AJ1048576">
    <cfRule type="cellIs" dxfId="24" priority="2" operator="equal">
      <formula>"Xtal"</formula>
    </cfRule>
  </conditionalFormatting>
  <conditionalFormatting sqref="AE1:A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09"/>
  <sheetViews>
    <sheetView zoomScale="120" zoomScaleNormal="120" zoomScalePageLayoutView="120" workbookViewId="0">
      <pane ySplit="1" topLeftCell="A70" activePane="bottomLeft" state="frozenSplit"/>
      <selection pane="bottomLeft" activeCell="A90" sqref="A90:XFD9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9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6" t="s">
        <v>1204</v>
      </c>
      <c r="C1" s="8" t="s">
        <v>1061</v>
      </c>
      <c r="D1" s="42" t="s">
        <v>1082</v>
      </c>
      <c r="E1" s="8" t="s">
        <v>1062</v>
      </c>
      <c r="F1" s="42" t="s">
        <v>1078</v>
      </c>
      <c r="G1" s="42" t="s">
        <v>1083</v>
      </c>
      <c r="H1" s="42" t="s">
        <v>1079</v>
      </c>
      <c r="I1" s="42" t="s">
        <v>1063</v>
      </c>
      <c r="J1" s="42" t="s">
        <v>1084</v>
      </c>
      <c r="K1" s="8" t="s">
        <v>1064</v>
      </c>
      <c r="L1" s="8" t="s">
        <v>1080</v>
      </c>
      <c r="M1" s="42" t="s">
        <v>1085</v>
      </c>
      <c r="N1" s="8" t="s">
        <v>1081</v>
      </c>
      <c r="O1" s="8" t="s">
        <v>1065</v>
      </c>
      <c r="P1" s="42" t="s">
        <v>1086</v>
      </c>
      <c r="Q1" s="8" t="s">
        <v>1066</v>
      </c>
      <c r="R1" s="8" t="s">
        <v>1093</v>
      </c>
      <c r="S1" s="42" t="s">
        <v>1092</v>
      </c>
      <c r="T1" s="88" t="s">
        <v>1094</v>
      </c>
      <c r="U1" s="102" t="s">
        <v>1067</v>
      </c>
      <c r="V1" s="42" t="s">
        <v>1087</v>
      </c>
      <c r="W1" s="8" t="s">
        <v>1068</v>
      </c>
      <c r="X1" s="8" t="s">
        <v>1096</v>
      </c>
      <c r="Y1" s="42" t="s">
        <v>1095</v>
      </c>
      <c r="Z1" s="8" t="s">
        <v>1097</v>
      </c>
      <c r="AA1" s="8" t="s">
        <v>1069</v>
      </c>
      <c r="AB1" s="42" t="s">
        <v>1088</v>
      </c>
      <c r="AC1" s="8" t="s">
        <v>1070</v>
      </c>
      <c r="AD1" s="8" t="s">
        <v>1071</v>
      </c>
      <c r="AE1" s="42" t="s">
        <v>1089</v>
      </c>
      <c r="AF1" s="8" t="s">
        <v>1072</v>
      </c>
      <c r="AG1" s="8" t="s">
        <v>1073</v>
      </c>
      <c r="AH1" s="42" t="s">
        <v>1090</v>
      </c>
      <c r="AI1" s="8" t="s">
        <v>1074</v>
      </c>
      <c r="AJ1" s="8" t="s">
        <v>1075</v>
      </c>
      <c r="AK1" s="42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102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159</v>
      </c>
      <c r="B2" s="3" t="str">
        <f>LOWER(VLOOKUP(A2,Xtal_Templ!A:B,2,FALSE))</f>
        <v>agtr2_human</v>
      </c>
      <c r="C2" s="3">
        <f>VLOOKUP($A2,'SegEnds_NonXtal_BW#'!$A:$Z,3,FALSE)+D2-50</f>
        <v>45</v>
      </c>
      <c r="D2" s="3">
        <v>62</v>
      </c>
      <c r="E2" s="3">
        <f>IF(ISERROR(VLOOKUP($A2,'SegEnds_NonXtal_BW#'!$A:$Z,4,FALSE)+VLOOKUP($A2,A:AL,4,FALSE)-50),"-",(VLOOKUP($A2,'SegEnds_NonXtal_BW#'!$A:$Z,4,FALSE)+VLOOKUP($A2,A:AL,4,FALSE)-50))</f>
        <v>72</v>
      </c>
      <c r="F2" s="3" t="str">
        <f>IF(ISERROR(VLOOKUP($A2,'SegEnds_NonXtal_BW#'!$A:$Z,5,FALSE)+VLOOKUP($A2,A:AL,7,FALSE)-50),"-",(VLOOKUP($A2,'SegEnds_NonXtal_BW#'!$A:$Z,5,FALSE)+VLOOKUP($A2,A:AL,7,FALSE)-50))</f>
        <v>-</v>
      </c>
      <c r="G2" s="3" t="s">
        <v>23</v>
      </c>
      <c r="H2" s="3" t="str">
        <f>IF(ISERROR(VLOOKUP($A2,'SegEnds_NonXtal_BW#'!$A:$Z,6,FALSE)+VLOOKUP($A2,A:AL,7,FALSE)-50),"-",(VLOOKUP($A2,'SegEnds_NonXtal_BW#'!$A:$Z,6,FALSE)+VLOOKUP($A2,A:AL,7,FALSE)-50))</f>
        <v>-</v>
      </c>
      <c r="I2" s="3">
        <f>VLOOKUP($A2,'SegEnds_NonXtal_BW#'!$A:$Z,7,FALSE)+J2-50</f>
        <v>78</v>
      </c>
      <c r="J2" s="3">
        <v>90</v>
      </c>
      <c r="K2" s="3">
        <f>VLOOKUP($A2,'SegEnds_NonXtal_BW#'!$A:$Z,8,FALSE)+VLOOKUP($A2,A:AL,10,FALSE)-50</f>
        <v>106</v>
      </c>
      <c r="L2" s="3">
        <f>M2-1</f>
        <v>109</v>
      </c>
      <c r="M2" s="3">
        <v>110</v>
      </c>
      <c r="N2" s="3">
        <f>M2+2</f>
        <v>112</v>
      </c>
      <c r="O2" s="3">
        <f>N2+1</f>
        <v>113</v>
      </c>
      <c r="P2" s="3">
        <v>142</v>
      </c>
      <c r="Q2" s="3">
        <f>VLOOKUP($A2,'SegEnds_NonXtal_BW#'!$A:$Z,12,FALSE)+VLOOKUP($A2,A:AL,16,FALSE)-50</f>
        <v>148</v>
      </c>
      <c r="R2" s="3">
        <f>IF(ISERROR(VLOOKUP($A2,'SegEnds_NonXtal_BW#'!$A:$Z,13,FALSE)+VLOOKUP($A2,A:AL,19,FALSE)-50),"-",VLOOKUP($A2,'SegEnds_NonXtal_BW#'!$A:$Z,13,FALSE)+VLOOKUP($A2,A:AL,19,FALSE)-50)</f>
        <v>149</v>
      </c>
      <c r="S2" s="3">
        <v>149</v>
      </c>
      <c r="T2" s="103">
        <f>IF(ISERROR(VLOOKUP($A2,'SegEnds_NonXtal_BW#'!$A:$Z,14,FALSE)+VLOOKUP($A2,A:AL,19,FALSE)-50),"-",(VLOOKUP($A2,'SegEnds_NonXtal_BW#'!$A:$Z,14,FALSE)+VLOOKUP($A2,A:AL,19,FALSE)-50))</f>
        <v>155</v>
      </c>
      <c r="U2" s="9">
        <f>IF(ISERROR(VLOOKUP($A2,'SegEnds_NonXtal_BW#'!$A:$Z,15,FALSE)+VLOOKUP($A2,A:AL,22,FALSE)-50),"-",VLOOKUP($A2,'SegEnds_NonXtal_BW#'!$A:$Z,15,FALSE)+VLOOKUP($A2,A:AL,22,FALSE)-50)</f>
        <v>156</v>
      </c>
      <c r="V2" s="3">
        <v>168</v>
      </c>
      <c r="W2" s="3">
        <f>IF(ISERROR(VLOOKUP($A2,'SegEnds_NonXtal_BW#'!$A:$Z,16,FALSE)+VLOOKUP($A2,A:AL,22,FALSE)-50),"-",(VLOOKUP($A2,'SegEnds_NonXtal_BW#'!$A:$Z,16,FALSE)+VLOOKUP($A2,A:AL,22,FALSE)-50))</f>
        <v>182</v>
      </c>
      <c r="X2" s="3">
        <f>IF(ISERROR(VLOOKUP($A2,'SegEnds_NonXtal_BW#'!$A:$Z,17,FALSE)+VLOOKUP($A2,A:AL,25,FALSE)-50),"-",(VLOOKUP($A2,'SegEnds_NonXtal_BW#'!$A:$Z,17,FALSE)+VLOOKUP($A2,A:AL,25,FALSE)-50))</f>
        <v>195</v>
      </c>
      <c r="Y2" s="3">
        <v>195</v>
      </c>
      <c r="Z2" s="3">
        <f>Y2+2</f>
        <v>197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241</v>
      </c>
      <c r="AD2" s="3">
        <f>IF(ISERROR(VLOOKUP($A2,'SegEnds_NonXtal_BW#'!$A:$Z,21,FALSE)+VLOOKUP($A2,A:AL,31,FALSE)-50),"-",(VLOOKUP($A2,'SegEnds_NonXtal_BW#'!$A:$Z,21,FALSE)+VLOOKUP($A2,A:AL,31,FALSE)-50))</f>
        <v>245</v>
      </c>
      <c r="AE2" s="3">
        <v>271</v>
      </c>
      <c r="AF2" s="3">
        <f>IF(ISERROR((VLOOKUP($A2,'SegEnds_NonXtal_BW#'!$A:$Z,22,FALSE)+VLOOKUP($A2,A:AL,31,FALSE)-50)),"-",(VLOOKUP($A2,'SegEnds_NonXtal_BW#'!$A:$Z,22,FALSE)+VLOOKUP($A2,A:AL,31,FALSE)-50))</f>
        <v>285</v>
      </c>
      <c r="AG2" s="3">
        <f>IF(ISERROR(VLOOKUP($A2,'SegEnds_NonXtal_BW#'!$A:$Z,23,FALSE)+VLOOKUP($A2,A:AL,34,FALSE)-50),"-",(VLOOKUP($A2,'SegEnds_NonXtal_BW#'!$A:$Z,23,FALSE)+VLOOKUP($A2,A:AL,34,FALSE)-50))</f>
        <v>289</v>
      </c>
      <c r="AH2" s="3">
        <v>315</v>
      </c>
      <c r="AI2" s="3">
        <f>IF(ISERROR((VLOOKUP($A2,'SegEnds_NonXtal_BW#'!$A:$Z,24,FALSE)+VLOOKUP($A2,A:AL,34,FALSE)-50)),"-",(VLOOKUP($A2,'SegEnds_NonXtal_BW#'!$A:$Z,24,FALSE)+VLOOKUP($A2,A:AL,34,FALSE)-50))</f>
        <v>321</v>
      </c>
      <c r="AJ2" s="3">
        <f>IF(ISERROR(VLOOKUP($A2,'SegEnds_NonXtal_BW#'!$A:$Z,25,FALSE)+VLOOKUP($A2,A:AL,37,FALSE)-50),"-",(VLOOKUP($A2,'SegEnds_NonXtal_BW#'!$A:$Z,25,FALSE)+VLOOKUP($A2,A:AL,37,FALSE)-50))</f>
        <v>322</v>
      </c>
      <c r="AK2" s="3">
        <v>325</v>
      </c>
      <c r="AL2" s="3">
        <f>IF(ISERROR((VLOOKUP($A2,'SegEnds_NonXtal_BW#'!$A:$Z,26,FALSE)+VLOOKUP($A2,A:AL,37,FALSE)-50)),"-",(VLOOKUP($A2,'SegEnds_NonXtal_BW#'!$A:$Z,26,FALSE)+VLOOKUP($A2,A:AL,37,FALSE)-50))</f>
        <v>336</v>
      </c>
      <c r="AM2" s="28" t="str">
        <f>VLOOKUP(A2,Classification!A:B,2,FALSE)</f>
        <v>A</v>
      </c>
      <c r="AN2" s="28" t="b">
        <f t="shared" ref="AN2:AN27" si="0">AND(IF(Y2="-",IF(AA2-W2&gt;3,TRUE,FALSE),TRUE),IF(M2="-",IF(O2-K2&gt;3,TRUE,FALSE),TRU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Xtal</v>
      </c>
      <c r="AP2" s="3" t="str">
        <f t="shared" ref="AP2:AP65" si="1">IF(ISERROR(F2-E2),"-",F2-E2)</f>
        <v>-</v>
      </c>
      <c r="AQ2" s="3" t="str">
        <f t="shared" ref="AQ2:AQ65" si="2">IF(ISERROR(I2-H2),"-",I2-H2)</f>
        <v>-</v>
      </c>
      <c r="AR2" s="3">
        <f t="shared" ref="AR2:AR65" si="3">IF(ISERROR(L2-K2),"-",L2-K2)</f>
        <v>3</v>
      </c>
      <c r="AS2" s="3">
        <f t="shared" ref="AS2:AS65" si="4">IF(ISERROR(O2-N2),"-",O2-N2)</f>
        <v>1</v>
      </c>
      <c r="AT2" s="3">
        <f t="shared" ref="AT2:AT65" si="5">IF(ISERROR(R2-Q2),"-",R2-Q2)</f>
        <v>1</v>
      </c>
      <c r="AU2" s="3">
        <f t="shared" ref="AU2:AU65" si="6">IF(ISERROR(U2-T2),"-",U2-T2)</f>
        <v>1</v>
      </c>
      <c r="AV2" s="3">
        <f t="shared" ref="AV2:AV65" si="7">IF(ISERROR(X2-W2),"-",X2-W2)</f>
        <v>13</v>
      </c>
      <c r="AW2" s="3">
        <f t="shared" ref="AW2:AW65" si="8">IF(ISERROR(AA2-Z2),"-",AA2-Z2)</f>
        <v>6</v>
      </c>
      <c r="AX2" s="3">
        <f t="shared" ref="AX2:AX65" si="9">IF(ISERROR(AD2-AC2),"-",AD2-AC2)</f>
        <v>4</v>
      </c>
      <c r="AY2" s="3">
        <f t="shared" ref="AY2:AY65" si="10">IF(ISERROR(AG2-AF2),"-",AG2-AF2)</f>
        <v>4</v>
      </c>
      <c r="AZ2" s="3">
        <f t="shared" ref="AZ2:AZ65" si="11">IF(ISERROR(AJ2-AI2),"-",AJ2-AI2)</f>
        <v>1</v>
      </c>
      <c r="BA2" s="3">
        <f>IF(ISERROR(LEN(VLOOKUP(A2,Seqs!A:E,2,FALSE))-AL2),"-",LEN(VLOOKUP(A2,Seqs!A:E,2,FALSE))-AL2)</f>
        <v>27</v>
      </c>
      <c r="BB2" s="16">
        <f t="shared" ref="BB2:BB65" si="12">J2-D2</f>
        <v>28</v>
      </c>
      <c r="BC2" s="9">
        <f t="shared" ref="BC2:BC65" si="13">IF(ISERROR(V2-S2),"-",V2-S2)</f>
        <v>19</v>
      </c>
      <c r="BD2" s="3">
        <f t="shared" ref="BD2:BD65" si="14">J2-D2</f>
        <v>28</v>
      </c>
      <c r="BE2" s="3">
        <f t="shared" ref="BE2:BE65" si="15">AE2-AB2</f>
        <v>48</v>
      </c>
      <c r="BF2" s="3">
        <f>AH2-AE2</f>
        <v>44</v>
      </c>
    </row>
    <row r="3" spans="1:59" s="3" customFormat="1" x14ac:dyDescent="0.2">
      <c r="A3" s="3" t="s">
        <v>185</v>
      </c>
      <c r="B3" s="3" t="str">
        <f>LOWER(VLOOKUP(A3,Xtal_Templ!A:B,2,FALSE))</f>
        <v>ccr2_human</v>
      </c>
      <c r="C3" s="3">
        <f>VLOOKUP($A3,'SegEnds_NonXtal_BW#'!$A:$Z,3,FALSE)+D3-50</f>
        <v>34</v>
      </c>
      <c r="D3" s="3">
        <v>57</v>
      </c>
      <c r="E3" s="3">
        <f>IF(ISERROR(VLOOKUP($A3,'SegEnds_NonXtal_BW#'!$A:$Z,4,FALSE)+VLOOKUP($A3,A:AL,4,FALSE)-50),"-",(VLOOKUP($A3,'SegEnds_NonXtal_BW#'!$A:$Z,4,FALSE)+VLOOKUP($A3,A:AL,4,FALSE)-50))</f>
        <v>67</v>
      </c>
      <c r="F3" s="3">
        <f>G3-2</f>
        <v>68</v>
      </c>
      <c r="G3" s="3">
        <v>70</v>
      </c>
      <c r="H3" s="3">
        <f>G3+1</f>
        <v>71</v>
      </c>
      <c r="I3" s="3">
        <f>H3+1</f>
        <v>72</v>
      </c>
      <c r="J3" s="3">
        <v>85</v>
      </c>
      <c r="K3" s="3">
        <f>VLOOKUP($A3,'SegEnds_NonXtal_BW#'!$A:$Z,8,FALSE)+VLOOKUP($A3,A:AL,10,FALSE)-50</f>
        <v>101</v>
      </c>
      <c r="L3" s="3">
        <f>M3-1</f>
        <v>102</v>
      </c>
      <c r="M3" s="3">
        <v>103</v>
      </c>
      <c r="N3" s="3">
        <f>M3+2</f>
        <v>105</v>
      </c>
      <c r="O3" s="3">
        <f>N3+1</f>
        <v>106</v>
      </c>
      <c r="P3" s="3">
        <v>135</v>
      </c>
      <c r="Q3" s="3">
        <f>VLOOKUP($A3,'SegEnds_NonXtal_BW#'!$A:$Z,12,FALSE)+VLOOKUP($A3,A:AL,16,FALSE)-50</f>
        <v>141</v>
      </c>
      <c r="R3" s="3">
        <f>IF(ISERROR(VLOOKUP($A3,'SegEnds_NonXtal_BW#'!$A:$Z,13,FALSE)+VLOOKUP($A3,A:AL,19,FALSE)-50),"-",VLOOKUP($A3,'SegEnds_NonXtal_BW#'!$A:$Z,13,FALSE)+VLOOKUP($A3,A:AL,19,FALSE)-50)</f>
        <v>142</v>
      </c>
      <c r="S3" s="3">
        <v>142</v>
      </c>
      <c r="T3" s="103">
        <f>IF(ISERROR(VLOOKUP($A3,'SegEnds_NonXtal_BW#'!$A:$Z,14,FALSE)+VLOOKUP($A3,A:AL,19,FALSE)-50),"-",(VLOOKUP($A3,'SegEnds_NonXtal_BW#'!$A:$Z,14,FALSE)+VLOOKUP($A3,A:AL,19,FALSE)-50))</f>
        <v>148</v>
      </c>
      <c r="U3" s="9">
        <f>IF(ISERROR(VLOOKUP($A3,'SegEnds_NonXtal_BW#'!$A:$Z,15,FALSE)+VLOOKUP($A3,A:AL,22,FALSE)-50),"-",VLOOKUP($A3,'SegEnds_NonXtal_BW#'!$A:$Z,15,FALSE)+VLOOKUP($A3,A:AL,22,FALSE)-50)</f>
        <v>149</v>
      </c>
      <c r="V3" s="3">
        <v>161</v>
      </c>
      <c r="W3" s="3">
        <f>IF(ISERROR(VLOOKUP($A3,'SegEnds_NonXtal_BW#'!$A:$Z,16,FALSE)+VLOOKUP($A3,A:AL,22,FALSE)-50),"-",(VLOOKUP($A3,'SegEnds_NonXtal_BW#'!$A:$Z,16,FALSE)+VLOOKUP($A3,A:AL,22,FALSE)-50))</f>
        <v>175</v>
      </c>
      <c r="X3" s="3">
        <f>IF(ISERROR(VLOOKUP($A3,'SegEnds_NonXtal_BW#'!$A:$Z,17,FALSE)+VLOOKUP($A3,A:AL,25,FALSE)-50),"-",(VLOOKUP($A3,'SegEnds_NonXtal_BW#'!$A:$Z,17,FALSE)+VLOOKUP($A3,A:AL,25,FALSE)-50))</f>
        <v>187</v>
      </c>
      <c r="Y3" s="3">
        <v>187</v>
      </c>
      <c r="Z3" s="3">
        <f>Y3+2</f>
        <v>189</v>
      </c>
      <c r="AA3" s="3">
        <f>IF(ISERROR(VLOOKUP($A3,'SegEnds_NonXtal_BW#'!$A:$Z,19,FALSE)+VLOOKUP($A3,A:AL,28,FALSE)-50),"-",(VLOOKUP($A3,'SegEnds_NonXtal_BW#'!$A:$Z,19,FALSE)+VLOOKUP($A3,A:AL,28,FALSE)-50))</f>
        <v>195</v>
      </c>
      <c r="AB3" s="3">
        <v>214</v>
      </c>
      <c r="AC3" s="3">
        <f>IF(ISERROR((VLOOKUP($A3,'SegEnds_NonXtal_BW#'!$A:$Z,20,FALSE)+VLOOKUP($A3,A:AL,28,FALSE)-50)),"-",(VLOOKUP($A3,'SegEnds_NonXtal_BW#'!$A:$Z,20,FALSE)+VLOOKUP($A3,A:AL,28,FALSE)-50))</f>
        <v>232</v>
      </c>
      <c r="AD3" s="3">
        <f>IF(ISERROR(VLOOKUP($A3,'SegEnds_NonXtal_BW#'!$A:$Z,21,FALSE)+VLOOKUP($A3,A:AL,31,FALSE)-50),"-",(VLOOKUP($A3,'SegEnds_NonXtal_BW#'!$A:$Z,21,FALSE)+VLOOKUP($A3,A:AL,31,FALSE)-50))</f>
        <v>237</v>
      </c>
      <c r="AE3" s="3">
        <v>257</v>
      </c>
      <c r="AF3" s="3">
        <f>IF(ISERROR((VLOOKUP($A3,'SegEnds_NonXtal_BW#'!$A:$Z,22,FALSE)+VLOOKUP($A3,A:AL,31,FALSE)-50)),"-",(VLOOKUP($A3,'SegEnds_NonXtal_BW#'!$A:$Z,22,FALSE)+VLOOKUP($A3,A:AL,31,FALSE)-50))</f>
        <v>271</v>
      </c>
      <c r="AG3" s="3">
        <f>IF(ISERROR(VLOOKUP($A3,'SegEnds_NonXtal_BW#'!$A:$Z,23,FALSE)+VLOOKUP($A3,A:AL,34,FALSE)-50),"-",(VLOOKUP($A3,'SegEnds_NonXtal_BW#'!$A:$Z,23,FALSE)+VLOOKUP($A3,A:AL,34,FALSE)-50))</f>
        <v>276</v>
      </c>
      <c r="AH3" s="3">
        <v>302</v>
      </c>
      <c r="AI3" s="3">
        <f>IF(ISERROR((VLOOKUP($A3,'SegEnds_NonXtal_BW#'!$A:$Z,24,FALSE)+VLOOKUP($A3,A:AL,34,FALSE)-50)),"-",(VLOOKUP($A3,'SegEnds_NonXtal_BW#'!$A:$Z,24,FALSE)+VLOOKUP($A3,A:AL,34,FALSE)-50))</f>
        <v>308</v>
      </c>
      <c r="AJ3" s="3">
        <f>IF(ISERROR(VLOOKUP($A3,'SegEnds_NonXtal_BW#'!$A:$Z,25,FALSE)+VLOOKUP($A3,A:AL,37,FALSE)-50),"-",(VLOOKUP($A3,'SegEnds_NonXtal_BW#'!$A:$Z,25,FALSE)+VLOOKUP($A3,A:AL,37,FALSE)-50))</f>
        <v>309</v>
      </c>
      <c r="AK3" s="3">
        <v>312</v>
      </c>
      <c r="AL3" s="3">
        <f>IF(ISERROR((VLOOKUP($A3,'SegEnds_NonXtal_BW#'!$A:$Z,26,FALSE)+VLOOKUP($A3,A:AL,37,FALSE)-50)),"-",(VLOOKUP($A3,'SegEnds_NonXtal_BW#'!$A:$Z,26,FALSE)+VLOOKUP($A3,A:AL,37,FALSE)-50))</f>
        <v>320</v>
      </c>
      <c r="AM3" s="28" t="str">
        <f>VLOOKUP(A3,Classification!A:B,2,FALSE)</f>
        <v>A</v>
      </c>
      <c r="AN3" s="28" t="b">
        <f t="shared" si="0"/>
        <v>1</v>
      </c>
      <c r="AO3" s="3" t="str">
        <f>IF(ISERROR(MATCH(A3,'SegEnds_Xtal_Prot#'!B:B, 0)), "NoXtal", "Xtal")</f>
        <v>NoXtal</v>
      </c>
      <c r="AP3" s="3">
        <f t="shared" si="1"/>
        <v>1</v>
      </c>
      <c r="AQ3" s="3">
        <f t="shared" si="2"/>
        <v>1</v>
      </c>
      <c r="AR3" s="3">
        <f t="shared" si="3"/>
        <v>1</v>
      </c>
      <c r="AS3" s="3">
        <f t="shared" si="4"/>
        <v>1</v>
      </c>
      <c r="AT3" s="3">
        <f t="shared" si="5"/>
        <v>1</v>
      </c>
      <c r="AU3" s="3">
        <f t="shared" si="6"/>
        <v>1</v>
      </c>
      <c r="AV3" s="3">
        <f t="shared" si="7"/>
        <v>12</v>
      </c>
      <c r="AW3" s="3">
        <f t="shared" si="8"/>
        <v>6</v>
      </c>
      <c r="AX3" s="3">
        <f t="shared" si="9"/>
        <v>5</v>
      </c>
      <c r="AY3" s="3">
        <f t="shared" si="10"/>
        <v>5</v>
      </c>
      <c r="AZ3" s="3">
        <f t="shared" si="11"/>
        <v>1</v>
      </c>
      <c r="BA3" s="3">
        <f>IF(ISERROR(LEN(VLOOKUP(A3,Seqs!A:E,2,FALSE))-AL3),"-",LEN(VLOOKUP(A3,Seqs!A:E,2,FALSE))-AL3)</f>
        <v>30</v>
      </c>
      <c r="BB3" s="16">
        <f t="shared" si="12"/>
        <v>28</v>
      </c>
      <c r="BC3" s="9">
        <f t="shared" si="13"/>
        <v>19</v>
      </c>
      <c r="BD3" s="3">
        <f t="shared" si="14"/>
        <v>28</v>
      </c>
      <c r="BE3" s="3">
        <f t="shared" si="15"/>
        <v>43</v>
      </c>
      <c r="BF3" s="3">
        <f>AH3-AE3</f>
        <v>45</v>
      </c>
    </row>
    <row r="4" spans="1:59" s="3" customFormat="1" x14ac:dyDescent="0.2">
      <c r="A4" s="3" t="s">
        <v>186</v>
      </c>
      <c r="B4" s="3" t="str">
        <f>LOWER(VLOOKUP(A4,Xtal_Templ!A:B,2,FALSE))</f>
        <v>ccr9_human</v>
      </c>
      <c r="C4" s="3">
        <f>VLOOKUP($A4,'SegEnds_NonXtal_BW#'!$A:$Z,3,FALSE)+D4-50</f>
        <v>43</v>
      </c>
      <c r="D4" s="3">
        <v>66</v>
      </c>
      <c r="E4" s="3">
        <f>IF(ISERROR(VLOOKUP($A4,'SegEnds_NonXtal_BW#'!$A:$Z,4,FALSE)+VLOOKUP($A4,A:AL,4,FALSE)-50),"-",(VLOOKUP($A4,'SegEnds_NonXtal_BW#'!$A:$Z,4,FALSE)+VLOOKUP($A4,A:AL,4,FALSE)-50))</f>
        <v>76</v>
      </c>
      <c r="F4" s="3">
        <f>G4-2</f>
        <v>77</v>
      </c>
      <c r="G4" s="3">
        <v>79</v>
      </c>
      <c r="H4" s="3">
        <f>G4+1</f>
        <v>80</v>
      </c>
      <c r="I4" s="3">
        <f>H4+1</f>
        <v>81</v>
      </c>
      <c r="J4" s="3">
        <v>94</v>
      </c>
      <c r="K4" s="3">
        <f>VLOOKUP($A4,'SegEnds_NonXtal_BW#'!$A:$Z,8,FALSE)+VLOOKUP($A4,A:AL,10,FALSE)-50</f>
        <v>110</v>
      </c>
      <c r="L4" s="3">
        <f>M4-1</f>
        <v>111</v>
      </c>
      <c r="M4" s="3">
        <v>112</v>
      </c>
      <c r="N4" s="3">
        <f>M4+2</f>
        <v>114</v>
      </c>
      <c r="O4" s="3">
        <f>N4+1</f>
        <v>115</v>
      </c>
      <c r="P4" s="3">
        <v>144</v>
      </c>
      <c r="Q4" s="3">
        <f>VLOOKUP($A4,'SegEnds_NonXtal_BW#'!$A:$Z,12,FALSE)+VLOOKUP($A4,A:AL,16,FALSE)-50</f>
        <v>150</v>
      </c>
      <c r="R4" s="3">
        <f>IF(ISERROR(VLOOKUP($A4,'SegEnds_NonXtal_BW#'!$A:$Z,13,FALSE)+VLOOKUP($A4,A:AL,19,FALSE)-50),"-",VLOOKUP($A4,'SegEnds_NonXtal_BW#'!$A:$Z,13,FALSE)+VLOOKUP($A4,A:AL,19,FALSE)-50)</f>
        <v>151</v>
      </c>
      <c r="S4" s="3">
        <v>151</v>
      </c>
      <c r="T4" s="103">
        <f>IF(ISERROR(VLOOKUP($A4,'SegEnds_NonXtal_BW#'!$A:$Z,14,FALSE)+VLOOKUP($A4,A:AL,19,FALSE)-50),"-",(VLOOKUP($A4,'SegEnds_NonXtal_BW#'!$A:$Z,14,FALSE)+VLOOKUP($A4,A:AL,19,FALSE)-50))</f>
        <v>157</v>
      </c>
      <c r="U4" s="9">
        <f>IF(ISERROR(VLOOKUP($A4,'SegEnds_NonXtal_BW#'!$A:$Z,15,FALSE)+VLOOKUP($A4,A:AL,22,FALSE)-50),"-",VLOOKUP($A4,'SegEnds_NonXtal_BW#'!$A:$Z,15,FALSE)+VLOOKUP($A4,A:AL,22,FALSE)-50)</f>
        <v>158</v>
      </c>
      <c r="V4" s="3">
        <v>170</v>
      </c>
      <c r="W4" s="3">
        <f>IF(ISERROR(VLOOKUP($A4,'SegEnds_NonXtal_BW#'!$A:$Z,16,FALSE)+VLOOKUP($A4,A:AL,22,FALSE)-50),"-",(VLOOKUP($A4,'SegEnds_NonXtal_BW#'!$A:$Z,16,FALSE)+VLOOKUP($A4,A:AL,22,FALSE)-50))</f>
        <v>184</v>
      </c>
      <c r="X4" s="3">
        <f>IF(ISERROR(VLOOKUP($A4,'SegEnds_NonXtal_BW#'!$A:$Z,17,FALSE)+VLOOKUP($A4,A:AL,25,FALSE)-50),"-",(VLOOKUP($A4,'SegEnds_NonXtal_BW#'!$A:$Z,17,FALSE)+VLOOKUP($A4,A:AL,25,FALSE)-50))</f>
        <v>196</v>
      </c>
      <c r="Y4" s="3">
        <v>196</v>
      </c>
      <c r="Z4" s="3">
        <f>Y4+2</f>
        <v>198</v>
      </c>
      <c r="AA4" s="3">
        <f>IF(ISERROR(VLOOKUP($A4,'SegEnds_NonXtal_BW#'!$A:$Z,19,FALSE)+VLOOKUP($A4,A:AL,28,FALSE)-50),"-",(VLOOKUP($A4,'SegEnds_NonXtal_BW#'!$A:$Z,19,FALSE)+VLOOKUP($A4,A:AL,28,FALSE)-50))</f>
        <v>206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241</v>
      </c>
      <c r="AD4" s="3">
        <f>IF(ISERROR(VLOOKUP($A4,'SegEnds_NonXtal_BW#'!$A:$Z,21,FALSE)+VLOOKUP($A4,A:AL,31,FALSE)-50),"-",(VLOOKUP($A4,'SegEnds_NonXtal_BW#'!$A:$Z,21,FALSE)+VLOOKUP($A4,A:AL,31,FALSE)-50))</f>
        <v>246</v>
      </c>
      <c r="AE4" s="3">
        <v>266</v>
      </c>
      <c r="AF4" s="3">
        <f>IF(ISERROR((VLOOKUP($A4,'SegEnds_NonXtal_BW#'!$A:$Z,22,FALSE)+VLOOKUP($A4,A:AL,31,FALSE)-50)),"-",(VLOOKUP($A4,'SegEnds_NonXtal_BW#'!$A:$Z,22,FALSE)+VLOOKUP($A4,A:AL,31,FALSE)-50))</f>
        <v>280</v>
      </c>
      <c r="AG4" s="3">
        <f>IF(ISERROR(VLOOKUP($A4,'SegEnds_NonXtal_BW#'!$A:$Z,23,FALSE)+VLOOKUP($A4,A:AL,34,FALSE)-50),"-",(VLOOKUP($A4,'SegEnds_NonXtal_BW#'!$A:$Z,23,FALSE)+VLOOKUP($A4,A:AL,34,FALSE)-50))</f>
        <v>285</v>
      </c>
      <c r="AH4" s="3">
        <v>311</v>
      </c>
      <c r="AI4" s="3">
        <f>IF(ISERROR((VLOOKUP($A4,'SegEnds_NonXtal_BW#'!$A:$Z,24,FALSE)+VLOOKUP($A4,A:AL,34,FALSE)-50)),"-",(VLOOKUP($A4,'SegEnds_NonXtal_BW#'!$A:$Z,24,FALSE)+VLOOKUP($A4,A:AL,34,FALSE)-50))</f>
        <v>317</v>
      </c>
      <c r="AJ4" s="3">
        <f>IF(ISERROR(VLOOKUP($A4,'SegEnds_NonXtal_BW#'!$A:$Z,25,FALSE)+VLOOKUP($A4,A:AL,37,FALSE)-50),"-",(VLOOKUP($A4,'SegEnds_NonXtal_BW#'!$A:$Z,25,FALSE)+VLOOKUP($A4,A:AL,37,FALSE)-50))</f>
        <v>318</v>
      </c>
      <c r="AK4" s="3">
        <v>321</v>
      </c>
      <c r="AL4" s="3">
        <f>IF(ISERROR((VLOOKUP($A4,'SegEnds_NonXtal_BW#'!$A:$Z,26,FALSE)+VLOOKUP($A4,A:AL,37,FALSE)-50)),"-",(VLOOKUP($A4,'SegEnds_NonXtal_BW#'!$A:$Z,26,FALSE)+VLOOKUP($A4,A:AL,37,FALSE)-50))</f>
        <v>338</v>
      </c>
      <c r="AM4" s="28" t="str">
        <f>VLOOKUP(A4,Classification!A:B,2,FALSE)</f>
        <v>A</v>
      </c>
      <c r="AN4" s="28" t="b">
        <f t="shared" si="0"/>
        <v>1</v>
      </c>
      <c r="AO4" s="3" t="str">
        <f>IF(ISERROR(MATCH(A4,'SegEnds_Xtal_Prot#'!B:B, 0)), "NoXtal", "Xtal")</f>
        <v>NoXtal</v>
      </c>
      <c r="AP4" s="3">
        <f t="shared" si="1"/>
        <v>1</v>
      </c>
      <c r="AQ4" s="3">
        <f t="shared" si="2"/>
        <v>1</v>
      </c>
      <c r="AR4" s="3">
        <f t="shared" si="3"/>
        <v>1</v>
      </c>
      <c r="AS4" s="3">
        <f t="shared" si="4"/>
        <v>1</v>
      </c>
      <c r="AT4" s="3">
        <f t="shared" si="5"/>
        <v>1</v>
      </c>
      <c r="AU4" s="3">
        <f t="shared" si="6"/>
        <v>1</v>
      </c>
      <c r="AV4" s="3">
        <f t="shared" si="7"/>
        <v>12</v>
      </c>
      <c r="AW4" s="3">
        <f t="shared" si="8"/>
        <v>8</v>
      </c>
      <c r="AX4" s="3">
        <f t="shared" si="9"/>
        <v>5</v>
      </c>
      <c r="AY4" s="3">
        <f t="shared" si="10"/>
        <v>5</v>
      </c>
      <c r="AZ4" s="3">
        <f t="shared" si="11"/>
        <v>1</v>
      </c>
      <c r="BA4" s="3">
        <f>IF(ISERROR(LEN(VLOOKUP(A4,Seqs!A:E,2,FALSE))-AL4),"-",LEN(VLOOKUP(A4,Seqs!A:E,2,FALSE))-AL4)</f>
        <v>22</v>
      </c>
      <c r="BB4" s="16">
        <f t="shared" si="12"/>
        <v>28</v>
      </c>
      <c r="BC4" s="9">
        <f t="shared" si="13"/>
        <v>19</v>
      </c>
      <c r="BD4" s="3">
        <f t="shared" si="14"/>
        <v>28</v>
      </c>
      <c r="BE4" s="3">
        <f t="shared" si="15"/>
        <v>43</v>
      </c>
    </row>
    <row r="5" spans="1:59" s="3" customFormat="1" x14ac:dyDescent="0.2">
      <c r="A5" s="3" t="s">
        <v>216</v>
      </c>
      <c r="B5" s="3" t="str">
        <f>LOWER(VLOOKUP(A5,Xtal_Templ!A:B,2,FALSE))</f>
        <v>ntr1_rat</v>
      </c>
      <c r="C5" s="3">
        <f>VLOOKUP($A5,'SegEnds_NonXtal_BW#'!$A:$Z,3,FALSE)+D5-50</f>
        <v>23</v>
      </c>
      <c r="D5" s="3">
        <v>44</v>
      </c>
      <c r="E5" s="3">
        <f>IF(ISERROR(VLOOKUP($A5,'SegEnds_NonXtal_BW#'!$A:$Z,4,FALSE)+VLOOKUP($A5,A:AL,4,FALSE)-50),"-",(VLOOKUP($A5,'SegEnds_NonXtal_BW#'!$A:$Z,4,FALSE)+VLOOKUP($A5,A:AL,4,FALSE)-50))</f>
        <v>54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60</v>
      </c>
      <c r="J5" s="3">
        <v>73</v>
      </c>
      <c r="K5" s="3">
        <f>VLOOKUP($A5,'SegEnds_NonXtal_BW#'!$A:$Z,8,FALSE)+VLOOKUP($A5,A:AL,10,FALSE)-50</f>
        <v>90</v>
      </c>
      <c r="L5" s="3" t="s">
        <v>23</v>
      </c>
      <c r="M5" s="3" t="s">
        <v>23</v>
      </c>
      <c r="N5" s="3" t="s">
        <v>23</v>
      </c>
      <c r="O5" s="3">
        <f>VLOOKUP($A5,'SegEnds_NonXtal_BW#'!$A:$Z,11,FALSE)+VLOOKUP($A5,A:AL,16,FALSE)-50</f>
        <v>94</v>
      </c>
      <c r="P5" s="3">
        <v>126</v>
      </c>
      <c r="Q5" s="3">
        <f>VLOOKUP($A5,'SegEnds_NonXtal_BW#'!$A:$Z,12,FALSE)+VLOOKUP($A5,A:AL,16,FALSE)-50</f>
        <v>132</v>
      </c>
      <c r="R5" s="3">
        <f>IF(ISERROR(VLOOKUP($A5,'SegEnds_NonXtal_BW#'!$A:$Z,13,FALSE)+VLOOKUP($A5,A:AL,19,FALSE)-50),"-",VLOOKUP($A5,'SegEnds_NonXtal_BW#'!$A:$Z,13,FALSE)+VLOOKUP($A5,A:AL,19,FALSE)-50)</f>
        <v>133</v>
      </c>
      <c r="S5" s="3">
        <v>133</v>
      </c>
      <c r="T5" s="103">
        <f>IF(ISERROR(VLOOKUP($A5,'SegEnds_NonXtal_BW#'!$A:$Z,14,FALSE)+VLOOKUP($A5,A:AL,19,FALSE)-50),"-",(VLOOKUP($A5,'SegEnds_NonXtal_BW#'!$A:$Z,14,FALSE)+VLOOKUP($A5,A:AL,19,FALSE)-50))</f>
        <v>139</v>
      </c>
      <c r="U5" s="9">
        <f>IF(ISERROR(VLOOKUP($A5,'SegEnds_NonXtal_BW#'!$A:$Z,15,FALSE)+VLOOKUP($A5,A:AL,22,FALSE)-50),"-",VLOOKUP($A5,'SegEnds_NonXtal_BW#'!$A:$Z,15,FALSE)+VLOOKUP($A5,A:AL,22,FALSE)-50)</f>
        <v>140</v>
      </c>
      <c r="V5" s="3">
        <v>152</v>
      </c>
      <c r="W5" s="3">
        <f>IF(ISERROR(VLOOKUP($A5,'SegEnds_NonXtal_BW#'!$A:$Z,16,FALSE)+VLOOKUP($A5,A:AL,22,FALSE)-50),"-",(VLOOKUP($A5,'SegEnds_NonXtal_BW#'!$A:$Z,16,FALSE)+VLOOKUP($A5,A:AL,22,FALSE)-50))</f>
        <v>166</v>
      </c>
      <c r="X5" s="3" t="str">
        <f>IF(ISERROR(VLOOKUP($A5,'SegEnds_NonXtal_BW#'!$A:$Z,17,FALSE)+VLOOKUP($A5,A:AL,25,FALSE)-50),"-",(VLOOKUP($A5,'SegEnds_NonXtal_BW#'!$A:$Z,17,FALSE)+VLOOKUP($A5,A:AL,25,FALSE)-50))</f>
        <v>-</v>
      </c>
      <c r="Y5" s="3" t="s">
        <v>23</v>
      </c>
      <c r="Z5" s="3" t="str">
        <f>IF(ISERROR(VLOOKUP($A5,'SegEnds_NonXtal_BW#'!$A:$Z,18,FALSE)+VLOOKUP($A5,A:AL,25,FALSE)-50),"-",(VLOOKUP($A5,'SegEnds_NonXtal_BW#'!$A:$Z,18,FALSE)+VLOOKUP($A5,A:AL,25,FALSE)-50))</f>
        <v>-</v>
      </c>
      <c r="AA5" s="3">
        <f>IF(ISERROR(VLOOKUP($A5,'SegEnds_NonXtal_BW#'!$A:$Z,19,FALSE)+VLOOKUP($A5,A:AL,28,FALSE)-50),"-",(VLOOKUP($A5,'SegEnds_NonXtal_BW#'!$A:$Z,19,FALSE)+VLOOKUP($A5,A:AL,28,FALSE)-50))</f>
        <v>177</v>
      </c>
      <c r="AB5" s="3">
        <v>195</v>
      </c>
      <c r="AC5" s="3">
        <f>IF(ISERROR((VLOOKUP($A5,'SegEnds_NonXtal_BW#'!$A:$Z,20,FALSE)+VLOOKUP($A5,A:AL,28,FALSE)-50)),"-",(VLOOKUP($A5,'SegEnds_NonXtal_BW#'!$A:$Z,20,FALSE)+VLOOKUP($A5,A:AL,28,FALSE)-50))</f>
        <v>213</v>
      </c>
      <c r="AD5" s="3">
        <f>IF(ISERROR(VLOOKUP($A5,'SegEnds_NonXtal_BW#'!$A:$Z,21,FALSE)+VLOOKUP($A5,A:AL,31,FALSE)-50),"-",(VLOOKUP($A5,'SegEnds_NonXtal_BW#'!$A:$Z,21,FALSE)+VLOOKUP($A5,A:AL,31,FALSE)-50))</f>
        <v>217</v>
      </c>
      <c r="AE5" s="3">
        <v>243</v>
      </c>
      <c r="AF5" s="3">
        <f>IF(ISERROR((VLOOKUP($A5,'SegEnds_NonXtal_BW#'!$A:$Z,22,FALSE)+VLOOKUP($A5,A:AL,31,FALSE)-50)),"-",(VLOOKUP($A5,'SegEnds_NonXtal_BW#'!$A:$Z,22,FALSE)+VLOOKUP($A5,A:AL,31,FALSE)-50))</f>
        <v>254</v>
      </c>
      <c r="AG5" s="3">
        <f>IF(ISERROR(VLOOKUP($A5,'SegEnds_NonXtal_BW#'!$A:$Z,23,FALSE)+VLOOKUP($A5,A:AL,34,FALSE)-50),"-",(VLOOKUP($A5,'SegEnds_NonXtal_BW#'!$A:$Z,23,FALSE)+VLOOKUP($A5,A:AL,34,FALSE)-50))</f>
        <v>260</v>
      </c>
      <c r="AH5" s="3">
        <v>282</v>
      </c>
      <c r="AI5" s="3">
        <f>IF(ISERROR((VLOOKUP($A5,'SegEnds_NonXtal_BW#'!$A:$Z,24,FALSE)+VLOOKUP($A5,A:AL,34,FALSE)-50)),"-",(VLOOKUP($A5,'SegEnds_NonXtal_BW#'!$A:$Z,24,FALSE)+VLOOKUP($A5,A:AL,34,FALSE)-50))</f>
        <v>288</v>
      </c>
      <c r="AJ5" s="3">
        <f>IF(ISERROR(VLOOKUP($A5,'SegEnds_NonXtal_BW#'!$A:$Z,25,FALSE)+VLOOKUP($A5,A:AL,37,FALSE)-50),"-",(VLOOKUP($A5,'SegEnds_NonXtal_BW#'!$A:$Z,25,FALSE)+VLOOKUP($A5,A:AL,37,FALSE)-50))</f>
        <v>289</v>
      </c>
      <c r="AK5" s="3">
        <v>292</v>
      </c>
      <c r="AL5" s="3">
        <f>IF(ISERROR((VLOOKUP($A5,'SegEnds_NonXtal_BW#'!$A:$Z,26,FALSE)+VLOOKUP($A5,A:AL,37,FALSE)-50)),"-",(VLOOKUP($A5,'SegEnds_NonXtal_BW#'!$A:$Z,26,FALSE)+VLOOKUP($A5,A:AL,37,FALSE)-50))</f>
        <v>300</v>
      </c>
      <c r="AM5" s="28" t="str">
        <f>VLOOKUP(A5,Classification!A:B,2,FALSE)</f>
        <v>A</v>
      </c>
      <c r="AN5" s="28" t="b">
        <f t="shared" si="0"/>
        <v>1</v>
      </c>
      <c r="AO5" s="3" t="str">
        <f>IF(ISERROR(MATCH(A5,'SegEnds_Xtal_Prot#'!B:B, 0)), "NoXtal", "Xtal")</f>
        <v>NoXtal</v>
      </c>
      <c r="AP5" s="3" t="str">
        <f t="shared" si="1"/>
        <v>-</v>
      </c>
      <c r="AQ5" s="3" t="str">
        <f t="shared" si="2"/>
        <v>-</v>
      </c>
      <c r="AR5" s="3" t="str">
        <f t="shared" si="3"/>
        <v>-</v>
      </c>
      <c r="AS5" s="3" t="str">
        <f t="shared" si="4"/>
        <v>-</v>
      </c>
      <c r="AT5" s="3">
        <f t="shared" si="5"/>
        <v>1</v>
      </c>
      <c r="AU5" s="3">
        <f t="shared" si="6"/>
        <v>1</v>
      </c>
      <c r="AV5" s="3" t="str">
        <f t="shared" si="7"/>
        <v>-</v>
      </c>
      <c r="AW5" s="3" t="str">
        <f t="shared" si="8"/>
        <v>-</v>
      </c>
      <c r="AX5" s="3">
        <f t="shared" si="9"/>
        <v>4</v>
      </c>
      <c r="AY5" s="3">
        <f t="shared" si="10"/>
        <v>6</v>
      </c>
      <c r="AZ5" s="3">
        <f t="shared" si="11"/>
        <v>1</v>
      </c>
      <c r="BA5" s="3">
        <f>IF(ISERROR(LEN(VLOOKUP(A5,Seqs!A:E,2,FALSE))-AL5),"-",LEN(VLOOKUP(A5,Seqs!A:E,2,FALSE))-AL5)</f>
        <v>53</v>
      </c>
      <c r="BB5" s="16">
        <f t="shared" si="12"/>
        <v>29</v>
      </c>
      <c r="BC5" s="9">
        <f t="shared" si="13"/>
        <v>19</v>
      </c>
      <c r="BD5" s="3">
        <f t="shared" si="14"/>
        <v>29</v>
      </c>
      <c r="BE5" s="3">
        <f t="shared" si="15"/>
        <v>48</v>
      </c>
    </row>
    <row r="6" spans="1:59" s="3" customFormat="1" x14ac:dyDescent="0.2">
      <c r="A6" s="3" t="s">
        <v>218</v>
      </c>
      <c r="B6" s="3" t="str">
        <f>LOWER(VLOOKUP(A6,Xtal_Templ!A:B,2,FALSE))</f>
        <v>5ht2b_human</v>
      </c>
      <c r="C6" s="3">
        <f>VLOOKUP($A6,'SegEnds_NonXtal_BW#'!$A:$Z,3,FALSE)+D6-50</f>
        <v>156</v>
      </c>
      <c r="D6" s="3">
        <v>174</v>
      </c>
      <c r="E6" s="3">
        <f>IF(ISERROR(VLOOKUP($A6,'SegEnds_NonXtal_BW#'!$A:$Z,4,FALSE)+VLOOKUP($A6,A:AL,4,FALSE)-50),"-",(VLOOKUP($A6,'SegEnds_NonXtal_BW#'!$A:$Z,4,FALSE)+VLOOKUP($A6,A:AL,4,FALSE)-50))</f>
        <v>184</v>
      </c>
      <c r="F6" s="3" t="str">
        <f>IF(ISERROR(VLOOKUP($A6,'SegEnds_NonXtal_BW#'!$A:$Z,5,FALSE)+VLOOKUP($A6,A:AL,7,FALSE)-50),"-",(VLOOKUP($A6,'SegEnds_NonXtal_BW#'!$A:$Z,5,FALSE)+VLOOKUP($A6,A:AL,7,FALSE)-50))</f>
        <v>-</v>
      </c>
      <c r="G6" s="3" t="s">
        <v>23</v>
      </c>
      <c r="H6" s="3" t="str">
        <f>IF(ISERROR(VLOOKUP($A6,'SegEnds_NonXtal_BW#'!$A:$Z,6,FALSE)+VLOOKUP($A6,A:AL,7,FALSE)-50),"-",(VLOOKUP($A6,'SegEnds_NonXtal_BW#'!$A:$Z,6,FALSE)+VLOOKUP($A6,A:AL,7,FALSE)-50))</f>
        <v>-</v>
      </c>
      <c r="I6" s="3">
        <f>VLOOKUP($A6,'SegEnds_NonXtal_BW#'!$A:$Z,7,FALSE)+J6-50</f>
        <v>190</v>
      </c>
      <c r="J6" s="3">
        <v>203</v>
      </c>
      <c r="K6" s="3">
        <f>VLOOKUP($A6,'SegEnds_NonXtal_BW#'!$A:$Z,8,FALSE)+VLOOKUP($A6,A:AL,10,FALSE)-50</f>
        <v>220</v>
      </c>
      <c r="L6" s="3" t="str">
        <f>IF(ISERROR(VLOOKUP($A6,'SegEnds_NonXtal_BW#'!$A:$Z,9,FALSE)+VLOOKUP($A6,A:AL,13,FALSE)-50),"-",(VLOOKUP($A6,'SegEnds_NonXtal_BW#'!$A:$Z,9,FALSE)+VLOOKUP($A6,A:AL,13,FALSE)-50))</f>
        <v>-</v>
      </c>
      <c r="M6" s="3" t="s">
        <v>23</v>
      </c>
      <c r="N6" s="3" t="str">
        <f>IF(ISERROR(VLOOKUP($A6,'SegEnds_NonXtal_BW#'!$A:$Z,10,FALSE)+VLOOKUP($A6,A:AL,13,FALSE)-50),"-",(VLOOKUP($A6,'SegEnds_NonXtal_BW#'!$A:$Z,10,FALSE)+VLOOKUP($A6,A:AL,13,FALSE)-50))</f>
        <v>-</v>
      </c>
      <c r="O6" s="3">
        <f>VLOOKUP($A6,'SegEnds_NonXtal_BW#'!$A:$Z,11,FALSE)+VLOOKUP($A6,A:AL,16,FALSE)-50</f>
        <v>224</v>
      </c>
      <c r="P6" s="3">
        <v>256</v>
      </c>
      <c r="Q6" s="3">
        <f>VLOOKUP($A6,'SegEnds_NonXtal_BW#'!$A:$Z,12,FALSE)+VLOOKUP($A6,A:AL,16,FALSE)-50</f>
        <v>262</v>
      </c>
      <c r="R6" s="3">
        <f>IF(ISERROR(VLOOKUP($A6,'SegEnds_NonXtal_BW#'!$A:$Z,13,FALSE)+VLOOKUP($A6,A:AL,19,FALSE)-50),"-",VLOOKUP($A6,'SegEnds_NonXtal_BW#'!$A:$Z,13,FALSE)+VLOOKUP($A6,A:AL,19,FALSE)-50)</f>
        <v>263</v>
      </c>
      <c r="S6" s="3">
        <v>263</v>
      </c>
      <c r="T6" s="103">
        <f>IF(ISERROR(VLOOKUP($A6,'SegEnds_NonXtal_BW#'!$A:$Z,14,FALSE)+VLOOKUP($A6,A:AL,19,FALSE)-50),"-",(VLOOKUP($A6,'SegEnds_NonXtal_BW#'!$A:$Z,14,FALSE)+VLOOKUP($A6,A:AL,19,FALSE)-50))</f>
        <v>269</v>
      </c>
      <c r="U6" s="9">
        <f>IF(ISERROR(VLOOKUP($A6,'SegEnds_NonXtal_BW#'!$A:$Z,15,FALSE)+VLOOKUP($A6,A:AL,22,FALSE)-50),"-",VLOOKUP($A6,'SegEnds_NonXtal_BW#'!$A:$Z,15,FALSE)+VLOOKUP($A6,A:AL,22,FALSE)-50)</f>
        <v>270</v>
      </c>
      <c r="V6" s="3">
        <v>282</v>
      </c>
      <c r="W6" s="3">
        <f>IF(ISERROR(VLOOKUP($A6,'SegEnds_NonXtal_BW#'!$A:$Z,16,FALSE)+VLOOKUP($A6,A:AL,22,FALSE)-50),"-",(VLOOKUP($A6,'SegEnds_NonXtal_BW#'!$A:$Z,16,FALSE)+VLOOKUP($A6,A:AL,22,FALSE)-50))</f>
        <v>296</v>
      </c>
      <c r="X6" s="3" t="str">
        <f>IF(ISERROR(VLOOKUP($A6,'SegEnds_NonXtal_BW#'!$A:$Z,17,FALSE)+VLOOKUP($A6,A:AL,25,FALSE)-50),"-",(VLOOKUP($A6,'SegEnds_NonXtal_BW#'!$A:$Z,17,FALSE)+VLOOKUP($A6,A:AL,25,FALSE)-50))</f>
        <v>-</v>
      </c>
      <c r="Y6" s="3" t="s">
        <v>23</v>
      </c>
      <c r="Z6" s="3" t="str">
        <f>IF(ISERROR(VLOOKUP($A6,'SegEnds_NonXtal_BW#'!$A:$Z,18,FALSE)+VLOOKUP($A6,A:AL,25,FALSE)-50),"-",(VLOOKUP($A6,'SegEnds_NonXtal_BW#'!$A:$Z,18,FALSE)+VLOOKUP($A6,A:AL,25,FALSE)-50))</f>
        <v>-</v>
      </c>
      <c r="AA6" s="3">
        <f>IF(ISERROR(VLOOKUP($A6,'SegEnds_NonXtal_BW#'!$A:$Z,19,FALSE)+VLOOKUP($A6,A:AL,28,FALSE)-50),"-",(VLOOKUP($A6,'SegEnds_NonXtal_BW#'!$A:$Z,19,FALSE)+VLOOKUP($A6,A:AL,28,FALSE)-50))</f>
        <v>310</v>
      </c>
      <c r="AB6" s="3">
        <v>325</v>
      </c>
      <c r="AC6" s="3">
        <f>IF(ISERROR((VLOOKUP($A6,'SegEnds_NonXtal_BW#'!$A:$Z,20,FALSE)+VLOOKUP($A6,A:AL,28,FALSE)-50)),"-",(VLOOKUP($A6,'SegEnds_NonXtal_BW#'!$A:$Z,20,FALSE)+VLOOKUP($A6,A:AL,28,FALSE)-50))</f>
        <v>342</v>
      </c>
      <c r="AD6" s="3">
        <f>IF(ISERROR(VLOOKUP($A6,'SegEnds_NonXtal_BW#'!$A:$Z,21,FALSE)+VLOOKUP($A6,A:AL,31,FALSE)-50),"-",(VLOOKUP($A6,'SegEnds_NonXtal_BW#'!$A:$Z,21,FALSE)+VLOOKUP($A6,A:AL,31,FALSE)-50))</f>
        <v>348</v>
      </c>
      <c r="AE6" s="3">
        <v>372</v>
      </c>
      <c r="AF6" s="3">
        <f>IF(ISERROR((VLOOKUP($A6,'SegEnds_NonXtal_BW#'!$A:$Z,22,FALSE)+VLOOKUP($A6,A:AL,31,FALSE)-50)),"-",(VLOOKUP($A6,'SegEnds_NonXtal_BW#'!$A:$Z,22,FALSE)+VLOOKUP($A6,A:AL,31,FALSE)-50))</f>
        <v>383</v>
      </c>
      <c r="AG6" s="3">
        <f>IF(ISERROR(VLOOKUP($A6,'SegEnds_NonXtal_BW#'!$A:$Z,23,FALSE)+VLOOKUP($A6,A:AL,34,FALSE)-50),"-",(VLOOKUP($A6,'SegEnds_NonXtal_BW#'!$A:$Z,23,FALSE)+VLOOKUP($A6,A:AL,34,FALSE)-50))</f>
        <v>389</v>
      </c>
      <c r="AH6" s="3">
        <v>411</v>
      </c>
      <c r="AI6" s="3">
        <f>IF(ISERROR((VLOOKUP($A6,'SegEnds_NonXtal_BW#'!$A:$Z,24,FALSE)+VLOOKUP($A6,A:AL,34,FALSE)-50)),"-",(VLOOKUP($A6,'SegEnds_NonXtal_BW#'!$A:$Z,24,FALSE)+VLOOKUP($A6,A:AL,34,FALSE)-50))</f>
        <v>417</v>
      </c>
      <c r="AJ6" s="3">
        <f>IF(ISERROR(VLOOKUP($A6,'SegEnds_NonXtal_BW#'!$A:$Z,25,FALSE)+VLOOKUP($A6,A:AL,37,FALSE)-50),"-",(VLOOKUP($A6,'SegEnds_NonXtal_BW#'!$A:$Z,25,FALSE)+VLOOKUP($A6,A:AL,37,FALSE)-50))</f>
        <v>418</v>
      </c>
      <c r="AK6" s="3">
        <v>421</v>
      </c>
      <c r="AL6" s="3">
        <f>IF(ISERROR((VLOOKUP($A6,'SegEnds_NonXtal_BW#'!$A:$Z,26,FALSE)+VLOOKUP($A6,A:AL,37,FALSE)-50)),"-",(VLOOKUP($A6,'SegEnds_NonXtal_BW#'!$A:$Z,26,FALSE)+VLOOKUP($A6,A:AL,37,FALSE)-50))</f>
        <v>429</v>
      </c>
      <c r="AM6" s="28" t="str">
        <f>VLOOKUP(A6,Classification!A:B,2,FALSE)</f>
        <v>A</v>
      </c>
      <c r="AN6" s="28" t="b">
        <f t="shared" si="0"/>
        <v>1</v>
      </c>
      <c r="AO6" s="3" t="str">
        <f>IF(ISERROR(MATCH(A6,'SegEnds_Xtal_Prot#'!B:B, 0)), "NoXtal", "Xtal")</f>
        <v>NoXtal</v>
      </c>
      <c r="AP6" s="3" t="str">
        <f t="shared" si="1"/>
        <v>-</v>
      </c>
      <c r="AQ6" s="3" t="str">
        <f t="shared" si="2"/>
        <v>-</v>
      </c>
      <c r="AR6" s="3" t="str">
        <f t="shared" si="3"/>
        <v>-</v>
      </c>
      <c r="AS6" s="3" t="str">
        <f t="shared" si="4"/>
        <v>-</v>
      </c>
      <c r="AT6" s="3">
        <f t="shared" si="5"/>
        <v>1</v>
      </c>
      <c r="AU6" s="3">
        <f t="shared" si="6"/>
        <v>1</v>
      </c>
      <c r="AV6" s="3" t="str">
        <f t="shared" si="7"/>
        <v>-</v>
      </c>
      <c r="AW6" s="3" t="str">
        <f t="shared" si="8"/>
        <v>-</v>
      </c>
      <c r="AX6" s="3">
        <f t="shared" si="9"/>
        <v>6</v>
      </c>
      <c r="AY6" s="3">
        <f t="shared" si="10"/>
        <v>6</v>
      </c>
      <c r="AZ6" s="3">
        <f t="shared" si="11"/>
        <v>1</v>
      </c>
      <c r="BA6" s="3">
        <f>IF(ISERROR(LEN(VLOOKUP(A6,Seqs!A:E,2,FALSE))-AL6),"-",LEN(VLOOKUP(A6,Seqs!A:E,2,FALSE))-AL6)</f>
        <v>33</v>
      </c>
      <c r="BB6" s="16">
        <f t="shared" si="12"/>
        <v>29</v>
      </c>
      <c r="BC6" s="9">
        <f t="shared" si="13"/>
        <v>19</v>
      </c>
      <c r="BD6" s="3">
        <f t="shared" si="14"/>
        <v>29</v>
      </c>
      <c r="BE6" s="3">
        <f t="shared" si="15"/>
        <v>47</v>
      </c>
    </row>
    <row r="7" spans="1:59" s="3" customFormat="1" x14ac:dyDescent="0.2">
      <c r="A7" s="3" t="s">
        <v>223</v>
      </c>
      <c r="B7" s="3" t="str">
        <f>LOWER(VLOOKUP(A7,Xtal_Templ!A:B,2,FALSE))</f>
        <v>agtr2_human</v>
      </c>
      <c r="C7" s="3">
        <f>VLOOKUP($A7,'SegEnds_NonXtal_BW#'!$A:$Z,3,FALSE)+D7-50</f>
        <v>37</v>
      </c>
      <c r="D7" s="3">
        <v>54</v>
      </c>
      <c r="E7" s="3">
        <f>IF(ISERROR(VLOOKUP($A7,'SegEnds_NonXtal_BW#'!$A:$Z,4,FALSE)+VLOOKUP($A7,A:AL,4,FALSE)-50),"-",(VLOOKUP($A7,'SegEnds_NonXtal_BW#'!$A:$Z,4,FALSE)+VLOOKUP($A7,A:AL,4,FALSE)-50))</f>
        <v>64</v>
      </c>
      <c r="F7" s="3" t="str">
        <f>IF(ISERROR(VLOOKUP($A7,'SegEnds_NonXtal_BW#'!$A:$Z,5,FALSE)+VLOOKUP($A7,A:AL,7,FALSE)-50),"-",(VLOOKUP($A7,'SegEnds_NonXtal_BW#'!$A:$Z,5,FALSE)+VLOOKUP($A7,A:AL,7,FALSE)-50))</f>
        <v>-</v>
      </c>
      <c r="G7" s="3" t="s">
        <v>23</v>
      </c>
      <c r="H7" s="3" t="str">
        <f>IF(ISERROR(VLOOKUP($A7,'SegEnds_NonXtal_BW#'!$A:$Z,6,FALSE)+VLOOKUP($A7,A:AL,7,FALSE)-50),"-",(VLOOKUP($A7,'SegEnds_NonXtal_BW#'!$A:$Z,6,FALSE)+VLOOKUP($A7,A:AL,7,FALSE)-50))</f>
        <v>-</v>
      </c>
      <c r="I7" s="3">
        <f>VLOOKUP($A7,'SegEnds_NonXtal_BW#'!$A:$Z,7,FALSE)+J7-50</f>
        <v>71</v>
      </c>
      <c r="J7" s="3">
        <v>84</v>
      </c>
      <c r="K7" s="3">
        <f>VLOOKUP($A7,'SegEnds_NonXtal_BW#'!$A:$Z,8,FALSE)+VLOOKUP($A7,A:AL,10,FALSE)-50</f>
        <v>100</v>
      </c>
      <c r="L7" s="3">
        <f>M7-1</f>
        <v>103</v>
      </c>
      <c r="M7" s="3">
        <v>104</v>
      </c>
      <c r="N7" s="3">
        <f>M7+2</f>
        <v>106</v>
      </c>
      <c r="O7" s="3">
        <f t="shared" ref="O7:O19" si="16">N7+1</f>
        <v>107</v>
      </c>
      <c r="P7" s="3">
        <v>136</v>
      </c>
      <c r="Q7" s="3">
        <f>VLOOKUP($A7,'SegEnds_NonXtal_BW#'!$A:$Z,12,FALSE)+VLOOKUP($A7,A:AL,16,FALSE)-50</f>
        <v>142</v>
      </c>
      <c r="R7" s="3">
        <f>IF(ISERROR(VLOOKUP($A7,'SegEnds_NonXtal_BW#'!$A:$Z,13,FALSE)+VLOOKUP($A7,A:AL,19,FALSE)-50),"-",VLOOKUP($A7,'SegEnds_NonXtal_BW#'!$A:$Z,13,FALSE)+VLOOKUP($A7,A:AL,19,FALSE)-50)</f>
        <v>143</v>
      </c>
      <c r="S7" s="3">
        <v>143</v>
      </c>
      <c r="T7" s="103">
        <f>IF(ISERROR(VLOOKUP($A7,'SegEnds_NonXtal_BW#'!$A:$Z,14,FALSE)+VLOOKUP($A7,A:AL,19,FALSE)-50),"-",(VLOOKUP($A7,'SegEnds_NonXtal_BW#'!$A:$Z,14,FALSE)+VLOOKUP($A7,A:AL,19,FALSE)-50))</f>
        <v>149</v>
      </c>
      <c r="U7" s="9">
        <f>IF(ISERROR(VLOOKUP($A7,'SegEnds_NonXtal_BW#'!$A:$Z,15,FALSE)+VLOOKUP($A7,A:AL,22,FALSE)-50),"-",VLOOKUP($A7,'SegEnds_NonXtal_BW#'!$A:$Z,15,FALSE)+VLOOKUP($A7,A:AL,22,FALSE)-50)</f>
        <v>150</v>
      </c>
      <c r="V7" s="3">
        <v>162</v>
      </c>
      <c r="W7" s="3">
        <f>IF(ISERROR(VLOOKUP($A7,'SegEnds_NonXtal_BW#'!$A:$Z,16,FALSE)+VLOOKUP($A7,A:AL,22,FALSE)-50),"-",(VLOOKUP($A7,'SegEnds_NonXtal_BW#'!$A:$Z,16,FALSE)+VLOOKUP($A7,A:AL,22,FALSE)-50))</f>
        <v>176</v>
      </c>
      <c r="X7" s="3">
        <f>IF(ISERROR(VLOOKUP($A7,'SegEnds_NonXtal_BW#'!$A:$Z,17,FALSE)+VLOOKUP($A7,A:AL,25,FALSE)-50),"-",(VLOOKUP($A7,'SegEnds_NonXtal_BW#'!$A:$Z,17,FALSE)+VLOOKUP($A7,A:AL,25,FALSE)-50))</f>
        <v>187</v>
      </c>
      <c r="Y7" s="3">
        <v>187</v>
      </c>
      <c r="Z7" s="3">
        <f>Y7+2</f>
        <v>189</v>
      </c>
      <c r="AA7" s="3">
        <f>IF(ISERROR(VLOOKUP($A7,'SegEnds_NonXtal_BW#'!$A:$Z,19,FALSE)+VLOOKUP($A7,A:AL,28,FALSE)-50),"-",(VLOOKUP($A7,'SegEnds_NonXtal_BW#'!$A:$Z,19,FALSE)+VLOOKUP($A7,A:AL,28,FALSE)-50))</f>
        <v>194</v>
      </c>
      <c r="AB7" s="3">
        <v>214</v>
      </c>
      <c r="AC7" s="3">
        <f>IF(ISERROR((VLOOKUP($A7,'SegEnds_NonXtal_BW#'!$A:$Z,20,FALSE)+VLOOKUP($A7,A:AL,28,FALSE)-50)),"-",(VLOOKUP($A7,'SegEnds_NonXtal_BW#'!$A:$Z,20,FALSE)+VLOOKUP($A7,A:AL,28,FALSE)-50))</f>
        <v>232</v>
      </c>
      <c r="AD7" s="3">
        <f>IF(ISERROR(VLOOKUP($A7,'SegEnds_NonXtal_BW#'!$A:$Z,21,FALSE)+VLOOKUP($A7,A:AL,31,FALSE)-50),"-",(VLOOKUP($A7,'SegEnds_NonXtal_BW#'!$A:$Z,21,FALSE)+VLOOKUP($A7,A:AL,31,FALSE)-50))</f>
        <v>238</v>
      </c>
      <c r="AE7" s="3">
        <v>265</v>
      </c>
      <c r="AF7" s="3">
        <f>IF(ISERROR((VLOOKUP($A7,'SegEnds_NonXtal_BW#'!$A:$Z,22,FALSE)+VLOOKUP($A7,A:AL,31,FALSE)-50)),"-",(VLOOKUP($A7,'SegEnds_NonXtal_BW#'!$A:$Z,22,FALSE)+VLOOKUP($A7,A:AL,31,FALSE)-50))</f>
        <v>276</v>
      </c>
      <c r="AG7" s="3">
        <f>IF(ISERROR(VLOOKUP($A7,'SegEnds_NonXtal_BW#'!$A:$Z,23,FALSE)+VLOOKUP($A7,A:AL,34,FALSE)-50),"-",(VLOOKUP($A7,'SegEnds_NonXtal_BW#'!$A:$Z,23,FALSE)+VLOOKUP($A7,A:AL,34,FALSE)-50))</f>
        <v>281</v>
      </c>
      <c r="AH7" s="3">
        <v>303</v>
      </c>
      <c r="AI7" s="3">
        <f>IF(ISERROR((VLOOKUP($A7,'SegEnds_NonXtal_BW#'!$A:$Z,24,FALSE)+VLOOKUP($A7,A:AL,34,FALSE)-50)),"-",(VLOOKUP($A7,'SegEnds_NonXtal_BW#'!$A:$Z,24,FALSE)+VLOOKUP($A7,A:AL,34,FALSE)-50))</f>
        <v>309</v>
      </c>
      <c r="AJ7" s="3">
        <f>IF(ISERROR(VLOOKUP($A7,'SegEnds_NonXtal_BW#'!$A:$Z,25,FALSE)+VLOOKUP($A7,A:AL,37,FALSE)-50),"-",(VLOOKUP($A7,'SegEnds_NonXtal_BW#'!$A:$Z,25,FALSE)+VLOOKUP($A7,A:AL,37,FALSE)-50))</f>
        <v>310</v>
      </c>
      <c r="AK7" s="3">
        <v>313</v>
      </c>
      <c r="AL7" s="3">
        <f>IF(ISERROR((VLOOKUP($A7,'SegEnds_NonXtal_BW#'!$A:$Z,26,FALSE)+VLOOKUP($A7,A:AL,37,FALSE)-50)),"-",(VLOOKUP($A7,'SegEnds_NonXtal_BW#'!$A:$Z,26,FALSE)+VLOOKUP($A7,A:AL,37,FALSE)-50))</f>
        <v>324</v>
      </c>
      <c r="AM7" s="28" t="str">
        <f>VLOOKUP(A7,Classification!A:B,2,FALSE)</f>
        <v>A</v>
      </c>
      <c r="AN7" s="28" t="b">
        <f t="shared" si="0"/>
        <v>1</v>
      </c>
      <c r="AO7" s="3" t="str">
        <f>IF(ISERROR(MATCH(A7,'SegEnds_Xtal_Prot#'!B:B, 0)), "NoXtal", "Xtal")</f>
        <v>NoXtal</v>
      </c>
      <c r="AP7" s="3" t="str">
        <f t="shared" si="1"/>
        <v>-</v>
      </c>
      <c r="AQ7" s="3" t="str">
        <f t="shared" si="2"/>
        <v>-</v>
      </c>
      <c r="AR7" s="3">
        <f t="shared" si="3"/>
        <v>3</v>
      </c>
      <c r="AS7" s="3">
        <f t="shared" si="4"/>
        <v>1</v>
      </c>
      <c r="AT7" s="3">
        <f t="shared" si="5"/>
        <v>1</v>
      </c>
      <c r="AU7" s="3">
        <f t="shared" si="6"/>
        <v>1</v>
      </c>
      <c r="AV7" s="3">
        <f t="shared" si="7"/>
        <v>11</v>
      </c>
      <c r="AW7" s="3">
        <f t="shared" si="8"/>
        <v>5</v>
      </c>
      <c r="AX7" s="3">
        <f t="shared" si="9"/>
        <v>6</v>
      </c>
      <c r="AY7" s="3">
        <f t="shared" si="10"/>
        <v>5</v>
      </c>
      <c r="AZ7" s="3">
        <f t="shared" si="11"/>
        <v>1</v>
      </c>
      <c r="BA7" s="3">
        <f>IF(ISERROR(LEN(VLOOKUP(A7,Seqs!A:E,2,FALSE))-AL7),"-",LEN(VLOOKUP(A7,Seqs!A:E,2,FALSE))-AL7)</f>
        <v>95</v>
      </c>
      <c r="BB7" s="16">
        <f t="shared" si="12"/>
        <v>30</v>
      </c>
      <c r="BC7" s="9">
        <f t="shared" si="13"/>
        <v>19</v>
      </c>
      <c r="BD7" s="3">
        <f t="shared" si="14"/>
        <v>30</v>
      </c>
      <c r="BE7" s="3">
        <f t="shared" si="15"/>
        <v>51</v>
      </c>
    </row>
    <row r="8" spans="1:59" s="3" customFormat="1" x14ac:dyDescent="0.2">
      <c r="A8" s="3" t="s">
        <v>231</v>
      </c>
      <c r="B8" s="3" t="str">
        <f>LOWER(VLOOKUP(A8,Xtal_Templ!A:B,2,FALSE))</f>
        <v>p2ry1_human</v>
      </c>
      <c r="C8" s="3">
        <f>VLOOKUP($A8,'SegEnds_NonXtal_BW#'!$A:$Z,3,FALSE)+D8-50</f>
        <v>17</v>
      </c>
      <c r="D8" s="3">
        <v>37</v>
      </c>
      <c r="E8" s="3">
        <f>IF(ISERROR(VLOOKUP($A8,'SegEnds_NonXtal_BW#'!$A:$Z,4,FALSE)+VLOOKUP($A8,A:AL,4,FALSE)-50),"-",(VLOOKUP($A8,'SegEnds_NonXtal_BW#'!$A:$Z,4,FALSE)+VLOOKUP($A8,A:AL,4,FALSE)-50))</f>
        <v>47</v>
      </c>
      <c r="F8" s="3" t="str">
        <f>IF(ISERROR(VLOOKUP($A8,'SegEnds_NonXtal_BW#'!$A:$Z,5,FALSE)+VLOOKUP($A8,A:AL,7,FALSE)-50),"-",(VLOOKUP($A8,'SegEnds_NonXtal_BW#'!$A:$Z,5,FALSE)+VLOOKUP($A8,A:AL,7,FALSE)-50))</f>
        <v>-</v>
      </c>
      <c r="G8" s="3" t="s">
        <v>23</v>
      </c>
      <c r="H8" s="3" t="str">
        <f>IF(ISERROR(VLOOKUP($A8,'SegEnds_NonXtal_BW#'!$A:$Z,6,FALSE)+VLOOKUP($A8,A:AL,7,FALSE)-50),"-",(VLOOKUP($A8,'SegEnds_NonXtal_BW#'!$A:$Z,6,FALSE)+VLOOKUP($A8,A:AL,7,FALSE)-50))</f>
        <v>-</v>
      </c>
      <c r="I8" s="3">
        <f>VLOOKUP($A8,'SegEnds_NonXtal_BW#'!$A:$Z,7,FALSE)+J8-50</f>
        <v>52</v>
      </c>
      <c r="J8" s="3">
        <v>65</v>
      </c>
      <c r="K8" s="3">
        <f>VLOOKUP($A8,'SegEnds_NonXtal_BW#'!$A:$Z,8,FALSE)+VLOOKUP($A8,A:AL,10,FALSE)-50</f>
        <v>81</v>
      </c>
      <c r="L8" s="3">
        <f>M8-1</f>
        <v>83</v>
      </c>
      <c r="M8" s="3">
        <v>84</v>
      </c>
      <c r="N8" s="3">
        <f>M8+2</f>
        <v>86</v>
      </c>
      <c r="O8" s="3">
        <f t="shared" si="16"/>
        <v>87</v>
      </c>
      <c r="P8" s="3">
        <v>116</v>
      </c>
      <c r="Q8" s="3">
        <f>VLOOKUP($A8,'SegEnds_NonXtal_BW#'!$A:$Z,12,FALSE)+VLOOKUP($A8,A:AL,16,FALSE)-50</f>
        <v>122</v>
      </c>
      <c r="R8" s="3">
        <f>IF(ISERROR(VLOOKUP($A8,'SegEnds_NonXtal_BW#'!$A:$Z,13,FALSE)+VLOOKUP($A8,A:AL,19,FALSE)-50),"-",VLOOKUP($A8,'SegEnds_NonXtal_BW#'!$A:$Z,13,FALSE)+VLOOKUP($A8,A:AL,19,FALSE)-50)</f>
        <v>123</v>
      </c>
      <c r="S8" s="3">
        <v>123</v>
      </c>
      <c r="T8" s="103">
        <f>IF(ISERROR(VLOOKUP($A8,'SegEnds_NonXtal_BW#'!$A:$Z,14,FALSE)+VLOOKUP($A8,A:AL,19,FALSE)-50),"-",(VLOOKUP($A8,'SegEnds_NonXtal_BW#'!$A:$Z,14,FALSE)+VLOOKUP($A8,A:AL,19,FALSE)-50))</f>
        <v>129</v>
      </c>
      <c r="U8" s="9">
        <f>IF(ISERROR(VLOOKUP($A8,'SegEnds_NonXtal_BW#'!$A:$Z,15,FALSE)+VLOOKUP($A8,A:AL,22,FALSE)-50),"-",VLOOKUP($A8,'SegEnds_NonXtal_BW#'!$A:$Z,15,FALSE)+VLOOKUP($A8,A:AL,22,FALSE)-50)</f>
        <v>130</v>
      </c>
      <c r="V8" s="3">
        <v>142</v>
      </c>
      <c r="W8" s="3">
        <f>IF(ISERROR(VLOOKUP($A8,'SegEnds_NonXtal_BW#'!$A:$Z,16,FALSE)+VLOOKUP($A8,A:AL,22,FALSE)-50),"-",(VLOOKUP($A8,'SegEnds_NonXtal_BW#'!$A:$Z,16,FALSE)+VLOOKUP($A8,A:AL,22,FALSE)-50))</f>
        <v>156</v>
      </c>
      <c r="X8" s="3">
        <f>IF(ISERROR(VLOOKUP($A8,'SegEnds_NonXtal_BW#'!$A:$Z,17,FALSE)+VLOOKUP($A8,A:AL,25,FALSE)-50),"-",(VLOOKUP($A8,'SegEnds_NonXtal_BW#'!$A:$Z,17,FALSE)+VLOOKUP($A8,A:AL,25,FALSE)-50))</f>
        <v>168</v>
      </c>
      <c r="Y8" s="3">
        <v>168</v>
      </c>
      <c r="Z8" s="3">
        <f>Y8+2</f>
        <v>170</v>
      </c>
      <c r="AA8" s="3">
        <f>IF(ISERROR(VLOOKUP($A8,'SegEnds_NonXtal_BW#'!$A:$Z,19,FALSE)+VLOOKUP($A8,A:AL,28,FALSE)-50),"-",(VLOOKUP($A8,'SegEnds_NonXtal_BW#'!$A:$Z,19,FALSE)+VLOOKUP($A8,A:AL,28,FALSE)-50))</f>
        <v>179</v>
      </c>
      <c r="AB8" s="3">
        <v>197</v>
      </c>
      <c r="AC8" s="3">
        <f>IF(ISERROR((VLOOKUP($A8,'SegEnds_NonXtal_BW#'!$A:$Z,20,FALSE)+VLOOKUP($A8,A:AL,28,FALSE)-50)),"-",(VLOOKUP($A8,'SegEnds_NonXtal_BW#'!$A:$Z,20,FALSE)+VLOOKUP($A8,A:AL,28,FALSE)-50))</f>
        <v>215</v>
      </c>
      <c r="AD8" s="3">
        <f>IF(ISERROR(VLOOKUP($A8,'SegEnds_NonXtal_BW#'!$A:$Z,21,FALSE)+VLOOKUP($A8,A:AL,31,FALSE)-50),"-",(VLOOKUP($A8,'SegEnds_NonXtal_BW#'!$A:$Z,21,FALSE)+VLOOKUP($A8,A:AL,31,FALSE)-50))</f>
        <v>219</v>
      </c>
      <c r="AE8" s="3">
        <v>245</v>
      </c>
      <c r="AF8" s="3">
        <f>IF(ISERROR((VLOOKUP($A8,'SegEnds_NonXtal_BW#'!$A:$Z,22,FALSE)+VLOOKUP($A8,A:AL,31,FALSE)-50)),"-",(VLOOKUP($A8,'SegEnds_NonXtal_BW#'!$A:$Z,22,FALSE)+VLOOKUP($A8,A:AL,31,FALSE)-50))</f>
        <v>259</v>
      </c>
      <c r="AG8" s="3">
        <f>IF(ISERROR(VLOOKUP($A8,'SegEnds_NonXtal_BW#'!$A:$Z,23,FALSE)+VLOOKUP($A8,A:AL,34,FALSE)-50),"-",(VLOOKUP($A8,'SegEnds_NonXtal_BW#'!$A:$Z,23,FALSE)+VLOOKUP($A8,A:AL,34,FALSE)-50))</f>
        <v>263</v>
      </c>
      <c r="AH8" s="3">
        <v>289</v>
      </c>
      <c r="AI8" s="3">
        <f>IF(ISERROR((VLOOKUP($A8,'SegEnds_NonXtal_BW#'!$A:$Z,24,FALSE)+VLOOKUP($A8,A:AL,34,FALSE)-50)),"-",(VLOOKUP($A8,'SegEnds_NonXtal_BW#'!$A:$Z,24,FALSE)+VLOOKUP($A8,A:AL,34,FALSE)-50))</f>
        <v>295</v>
      </c>
      <c r="AJ8" s="3">
        <f>IF(ISERROR(VLOOKUP($A8,'SegEnds_NonXtal_BW#'!$A:$Z,25,FALSE)+VLOOKUP($A8,A:AL,37,FALSE)-50),"-",(VLOOKUP($A8,'SegEnds_NonXtal_BW#'!$A:$Z,25,FALSE)+VLOOKUP($A8,A:AL,37,FALSE)-50))</f>
        <v>296</v>
      </c>
      <c r="AK8" s="3">
        <v>299</v>
      </c>
      <c r="AL8" s="3">
        <f>IF(ISERROR((VLOOKUP($A8,'SegEnds_NonXtal_BW#'!$A:$Z,26,FALSE)+VLOOKUP($A8,A:AL,37,FALSE)-50)),"-",(VLOOKUP($A8,'SegEnds_NonXtal_BW#'!$A:$Z,26,FALSE)+VLOOKUP($A8,A:AL,37,FALSE)-50))</f>
        <v>308</v>
      </c>
      <c r="AM8" s="28" t="str">
        <f>VLOOKUP(A8,Classification!A:B,2,FALSE)</f>
        <v>A</v>
      </c>
      <c r="AN8" s="28" t="b">
        <f t="shared" si="0"/>
        <v>1</v>
      </c>
      <c r="AO8" s="3" t="str">
        <f>IF(ISERROR(MATCH(A8,'SegEnds_Xtal_Prot#'!B:B, 0)), "NoXtal", "Xtal")</f>
        <v>NoXtal</v>
      </c>
      <c r="AP8" s="3" t="str">
        <f t="shared" si="1"/>
        <v>-</v>
      </c>
      <c r="AQ8" s="3" t="str">
        <f t="shared" si="2"/>
        <v>-</v>
      </c>
      <c r="AR8" s="3">
        <f t="shared" si="3"/>
        <v>2</v>
      </c>
      <c r="AS8" s="3">
        <f t="shared" si="4"/>
        <v>1</v>
      </c>
      <c r="AT8" s="3">
        <f t="shared" si="5"/>
        <v>1</v>
      </c>
      <c r="AU8" s="3">
        <f t="shared" si="6"/>
        <v>1</v>
      </c>
      <c r="AV8" s="3">
        <f t="shared" si="7"/>
        <v>12</v>
      </c>
      <c r="AW8" s="3">
        <f t="shared" si="8"/>
        <v>9</v>
      </c>
      <c r="AX8" s="3">
        <f t="shared" si="9"/>
        <v>4</v>
      </c>
      <c r="AY8" s="3">
        <f t="shared" si="10"/>
        <v>4</v>
      </c>
      <c r="AZ8" s="3">
        <f t="shared" si="11"/>
        <v>1</v>
      </c>
      <c r="BA8" s="3">
        <f>IF(ISERROR(LEN(VLOOKUP(A8,Seqs!A:E,2,FALSE))-AL8),"-",LEN(VLOOKUP(A8,Seqs!A:E,2,FALSE))-AL8)</f>
        <v>25</v>
      </c>
      <c r="BB8" s="16">
        <f t="shared" si="12"/>
        <v>28</v>
      </c>
      <c r="BC8" s="9">
        <f t="shared" si="13"/>
        <v>19</v>
      </c>
      <c r="BD8" s="3">
        <f t="shared" si="14"/>
        <v>28</v>
      </c>
      <c r="BE8" s="3">
        <f t="shared" si="15"/>
        <v>48</v>
      </c>
      <c r="BF8" s="3">
        <f>AH8-AE8</f>
        <v>44</v>
      </c>
    </row>
    <row r="9" spans="1:59" s="3" customFormat="1" x14ac:dyDescent="0.2">
      <c r="A9" s="3" t="s">
        <v>103</v>
      </c>
      <c r="B9" s="3" t="str">
        <f>LOWER(VLOOKUP(A9,Xtal_Templ!A:B,2,FALSE))</f>
        <v>lpar1_human</v>
      </c>
      <c r="C9" s="3">
        <f>VLOOKUP($A9,'SegEnds_NonXtal_BW#'!$A:$Z,3,FALSE)+D9-50</f>
        <v>47</v>
      </c>
      <c r="D9" s="3">
        <v>67</v>
      </c>
      <c r="E9" s="3">
        <f>IF(ISERROR(VLOOKUP($A9,'SegEnds_NonXtal_BW#'!$A:$Z,4,FALSE)+VLOOKUP($A9,A:AL,4,FALSE)-50),"-",(VLOOKUP($A9,'SegEnds_NonXtal_BW#'!$A:$Z,4,FALSE)+VLOOKUP($A9,A:AL,4,FALSE)-50))</f>
        <v>77</v>
      </c>
      <c r="F9" s="3">
        <f t="shared" ref="F9:F17" si="17">G9-2</f>
        <v>78</v>
      </c>
      <c r="G9" s="3">
        <v>80</v>
      </c>
      <c r="H9" s="3">
        <f t="shared" ref="H9:I17" si="18">G9+1</f>
        <v>81</v>
      </c>
      <c r="I9" s="3">
        <f t="shared" si="18"/>
        <v>82</v>
      </c>
      <c r="J9" s="3">
        <v>95</v>
      </c>
      <c r="K9" s="3">
        <f>VLOOKUP($A9,'SegEnds_NonXtal_BW#'!$A:$Z,8,FALSE)+VLOOKUP($A9,A:AL,10,FALSE)-50</f>
        <v>108</v>
      </c>
      <c r="L9" s="3">
        <f>M9-3</f>
        <v>110</v>
      </c>
      <c r="M9" s="3">
        <v>113</v>
      </c>
      <c r="N9" s="3">
        <f>M9+3</f>
        <v>116</v>
      </c>
      <c r="O9" s="3">
        <f t="shared" si="16"/>
        <v>117</v>
      </c>
      <c r="P9" s="3">
        <v>146</v>
      </c>
      <c r="Q9" s="3">
        <f>VLOOKUP($A9,'SegEnds_NonXtal_BW#'!$A:$Z,12,FALSE)+VLOOKUP($A9,A:AL,16,FALSE)-50</f>
        <v>152</v>
      </c>
      <c r="R9" s="3">
        <f>IF(ISERROR(VLOOKUP($A9,'SegEnds_NonXtal_BW#'!$A:$Z,13,FALSE)+VLOOKUP($A9,A:AL,19,FALSE)-50),"-",VLOOKUP($A9,'SegEnds_NonXtal_BW#'!$A:$Z,13,FALSE)+VLOOKUP($A9,A:AL,19,FALSE)-50)</f>
        <v>153</v>
      </c>
      <c r="S9" s="3">
        <v>153</v>
      </c>
      <c r="T9" s="103">
        <f>IF(ISERROR(VLOOKUP($A9,'SegEnds_NonXtal_BW#'!$A:$Z,14,FALSE)+VLOOKUP($A9,A:AL,19,FALSE)-50),"-",(VLOOKUP($A9,'SegEnds_NonXtal_BW#'!$A:$Z,14,FALSE)+VLOOKUP($A9,A:AL,19,FALSE)-50))</f>
        <v>159</v>
      </c>
      <c r="U9" s="9">
        <f>IF(ISERROR(VLOOKUP($A9,'SegEnds_NonXtal_BW#'!$A:$Z,15,FALSE)+VLOOKUP($A9,A:AL,22,FALSE)-50),"-",VLOOKUP($A9,'SegEnds_NonXtal_BW#'!$A:$Z,15,FALSE)+VLOOKUP($A9,A:AL,22,FALSE)-50)</f>
        <v>160</v>
      </c>
      <c r="V9" s="3">
        <v>172</v>
      </c>
      <c r="W9" s="3">
        <f>IF(ISERROR(VLOOKUP($A9,'SegEnds_NonXtal_BW#'!$A:$Z,16,FALSE)+VLOOKUP($A9,A:AL,22,FALSE)-50),"-",(VLOOKUP($A9,'SegEnds_NonXtal_BW#'!$A:$Z,16,FALSE)+VLOOKUP($A9,A:AL,22,FALSE)-50))</f>
        <v>185</v>
      </c>
      <c r="X9" s="3" t="str">
        <f>IF(ISERROR(VLOOKUP($A9,'SegEnds_NonXtal_BW#'!$A:$Z,17,FALSE)+VLOOKUP($A9,A:AL,25,FALSE)-50),"-",(VLOOKUP($A9,'SegEnds_NonXtal_BW#'!$A:$Z,17,FALSE)+VLOOKUP($A9,A:AL,25,FALSE)-50))</f>
        <v>-</v>
      </c>
      <c r="Y9" s="3" t="s">
        <v>23</v>
      </c>
      <c r="Z9" s="3" t="str">
        <f>IF(ISERROR(VLOOKUP($A9,'SegEnds_NonXtal_BW#'!$A:$Z,18,FALSE)+VLOOKUP($A9,A:AL,25,FALSE)-50),"-",(VLOOKUP($A9,'SegEnds_NonXtal_BW#'!$A:$Z,18,FALSE)+VLOOKUP($A9,A:AL,25,FALSE)-50))</f>
        <v>-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217</v>
      </c>
      <c r="AC9" s="3">
        <f>IF(ISERROR((VLOOKUP($A9,'SegEnds_NonXtal_BW#'!$A:$Z,20,FALSE)+VLOOKUP($A9,A:AL,28,FALSE)-50)),"-",(VLOOKUP($A9,'SegEnds_NonXtal_BW#'!$A:$Z,20,FALSE)+VLOOKUP($A9,A:AL,28,FALSE)-50))</f>
        <v>240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273</v>
      </c>
      <c r="AF9" s="3">
        <f>IF(ISERROR((VLOOKUP($A9,'SegEnds_NonXtal_BW#'!$A:$Z,22,FALSE)+VLOOKUP($A9,A:AL,31,FALSE)-50)),"-",(VLOOKUP($A9,'SegEnds_NonXtal_BW#'!$A:$Z,22,FALSE)+VLOOKUP($A9,A:AL,31,FALSE)-50))</f>
        <v>284</v>
      </c>
      <c r="AG9" s="3">
        <f>IF(ISERROR(VLOOKUP($A9,'SegEnds_NonXtal_BW#'!$A:$Z,23,FALSE)+VLOOKUP($A9,A:AL,34,FALSE)-50),"-",(VLOOKUP($A9,'SegEnds_NonXtal_BW#'!$A:$Z,23,FALSE)+VLOOKUP($A9,A:AL,34,FALSE)-50))</f>
        <v>288</v>
      </c>
      <c r="AH9" s="3">
        <v>308</v>
      </c>
      <c r="AI9" s="3">
        <f>IF(ISERROR((VLOOKUP($A9,'SegEnds_NonXtal_BW#'!$A:$Z,24,FALSE)+VLOOKUP($A9,A:AL,34,FALSE)-50)),"-",(VLOOKUP($A9,'SegEnds_NonXtal_BW#'!$A:$Z,24,FALSE)+VLOOKUP($A9,A:AL,34,FALSE)-50))</f>
        <v>314</v>
      </c>
      <c r="AJ9" s="3">
        <f>IF(ISERROR(VLOOKUP($A9,'SegEnds_NonXtal_BW#'!$A:$Z,25,FALSE)+VLOOKUP($A9,A:AL,37,FALSE)-50),"-",(VLOOKUP($A9,'SegEnds_NonXtal_BW#'!$A:$Z,25,FALSE)+VLOOKUP($A9,A:AL,37,FALSE)-50))</f>
        <v>315</v>
      </c>
      <c r="AK9" s="3">
        <v>318</v>
      </c>
      <c r="AL9" s="3">
        <f>IF(ISERROR((VLOOKUP($A9,'SegEnds_NonXtal_BW#'!$A:$Z,26,FALSE)+VLOOKUP($A9,A:AL,37,FALSE)-50)),"-",(VLOOKUP($A9,'SegEnds_NonXtal_BW#'!$A:$Z,26,FALSE)+VLOOKUP($A9,A:AL,37,FALSE)-50))</f>
        <v>327</v>
      </c>
      <c r="AM9" s="28" t="str">
        <f>VLOOKUP(A9,Classification!A:B,2,FALSE)</f>
        <v>A</v>
      </c>
      <c r="AN9" s="28" t="b">
        <f t="shared" si="0"/>
        <v>1</v>
      </c>
      <c r="AO9" s="3" t="str">
        <f>IF(ISERROR(MATCH(A9,'SegEnds_Xtal_Prot#'!B:B, 0)), "NoXtal", "Xtal")</f>
        <v>Xtal</v>
      </c>
      <c r="AP9" s="3">
        <f t="shared" si="1"/>
        <v>1</v>
      </c>
      <c r="AQ9" s="3">
        <f t="shared" si="2"/>
        <v>1</v>
      </c>
      <c r="AR9" s="3">
        <f t="shared" si="3"/>
        <v>2</v>
      </c>
      <c r="AS9" s="3">
        <f t="shared" si="4"/>
        <v>1</v>
      </c>
      <c r="AT9" s="3">
        <f t="shared" si="5"/>
        <v>1</v>
      </c>
      <c r="AU9" s="3">
        <f t="shared" si="6"/>
        <v>1</v>
      </c>
      <c r="AV9" s="3" t="str">
        <f t="shared" si="7"/>
        <v>-</v>
      </c>
      <c r="AW9" s="3" t="str">
        <f t="shared" si="8"/>
        <v>-</v>
      </c>
      <c r="AX9" s="3">
        <f t="shared" si="9"/>
        <v>5</v>
      </c>
      <c r="AY9" s="3">
        <f t="shared" si="10"/>
        <v>4</v>
      </c>
      <c r="AZ9" s="3">
        <f t="shared" si="11"/>
        <v>1</v>
      </c>
      <c r="BA9" s="3">
        <f>IF(ISERROR(LEN(VLOOKUP(A9,Seqs!A:E,2,FALSE))-AL9),"-",LEN(VLOOKUP(A9,Seqs!A:E,2,FALSE))-AL9)</f>
        <v>37</v>
      </c>
      <c r="BB9" s="16">
        <f t="shared" si="12"/>
        <v>28</v>
      </c>
      <c r="BC9" s="9">
        <f t="shared" si="13"/>
        <v>19</v>
      </c>
      <c r="BD9" s="3">
        <f t="shared" si="14"/>
        <v>28</v>
      </c>
      <c r="BE9" s="3">
        <f t="shared" si="15"/>
        <v>56</v>
      </c>
    </row>
    <row r="10" spans="1:59" s="3" customFormat="1" x14ac:dyDescent="0.2">
      <c r="A10" s="3" t="s">
        <v>286</v>
      </c>
      <c r="B10" s="3" t="str">
        <f>LOWER(VLOOKUP(A10,Xtal_Templ!A:B,2,FALSE))</f>
        <v>lpar1_human</v>
      </c>
      <c r="C10" s="3">
        <f>VLOOKUP($A10,'SegEnds_NonXtal_BW#'!$A:$Z,3,FALSE)+D10-50</f>
        <v>30</v>
      </c>
      <c r="D10" s="3">
        <v>50</v>
      </c>
      <c r="E10" s="3">
        <f>IF(ISERROR(VLOOKUP($A10,'SegEnds_NonXtal_BW#'!$A:$Z,4,FALSE)+VLOOKUP($A10,A:AL,4,FALSE)-50),"-",(VLOOKUP($A10,'SegEnds_NonXtal_BW#'!$A:$Z,4,FALSE)+VLOOKUP($A10,A:AL,4,FALSE)-50))</f>
        <v>60</v>
      </c>
      <c r="F10" s="3">
        <f t="shared" si="17"/>
        <v>61</v>
      </c>
      <c r="G10" s="3">
        <v>63</v>
      </c>
      <c r="H10" s="3">
        <f t="shared" si="18"/>
        <v>64</v>
      </c>
      <c r="I10" s="3">
        <f t="shared" si="18"/>
        <v>65</v>
      </c>
      <c r="J10" s="3">
        <v>78</v>
      </c>
      <c r="K10" s="3">
        <f>VLOOKUP($A10,'SegEnds_NonXtal_BW#'!$A:$Z,8,FALSE)+VLOOKUP($A10,A:AL,10,FALSE)-50</f>
        <v>91</v>
      </c>
      <c r="L10" s="3">
        <f>M10-3</f>
        <v>93</v>
      </c>
      <c r="M10" s="3">
        <v>96</v>
      </c>
      <c r="N10" s="3">
        <f>M10+3</f>
        <v>99</v>
      </c>
      <c r="O10" s="3">
        <f t="shared" si="16"/>
        <v>100</v>
      </c>
      <c r="P10" s="3">
        <v>129</v>
      </c>
      <c r="Q10" s="3">
        <f>VLOOKUP($A10,'SegEnds_NonXtal_BW#'!$A:$Z,12,FALSE)+VLOOKUP($A10,A:AL,16,FALSE)-50</f>
        <v>135</v>
      </c>
      <c r="R10" s="3">
        <f>IF(ISERROR(VLOOKUP($A10,'SegEnds_NonXtal_BW#'!$A:$Z,13,FALSE)+VLOOKUP($A10,A:AL,19,FALSE)-50),"-",VLOOKUP($A10,'SegEnds_NonXtal_BW#'!$A:$Z,13,FALSE)+VLOOKUP($A10,A:AL,19,FALSE)-50)</f>
        <v>136</v>
      </c>
      <c r="S10" s="3">
        <v>136</v>
      </c>
      <c r="T10" s="103">
        <f>IF(ISERROR(VLOOKUP($A10,'SegEnds_NonXtal_BW#'!$A:$Z,14,FALSE)+VLOOKUP($A10,A:AL,19,FALSE)-50),"-",(VLOOKUP($A10,'SegEnds_NonXtal_BW#'!$A:$Z,14,FALSE)+VLOOKUP($A10,A:AL,19,FALSE)-50))</f>
        <v>142</v>
      </c>
      <c r="U10" s="9">
        <f>IF(ISERROR(VLOOKUP($A10,'SegEnds_NonXtal_BW#'!$A:$Z,15,FALSE)+VLOOKUP($A10,A:AL,22,FALSE)-50),"-",VLOOKUP($A10,'SegEnds_NonXtal_BW#'!$A:$Z,15,FALSE)+VLOOKUP($A10,A:AL,22,FALSE)-50)</f>
        <v>143</v>
      </c>
      <c r="V10" s="3">
        <v>155</v>
      </c>
      <c r="W10" s="3">
        <f>IF(ISERROR(VLOOKUP($A10,'SegEnds_NonXtal_BW#'!$A:$Z,16,FALSE)+VLOOKUP($A10,A:AL,22,FALSE)-50),"-",(VLOOKUP($A10,'SegEnds_NonXtal_BW#'!$A:$Z,16,FALSE)+VLOOKUP($A10,A:AL,22,FALSE)-50))</f>
        <v>168</v>
      </c>
      <c r="X10" s="3" t="str">
        <f>IF(ISERROR(VLOOKUP($A10,'SegEnds_NonXtal_BW#'!$A:$Z,17,FALSE)+VLOOKUP($A10,A:AL,25,FALSE)-50),"-",(VLOOKUP($A10,'SegEnds_NonXtal_BW#'!$A:$Z,17,FALSE)+VLOOKUP($A10,A:AL,25,FALSE)-50))</f>
        <v>-</v>
      </c>
      <c r="Y10" s="3" t="s">
        <v>23</v>
      </c>
      <c r="Z10" s="3" t="str">
        <f>IF(ISERROR(VLOOKUP($A10,'SegEnds_NonXtal_BW#'!$A:$Z,18,FALSE)+VLOOKUP($A10,A:AL,25,FALSE)-50),"-",(VLOOKUP($A10,'SegEnds_NonXtal_BW#'!$A:$Z,18,FALSE)+VLOOKUP($A10,A:AL,25,FALSE)-50))</f>
        <v>-</v>
      </c>
      <c r="AA10" s="3">
        <f>IF(ISERROR(VLOOKUP($A10,'SegEnds_NonXtal_BW#'!$A:$Z,19,FALSE)+VLOOKUP($A10,A:AL,28,FALSE)-50),"-",(VLOOKUP($A10,'SegEnds_NonXtal_BW#'!$A:$Z,19,FALSE)+VLOOKUP($A10,A:AL,28,FALSE)-50))</f>
        <v>186</v>
      </c>
      <c r="AB10" s="3">
        <v>200</v>
      </c>
      <c r="AC10" s="3">
        <f>IF(ISERROR((VLOOKUP($A10,'SegEnds_NonXtal_BW#'!$A:$Z,20,FALSE)+VLOOKUP($A10,A:AL,28,FALSE)-50)),"-",(VLOOKUP($A10,'SegEnds_NonXtal_BW#'!$A:$Z,20,FALSE)+VLOOKUP($A10,A:AL,28,FALSE)-50))</f>
        <v>223</v>
      </c>
      <c r="AD10" s="3">
        <f>IF(ISERROR(VLOOKUP($A10,'SegEnds_NonXtal_BW#'!$A:$Z,21,FALSE)+VLOOKUP($A10,A:AL,31,FALSE)-50),"-",(VLOOKUP($A10,'SegEnds_NonXtal_BW#'!$A:$Z,21,FALSE)+VLOOKUP($A10,A:AL,31,FALSE)-50))</f>
        <v>228</v>
      </c>
      <c r="AE10" s="3">
        <v>256</v>
      </c>
      <c r="AF10" s="3">
        <f>IF(ISERROR((VLOOKUP($A10,'SegEnds_NonXtal_BW#'!$A:$Z,22,FALSE)+VLOOKUP($A10,A:AL,31,FALSE)-50)),"-",(VLOOKUP($A10,'SegEnds_NonXtal_BW#'!$A:$Z,22,FALSE)+VLOOKUP($A10,A:AL,31,FALSE)-50))</f>
        <v>267</v>
      </c>
      <c r="AG10" s="3">
        <f>IF(ISERROR(VLOOKUP($A10,'SegEnds_NonXtal_BW#'!$A:$Z,23,FALSE)+VLOOKUP($A10,A:AL,34,FALSE)-50),"-",(VLOOKUP($A10,'SegEnds_NonXtal_BW#'!$A:$Z,23,FALSE)+VLOOKUP($A10,A:AL,34,FALSE)-50))</f>
        <v>272</v>
      </c>
      <c r="AH10" s="3">
        <v>292</v>
      </c>
      <c r="AI10" s="3">
        <f>IF(ISERROR((VLOOKUP($A10,'SegEnds_NonXtal_BW#'!$A:$Z,24,FALSE)+VLOOKUP($A10,A:AL,34,FALSE)-50)),"-",(VLOOKUP($A10,'SegEnds_NonXtal_BW#'!$A:$Z,24,FALSE)+VLOOKUP($A10,A:AL,34,FALSE)-50))</f>
        <v>298</v>
      </c>
      <c r="AJ10" s="3">
        <f>IF(ISERROR(VLOOKUP($A10,'SegEnds_NonXtal_BW#'!$A:$Z,25,FALSE)+VLOOKUP($A10,A:AL,37,FALSE)-50),"-",(VLOOKUP($A10,'SegEnds_NonXtal_BW#'!$A:$Z,25,FALSE)+VLOOKUP($A10,A:AL,37,FALSE)-50))</f>
        <v>299</v>
      </c>
      <c r="AK10" s="3">
        <v>302</v>
      </c>
      <c r="AL10" s="3">
        <f>IF(ISERROR((VLOOKUP($A10,'SegEnds_NonXtal_BW#'!$A:$Z,26,FALSE)+VLOOKUP($A10,A:AL,37,FALSE)-50)),"-",(VLOOKUP($A10,'SegEnds_NonXtal_BW#'!$A:$Z,26,FALSE)+VLOOKUP($A10,A:AL,37,FALSE)-50))</f>
        <v>311</v>
      </c>
      <c r="AM10" s="28" t="str">
        <f>VLOOKUP(A10,Classification!A:B,2,FALSE)</f>
        <v>A</v>
      </c>
      <c r="AN10" s="28" t="b">
        <f t="shared" si="0"/>
        <v>1</v>
      </c>
      <c r="AO10" s="3" t="str">
        <f>IF(ISERROR(MATCH(A10,'SegEnds_Xtal_Prot#'!B:B, 0)), "NoXtal", "Xtal")</f>
        <v>NoXtal</v>
      </c>
      <c r="AP10" s="3">
        <f t="shared" si="1"/>
        <v>1</v>
      </c>
      <c r="AQ10" s="3">
        <f t="shared" si="2"/>
        <v>1</v>
      </c>
      <c r="AR10" s="3">
        <f t="shared" si="3"/>
        <v>2</v>
      </c>
      <c r="AS10" s="3">
        <f t="shared" si="4"/>
        <v>1</v>
      </c>
      <c r="AT10" s="3">
        <f t="shared" si="5"/>
        <v>1</v>
      </c>
      <c r="AU10" s="3">
        <f t="shared" si="6"/>
        <v>1</v>
      </c>
      <c r="AV10" s="3" t="str">
        <f t="shared" si="7"/>
        <v>-</v>
      </c>
      <c r="AW10" s="3" t="str">
        <f t="shared" si="8"/>
        <v>-</v>
      </c>
      <c r="AX10" s="3">
        <f t="shared" si="9"/>
        <v>5</v>
      </c>
      <c r="AY10" s="3">
        <f t="shared" si="10"/>
        <v>5</v>
      </c>
      <c r="AZ10" s="3">
        <f t="shared" si="11"/>
        <v>1</v>
      </c>
      <c r="BA10" s="3">
        <f>IF(ISERROR(LEN(VLOOKUP(A10,Seqs!A:E,2,FALSE))-AL10),"-",LEN(VLOOKUP(A10,Seqs!A:E,2,FALSE))-AL10)</f>
        <v>40</v>
      </c>
      <c r="BB10" s="16">
        <f t="shared" si="12"/>
        <v>28</v>
      </c>
      <c r="BC10" s="9">
        <f t="shared" si="13"/>
        <v>19</v>
      </c>
      <c r="BD10" s="3">
        <f t="shared" si="14"/>
        <v>28</v>
      </c>
      <c r="BE10" s="3">
        <f t="shared" si="15"/>
        <v>56</v>
      </c>
    </row>
    <row r="11" spans="1:59" s="3" customFormat="1" x14ac:dyDescent="0.2">
      <c r="A11" s="3" t="s">
        <v>287</v>
      </c>
      <c r="B11" s="3" t="str">
        <f>LOWER(VLOOKUP(A11,Xtal_Templ!A:B,2,FALSE))</f>
        <v>lpar1_human</v>
      </c>
      <c r="C11" s="3">
        <f>VLOOKUP($A11,'SegEnds_NonXtal_BW#'!$A:$Z,3,FALSE)+D11-50</f>
        <v>28</v>
      </c>
      <c r="D11" s="3">
        <v>48</v>
      </c>
      <c r="E11" s="3">
        <f>IF(ISERROR(VLOOKUP($A11,'SegEnds_NonXtal_BW#'!$A:$Z,4,FALSE)+VLOOKUP($A11,A:AL,4,FALSE)-50),"-",(VLOOKUP($A11,'SegEnds_NonXtal_BW#'!$A:$Z,4,FALSE)+VLOOKUP($A11,A:AL,4,FALSE)-50))</f>
        <v>58</v>
      </c>
      <c r="F11" s="3">
        <f t="shared" si="17"/>
        <v>59</v>
      </c>
      <c r="G11" s="3">
        <v>61</v>
      </c>
      <c r="H11" s="3">
        <f t="shared" si="18"/>
        <v>62</v>
      </c>
      <c r="I11" s="3">
        <f t="shared" si="18"/>
        <v>63</v>
      </c>
      <c r="J11" s="3">
        <v>76</v>
      </c>
      <c r="K11" s="3">
        <f>VLOOKUP($A11,'SegEnds_NonXtal_BW#'!$A:$Z,8,FALSE)+VLOOKUP($A11,A:AL,10,FALSE)-50</f>
        <v>89</v>
      </c>
      <c r="L11" s="3">
        <f>M11-3</f>
        <v>91</v>
      </c>
      <c r="M11" s="3">
        <v>94</v>
      </c>
      <c r="N11" s="3">
        <f>M11+3</f>
        <v>97</v>
      </c>
      <c r="O11" s="3">
        <f t="shared" si="16"/>
        <v>98</v>
      </c>
      <c r="P11" s="3">
        <v>127</v>
      </c>
      <c r="Q11" s="3">
        <f>VLOOKUP($A11,'SegEnds_NonXtal_BW#'!$A:$Z,12,FALSE)+VLOOKUP($A11,A:AL,16,FALSE)-50</f>
        <v>133</v>
      </c>
      <c r="R11" s="3">
        <f>IF(ISERROR(VLOOKUP($A11,'SegEnds_NonXtal_BW#'!$A:$Z,13,FALSE)+VLOOKUP($A11,A:AL,19,FALSE)-50),"-",VLOOKUP($A11,'SegEnds_NonXtal_BW#'!$A:$Z,13,FALSE)+VLOOKUP($A11,A:AL,19,FALSE)-50)</f>
        <v>134</v>
      </c>
      <c r="S11" s="3">
        <v>134</v>
      </c>
      <c r="T11" s="103">
        <f>IF(ISERROR(VLOOKUP($A11,'SegEnds_NonXtal_BW#'!$A:$Z,14,FALSE)+VLOOKUP($A11,A:AL,19,FALSE)-50),"-",(VLOOKUP($A11,'SegEnds_NonXtal_BW#'!$A:$Z,14,FALSE)+VLOOKUP($A11,A:AL,19,FALSE)-50))</f>
        <v>140</v>
      </c>
      <c r="U11" s="9">
        <f>IF(ISERROR(VLOOKUP($A11,'SegEnds_NonXtal_BW#'!$A:$Z,15,FALSE)+VLOOKUP($A11,A:AL,22,FALSE)-50),"-",VLOOKUP($A11,'SegEnds_NonXtal_BW#'!$A:$Z,15,FALSE)+VLOOKUP($A11,A:AL,22,FALSE)-50)</f>
        <v>141</v>
      </c>
      <c r="V11" s="3">
        <v>153</v>
      </c>
      <c r="W11" s="3">
        <f>IF(ISERROR(VLOOKUP($A11,'SegEnds_NonXtal_BW#'!$A:$Z,16,FALSE)+VLOOKUP($A11,A:AL,22,FALSE)-50),"-",(VLOOKUP($A11,'SegEnds_NonXtal_BW#'!$A:$Z,16,FALSE)+VLOOKUP($A11,A:AL,22,FALSE)-50))</f>
        <v>166</v>
      </c>
      <c r="X11" s="3" t="str">
        <f>IF(ISERROR(VLOOKUP($A11,'SegEnds_NonXtal_BW#'!$A:$Z,17,FALSE)+VLOOKUP($A11,A:AL,25,FALSE)-50),"-",(VLOOKUP($A11,'SegEnds_NonXtal_BW#'!$A:$Z,17,FALSE)+VLOOKUP($A11,A:AL,25,FALSE)-50))</f>
        <v>-</v>
      </c>
      <c r="Y11" s="3" t="s">
        <v>23</v>
      </c>
      <c r="Z11" s="3" t="str">
        <f>IF(ISERROR(VLOOKUP($A11,'SegEnds_NonXtal_BW#'!$A:$Z,18,FALSE)+VLOOKUP($A11,A:AL,25,FALSE)-50),"-",(VLOOKUP($A11,'SegEnds_NonXtal_BW#'!$A:$Z,18,FALSE)+VLOOKUP($A11,A:AL,25,FALSE)-50))</f>
        <v>-</v>
      </c>
      <c r="AA11" s="3">
        <f>IF(ISERROR(VLOOKUP($A11,'SegEnds_NonXtal_BW#'!$A:$Z,19,FALSE)+VLOOKUP($A11,A:AL,28,FALSE)-50),"-",(VLOOKUP($A11,'SegEnds_NonXtal_BW#'!$A:$Z,19,FALSE)+VLOOKUP($A11,A:AL,28,FALSE)-50))</f>
        <v>184</v>
      </c>
      <c r="AB11" s="3">
        <v>198</v>
      </c>
      <c r="AC11" s="3">
        <f>IF(ISERROR((VLOOKUP($A11,'SegEnds_NonXtal_BW#'!$A:$Z,20,FALSE)+VLOOKUP($A11,A:AL,28,FALSE)-50)),"-",(VLOOKUP($A11,'SegEnds_NonXtal_BW#'!$A:$Z,20,FALSE)+VLOOKUP($A11,A:AL,28,FALSE)-50))</f>
        <v>221</v>
      </c>
      <c r="AD11" s="3">
        <f>IF(ISERROR(VLOOKUP($A11,'SegEnds_NonXtal_BW#'!$A:$Z,21,FALSE)+VLOOKUP($A11,A:AL,31,FALSE)-50),"-",(VLOOKUP($A11,'SegEnds_NonXtal_BW#'!$A:$Z,21,FALSE)+VLOOKUP($A11,A:AL,31,FALSE)-50))</f>
        <v>226</v>
      </c>
      <c r="AE11" s="3">
        <v>254</v>
      </c>
      <c r="AF11" s="3">
        <f>IF(ISERROR((VLOOKUP($A11,'SegEnds_NonXtal_BW#'!$A:$Z,22,FALSE)+VLOOKUP($A11,A:AL,31,FALSE)-50)),"-",(VLOOKUP($A11,'SegEnds_NonXtal_BW#'!$A:$Z,22,FALSE)+VLOOKUP($A11,A:AL,31,FALSE)-50))</f>
        <v>265</v>
      </c>
      <c r="AG11" s="3">
        <f>IF(ISERROR(VLOOKUP($A11,'SegEnds_NonXtal_BW#'!$A:$Z,23,FALSE)+VLOOKUP($A11,A:AL,34,FALSE)-50),"-",(VLOOKUP($A11,'SegEnds_NonXtal_BW#'!$A:$Z,23,FALSE)+VLOOKUP($A11,A:AL,34,FALSE)-50))</f>
        <v>270</v>
      </c>
      <c r="AH11" s="3">
        <v>290</v>
      </c>
      <c r="AI11" s="3">
        <f>IF(ISERROR((VLOOKUP($A11,'SegEnds_NonXtal_BW#'!$A:$Z,24,FALSE)+VLOOKUP($A11,A:AL,34,FALSE)-50)),"-",(VLOOKUP($A11,'SegEnds_NonXtal_BW#'!$A:$Z,24,FALSE)+VLOOKUP($A11,A:AL,34,FALSE)-50))</f>
        <v>296</v>
      </c>
      <c r="AJ11" s="3">
        <f>IF(ISERROR(VLOOKUP($A11,'SegEnds_NonXtal_BW#'!$A:$Z,25,FALSE)+VLOOKUP($A11,A:AL,37,FALSE)-50),"-",(VLOOKUP($A11,'SegEnds_NonXtal_BW#'!$A:$Z,25,FALSE)+VLOOKUP($A11,A:AL,37,FALSE)-50))</f>
        <v>297</v>
      </c>
      <c r="AK11" s="3">
        <v>300</v>
      </c>
      <c r="AL11" s="3">
        <f>IF(ISERROR((VLOOKUP($A11,'SegEnds_NonXtal_BW#'!$A:$Z,26,FALSE)+VLOOKUP($A11,A:AL,37,FALSE)-50)),"-",(VLOOKUP($A11,'SegEnds_NonXtal_BW#'!$A:$Z,26,FALSE)+VLOOKUP($A11,A:AL,37,FALSE)-50))</f>
        <v>309</v>
      </c>
      <c r="AM11" s="28" t="str">
        <f>VLOOKUP(A11,Classification!A:B,2,FALSE)</f>
        <v>A</v>
      </c>
      <c r="AN11" s="28" t="b">
        <f t="shared" si="0"/>
        <v>1</v>
      </c>
      <c r="AO11" s="3" t="str">
        <f>IF(ISERROR(MATCH(A11,'SegEnds_Xtal_Prot#'!B:B, 0)), "NoXtal", "Xtal")</f>
        <v>NoXtal</v>
      </c>
      <c r="AP11" s="3">
        <f t="shared" si="1"/>
        <v>1</v>
      </c>
      <c r="AQ11" s="3">
        <f t="shared" si="2"/>
        <v>1</v>
      </c>
      <c r="AR11" s="3">
        <f t="shared" si="3"/>
        <v>2</v>
      </c>
      <c r="AS11" s="3">
        <f t="shared" si="4"/>
        <v>1</v>
      </c>
      <c r="AT11" s="3">
        <f t="shared" si="5"/>
        <v>1</v>
      </c>
      <c r="AU11" s="3">
        <f t="shared" si="6"/>
        <v>1</v>
      </c>
      <c r="AV11" s="3" t="str">
        <f t="shared" si="7"/>
        <v>-</v>
      </c>
      <c r="AW11" s="3" t="str">
        <f t="shared" si="8"/>
        <v>-</v>
      </c>
      <c r="AX11" s="3">
        <f t="shared" si="9"/>
        <v>5</v>
      </c>
      <c r="AY11" s="3">
        <f t="shared" si="10"/>
        <v>5</v>
      </c>
      <c r="AZ11" s="3">
        <f t="shared" si="11"/>
        <v>1</v>
      </c>
      <c r="BA11" s="3">
        <f>IF(ISERROR(LEN(VLOOKUP(A11,Seqs!A:E,2,FALSE))-AL11),"-",LEN(VLOOKUP(A11,Seqs!A:E,2,FALSE))-AL11)</f>
        <v>44</v>
      </c>
      <c r="BB11" s="16">
        <f t="shared" si="12"/>
        <v>28</v>
      </c>
      <c r="BC11" s="9">
        <f t="shared" si="13"/>
        <v>19</v>
      </c>
      <c r="BD11" s="3">
        <f t="shared" si="14"/>
        <v>28</v>
      </c>
      <c r="BE11" s="3">
        <f t="shared" si="15"/>
        <v>56</v>
      </c>
    </row>
    <row r="12" spans="1:59" s="3" customFormat="1" x14ac:dyDescent="0.2">
      <c r="A12" s="3" t="s">
        <v>334</v>
      </c>
      <c r="B12" s="3" t="s">
        <v>920</v>
      </c>
      <c r="C12" s="3">
        <f>VLOOKUP($A12,'SegEnds_NonXtal_BW#'!$A:$Z,3,FALSE)+D12-50</f>
        <v>30</v>
      </c>
      <c r="D12" s="3">
        <v>51</v>
      </c>
      <c r="E12" s="3">
        <f>IF(ISERROR(VLOOKUP($A12,'SegEnds_NonXtal_BW#'!$A:$Z,4,FALSE)+VLOOKUP($A12,A:AL,4,FALSE)-50),"-",(VLOOKUP($A12,'SegEnds_NonXtal_BW#'!$A:$Z,4,FALSE)+VLOOKUP($A12,A:AL,4,FALSE)-50))</f>
        <v>61</v>
      </c>
      <c r="F12" s="3">
        <f t="shared" si="17"/>
        <v>63</v>
      </c>
      <c r="G12" s="3">
        <v>65</v>
      </c>
      <c r="H12" s="3">
        <f t="shared" si="18"/>
        <v>66</v>
      </c>
      <c r="I12" s="3">
        <f t="shared" si="18"/>
        <v>67</v>
      </c>
      <c r="J12" s="3">
        <v>79</v>
      </c>
      <c r="K12" s="3">
        <v>97</v>
      </c>
      <c r="L12" s="3">
        <f>M12-1</f>
        <v>98</v>
      </c>
      <c r="M12" s="3">
        <v>99</v>
      </c>
      <c r="N12" s="3">
        <f>M12+2</f>
        <v>101</v>
      </c>
      <c r="O12" s="3">
        <f t="shared" si="16"/>
        <v>102</v>
      </c>
      <c r="P12" s="3">
        <v>131</v>
      </c>
      <c r="Q12" s="3">
        <f>VLOOKUP($A12,'SegEnds_NonXtal_BW#'!$A:$Z,12,FALSE)+VLOOKUP($A12,A:AL,16,FALSE)-50</f>
        <v>137</v>
      </c>
      <c r="R12" s="3">
        <f>IF(ISERROR(VLOOKUP($A12,'SegEnds_NonXtal_BW#'!$A:$Z,13,FALSE)+VLOOKUP($A12,A:AL,19,FALSE)-50),"-",VLOOKUP($A12,'SegEnds_NonXtal_BW#'!$A:$Z,13,FALSE)+VLOOKUP($A12,A:AL,19,FALSE)-50)</f>
        <v>138</v>
      </c>
      <c r="S12" s="3">
        <v>138</v>
      </c>
      <c r="T12" s="103">
        <f>IF(ISERROR(VLOOKUP($A12,'SegEnds_NonXtal_BW#'!$A:$Z,14,FALSE)+VLOOKUP($A12,A:AL,19,FALSE)-50),"-",(VLOOKUP($A12,'SegEnds_NonXtal_BW#'!$A:$Z,14,FALSE)+VLOOKUP($A12,A:AL,19,FALSE)-50))</f>
        <v>144</v>
      </c>
      <c r="U12" s="9">
        <f>IF(ISERROR(VLOOKUP($A12,'SegEnds_NonXtal_BW#'!$A:$Z,15,FALSE)+VLOOKUP($A12,A:AL,22,FALSE)-50),"-",VLOOKUP($A12,'SegEnds_NonXtal_BW#'!$A:$Z,15,FALSE)+VLOOKUP($A12,A:AL,22,FALSE)-50)</f>
        <v>145</v>
      </c>
      <c r="V12" s="3">
        <v>157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>
        <f>IF(ISERROR(VLOOKUP($A12,'SegEnds_NonXtal_BW#'!$A:$Z,17,FALSE)+VLOOKUP($A12,A:AL,25,FALSE)-50),"-",(VLOOKUP($A12,'SegEnds_NonXtal_BW#'!$A:$Z,17,FALSE)+VLOOKUP($A12,A:AL,25,FALSE)-50))</f>
        <v>183</v>
      </c>
      <c r="Y12" s="3">
        <v>183</v>
      </c>
      <c r="Z12" s="3">
        <f t="shared" ref="Z12:Z21" si="19">Y12+2</f>
        <v>185</v>
      </c>
      <c r="AA12" s="3">
        <f>IF(ISERROR(VLOOKUP($A12,'SegEnds_NonXtal_BW#'!$A:$Z,19,FALSE)+VLOOKUP($A12,A:AL,28,FALSE)-50),"-",(VLOOKUP($A12,'SegEnds_NonXtal_BW#'!$A:$Z,19,FALSE)+VLOOKUP($A12,A:AL,28,FALSE)-50))</f>
        <v>195</v>
      </c>
      <c r="AB12" s="3">
        <v>211</v>
      </c>
      <c r="AC12" s="3">
        <f>IF(ISERROR((VLOOKUP($A12,'SegEnds_NonXtal_BW#'!$A:$Z,20,FALSE)+VLOOKUP($A12,A:AL,28,FALSE)-50)),"-",(VLOOKUP($A12,'SegEnds_NonXtal_BW#'!$A:$Z,20,FALSE)+VLOOKUP($A12,A:AL,28,FALSE)-50))</f>
        <v>234</v>
      </c>
      <c r="AD12" s="3">
        <f>IF(ISERROR(VLOOKUP($A12,'SegEnds_NonXtal_BW#'!$A:$Z,21,FALSE)+VLOOKUP($A12,A:AL,31,FALSE)-50),"-",(VLOOKUP($A12,'SegEnds_NonXtal_BW#'!$A:$Z,21,FALSE)+VLOOKUP($A12,A:AL,31,FALSE)-50))</f>
        <v>239</v>
      </c>
      <c r="AE12" s="3">
        <v>267</v>
      </c>
      <c r="AF12" s="3">
        <f>IF(ISERROR((VLOOKUP($A12,'SegEnds_NonXtal_BW#'!$A:$Z,22,FALSE)+VLOOKUP($A12,A:AL,31,FALSE)-50)),"-",(VLOOKUP($A12,'SegEnds_NonXtal_BW#'!$A:$Z,22,FALSE)+VLOOKUP($A12,A:AL,31,FALSE)-50))</f>
        <v>278</v>
      </c>
      <c r="AG12" s="3">
        <f>IF(ISERROR(VLOOKUP($A12,'SegEnds_NonXtal_BW#'!$A:$Z,23,FALSE)+VLOOKUP($A12,A:AL,34,FALSE)-50),"-",(VLOOKUP($A12,'SegEnds_NonXtal_BW#'!$A:$Z,23,FALSE)+VLOOKUP($A12,A:AL,34,FALSE)-50))</f>
        <v>284</v>
      </c>
      <c r="AH12" s="3">
        <v>303</v>
      </c>
      <c r="AI12" s="3">
        <f>IF(ISERROR((VLOOKUP($A12,'SegEnds_NonXtal_BW#'!$A:$Z,24,FALSE)+VLOOKUP($A12,A:AL,34,FALSE)-50)),"-",(VLOOKUP($A12,'SegEnds_NonXtal_BW#'!$A:$Z,24,FALSE)+VLOOKUP($A12,A:AL,34,FALSE)-50))</f>
        <v>309</v>
      </c>
      <c r="AJ12" s="3">
        <f>IF(ISERROR(VLOOKUP($A12,'SegEnds_NonXtal_BW#'!$A:$Z,25,FALSE)+VLOOKUP($A12,A:AL,37,FALSE)-50),"-",(VLOOKUP($A12,'SegEnds_NonXtal_BW#'!$A:$Z,25,FALSE)+VLOOKUP($A12,A:AL,37,FALSE)-50))</f>
        <v>310</v>
      </c>
      <c r="AK12" s="3">
        <v>313</v>
      </c>
      <c r="AL12" s="3">
        <f>IF(ISERROR((VLOOKUP($A12,'SegEnds_NonXtal_BW#'!$A:$Z,26,FALSE)+VLOOKUP($A12,A:AL,37,FALSE)-50)),"-",(VLOOKUP($A12,'SegEnds_NonXtal_BW#'!$A:$Z,26,FALSE)+VLOOKUP($A12,A:AL,37,FALSE)-50))</f>
        <v>322</v>
      </c>
      <c r="AM12" s="28" t="str">
        <f>VLOOKUP(A12,Classification!A:B,2,FALSE)</f>
        <v>A</v>
      </c>
      <c r="AN12" s="28" t="b">
        <f t="shared" si="0"/>
        <v>1</v>
      </c>
      <c r="AO12" s="3" t="str">
        <f>IF(ISERROR(MATCH(A12,'SegEnds_Xtal_Prot#'!B:B, 0)), "NoXtal", "Xtal")</f>
        <v>NoXtal</v>
      </c>
      <c r="AP12" s="3">
        <f t="shared" si="1"/>
        <v>2</v>
      </c>
      <c r="AQ12" s="3">
        <f t="shared" si="2"/>
        <v>1</v>
      </c>
      <c r="AR12" s="3">
        <f t="shared" si="3"/>
        <v>1</v>
      </c>
      <c r="AS12" s="3">
        <f t="shared" si="4"/>
        <v>1</v>
      </c>
      <c r="AT12" s="3">
        <f t="shared" si="5"/>
        <v>1</v>
      </c>
      <c r="AU12" s="3">
        <f t="shared" si="6"/>
        <v>1</v>
      </c>
      <c r="AV12" s="3">
        <f t="shared" si="7"/>
        <v>14</v>
      </c>
      <c r="AW12" s="3">
        <f t="shared" si="8"/>
        <v>10</v>
      </c>
      <c r="AX12" s="3">
        <f t="shared" si="9"/>
        <v>5</v>
      </c>
      <c r="AY12" s="3">
        <f t="shared" si="10"/>
        <v>6</v>
      </c>
      <c r="AZ12" s="3">
        <f t="shared" si="11"/>
        <v>1</v>
      </c>
      <c r="BA12" s="3">
        <f>IF(ISERROR(LEN(VLOOKUP(A12,Seqs!A:E,2,FALSE))-AL12),"-",LEN(VLOOKUP(A12,Seqs!A:E,2,FALSE))-AL12)</f>
        <v>32</v>
      </c>
      <c r="BB12" s="16">
        <f t="shared" si="12"/>
        <v>28</v>
      </c>
      <c r="BC12" s="9">
        <f t="shared" si="13"/>
        <v>19</v>
      </c>
      <c r="BD12" s="3">
        <f t="shared" si="14"/>
        <v>28</v>
      </c>
      <c r="BE12" s="3">
        <f t="shared" si="15"/>
        <v>56</v>
      </c>
    </row>
    <row r="13" spans="1:59" s="3" customFormat="1" x14ac:dyDescent="0.2">
      <c r="A13" s="3" t="s">
        <v>338</v>
      </c>
      <c r="B13" s="3" t="str">
        <f>LOWER(VLOOKUP(A13,Xtal_Templ!A:B,2,FALSE))</f>
        <v>opsd_human</v>
      </c>
      <c r="C13" s="3">
        <f>VLOOKUP($A13,'SegEnds_NonXtal_BW#'!$A:$Z,3,FALSE)+D13-50</f>
        <v>31</v>
      </c>
      <c r="D13" s="3">
        <v>52</v>
      </c>
      <c r="E13" s="3">
        <f>IF(ISERROR(VLOOKUP($A13,'SegEnds_NonXtal_BW#'!$A:$Z,4,FALSE)+VLOOKUP($A13,A:AL,4,FALSE)-50),"-",(VLOOKUP($A13,'SegEnds_NonXtal_BW#'!$A:$Z,4,FALSE)+VLOOKUP($A13,A:AL,4,FALSE)-50))</f>
        <v>62</v>
      </c>
      <c r="F13" s="3">
        <f t="shared" si="17"/>
        <v>63</v>
      </c>
      <c r="G13" s="3">
        <v>65</v>
      </c>
      <c r="H13" s="3">
        <f t="shared" si="18"/>
        <v>66</v>
      </c>
      <c r="I13" s="3">
        <f t="shared" si="18"/>
        <v>67</v>
      </c>
      <c r="J13" s="3">
        <v>80</v>
      </c>
      <c r="K13" s="3">
        <f>VLOOKUP($A13,'SegEnds_NonXtal_BW#'!$A:$Z,8,FALSE)+VLOOKUP($A13,A:AL,10,FALSE)-50</f>
        <v>97</v>
      </c>
      <c r="L13" s="3">
        <f>M13-1</f>
        <v>99</v>
      </c>
      <c r="M13" s="3">
        <v>100</v>
      </c>
      <c r="N13" s="3">
        <f>M13+2</f>
        <v>102</v>
      </c>
      <c r="O13" s="3">
        <f t="shared" si="16"/>
        <v>103</v>
      </c>
      <c r="P13" s="3">
        <v>132</v>
      </c>
      <c r="Q13" s="3">
        <f>VLOOKUP($A13,'SegEnds_NonXtal_BW#'!$A:$Z,12,FALSE)+VLOOKUP($A13,A:AL,16,FALSE)-50</f>
        <v>138</v>
      </c>
      <c r="R13" s="3">
        <f>IF(ISERROR(VLOOKUP($A13,'SegEnds_NonXtal_BW#'!$A:$Z,13,FALSE)+VLOOKUP($A13,A:AL,19,FALSE)-50),"-",VLOOKUP($A13,'SegEnds_NonXtal_BW#'!$A:$Z,13,FALSE)+VLOOKUP($A13,A:AL,19,FALSE)-50)</f>
        <v>139</v>
      </c>
      <c r="S13" s="3">
        <v>139</v>
      </c>
      <c r="T13" s="103">
        <f>IF(ISERROR(VLOOKUP($A13,'SegEnds_NonXtal_BW#'!$A:$Z,14,FALSE)+VLOOKUP($A13,A:AL,19,FALSE)-50),"-",(VLOOKUP($A13,'SegEnds_NonXtal_BW#'!$A:$Z,14,FALSE)+VLOOKUP($A13,A:AL,19,FALSE)-50))</f>
        <v>145</v>
      </c>
      <c r="U13" s="9">
        <f>IF(ISERROR(VLOOKUP($A13,'SegEnds_NonXtal_BW#'!$A:$Z,15,FALSE)+VLOOKUP($A13,A:AL,22,FALSE)-50),"-",VLOOKUP($A13,'SegEnds_NonXtal_BW#'!$A:$Z,15,FALSE)+VLOOKUP($A13,A:AL,22,FALSE)-50)</f>
        <v>146</v>
      </c>
      <c r="V13" s="3">
        <v>158</v>
      </c>
      <c r="W13" s="3">
        <f>IF(ISERROR(VLOOKUP($A13,'SegEnds_NonXtal_BW#'!$A:$Z,16,FALSE)+VLOOKUP($A13,A:AL,22,FALSE)-50),"-",(VLOOKUP($A13,'SegEnds_NonXtal_BW#'!$A:$Z,16,FALSE)+VLOOKUP($A13,A:AL,22,FALSE)-50))</f>
        <v>170</v>
      </c>
      <c r="X13" s="3">
        <f>IF(ISERROR(VLOOKUP($A13,'SegEnds_NonXtal_BW#'!$A:$Z,17,FALSE)+VLOOKUP($A13,A:AL,25,FALSE)-50),"-",(VLOOKUP($A13,'SegEnds_NonXtal_BW#'!$A:$Z,17,FALSE)+VLOOKUP($A13,A:AL,25,FALSE)-50))</f>
        <v>184</v>
      </c>
      <c r="Y13" s="3">
        <v>184</v>
      </c>
      <c r="Z13" s="3">
        <f t="shared" si="19"/>
        <v>186</v>
      </c>
      <c r="AA13" s="3">
        <f>IF(ISERROR(VLOOKUP($A13,'SegEnds_NonXtal_BW#'!$A:$Z,19,FALSE)+VLOOKUP($A13,A:AL,28,FALSE)-50),"-",(VLOOKUP($A13,'SegEnds_NonXtal_BW#'!$A:$Z,19,FALSE)+VLOOKUP($A13,A:AL,28,FALSE)-50))</f>
        <v>196</v>
      </c>
      <c r="AB13" s="3">
        <v>212</v>
      </c>
      <c r="AC13" s="3">
        <f>IF(ISERROR((VLOOKUP($A13,'SegEnds_NonXtal_BW#'!$A:$Z,20,FALSE)+VLOOKUP($A13,A:AL,28,FALSE)-50)),"-",(VLOOKUP($A13,'SegEnds_NonXtal_BW#'!$A:$Z,20,FALSE)+VLOOKUP($A13,A:AL,28,FALSE)-50))</f>
        <v>234</v>
      </c>
      <c r="AD13" s="3">
        <f>IF(ISERROR(VLOOKUP($A13,'SegEnds_NonXtal_BW#'!$A:$Z,21,FALSE)+VLOOKUP($A13,A:AL,31,FALSE)-50),"-",(VLOOKUP($A13,'SegEnds_NonXtal_BW#'!$A:$Z,21,FALSE)+VLOOKUP($A13,A:AL,31,FALSE)-50))</f>
        <v>238</v>
      </c>
      <c r="AE13" s="3">
        <v>264</v>
      </c>
      <c r="AF13" s="3">
        <f>IF(ISERROR((VLOOKUP($A13,'SegEnds_NonXtal_BW#'!$A:$Z,22,FALSE)+VLOOKUP($A13,A:AL,31,FALSE)-50)),"-",(VLOOKUP($A13,'SegEnds_NonXtal_BW#'!$A:$Z,22,FALSE)+VLOOKUP($A13,A:AL,31,FALSE)-50))</f>
        <v>275</v>
      </c>
      <c r="AG13" s="3">
        <f>IF(ISERROR(VLOOKUP($A13,'SegEnds_NonXtal_BW#'!$A:$Z,23,FALSE)+VLOOKUP($A13,A:AL,34,FALSE)-50),"-",(VLOOKUP($A13,'SegEnds_NonXtal_BW#'!$A:$Z,23,FALSE)+VLOOKUP($A13,A:AL,34,FALSE)-50))</f>
        <v>281</v>
      </c>
      <c r="AH13" s="3">
        <v>300</v>
      </c>
      <c r="AI13" s="3">
        <f>IF(ISERROR((VLOOKUP($A13,'SegEnds_NonXtal_BW#'!$A:$Z,24,FALSE)+VLOOKUP($A13,A:AL,34,FALSE)-50)),"-",(VLOOKUP($A13,'SegEnds_NonXtal_BW#'!$A:$Z,24,FALSE)+VLOOKUP($A13,A:AL,34,FALSE)-50))</f>
        <v>306</v>
      </c>
      <c r="AJ13" s="3">
        <f>IF(ISERROR(VLOOKUP($A13,'SegEnds_NonXtal_BW#'!$A:$Z,25,FALSE)+VLOOKUP($A13,A:AL,37,FALSE)-50),"-",(VLOOKUP($A13,'SegEnds_NonXtal_BW#'!$A:$Z,25,FALSE)+VLOOKUP($A13,A:AL,37,FALSE)-50))</f>
        <v>307</v>
      </c>
      <c r="AK13" s="3">
        <v>310</v>
      </c>
      <c r="AL13" s="3">
        <f>IF(ISERROR((VLOOKUP($A13,'SegEnds_NonXtal_BW#'!$A:$Z,26,FALSE)+VLOOKUP($A13,A:AL,37,FALSE)-50)),"-",(VLOOKUP($A13,'SegEnds_NonXtal_BW#'!$A:$Z,26,FALSE)+VLOOKUP($A13,A:AL,37,FALSE)-50))</f>
        <v>319</v>
      </c>
      <c r="AM13" s="28" t="str">
        <f>VLOOKUP(A13,Classification!A:B,2,FALSE)</f>
        <v>A</v>
      </c>
      <c r="AN13" s="28" t="b">
        <f t="shared" si="0"/>
        <v>1</v>
      </c>
      <c r="AO13" s="3" t="str">
        <f>IF(ISERROR(MATCH(A13,'SegEnds_Xtal_Prot#'!B:B, 0)), "NoXtal", "Xtal")</f>
        <v>NoXtal</v>
      </c>
      <c r="AP13" s="3">
        <f t="shared" si="1"/>
        <v>1</v>
      </c>
      <c r="AQ13" s="3">
        <f t="shared" si="2"/>
        <v>1</v>
      </c>
      <c r="AR13" s="3">
        <f t="shared" si="3"/>
        <v>2</v>
      </c>
      <c r="AS13" s="3">
        <f t="shared" si="4"/>
        <v>1</v>
      </c>
      <c r="AT13" s="3">
        <f t="shared" si="5"/>
        <v>1</v>
      </c>
      <c r="AU13" s="3">
        <f t="shared" si="6"/>
        <v>1</v>
      </c>
      <c r="AV13" s="3">
        <f t="shared" si="7"/>
        <v>14</v>
      </c>
      <c r="AW13" s="3">
        <f t="shared" si="8"/>
        <v>10</v>
      </c>
      <c r="AX13" s="3">
        <f t="shared" si="9"/>
        <v>4</v>
      </c>
      <c r="AY13" s="3">
        <f t="shared" si="10"/>
        <v>6</v>
      </c>
      <c r="AZ13" s="3">
        <f t="shared" si="11"/>
        <v>1</v>
      </c>
      <c r="BA13" s="3">
        <f>IF(ISERROR(LEN(VLOOKUP(A13,Seqs!A:E,2,FALSE))-AL13),"-",LEN(VLOOKUP(A13,Seqs!A:E,2,FALSE))-AL13)</f>
        <v>29</v>
      </c>
      <c r="BB13" s="16">
        <f t="shared" si="12"/>
        <v>28</v>
      </c>
      <c r="BC13" s="9">
        <f t="shared" si="13"/>
        <v>19</v>
      </c>
      <c r="BD13" s="3">
        <f t="shared" si="14"/>
        <v>28</v>
      </c>
      <c r="BE13" s="3">
        <f t="shared" si="15"/>
        <v>52</v>
      </c>
      <c r="BF13" s="3">
        <f t="shared" ref="BF13:BF18" si="20">AH13-AE13</f>
        <v>36</v>
      </c>
    </row>
    <row r="14" spans="1:59" s="3" customFormat="1" x14ac:dyDescent="0.2">
      <c r="A14" s="3" t="s">
        <v>920</v>
      </c>
      <c r="B14" s="3" t="str">
        <f>LOWER(VLOOKUP(A14,Xtal_Templ!A:B,2,FALSE))</f>
        <v>opsd_bovin</v>
      </c>
      <c r="C14" s="3">
        <f>VLOOKUP($A14,'SegEnds_NonXtal_BW#'!$A:$Z,3,FALSE)+D14-50</f>
        <v>34</v>
      </c>
      <c r="D14" s="3">
        <v>55</v>
      </c>
      <c r="E14" s="3">
        <f>IF(ISERROR(VLOOKUP($A14,'SegEnds_NonXtal_BW#'!$A:$Z,4,FALSE)+VLOOKUP($A14,A:AL,4,FALSE)-50),"-",(VLOOKUP($A14,'SegEnds_NonXtal_BW#'!$A:$Z,4,FALSE)+VLOOKUP($A14,A:AL,4,FALSE)-50))</f>
        <v>65</v>
      </c>
      <c r="F14" s="3">
        <f t="shared" si="17"/>
        <v>66</v>
      </c>
      <c r="G14" s="3">
        <v>68</v>
      </c>
      <c r="H14" s="3">
        <f t="shared" si="18"/>
        <v>69</v>
      </c>
      <c r="I14" s="3">
        <f t="shared" si="18"/>
        <v>70</v>
      </c>
      <c r="J14" s="3">
        <v>83</v>
      </c>
      <c r="K14" s="3">
        <f>VLOOKUP($A14,'SegEnds_NonXtal_BW#'!$A:$Z,8,FALSE)+VLOOKUP($A14,A:AL,10,FALSE)-50</f>
        <v>100</v>
      </c>
      <c r="L14" s="3">
        <f>IF(ISERROR(VLOOKUP($A14,'SegEnds_NonXtal_BW#'!$A:$Z,9,FALSE)+VLOOKUP($A14,A:AL,13,FALSE)-50),"-",(VLOOKUP($A14,'SegEnds_NonXtal_BW#'!$A:$Z,9,FALSE)+VLOOKUP($A14,A:AL,13,FALSE)-50))</f>
        <v>102</v>
      </c>
      <c r="M14" s="3">
        <v>103</v>
      </c>
      <c r="N14" s="3">
        <f>IF(ISERROR(VLOOKUP($A14,'SegEnds_NonXtal_BW#'!$A:$Z,10,FALSE)+VLOOKUP($A14,A:AL,13,FALSE)-50),"-",(VLOOKUP($A14,'SegEnds_NonXtal_BW#'!$A:$Z,10,FALSE)+VLOOKUP($A14,A:AL,13,FALSE)-50))</f>
        <v>105</v>
      </c>
      <c r="O14" s="3">
        <f t="shared" si="16"/>
        <v>106</v>
      </c>
      <c r="P14" s="3">
        <v>135</v>
      </c>
      <c r="Q14" s="3">
        <f>VLOOKUP($A14,'SegEnds_NonXtal_BW#'!$A:$Z,12,FALSE)+VLOOKUP($A14,A:AL,16,FALSE)-50</f>
        <v>141</v>
      </c>
      <c r="R14" s="3">
        <f>IF(ISERROR(VLOOKUP($A14,'SegEnds_NonXtal_BW#'!$A:$Z,13,FALSE)+VLOOKUP($A14,A:AL,19,FALSE)-50),"-",VLOOKUP($A14,'SegEnds_NonXtal_BW#'!$A:$Z,13,FALSE)+VLOOKUP($A14,A:AL,19,FALSE)-50)</f>
        <v>142</v>
      </c>
      <c r="S14" s="3">
        <v>142</v>
      </c>
      <c r="T14" s="103">
        <f>IF(ISERROR(VLOOKUP($A14,'SegEnds_NonXtal_BW#'!$A:$Z,14,FALSE)+VLOOKUP($A14,A:AL,19,FALSE)-50),"-",(VLOOKUP($A14,'SegEnds_NonXtal_BW#'!$A:$Z,14,FALSE)+VLOOKUP($A14,A:AL,19,FALSE)-50))</f>
        <v>148</v>
      </c>
      <c r="U14" s="9">
        <f>IF(ISERROR(VLOOKUP($A14,'SegEnds_NonXtal_BW#'!$A:$Z,15,FALSE)+VLOOKUP($A14,A:AL,22,FALSE)-50),"-",VLOOKUP($A14,'SegEnds_NonXtal_BW#'!$A:$Z,15,FALSE)+VLOOKUP($A14,A:AL,22,FALSE)-50)</f>
        <v>149</v>
      </c>
      <c r="V14" s="3">
        <v>161</v>
      </c>
      <c r="W14" s="3">
        <f>IF(ISERROR(VLOOKUP($A14,'SegEnds_NonXtal_BW#'!$A:$Z,16,FALSE)+VLOOKUP($A14,A:AL,22,FALSE)-50),"-",(VLOOKUP($A14,'SegEnds_NonXtal_BW#'!$A:$Z,16,FALSE)+VLOOKUP($A14,A:AL,22,FALSE)-50))</f>
        <v>173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 t="shared" si="19"/>
        <v>189</v>
      </c>
      <c r="AA14" s="3">
        <f>IF(ISERROR(VLOOKUP($A14,'SegEnds_NonXtal_BW#'!$A:$Z,19,FALSE)+VLOOKUP($A14,A:AL,28,FALSE)-50),"-",(VLOOKUP($A14,'SegEnds_NonXtal_BW#'!$A:$Z,19,FALSE)+VLOOKUP($A14,A:AL,28,FALSE)-50))</f>
        <v>199</v>
      </c>
      <c r="AB14" s="3">
        <v>215</v>
      </c>
      <c r="AC14" s="3">
        <f>IF(ISERROR((VLOOKUP($A14,'SegEnds_NonXtal_BW#'!$A:$Z,20,FALSE)+VLOOKUP($A14,A:AL,28,FALSE)-50)),"-",(VLOOKUP($A14,'SegEnds_NonXtal_BW#'!$A:$Z,20,FALSE)+VLOOKUP($A14,A:AL,28,FALSE)-50))</f>
        <v>237</v>
      </c>
      <c r="AD14" s="3">
        <f>IF(ISERROR(VLOOKUP($A14,'SegEnds_NonXtal_BW#'!$A:$Z,21,FALSE)+VLOOKUP($A14,A:AL,31,FALSE)-50),"-",(VLOOKUP($A14,'SegEnds_NonXtal_BW#'!$A:$Z,21,FALSE)+VLOOKUP($A14,A:AL,31,FALSE)-50))</f>
        <v>241</v>
      </c>
      <c r="AE14" s="3">
        <v>267</v>
      </c>
      <c r="AF14" s="3">
        <f>IF(ISERROR((VLOOKUP($A14,'SegEnds_NonXtal_BW#'!$A:$Z,22,FALSE)+VLOOKUP($A14,A:AL,31,FALSE)-50)),"-",(VLOOKUP($A14,'SegEnds_NonXtal_BW#'!$A:$Z,22,FALSE)+VLOOKUP($A14,A:AL,31,FALSE)-50))</f>
        <v>278</v>
      </c>
      <c r="AG14" s="3">
        <f>IF(ISERROR(VLOOKUP($A14,'SegEnds_NonXtal_BW#'!$A:$Z,23,FALSE)+VLOOKUP($A14,A:AL,34,FALSE)-50),"-",(VLOOKUP($A14,'SegEnds_NonXtal_BW#'!$A:$Z,23,FALSE)+VLOOKUP($A14,A:AL,34,FALSE)-50))</f>
        <v>284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322</v>
      </c>
      <c r="AM14" s="28" t="str">
        <f>VLOOKUP(A14,Classification!A:B,2,FALSE)</f>
        <v>A</v>
      </c>
      <c r="AN14" s="28" t="b">
        <f t="shared" si="0"/>
        <v>1</v>
      </c>
      <c r="AO14" s="3" t="str">
        <f>IF(ISERROR(MATCH(A14,'SegEnds_Xtal_Prot#'!B:B, 0)), "NoXtal", "Xtal")</f>
        <v>Xtal</v>
      </c>
      <c r="AP14" s="3">
        <f t="shared" si="1"/>
        <v>1</v>
      </c>
      <c r="AQ14" s="3">
        <f t="shared" si="2"/>
        <v>1</v>
      </c>
      <c r="AR14" s="3">
        <f t="shared" si="3"/>
        <v>2</v>
      </c>
      <c r="AS14" s="3">
        <f t="shared" si="4"/>
        <v>1</v>
      </c>
      <c r="AT14" s="3">
        <f t="shared" si="5"/>
        <v>1</v>
      </c>
      <c r="AU14" s="3">
        <f t="shared" si="6"/>
        <v>1</v>
      </c>
      <c r="AV14" s="3">
        <f t="shared" si="7"/>
        <v>14</v>
      </c>
      <c r="AW14" s="3">
        <f t="shared" si="8"/>
        <v>10</v>
      </c>
      <c r="AX14" s="3">
        <f t="shared" si="9"/>
        <v>4</v>
      </c>
      <c r="AY14" s="3">
        <f t="shared" si="10"/>
        <v>6</v>
      </c>
      <c r="AZ14" s="3">
        <f t="shared" si="11"/>
        <v>1</v>
      </c>
      <c r="BA14" s="3">
        <f>IF(ISERROR(LEN(VLOOKUP(A14,Seqs!A:E,2,FALSE))-AL14),"-",LEN(VLOOKUP(A14,Seqs!A:E,2,FALSE))-AL14)</f>
        <v>26</v>
      </c>
      <c r="BB14" s="16">
        <f t="shared" si="12"/>
        <v>28</v>
      </c>
      <c r="BC14" s="9">
        <f t="shared" si="13"/>
        <v>19</v>
      </c>
      <c r="BD14" s="3">
        <f t="shared" si="14"/>
        <v>28</v>
      </c>
      <c r="BE14" s="3">
        <f t="shared" si="15"/>
        <v>52</v>
      </c>
      <c r="BF14" s="3">
        <f t="shared" si="20"/>
        <v>36</v>
      </c>
    </row>
    <row r="15" spans="1:59" s="3" customFormat="1" x14ac:dyDescent="0.2">
      <c r="A15" s="3" t="s">
        <v>339</v>
      </c>
      <c r="B15" s="3" t="str">
        <f>LOWER(VLOOKUP(A15,Xtal_Templ!A:B,2,FALSE))</f>
        <v>opsd_human</v>
      </c>
      <c r="C15" s="3">
        <f>VLOOKUP($A15,'SegEnds_NonXtal_BW#'!$A:$Z,3,FALSE)+D15-50</f>
        <v>34</v>
      </c>
      <c r="D15" s="3">
        <v>55</v>
      </c>
      <c r="E15" s="3">
        <f>IF(ISERROR(VLOOKUP($A15,'SegEnds_NonXtal_BW#'!$A:$Z,4,FALSE)+VLOOKUP($A15,A:AL,4,FALSE)-50),"-",(VLOOKUP($A15,'SegEnds_NonXtal_BW#'!$A:$Z,4,FALSE)+VLOOKUP($A15,A:AL,4,FALSE)-50))</f>
        <v>65</v>
      </c>
      <c r="F15" s="3">
        <f t="shared" si="17"/>
        <v>66</v>
      </c>
      <c r="G15" s="3">
        <v>68</v>
      </c>
      <c r="H15" s="3">
        <f t="shared" si="18"/>
        <v>69</v>
      </c>
      <c r="I15" s="3">
        <f t="shared" si="18"/>
        <v>70</v>
      </c>
      <c r="J15" s="3">
        <v>83</v>
      </c>
      <c r="K15" s="3">
        <f>VLOOKUP($A15,'SegEnds_NonXtal_BW#'!$A:$Z,8,FALSE)+VLOOKUP($A15,A:AL,10,FALSE)-50</f>
        <v>100</v>
      </c>
      <c r="L15" s="3">
        <f>M15-1</f>
        <v>102</v>
      </c>
      <c r="M15" s="3">
        <v>103</v>
      </c>
      <c r="N15" s="3">
        <f>M15+2</f>
        <v>105</v>
      </c>
      <c r="O15" s="3">
        <f t="shared" si="16"/>
        <v>106</v>
      </c>
      <c r="P15" s="3">
        <v>135</v>
      </c>
      <c r="Q15" s="3">
        <f>VLOOKUP($A15,'SegEnds_NonXtal_BW#'!$A:$Z,12,FALSE)+VLOOKUP($A15,A:AL,16,FALSE)-50</f>
        <v>141</v>
      </c>
      <c r="R15" s="3">
        <f>IF(ISERROR(VLOOKUP($A15,'SegEnds_NonXtal_BW#'!$A:$Z,13,FALSE)+VLOOKUP($A15,A:AL,19,FALSE)-50),"-",VLOOKUP($A15,'SegEnds_NonXtal_BW#'!$A:$Z,13,FALSE)+VLOOKUP($A15,A:AL,19,FALSE)-50)</f>
        <v>142</v>
      </c>
      <c r="S15" s="3">
        <v>142</v>
      </c>
      <c r="T15" s="103">
        <f>IF(ISERROR(VLOOKUP($A15,'SegEnds_NonXtal_BW#'!$A:$Z,14,FALSE)+VLOOKUP($A15,A:AL,19,FALSE)-50),"-",(VLOOKUP($A15,'SegEnds_NonXtal_BW#'!$A:$Z,14,FALSE)+VLOOKUP($A15,A:AL,19,FALSE)-50))</f>
        <v>148</v>
      </c>
      <c r="U15" s="9">
        <f>IF(ISERROR(VLOOKUP($A15,'SegEnds_NonXtal_BW#'!$A:$Z,15,FALSE)+VLOOKUP($A15,A:AL,22,FALSE)-50),"-",VLOOKUP($A15,'SegEnds_NonXtal_BW#'!$A:$Z,15,FALSE)+VLOOKUP($A15,A:AL,22,FALSE)-50)</f>
        <v>149</v>
      </c>
      <c r="V15" s="3">
        <v>161</v>
      </c>
      <c r="W15" s="3">
        <f>IF(ISERROR(VLOOKUP($A15,'SegEnds_NonXtal_BW#'!$A:$Z,16,FALSE)+VLOOKUP($A15,A:AL,22,FALSE)-50),"-",(VLOOKUP($A15,'SegEnds_NonXtal_BW#'!$A:$Z,16,FALSE)+VLOOKUP($A15,A:AL,22,FALSE)-50))</f>
        <v>173</v>
      </c>
      <c r="X15" s="3">
        <f>IF(ISERROR(VLOOKUP($A15,'SegEnds_NonXtal_BW#'!$A:$Z,17,FALSE)+VLOOKUP($A15,A:AL,25,FALSE)-50),"-",(VLOOKUP($A15,'SegEnds_NonXtal_BW#'!$A:$Z,17,FALSE)+VLOOKUP($A15,A:AL,25,FALSE)-50))</f>
        <v>187</v>
      </c>
      <c r="Y15" s="3">
        <v>187</v>
      </c>
      <c r="Z15" s="3">
        <f t="shared" si="19"/>
        <v>189</v>
      </c>
      <c r="AA15" s="3">
        <f>IF(ISERROR(VLOOKUP($A15,'SegEnds_NonXtal_BW#'!$A:$Z,19,FALSE)+VLOOKUP($A15,A:AL,28,FALSE)-50),"-",(VLOOKUP($A15,'SegEnds_NonXtal_BW#'!$A:$Z,19,FALSE)+VLOOKUP($A15,A:AL,28,FALSE)-50))</f>
        <v>199</v>
      </c>
      <c r="AB15" s="3">
        <v>215</v>
      </c>
      <c r="AC15" s="3">
        <f>IF(ISERROR((VLOOKUP($A15,'SegEnds_NonXtal_BW#'!$A:$Z,20,FALSE)+VLOOKUP($A15,A:AL,28,FALSE)-50)),"-",(VLOOKUP($A15,'SegEnds_NonXtal_BW#'!$A:$Z,20,FALSE)+VLOOKUP($A15,A:AL,28,FALSE)-50))</f>
        <v>237</v>
      </c>
      <c r="AD15" s="3">
        <f>IF(ISERROR(VLOOKUP($A15,'SegEnds_NonXtal_BW#'!$A:$Z,21,FALSE)+VLOOKUP($A15,A:AL,31,FALSE)-50),"-",(VLOOKUP($A15,'SegEnds_NonXtal_BW#'!$A:$Z,21,FALSE)+VLOOKUP($A15,A:AL,31,FALSE)-50))</f>
        <v>241</v>
      </c>
      <c r="AE15" s="3">
        <v>267</v>
      </c>
      <c r="AF15" s="3">
        <f>IF(ISERROR((VLOOKUP($A15,'SegEnds_NonXtal_BW#'!$A:$Z,22,FALSE)+VLOOKUP($A15,A:AL,31,FALSE)-50)),"-",(VLOOKUP($A15,'SegEnds_NonXtal_BW#'!$A:$Z,22,FALSE)+VLOOKUP($A15,A:AL,31,FALSE)-50))</f>
        <v>278</v>
      </c>
      <c r="AG15" s="3">
        <f>IF(ISERROR(VLOOKUP($A15,'SegEnds_NonXtal_BW#'!$A:$Z,23,FALSE)+VLOOKUP($A15,A:AL,34,FALSE)-50),"-",(VLOOKUP($A15,'SegEnds_NonXtal_BW#'!$A:$Z,23,FALSE)+VLOOKUP($A15,A:AL,34,FALSE)-50))</f>
        <v>284</v>
      </c>
      <c r="AH15" s="3">
        <v>303</v>
      </c>
      <c r="AI15" s="3">
        <f>IF(ISERROR((VLOOKUP($A15,'SegEnds_NonXtal_BW#'!$A:$Z,24,FALSE)+VLOOKUP($A15,A:AL,34,FALSE)-50)),"-",(VLOOKUP($A15,'SegEnds_NonXtal_BW#'!$A:$Z,24,FALSE)+VLOOKUP($A15,A:AL,34,FALSE)-50))</f>
        <v>309</v>
      </c>
      <c r="AJ15" s="3">
        <f>IF(ISERROR(VLOOKUP($A15,'SegEnds_NonXtal_BW#'!$A:$Z,25,FALSE)+VLOOKUP($A15,A:AL,37,FALSE)-50),"-",(VLOOKUP($A15,'SegEnds_NonXtal_BW#'!$A:$Z,25,FALSE)+VLOOKUP($A15,A:AL,37,FALSE)-50))</f>
        <v>310</v>
      </c>
      <c r="AK15" s="3">
        <v>313</v>
      </c>
      <c r="AL15" s="3">
        <f>IF(ISERROR((VLOOKUP($A15,'SegEnds_NonXtal_BW#'!$A:$Z,26,FALSE)+VLOOKUP($A15,A:AL,37,FALSE)-50)),"-",(VLOOKUP($A15,'SegEnds_NonXtal_BW#'!$A:$Z,26,FALSE)+VLOOKUP($A15,A:AL,37,FALSE)-50))</f>
        <v>322</v>
      </c>
      <c r="AM15" s="28" t="str">
        <f>VLOOKUP(A15,Classification!A:B,2,FALSE)</f>
        <v>A</v>
      </c>
      <c r="AN15" s="28" t="b">
        <f t="shared" si="0"/>
        <v>1</v>
      </c>
      <c r="AO15" s="3" t="str">
        <f>IF(ISERROR(MATCH(A15,'SegEnds_Xtal_Prot#'!B:B, 0)), "NoXtal", "Xtal")</f>
        <v>Xtal</v>
      </c>
      <c r="AP15" s="3">
        <f t="shared" si="1"/>
        <v>1</v>
      </c>
      <c r="AQ15" s="3">
        <f t="shared" si="2"/>
        <v>1</v>
      </c>
      <c r="AR15" s="3">
        <f t="shared" si="3"/>
        <v>2</v>
      </c>
      <c r="AS15" s="3">
        <f t="shared" si="4"/>
        <v>1</v>
      </c>
      <c r="AT15" s="3">
        <f t="shared" si="5"/>
        <v>1</v>
      </c>
      <c r="AU15" s="3">
        <f t="shared" si="6"/>
        <v>1</v>
      </c>
      <c r="AV15" s="3">
        <f t="shared" si="7"/>
        <v>14</v>
      </c>
      <c r="AW15" s="3">
        <f t="shared" si="8"/>
        <v>10</v>
      </c>
      <c r="AX15" s="3">
        <f t="shared" si="9"/>
        <v>4</v>
      </c>
      <c r="AY15" s="3">
        <f t="shared" si="10"/>
        <v>6</v>
      </c>
      <c r="AZ15" s="3">
        <f t="shared" si="11"/>
        <v>1</v>
      </c>
      <c r="BA15" s="3">
        <f>IF(ISERROR(LEN(VLOOKUP(A15,Seqs!A:E,2,FALSE))-AL15),"-",LEN(VLOOKUP(A15,Seqs!A:E,2,FALSE))-AL15)</f>
        <v>26</v>
      </c>
      <c r="BB15" s="16">
        <f t="shared" si="12"/>
        <v>28</v>
      </c>
      <c r="BC15" s="9">
        <f t="shared" si="13"/>
        <v>19</v>
      </c>
      <c r="BD15" s="3">
        <f t="shared" si="14"/>
        <v>28</v>
      </c>
      <c r="BE15" s="3">
        <f t="shared" si="15"/>
        <v>52</v>
      </c>
      <c r="BF15" s="3">
        <f t="shared" si="20"/>
        <v>36</v>
      </c>
    </row>
    <row r="16" spans="1:59" s="3" customFormat="1" x14ac:dyDescent="0.2">
      <c r="A16" s="3" t="s">
        <v>340</v>
      </c>
      <c r="B16" s="3" t="str">
        <f>LOWER(VLOOKUP(A16,Xtal_Templ!A:B,2,FALSE))</f>
        <v>opsd_human</v>
      </c>
      <c r="C16" s="3">
        <f>VLOOKUP($A16,'SegEnds_NonXtal_BW#'!$A:$Z,3,FALSE)+D16-50</f>
        <v>50</v>
      </c>
      <c r="D16" s="3">
        <v>71</v>
      </c>
      <c r="E16" s="3">
        <f>IF(ISERROR(VLOOKUP($A16,'SegEnds_NonXtal_BW#'!$A:$Z,4,FALSE)+VLOOKUP($A16,A:AL,4,FALSE)-50),"-",(VLOOKUP($A16,'SegEnds_NonXtal_BW#'!$A:$Z,4,FALSE)+VLOOKUP($A16,A:AL,4,FALSE)-50))</f>
        <v>81</v>
      </c>
      <c r="F16" s="3">
        <f t="shared" si="17"/>
        <v>82</v>
      </c>
      <c r="G16" s="3">
        <v>84</v>
      </c>
      <c r="H16" s="3">
        <f t="shared" si="18"/>
        <v>85</v>
      </c>
      <c r="I16" s="3">
        <f t="shared" si="18"/>
        <v>86</v>
      </c>
      <c r="J16" s="3">
        <v>99</v>
      </c>
      <c r="K16" s="3">
        <f>VLOOKUP($A16,'SegEnds_NonXtal_BW#'!$A:$Z,8,FALSE)+VLOOKUP($A16,A:AL,10,FALSE)-50</f>
        <v>116</v>
      </c>
      <c r="L16" s="3">
        <f>M16-1</f>
        <v>118</v>
      </c>
      <c r="M16" s="3">
        <v>119</v>
      </c>
      <c r="N16" s="3">
        <f>M16+2</f>
        <v>121</v>
      </c>
      <c r="O16" s="3">
        <f t="shared" si="16"/>
        <v>122</v>
      </c>
      <c r="P16" s="3">
        <v>151</v>
      </c>
      <c r="Q16" s="3">
        <f>VLOOKUP($A16,'SegEnds_NonXtal_BW#'!$A:$Z,12,FALSE)+VLOOKUP($A16,A:AL,16,FALSE)-50</f>
        <v>157</v>
      </c>
      <c r="R16" s="3">
        <f>IF(ISERROR(VLOOKUP($A16,'SegEnds_NonXtal_BW#'!$A:$Z,13,FALSE)+VLOOKUP($A16,A:AL,19,FALSE)-50),"-",VLOOKUP($A16,'SegEnds_NonXtal_BW#'!$A:$Z,13,FALSE)+VLOOKUP($A16,A:AL,19,FALSE)-50)</f>
        <v>158</v>
      </c>
      <c r="S16" s="3">
        <v>158</v>
      </c>
      <c r="T16" s="103">
        <f>IF(ISERROR(VLOOKUP($A16,'SegEnds_NonXtal_BW#'!$A:$Z,14,FALSE)+VLOOKUP($A16,A:AL,19,FALSE)-50),"-",(VLOOKUP($A16,'SegEnds_NonXtal_BW#'!$A:$Z,14,FALSE)+VLOOKUP($A16,A:AL,19,FALSE)-50))</f>
        <v>164</v>
      </c>
      <c r="U16" s="9">
        <f>IF(ISERROR(VLOOKUP($A16,'SegEnds_NonXtal_BW#'!$A:$Z,15,FALSE)+VLOOKUP($A16,A:AL,22,FALSE)-50),"-",VLOOKUP($A16,'SegEnds_NonXtal_BW#'!$A:$Z,15,FALSE)+VLOOKUP($A16,A:AL,22,FALSE)-50)</f>
        <v>165</v>
      </c>
      <c r="V16" s="3">
        <v>177</v>
      </c>
      <c r="W16" s="3">
        <f>IF(ISERROR(VLOOKUP($A16,'SegEnds_NonXtal_BW#'!$A:$Z,16,FALSE)+VLOOKUP($A16,A:AL,22,FALSE)-50),"-",(VLOOKUP($A16,'SegEnds_NonXtal_BW#'!$A:$Z,16,FALSE)+VLOOKUP($A16,A:AL,22,FALSE)-50))</f>
        <v>189</v>
      </c>
      <c r="X16" s="3">
        <f>IF(ISERROR(VLOOKUP($A16,'SegEnds_NonXtal_BW#'!$A:$Z,17,FALSE)+VLOOKUP($A16,A:AL,25,FALSE)-50),"-",(VLOOKUP($A16,'SegEnds_NonXtal_BW#'!$A:$Z,17,FALSE)+VLOOKUP($A16,A:AL,25,FALSE)-50))</f>
        <v>203</v>
      </c>
      <c r="Y16" s="3">
        <v>203</v>
      </c>
      <c r="Z16" s="3">
        <f t="shared" si="19"/>
        <v>205</v>
      </c>
      <c r="AA16" s="3">
        <f>IF(ISERROR(VLOOKUP($A16,'SegEnds_NonXtal_BW#'!$A:$Z,19,FALSE)+VLOOKUP($A16,A:AL,28,FALSE)-50),"-",(VLOOKUP($A16,'SegEnds_NonXtal_BW#'!$A:$Z,19,FALSE)+VLOOKUP($A16,A:AL,28,FALSE)-50))</f>
        <v>215</v>
      </c>
      <c r="AB16" s="3">
        <v>231</v>
      </c>
      <c r="AC16" s="3">
        <f>IF(ISERROR((VLOOKUP($A16,'SegEnds_NonXtal_BW#'!$A:$Z,20,FALSE)+VLOOKUP($A16,A:AL,28,FALSE)-50)),"-",(VLOOKUP($A16,'SegEnds_NonXtal_BW#'!$A:$Z,20,FALSE)+VLOOKUP($A16,A:AL,28,FALSE)-50))</f>
        <v>253</v>
      </c>
      <c r="AD16" s="3">
        <f>IF(ISERROR(VLOOKUP($A16,'SegEnds_NonXtal_BW#'!$A:$Z,21,FALSE)+VLOOKUP($A16,A:AL,31,FALSE)-50),"-",(VLOOKUP($A16,'SegEnds_NonXtal_BW#'!$A:$Z,21,FALSE)+VLOOKUP($A16,A:AL,31,FALSE)-50))</f>
        <v>257</v>
      </c>
      <c r="AE16" s="3">
        <v>283</v>
      </c>
      <c r="AF16" s="3">
        <f>IF(ISERROR((VLOOKUP($A16,'SegEnds_NonXtal_BW#'!$A:$Z,22,FALSE)+VLOOKUP($A16,A:AL,31,FALSE)-50)),"-",(VLOOKUP($A16,'SegEnds_NonXtal_BW#'!$A:$Z,22,FALSE)+VLOOKUP($A16,A:AL,31,FALSE)-50))</f>
        <v>294</v>
      </c>
      <c r="AG16" s="3">
        <f>IF(ISERROR(VLOOKUP($A16,'SegEnds_NonXtal_BW#'!$A:$Z,23,FALSE)+VLOOKUP($A16,A:AL,34,FALSE)-50),"-",(VLOOKUP($A16,'SegEnds_NonXtal_BW#'!$A:$Z,23,FALSE)+VLOOKUP($A16,A:AL,34,FALSE)-50))</f>
        <v>300</v>
      </c>
      <c r="AH16" s="3">
        <v>319</v>
      </c>
      <c r="AI16" s="3">
        <f>IF(ISERROR((VLOOKUP($A16,'SegEnds_NonXtal_BW#'!$A:$Z,24,FALSE)+VLOOKUP($A16,A:AL,34,FALSE)-50)),"-",(VLOOKUP($A16,'SegEnds_NonXtal_BW#'!$A:$Z,24,FALSE)+VLOOKUP($A16,A:AL,34,FALSE)-50))</f>
        <v>325</v>
      </c>
      <c r="AJ16" s="3">
        <f>IF(ISERROR(VLOOKUP($A16,'SegEnds_NonXtal_BW#'!$A:$Z,25,FALSE)+VLOOKUP($A16,A:AL,37,FALSE)-50),"-",(VLOOKUP($A16,'SegEnds_NonXtal_BW#'!$A:$Z,25,FALSE)+VLOOKUP($A16,A:AL,37,FALSE)-50))</f>
        <v>326</v>
      </c>
      <c r="AK16" s="3">
        <v>329</v>
      </c>
      <c r="AL16" s="3">
        <f>IF(ISERROR((VLOOKUP($A16,'SegEnds_NonXtal_BW#'!$A:$Z,26,FALSE)+VLOOKUP($A16,A:AL,37,FALSE)-50)),"-",(VLOOKUP($A16,'SegEnds_NonXtal_BW#'!$A:$Z,26,FALSE)+VLOOKUP($A16,A:AL,37,FALSE)-50))</f>
        <v>338</v>
      </c>
      <c r="AM16" s="28" t="str">
        <f>VLOOKUP(A16,Classification!A:B,2,FALSE)</f>
        <v>A</v>
      </c>
      <c r="AN16" s="28" t="b">
        <f t="shared" si="0"/>
        <v>1</v>
      </c>
      <c r="AO16" s="3" t="str">
        <f>IF(ISERROR(MATCH(A16,'SegEnds_Xtal_Prot#'!B:B, 0)), "NoXtal", "Xtal")</f>
        <v>NoXtal</v>
      </c>
      <c r="AP16" s="3">
        <f t="shared" si="1"/>
        <v>1</v>
      </c>
      <c r="AQ16" s="3">
        <f t="shared" si="2"/>
        <v>1</v>
      </c>
      <c r="AR16" s="3">
        <f t="shared" si="3"/>
        <v>2</v>
      </c>
      <c r="AS16" s="3">
        <f t="shared" si="4"/>
        <v>1</v>
      </c>
      <c r="AT16" s="3">
        <f t="shared" si="5"/>
        <v>1</v>
      </c>
      <c r="AU16" s="3">
        <f t="shared" si="6"/>
        <v>1</v>
      </c>
      <c r="AV16" s="3">
        <f t="shared" si="7"/>
        <v>14</v>
      </c>
      <c r="AW16" s="3">
        <f t="shared" si="8"/>
        <v>10</v>
      </c>
      <c r="AX16" s="3">
        <f t="shared" si="9"/>
        <v>4</v>
      </c>
      <c r="AY16" s="3">
        <f t="shared" si="10"/>
        <v>6</v>
      </c>
      <c r="AZ16" s="3">
        <f t="shared" si="11"/>
        <v>1</v>
      </c>
      <c r="BA16" s="3">
        <f>IF(ISERROR(LEN(VLOOKUP(A16,Seqs!A:E,2,FALSE))-AL16),"-",LEN(VLOOKUP(A16,Seqs!A:E,2,FALSE))-AL16)</f>
        <v>26</v>
      </c>
      <c r="BB16" s="16">
        <f t="shared" si="12"/>
        <v>28</v>
      </c>
      <c r="BC16" s="9">
        <f t="shared" si="13"/>
        <v>19</v>
      </c>
      <c r="BD16" s="3">
        <f t="shared" si="14"/>
        <v>28</v>
      </c>
      <c r="BE16" s="3">
        <f t="shared" si="15"/>
        <v>52</v>
      </c>
      <c r="BF16" s="3">
        <f t="shared" si="20"/>
        <v>36</v>
      </c>
    </row>
    <row r="17" spans="1:60" s="3" customFormat="1" x14ac:dyDescent="0.2">
      <c r="A17" s="3" t="s">
        <v>341</v>
      </c>
      <c r="B17" s="3" t="str">
        <f>LOWER(VLOOKUP(A17,Xtal_Templ!A:B,2,FALSE))</f>
        <v>opsd_bovin</v>
      </c>
      <c r="C17" s="3">
        <f>VLOOKUP($A17,'SegEnds_NonXtal_BW#'!$A:$Z,3,FALSE)+D17-50</f>
        <v>50</v>
      </c>
      <c r="D17" s="3">
        <v>71</v>
      </c>
      <c r="E17" s="3">
        <f>IF(ISERROR(VLOOKUP($A17,'SegEnds_NonXtal_BW#'!$A:$Z,4,FALSE)+VLOOKUP($A17,A:AL,4,FALSE)-50),"-",(VLOOKUP($A17,'SegEnds_NonXtal_BW#'!$A:$Z,4,FALSE)+VLOOKUP($A17,A:AL,4,FALSE)-50))</f>
        <v>81</v>
      </c>
      <c r="F17" s="3">
        <f t="shared" si="17"/>
        <v>82</v>
      </c>
      <c r="G17" s="3">
        <v>84</v>
      </c>
      <c r="H17" s="3">
        <f t="shared" si="18"/>
        <v>85</v>
      </c>
      <c r="I17" s="3">
        <f t="shared" si="18"/>
        <v>86</v>
      </c>
      <c r="J17" s="3">
        <v>99</v>
      </c>
      <c r="K17" s="3">
        <f>VLOOKUP($A17,'SegEnds_NonXtal_BW#'!$A:$Z,8,FALSE)+VLOOKUP($A17,A:AL,10,FALSE)-50</f>
        <v>116</v>
      </c>
      <c r="L17" s="3">
        <f>M17-1</f>
        <v>117</v>
      </c>
      <c r="M17" s="3">
        <v>118</v>
      </c>
      <c r="N17" s="3">
        <f>M17+2</f>
        <v>120</v>
      </c>
      <c r="O17" s="3">
        <f t="shared" si="16"/>
        <v>121</v>
      </c>
      <c r="P17" s="3">
        <v>151</v>
      </c>
      <c r="Q17" s="3">
        <f>VLOOKUP($A17,'SegEnds_NonXtal_BW#'!$A:$Z,12,FALSE)+VLOOKUP($A17,A:AL,16,FALSE)-50</f>
        <v>157</v>
      </c>
      <c r="R17" s="3">
        <f>IF(ISERROR(VLOOKUP($A17,'SegEnds_NonXtal_BW#'!$A:$Z,13,FALSE)+VLOOKUP($A17,A:AL,19,FALSE)-50),"-",VLOOKUP($A17,'SegEnds_NonXtal_BW#'!$A:$Z,13,FALSE)+VLOOKUP($A17,A:AL,19,FALSE)-50)</f>
        <v>158</v>
      </c>
      <c r="S17" s="3">
        <v>158</v>
      </c>
      <c r="T17" s="103">
        <f>IF(ISERROR(VLOOKUP($A17,'SegEnds_NonXtal_BW#'!$A:$Z,14,FALSE)+VLOOKUP($A17,A:AL,19,FALSE)-50),"-",(VLOOKUP($A17,'SegEnds_NonXtal_BW#'!$A:$Z,14,FALSE)+VLOOKUP($A17,A:AL,19,FALSE)-50))</f>
        <v>164</v>
      </c>
      <c r="U17" s="9">
        <f>IF(ISERROR(VLOOKUP($A17,'SegEnds_NonXtal_BW#'!$A:$Z,15,FALSE)+VLOOKUP($A17,A:AL,22,FALSE)-50),"-",VLOOKUP($A17,'SegEnds_NonXtal_BW#'!$A:$Z,15,FALSE)+VLOOKUP($A17,A:AL,22,FALSE)-50)</f>
        <v>165</v>
      </c>
      <c r="V17" s="3">
        <v>177</v>
      </c>
      <c r="W17" s="3">
        <f>IF(ISERROR(VLOOKUP($A17,'SegEnds_NonXtal_BW#'!$A:$Z,16,FALSE)+VLOOKUP($A17,A:AL,22,FALSE)-50),"-",(VLOOKUP($A17,'SegEnds_NonXtal_BW#'!$A:$Z,16,FALSE)+VLOOKUP($A17,A:AL,22,FALSE)-50))</f>
        <v>189</v>
      </c>
      <c r="X17" s="3">
        <f>IF(ISERROR(VLOOKUP($A17,'SegEnds_NonXtal_BW#'!$A:$Z,17,FALSE)+VLOOKUP($A17,A:AL,25,FALSE)-50),"-",(VLOOKUP($A17,'SegEnds_NonXtal_BW#'!$A:$Z,17,FALSE)+VLOOKUP($A17,A:AL,25,FALSE)-50))</f>
        <v>203</v>
      </c>
      <c r="Y17" s="3">
        <v>203</v>
      </c>
      <c r="Z17" s="3">
        <f t="shared" si="19"/>
        <v>205</v>
      </c>
      <c r="AA17" s="3">
        <f>IF(ISERROR(VLOOKUP($A17,'SegEnds_NonXtal_BW#'!$A:$Z,19,FALSE)+VLOOKUP($A17,A:AL,28,FALSE)-50),"-",(VLOOKUP($A17,'SegEnds_NonXtal_BW#'!$A:$Z,19,FALSE)+VLOOKUP($A17,A:AL,28,FALSE)-50))</f>
        <v>215</v>
      </c>
      <c r="AB17" s="3">
        <v>231</v>
      </c>
      <c r="AC17" s="3">
        <f>IF(ISERROR((VLOOKUP($A17,'SegEnds_NonXtal_BW#'!$A:$Z,20,FALSE)+VLOOKUP($A17,A:AL,28,FALSE)-50)),"-",(VLOOKUP($A17,'SegEnds_NonXtal_BW#'!$A:$Z,20,FALSE)+VLOOKUP($A17,A:AL,28,FALSE)-50))</f>
        <v>253</v>
      </c>
      <c r="AD17" s="3">
        <f>IF(ISERROR(VLOOKUP($A17,'SegEnds_NonXtal_BW#'!$A:$Z,21,FALSE)+VLOOKUP($A17,A:AL,31,FALSE)-50),"-",(VLOOKUP($A17,'SegEnds_NonXtal_BW#'!$A:$Z,21,FALSE)+VLOOKUP($A17,A:AL,31,FALSE)-50))</f>
        <v>257</v>
      </c>
      <c r="AE17" s="3">
        <v>283</v>
      </c>
      <c r="AF17" s="3">
        <f>IF(ISERROR((VLOOKUP($A17,'SegEnds_NonXtal_BW#'!$A:$Z,22,FALSE)+VLOOKUP($A17,A:AL,31,FALSE)-50)),"-",(VLOOKUP($A17,'SegEnds_NonXtal_BW#'!$A:$Z,22,FALSE)+VLOOKUP($A17,A:AL,31,FALSE)-50))</f>
        <v>294</v>
      </c>
      <c r="AG17" s="3">
        <f>IF(ISERROR(VLOOKUP($A17,'SegEnds_NonXtal_BW#'!$A:$Z,23,FALSE)+VLOOKUP($A17,A:AL,34,FALSE)-50),"-",(VLOOKUP($A17,'SegEnds_NonXtal_BW#'!$A:$Z,23,FALSE)+VLOOKUP($A17,A:AL,34,FALSE)-50))</f>
        <v>300</v>
      </c>
      <c r="AH17" s="3">
        <v>319</v>
      </c>
      <c r="AI17" s="3">
        <f>IF(ISERROR((VLOOKUP($A17,'SegEnds_NonXtal_BW#'!$A:$Z,24,FALSE)+VLOOKUP($A17,A:AL,34,FALSE)-50)),"-",(VLOOKUP($A17,'SegEnds_NonXtal_BW#'!$A:$Z,24,FALSE)+VLOOKUP($A17,A:AL,34,FALSE)-50))</f>
        <v>325</v>
      </c>
      <c r="AJ17" s="3">
        <f>IF(ISERROR(VLOOKUP($A17,'SegEnds_NonXtal_BW#'!$A:$Z,25,FALSE)+VLOOKUP($A17,A:AL,37,FALSE)-50),"-",(VLOOKUP($A17,'SegEnds_NonXtal_BW#'!$A:$Z,25,FALSE)+VLOOKUP($A17,A:AL,37,FALSE)-50))</f>
        <v>326</v>
      </c>
      <c r="AK17" s="3">
        <v>329</v>
      </c>
      <c r="AL17" s="3">
        <f>IF(ISERROR((VLOOKUP($A17,'SegEnds_NonXtal_BW#'!$A:$Z,26,FALSE)+VLOOKUP($A17,A:AL,37,FALSE)-50)),"-",(VLOOKUP($A17,'SegEnds_NonXtal_BW#'!$A:$Z,26,FALSE)+VLOOKUP($A17,A:AL,37,FALSE)-50))</f>
        <v>338</v>
      </c>
      <c r="AM17" s="28" t="str">
        <f>VLOOKUP(A17,Classification!A:B,2,FALSE)</f>
        <v>A</v>
      </c>
      <c r="AN17" s="28" t="b">
        <f t="shared" si="0"/>
        <v>1</v>
      </c>
      <c r="AO17" s="3" t="str">
        <f>IF(ISERROR(MATCH(A17,'SegEnds_Xtal_Prot#'!B:B, 0)), "NoXtal", "Xtal")</f>
        <v>NoXtal</v>
      </c>
      <c r="AP17" s="3">
        <f t="shared" si="1"/>
        <v>1</v>
      </c>
      <c r="AQ17" s="3">
        <f t="shared" si="2"/>
        <v>1</v>
      </c>
      <c r="AR17" s="3">
        <f t="shared" si="3"/>
        <v>1</v>
      </c>
      <c r="AS17" s="3">
        <f t="shared" si="4"/>
        <v>1</v>
      </c>
      <c r="AT17" s="3">
        <f t="shared" si="5"/>
        <v>1</v>
      </c>
      <c r="AU17" s="3">
        <f t="shared" si="6"/>
        <v>1</v>
      </c>
      <c r="AV17" s="3">
        <f t="shared" si="7"/>
        <v>14</v>
      </c>
      <c r="AW17" s="3">
        <f t="shared" si="8"/>
        <v>10</v>
      </c>
      <c r="AX17" s="3">
        <f t="shared" si="9"/>
        <v>4</v>
      </c>
      <c r="AY17" s="3">
        <f t="shared" si="10"/>
        <v>6</v>
      </c>
      <c r="AZ17" s="3">
        <f t="shared" si="11"/>
        <v>1</v>
      </c>
      <c r="BA17" s="3">
        <f>IF(ISERROR(LEN(VLOOKUP(A17,Seqs!A:E,2,FALSE))-AL17),"-",LEN(VLOOKUP(A17,Seqs!A:E,2,FALSE))-AL17)</f>
        <v>26</v>
      </c>
      <c r="BB17" s="16">
        <f t="shared" si="12"/>
        <v>28</v>
      </c>
      <c r="BC17" s="9">
        <f t="shared" si="13"/>
        <v>19</v>
      </c>
      <c r="BD17" s="3">
        <f t="shared" si="14"/>
        <v>28</v>
      </c>
      <c r="BE17" s="3">
        <f t="shared" si="15"/>
        <v>52</v>
      </c>
      <c r="BF17" s="3">
        <f t="shared" si="20"/>
        <v>36</v>
      </c>
    </row>
    <row r="18" spans="1:60" s="3" customFormat="1" x14ac:dyDescent="0.2">
      <c r="A18" s="3" t="s">
        <v>350</v>
      </c>
      <c r="B18" s="3" t="str">
        <f>LOWER(VLOOKUP(A18,Xtal_Templ!A:B,2,FALSE))</f>
        <v>p2ry1_human</v>
      </c>
      <c r="C18" s="3">
        <f>VLOOKUP($A18,'SegEnds_NonXtal_BW#'!$A:$Z,3,FALSE)+D18-50</f>
        <v>32</v>
      </c>
      <c r="D18" s="3">
        <v>52</v>
      </c>
      <c r="E18" s="3">
        <f>IF(ISERROR(VLOOKUP($A18,'SegEnds_NonXtal_BW#'!$A:$Z,4,FALSE)+VLOOKUP($A18,A:AL,4,FALSE)-50),"-",(VLOOKUP($A18,'SegEnds_NonXtal_BW#'!$A:$Z,4,FALSE)+VLOOKUP($A18,A:AL,4,FALSE)-50))</f>
        <v>62</v>
      </c>
      <c r="F18" s="3" t="str">
        <f>IF(ISERROR(VLOOKUP($A18,'SegEnds_NonXtal_BW#'!$A:$Z,5,FALSE)+VLOOKUP($A18,A:AL,7,FALSE)-50),"-",(VLOOKUP($A18,'SegEnds_NonXtal_BW#'!$A:$Z,5,FALSE)+VLOOKUP($A18,A:AL,7,FALSE)-50))</f>
        <v>-</v>
      </c>
      <c r="G18" s="3" t="s">
        <v>23</v>
      </c>
      <c r="H18" s="3" t="str">
        <f>IF(ISERROR(VLOOKUP($A18,'SegEnds_NonXtal_BW#'!$A:$Z,6,FALSE)+VLOOKUP($A18,A:AL,7,FALSE)-50),"-",(VLOOKUP($A18,'SegEnds_NonXtal_BW#'!$A:$Z,6,FALSE)+VLOOKUP($A18,A:AL,7,FALSE)-50))</f>
        <v>-</v>
      </c>
      <c r="I18" s="3">
        <f>VLOOKUP($A18,'SegEnds_NonXtal_BW#'!$A:$Z,7,FALSE)+J18-50</f>
        <v>67</v>
      </c>
      <c r="J18" s="3">
        <v>80</v>
      </c>
      <c r="K18" s="3">
        <f>VLOOKUP($A18,'SegEnds_NonXtal_BW#'!$A:$Z,8,FALSE)+VLOOKUP($A18,A:AL,10,FALSE)-50</f>
        <v>96</v>
      </c>
      <c r="L18" s="3">
        <f>M18-1</f>
        <v>98</v>
      </c>
      <c r="M18" s="3">
        <v>99</v>
      </c>
      <c r="N18" s="3">
        <f>M18+2</f>
        <v>101</v>
      </c>
      <c r="O18" s="3">
        <f t="shared" si="16"/>
        <v>102</v>
      </c>
      <c r="P18" s="3">
        <v>131</v>
      </c>
      <c r="Q18" s="3">
        <f>VLOOKUP($A18,'SegEnds_NonXtal_BW#'!$A:$Z,12,FALSE)+VLOOKUP($A18,A:AL,16,FALSE)-50</f>
        <v>137</v>
      </c>
      <c r="R18" s="3">
        <f>IF(ISERROR(VLOOKUP($A18,'SegEnds_NonXtal_BW#'!$A:$Z,13,FALSE)+VLOOKUP($A18,A:AL,19,FALSE)-50),"-",VLOOKUP($A18,'SegEnds_NonXtal_BW#'!$A:$Z,13,FALSE)+VLOOKUP($A18,A:AL,19,FALSE)-50)</f>
        <v>138</v>
      </c>
      <c r="S18" s="3">
        <v>138</v>
      </c>
      <c r="T18" s="103">
        <f>IF(ISERROR(VLOOKUP($A18,'SegEnds_NonXtal_BW#'!$A:$Z,14,FALSE)+VLOOKUP($A18,A:AL,19,FALSE)-50),"-",(VLOOKUP($A18,'SegEnds_NonXtal_BW#'!$A:$Z,14,FALSE)+VLOOKUP($A18,A:AL,19,FALSE)-50))</f>
        <v>144</v>
      </c>
      <c r="U18" s="9">
        <f>IF(ISERROR(VLOOKUP($A18,'SegEnds_NonXtal_BW#'!$A:$Z,15,FALSE)+VLOOKUP($A18,A:AL,22,FALSE)-50),"-",VLOOKUP($A18,'SegEnds_NonXtal_BW#'!$A:$Z,15,FALSE)+VLOOKUP($A18,A:AL,22,FALSE)-50)</f>
        <v>145</v>
      </c>
      <c r="V18" s="3">
        <v>157</v>
      </c>
      <c r="W18" s="3">
        <f>IF(ISERROR(VLOOKUP($A18,'SegEnds_NonXtal_BW#'!$A:$Z,16,FALSE)+VLOOKUP($A18,A:AL,22,FALSE)-50),"-",(VLOOKUP($A18,'SegEnds_NonXtal_BW#'!$A:$Z,16,FALSE)+VLOOKUP($A18,A:AL,22,FALSE)-50))</f>
        <v>171</v>
      </c>
      <c r="X18" s="3">
        <f>IF(ISERROR(VLOOKUP($A18,'SegEnds_NonXtal_BW#'!$A:$Z,17,FALSE)+VLOOKUP($A18,A:AL,25,FALSE)-50),"-",(VLOOKUP($A18,'SegEnds_NonXtal_BW#'!$A:$Z,17,FALSE)+VLOOKUP($A18,A:AL,25,FALSE)-50))</f>
        <v>181</v>
      </c>
      <c r="Y18" s="3">
        <v>181</v>
      </c>
      <c r="Z18" s="3">
        <f t="shared" si="19"/>
        <v>183</v>
      </c>
      <c r="AA18" s="3">
        <f>IF(ISERROR(VLOOKUP($A18,'SegEnds_NonXtal_BW#'!$A:$Z,19,FALSE)+VLOOKUP($A18,A:AL,28,FALSE)-50),"-",(VLOOKUP($A18,'SegEnds_NonXtal_BW#'!$A:$Z,19,FALSE)+VLOOKUP($A18,A:AL,28,FALSE)-50))</f>
        <v>192</v>
      </c>
      <c r="AB18" s="3">
        <v>210</v>
      </c>
      <c r="AC18" s="3">
        <f>IF(ISERROR((VLOOKUP($A18,'SegEnds_NonXtal_BW#'!$A:$Z,20,FALSE)+VLOOKUP($A18,A:AL,28,FALSE)-50)),"-",(VLOOKUP($A18,'SegEnds_NonXtal_BW#'!$A:$Z,20,FALSE)+VLOOKUP($A18,A:AL,28,FALSE)-50))</f>
        <v>228</v>
      </c>
      <c r="AD18" s="3">
        <f>IF(ISERROR(VLOOKUP($A18,'SegEnds_NonXtal_BW#'!$A:$Z,21,FALSE)+VLOOKUP($A18,A:AL,31,FALSE)-50),"-",(VLOOKUP($A18,'SegEnds_NonXtal_BW#'!$A:$Z,21,FALSE)+VLOOKUP($A18,A:AL,31,FALSE)-50))</f>
        <v>232</v>
      </c>
      <c r="AE18" s="3">
        <v>258</v>
      </c>
      <c r="AF18" s="3">
        <f>IF(ISERROR((VLOOKUP($A18,'SegEnds_NonXtal_BW#'!$A:$Z,22,FALSE)+VLOOKUP($A18,A:AL,31,FALSE)-50)),"-",(VLOOKUP($A18,'SegEnds_NonXtal_BW#'!$A:$Z,22,FALSE)+VLOOKUP($A18,A:AL,31,FALSE)-50))</f>
        <v>272</v>
      </c>
      <c r="AG18" s="3">
        <f>IF(ISERROR(VLOOKUP($A18,'SegEnds_NonXtal_BW#'!$A:$Z,23,FALSE)+VLOOKUP($A18,A:AL,34,FALSE)-50),"-",(VLOOKUP($A18,'SegEnds_NonXtal_BW#'!$A:$Z,23,FALSE)+VLOOKUP($A18,A:AL,34,FALSE)-50))</f>
        <v>276</v>
      </c>
      <c r="AH18" s="3">
        <v>302</v>
      </c>
      <c r="AI18" s="3">
        <f>IF(ISERROR((VLOOKUP($A18,'SegEnds_NonXtal_BW#'!$A:$Z,24,FALSE)+VLOOKUP($A18,A:AL,34,FALSE)-50)),"-",(VLOOKUP($A18,'SegEnds_NonXtal_BW#'!$A:$Z,24,FALSE)+VLOOKUP($A18,A:AL,34,FALSE)-50))</f>
        <v>308</v>
      </c>
      <c r="AJ18" s="3">
        <f>IF(ISERROR(VLOOKUP($A18,'SegEnds_NonXtal_BW#'!$A:$Z,25,FALSE)+VLOOKUP($A18,A:AL,37,FALSE)-50),"-",(VLOOKUP($A18,'SegEnds_NonXtal_BW#'!$A:$Z,25,FALSE)+VLOOKUP($A18,A:AL,37,FALSE)-50))</f>
        <v>309</v>
      </c>
      <c r="AK18" s="3">
        <v>312</v>
      </c>
      <c r="AL18" s="3">
        <f>IF(ISERROR((VLOOKUP($A18,'SegEnds_NonXtal_BW#'!$A:$Z,26,FALSE)+VLOOKUP($A18,A:AL,37,FALSE)-50)),"-",(VLOOKUP($A18,'SegEnds_NonXtal_BW#'!$A:$Z,26,FALSE)+VLOOKUP($A18,A:AL,37,FALSE)-50))</f>
        <v>321</v>
      </c>
      <c r="AM18" s="28" t="str">
        <f>VLOOKUP(A18,Classification!A:B,2,FALSE)</f>
        <v>A</v>
      </c>
      <c r="AN18" s="28" t="b">
        <f t="shared" si="0"/>
        <v>1</v>
      </c>
      <c r="AO18" s="3" t="str">
        <f>IF(ISERROR(MATCH(A18,'SegEnds_Xtal_Prot#'!B:B, 0)), "NoXtal", "Xtal")</f>
        <v>NoXtal</v>
      </c>
      <c r="AP18" s="3" t="str">
        <f t="shared" si="1"/>
        <v>-</v>
      </c>
      <c r="AQ18" s="3" t="str">
        <f t="shared" si="2"/>
        <v>-</v>
      </c>
      <c r="AR18" s="3">
        <f t="shared" si="3"/>
        <v>2</v>
      </c>
      <c r="AS18" s="3">
        <f t="shared" si="4"/>
        <v>1</v>
      </c>
      <c r="AT18" s="3">
        <f t="shared" si="5"/>
        <v>1</v>
      </c>
      <c r="AU18" s="3">
        <f t="shared" si="6"/>
        <v>1</v>
      </c>
      <c r="AV18" s="3">
        <f t="shared" si="7"/>
        <v>10</v>
      </c>
      <c r="AW18" s="3">
        <f t="shared" si="8"/>
        <v>9</v>
      </c>
      <c r="AX18" s="3">
        <f t="shared" si="9"/>
        <v>4</v>
      </c>
      <c r="AY18" s="3">
        <f t="shared" si="10"/>
        <v>4</v>
      </c>
      <c r="AZ18" s="3">
        <f t="shared" si="11"/>
        <v>1</v>
      </c>
      <c r="BA18" s="3">
        <f>IF(ISERROR(LEN(VLOOKUP(A18,Seqs!A:E,2,FALSE))-AL18),"-",LEN(VLOOKUP(A18,Seqs!A:E,2,FALSE))-AL18)</f>
        <v>18</v>
      </c>
      <c r="BB18" s="16">
        <f t="shared" si="12"/>
        <v>28</v>
      </c>
      <c r="BC18" s="9">
        <f t="shared" si="13"/>
        <v>19</v>
      </c>
      <c r="BD18" s="3">
        <f t="shared" si="14"/>
        <v>28</v>
      </c>
      <c r="BE18" s="3">
        <f t="shared" si="15"/>
        <v>48</v>
      </c>
      <c r="BF18" s="3">
        <f t="shared" si="20"/>
        <v>44</v>
      </c>
    </row>
    <row r="19" spans="1:60" s="3" customFormat="1" x14ac:dyDescent="0.2">
      <c r="A19" s="3" t="s">
        <v>356</v>
      </c>
      <c r="B19" s="3" t="str">
        <f>LOWER(VLOOKUP(A19,Xtal_Templ!A:B,2,FALSE))</f>
        <v>par2_human</v>
      </c>
      <c r="C19" s="3">
        <f>VLOOKUP($A19,'SegEnds_NonXtal_BW#'!$A:$Z,3,FALSE)+D19-50</f>
        <v>71</v>
      </c>
      <c r="D19" s="3">
        <v>93</v>
      </c>
      <c r="E19" s="3">
        <f>IF(ISERROR(VLOOKUP($A19,'SegEnds_NonXtal_BW#'!$A:$Z,4,FALSE)+VLOOKUP($A19,A:AL,4,FALSE)-50),"-",(VLOOKUP($A19,'SegEnds_NonXtal_BW#'!$A:$Z,4,FALSE)+VLOOKUP($A19,A:AL,4,FALSE)-50))</f>
        <v>103</v>
      </c>
      <c r="F19" s="3" t="str">
        <f>IF(ISERROR(VLOOKUP($A19,'SegEnds_NonXtal_BW#'!$A:$Z,5,FALSE)+VLOOKUP($A19,A:AL,7,FALSE)-50),"-",(VLOOKUP($A19,'SegEnds_NonXtal_BW#'!$A:$Z,5,FALSE)+VLOOKUP($A19,A:AL,7,FALSE)-50))</f>
        <v>-</v>
      </c>
      <c r="G19" s="3" t="s">
        <v>23</v>
      </c>
      <c r="H19" s="3" t="str">
        <f>IF(ISERROR(VLOOKUP($A19,'SegEnds_NonXtal_BW#'!$A:$Z,6,FALSE)+VLOOKUP($A19,A:AL,7,FALSE)-50),"-",(VLOOKUP($A19,'SegEnds_NonXtal_BW#'!$A:$Z,6,FALSE)+VLOOKUP($A19,A:AL,7,FALSE)-50))</f>
        <v>-</v>
      </c>
      <c r="I19" s="3">
        <f>VLOOKUP($A19,'SegEnds_NonXtal_BW#'!$A:$Z,7,FALSE)+J19-50</f>
        <v>108</v>
      </c>
      <c r="J19" s="3">
        <v>121</v>
      </c>
      <c r="K19" s="3">
        <f>VLOOKUP($A19,'SegEnds_NonXtal_BW#'!$A:$Z,8,FALSE)+VLOOKUP($A19,A:AL,10,FALSE)-50</f>
        <v>137</v>
      </c>
      <c r="L19" s="3">
        <f>M19-1</f>
        <v>140</v>
      </c>
      <c r="M19" s="3">
        <v>141</v>
      </c>
      <c r="N19" s="3">
        <f>M19+2</f>
        <v>143</v>
      </c>
      <c r="O19" s="3">
        <f t="shared" si="16"/>
        <v>144</v>
      </c>
      <c r="P19" s="3">
        <v>173</v>
      </c>
      <c r="Q19" s="3">
        <f>VLOOKUP($A19,'SegEnds_NonXtal_BW#'!$A:$Z,12,FALSE)+VLOOKUP($A19,A:AL,16,FALSE)-50</f>
        <v>179</v>
      </c>
      <c r="R19" s="3">
        <f>IF(ISERROR(VLOOKUP($A19,'SegEnds_NonXtal_BW#'!$A:$Z,13,FALSE)+VLOOKUP($A19,A:AL,19,FALSE)-50),"-",VLOOKUP($A19,'SegEnds_NonXtal_BW#'!$A:$Z,13,FALSE)+VLOOKUP($A19,A:AL,19,FALSE)-50)</f>
        <v>180</v>
      </c>
      <c r="S19" s="3">
        <v>180</v>
      </c>
      <c r="T19" s="103">
        <f>IF(ISERROR(VLOOKUP($A19,'SegEnds_NonXtal_BW#'!$A:$Z,14,FALSE)+VLOOKUP($A19,A:AL,19,FALSE)-50),"-",(VLOOKUP($A19,'SegEnds_NonXtal_BW#'!$A:$Z,14,FALSE)+VLOOKUP($A19,A:AL,19,FALSE)-50))</f>
        <v>186</v>
      </c>
      <c r="U19" s="9">
        <f>IF(ISERROR(VLOOKUP($A19,'SegEnds_NonXtal_BW#'!$A:$Z,15,FALSE)+VLOOKUP($A19,A:AL,22,FALSE)-50),"-",VLOOKUP($A19,'SegEnds_NonXtal_BW#'!$A:$Z,15,FALSE)+VLOOKUP($A19,A:AL,22,FALSE)-50)</f>
        <v>187</v>
      </c>
      <c r="V19" s="3">
        <v>199</v>
      </c>
      <c r="W19" s="3">
        <f>IF(ISERROR(VLOOKUP($A19,'SegEnds_NonXtal_BW#'!$A:$Z,16,FALSE)+VLOOKUP($A19,A:AL,22,FALSE)-50),"-",(VLOOKUP($A19,'SegEnds_NonXtal_BW#'!$A:$Z,16,FALSE)+VLOOKUP($A19,A:AL,22,FALSE)-50))</f>
        <v>211</v>
      </c>
      <c r="X19" s="3">
        <f>IF(ISERROR(VLOOKUP($A19,'SegEnds_NonXtal_BW#'!$A:$Z,17,FALSE)+VLOOKUP($A19,A:AL,25,FALSE)-50),"-",(VLOOKUP($A19,'SegEnds_NonXtal_BW#'!$A:$Z,17,FALSE)+VLOOKUP($A19,A:AL,25,FALSE)-50))</f>
        <v>226</v>
      </c>
      <c r="Y19" s="3">
        <v>226</v>
      </c>
      <c r="Z19" s="3">
        <f t="shared" si="19"/>
        <v>228</v>
      </c>
      <c r="AA19" s="3">
        <f>IF(ISERROR(VLOOKUP($A19,'SegEnds_NonXtal_BW#'!$A:$Z,19,FALSE)+VLOOKUP($A19,A:AL,28,FALSE)-50),"-",(VLOOKUP($A19,'SegEnds_NonXtal_BW#'!$A:$Z,19,FALSE)+VLOOKUP($A19,A:AL,28,FALSE)-50))</f>
        <v>235</v>
      </c>
      <c r="AB19" s="3">
        <v>254</v>
      </c>
      <c r="AC19" s="3">
        <f>IF(ISERROR((VLOOKUP($A19,'SegEnds_NonXtal_BW#'!$A:$Z,20,FALSE)+VLOOKUP($A19,A:AL,28,FALSE)-50)),"-",(VLOOKUP($A19,'SegEnds_NonXtal_BW#'!$A:$Z,20,FALSE)+VLOOKUP($A19,A:AL,28,FALSE)-50))</f>
        <v>272</v>
      </c>
      <c r="AD19" s="3">
        <f>IF(ISERROR(VLOOKUP($A19,'SegEnds_NonXtal_BW#'!$A:$Z,21,FALSE)+VLOOKUP($A19,A:AL,31,FALSE)-50),"-",(VLOOKUP($A19,'SegEnds_NonXtal_BW#'!$A:$Z,21,FALSE)+VLOOKUP($A19,A:AL,31,FALSE)-50))</f>
        <v>276</v>
      </c>
      <c r="AE19" s="3">
        <v>302</v>
      </c>
      <c r="AF19" s="3">
        <f>IF(ISERROR((VLOOKUP($A19,'SegEnds_NonXtal_BW#'!$A:$Z,22,FALSE)+VLOOKUP($A19,A:AL,31,FALSE)-50)),"-",(VLOOKUP($A19,'SegEnds_NonXtal_BW#'!$A:$Z,22,FALSE)+VLOOKUP($A19,A:AL,31,FALSE)-50))</f>
        <v>314</v>
      </c>
      <c r="AG19" s="3">
        <f>IF(ISERROR(VLOOKUP($A19,'SegEnds_NonXtal_BW#'!$A:$Z,23,FALSE)+VLOOKUP($A19,A:AL,34,FALSE)-50),"-",(VLOOKUP($A19,'SegEnds_NonXtal_BW#'!$A:$Z,23,FALSE)+VLOOKUP($A19,A:AL,34,FALSE)-50))</f>
        <v>319</v>
      </c>
      <c r="AH19" s="3">
        <v>341</v>
      </c>
      <c r="AI19" s="3">
        <f>IF(ISERROR((VLOOKUP($A19,'SegEnds_NonXtal_BW#'!$A:$Z,24,FALSE)+VLOOKUP($A19,A:AL,34,FALSE)-50)),"-",(VLOOKUP($A19,'SegEnds_NonXtal_BW#'!$A:$Z,24,FALSE)+VLOOKUP($A19,A:AL,34,FALSE)-50))</f>
        <v>347</v>
      </c>
      <c r="AJ19" s="3">
        <f>IF(ISERROR(VLOOKUP($A19,'SegEnds_NonXtal_BW#'!$A:$Z,25,FALSE)+VLOOKUP($A19,A:AL,37,FALSE)-50),"-",(VLOOKUP($A19,'SegEnds_NonXtal_BW#'!$A:$Z,25,FALSE)+VLOOKUP($A19,A:AL,37,FALSE)-50))</f>
        <v>348</v>
      </c>
      <c r="AK19" s="3">
        <v>351</v>
      </c>
      <c r="AL19" s="3">
        <f>IF(ISERROR((VLOOKUP($A19,'SegEnds_NonXtal_BW#'!$A:$Z,26,FALSE)+VLOOKUP($A19,A:AL,37,FALSE)-50)),"-",(VLOOKUP($A19,'SegEnds_NonXtal_BW#'!$A:$Z,26,FALSE)+VLOOKUP($A19,A:AL,37,FALSE)-50))</f>
        <v>362</v>
      </c>
      <c r="AM19" s="28" t="str">
        <f>VLOOKUP(A19,Classification!A:B,2,FALSE)</f>
        <v>A</v>
      </c>
      <c r="AN19" s="28" t="b">
        <f t="shared" si="0"/>
        <v>1</v>
      </c>
      <c r="AO19" s="3" t="str">
        <f>IF(ISERROR(MATCH(A19,'SegEnds_Xtal_Prot#'!B:B, 0)), "NoXtal", "Xtal")</f>
        <v>Xtal</v>
      </c>
      <c r="AP19" s="3" t="str">
        <f t="shared" si="1"/>
        <v>-</v>
      </c>
      <c r="AQ19" s="3" t="str">
        <f t="shared" si="2"/>
        <v>-</v>
      </c>
      <c r="AR19" s="3">
        <f t="shared" si="3"/>
        <v>3</v>
      </c>
      <c r="AS19" s="3">
        <f t="shared" si="4"/>
        <v>1</v>
      </c>
      <c r="AT19" s="3">
        <f t="shared" si="5"/>
        <v>1</v>
      </c>
      <c r="AU19" s="3">
        <f t="shared" si="6"/>
        <v>1</v>
      </c>
      <c r="AV19" s="3">
        <f t="shared" si="7"/>
        <v>15</v>
      </c>
      <c r="AW19" s="3">
        <f t="shared" si="8"/>
        <v>7</v>
      </c>
      <c r="AX19" s="3">
        <f t="shared" si="9"/>
        <v>4</v>
      </c>
      <c r="AY19" s="3">
        <f t="shared" si="10"/>
        <v>5</v>
      </c>
      <c r="AZ19" s="3">
        <f t="shared" si="11"/>
        <v>1</v>
      </c>
      <c r="BA19" s="3">
        <f>IF(ISERROR(LEN(VLOOKUP(A19,Seqs!A:E,2,FALSE))-AL19),"-",LEN(VLOOKUP(A19,Seqs!A:E,2,FALSE))-AL19)</f>
        <v>35</v>
      </c>
      <c r="BB19" s="16">
        <f t="shared" si="12"/>
        <v>28</v>
      </c>
      <c r="BC19" s="9">
        <f t="shared" si="13"/>
        <v>19</v>
      </c>
      <c r="BD19" s="3">
        <f t="shared" si="14"/>
        <v>28</v>
      </c>
      <c r="BE19" s="3">
        <f t="shared" si="15"/>
        <v>48</v>
      </c>
    </row>
    <row r="20" spans="1:60" s="3" customFormat="1" x14ac:dyDescent="0.2">
      <c r="A20" s="3" t="s">
        <v>375</v>
      </c>
      <c r="B20" s="3" t="str">
        <f>LOWER(VLOOKUP(A20,Xtal_Templ!A:B,2,FALSE))</f>
        <v>aa1r_human</v>
      </c>
      <c r="C20" s="3">
        <f>VLOOKUP($A20,'SegEnds_NonXtal_BW#'!$A:$Z,3,FALSE)+D20-50</f>
        <v>402</v>
      </c>
      <c r="D20" s="3">
        <v>423</v>
      </c>
      <c r="E20" s="3">
        <f>IF(ISERROR(VLOOKUP($A20,'SegEnds_NonXtal_BW#'!$A:$Z,4,FALSE)+VLOOKUP($A20,A:AL,4,FALSE)-50),"-",(VLOOKUP($A20,'SegEnds_NonXtal_BW#'!$A:$Z,4,FALSE)+VLOOKUP($A20,A:AL,4,FALSE)-50))</f>
        <v>433</v>
      </c>
      <c r="F20" s="3">
        <f t="shared" ref="F20:F32" si="21">G20-2</f>
        <v>434</v>
      </c>
      <c r="G20" s="3">
        <v>436</v>
      </c>
      <c r="H20" s="3">
        <f t="shared" ref="H20:I32" si="22">G20+1</f>
        <v>437</v>
      </c>
      <c r="I20" s="3">
        <f t="shared" si="22"/>
        <v>438</v>
      </c>
      <c r="J20" s="3">
        <v>451</v>
      </c>
      <c r="K20" s="3">
        <f>VLOOKUP($A20,'SegEnds_NonXtal_BW#'!$A:$Z,8,FALSE)+VLOOKUP($A20,A:AL,10,FALSE)-50</f>
        <v>468</v>
      </c>
      <c r="L20" s="3" t="str">
        <f>IF(ISERROR(VLOOKUP($A20,'SegEnds_NonXtal_BW#'!$A:$Z,9,FALSE)+VLOOKUP($A20,A:AL,13,FALSE)-50),"-",(VLOOKUP($A20,'SegEnds_NonXtal_BW#'!$A:$Z,9,FALSE)+VLOOKUP($A20,A:AL,13,FALSE)-50))</f>
        <v>-</v>
      </c>
      <c r="M20" s="3" t="s">
        <v>23</v>
      </c>
      <c r="N20" s="3" t="str">
        <f>IF(ISERROR(VLOOKUP($A20,'SegEnds_NonXtal_BW#'!$A:$Z,10,FALSE)+VLOOKUP($A20,A:AL,13,FALSE)-50),"-",(VLOOKUP($A20,'SegEnds_NonXtal_BW#'!$A:$Z,10,FALSE)+VLOOKUP($A20,A:AL,13,FALSE)-50))</f>
        <v>-</v>
      </c>
      <c r="O20" s="3">
        <f>VLOOKUP($A20,'SegEnds_NonXtal_BW#'!$A:$Z,11,FALSE)+VLOOKUP($A20,A:AL,16,FALSE)-50</f>
        <v>478</v>
      </c>
      <c r="P20" s="3">
        <v>510</v>
      </c>
      <c r="Q20" s="3">
        <f>VLOOKUP($A20,'SegEnds_NonXtal_BW#'!$A:$Z,12,FALSE)+VLOOKUP($A20,A:AL,16,FALSE)-50</f>
        <v>516</v>
      </c>
      <c r="R20" s="3">
        <f>IF(ISERROR(VLOOKUP($A20,'SegEnds_NonXtal_BW#'!$A:$Z,13,FALSE)+VLOOKUP($A20,A:AL,19,FALSE)-50),"-",VLOOKUP($A20,'SegEnds_NonXtal_BW#'!$A:$Z,13,FALSE)+VLOOKUP($A20,A:AL,19,FALSE)-50)</f>
        <v>517</v>
      </c>
      <c r="S20" s="3">
        <v>517</v>
      </c>
      <c r="T20" s="103">
        <f>IF(ISERROR(VLOOKUP($A20,'SegEnds_NonXtal_BW#'!$A:$Z,14,FALSE)+VLOOKUP($A20,A:AL,19,FALSE)-50),"-",(VLOOKUP($A20,'SegEnds_NonXtal_BW#'!$A:$Z,14,FALSE)+VLOOKUP($A20,A:AL,19,FALSE)-50))</f>
        <v>523</v>
      </c>
      <c r="U20" s="9">
        <f>IF(ISERROR(VLOOKUP($A20,'SegEnds_NonXtal_BW#'!$A:$Z,15,FALSE)+VLOOKUP($A20,A:AL,22,FALSE)-50),"-",VLOOKUP($A20,'SegEnds_NonXtal_BW#'!$A:$Z,15,FALSE)+VLOOKUP($A20,A:AL,22,FALSE)-50)</f>
        <v>524</v>
      </c>
      <c r="V20" s="3">
        <v>536</v>
      </c>
      <c r="W20" s="3">
        <f>IF(ISERROR(VLOOKUP($A20,'SegEnds_NonXtal_BW#'!$A:$Z,16,FALSE)+VLOOKUP($A20,A:AL,22,FALSE)-50),"-",(VLOOKUP($A20,'SegEnds_NonXtal_BW#'!$A:$Z,16,FALSE)+VLOOKUP($A20,A:AL,22,FALSE)-50))</f>
        <v>549</v>
      </c>
      <c r="X20" s="3">
        <f>IF(ISERROR(VLOOKUP($A20,'SegEnds_NonXtal_BW#'!$A:$Z,17,FALSE)+VLOOKUP($A20,A:AL,25,FALSE)-50),"-",(VLOOKUP($A20,'SegEnds_NonXtal_BW#'!$A:$Z,17,FALSE)+VLOOKUP($A20,A:AL,25,FALSE)-50))</f>
        <v>563</v>
      </c>
      <c r="Y20" s="3">
        <v>563</v>
      </c>
      <c r="Z20" s="3">
        <f t="shared" si="19"/>
        <v>565</v>
      </c>
      <c r="AA20" s="3">
        <f>IF(ISERROR(VLOOKUP($A20,'SegEnds_NonXtal_BW#'!$A:$Z,19,FALSE)+VLOOKUP($A20,A:AL,28,FALSE)-50),"-",(VLOOKUP($A20,'SegEnds_NonXtal_BW#'!$A:$Z,19,FALSE)+VLOOKUP($A20,A:AL,28,FALSE)-50))</f>
        <v>576</v>
      </c>
      <c r="AB20" s="3">
        <v>591</v>
      </c>
      <c r="AC20" s="3">
        <f>IF(ISERROR((VLOOKUP($A20,'SegEnds_NonXtal_BW#'!$A:$Z,20,FALSE)+VLOOKUP($A20,A:AL,28,FALSE)-50)),"-",(VLOOKUP($A20,'SegEnds_NonXtal_BW#'!$A:$Z,20,FALSE)+VLOOKUP($A20,A:AL,28,FALSE)-50))</f>
        <v>613</v>
      </c>
      <c r="AD20" s="3">
        <f>IF(ISERROR(VLOOKUP($A20,'SegEnds_NonXtal_BW#'!$A:$Z,21,FALSE)+VLOOKUP($A20,A:AL,31,FALSE)-50),"-",(VLOOKUP($A20,'SegEnds_NonXtal_BW#'!$A:$Z,21,FALSE)+VLOOKUP($A20,A:AL,31,FALSE)-50))</f>
        <v>617</v>
      </c>
      <c r="AE20" s="3">
        <v>643</v>
      </c>
      <c r="AF20" s="3">
        <f>IF(ISERROR((VLOOKUP($A20,'SegEnds_NonXtal_BW#'!$A:$Z,22,FALSE)+VLOOKUP($A20,A:AL,31,FALSE)-50)),"-",(VLOOKUP($A20,'SegEnds_NonXtal_BW#'!$A:$Z,22,FALSE)+VLOOKUP($A20,A:AL,31,FALSE)-50))</f>
        <v>654</v>
      </c>
      <c r="AG20" s="3">
        <f>IF(ISERROR(VLOOKUP($A20,'SegEnds_NonXtal_BW#'!$A:$Z,23,FALSE)+VLOOKUP($A20,A:AL,34,FALSE)-50),"-",(VLOOKUP($A20,'SegEnds_NonXtal_BW#'!$A:$Z,23,FALSE)+VLOOKUP($A20,A:AL,34,FALSE)-50))</f>
        <v>659</v>
      </c>
      <c r="AH20" s="3">
        <v>678</v>
      </c>
      <c r="AI20" s="3">
        <v>684</v>
      </c>
      <c r="AJ20" s="3">
        <f>IF(ISERROR(VLOOKUP($A20,'SegEnds_NonXtal_BW#'!$A:$Z,25,FALSE)+VLOOKUP($A20,A:AL,37,FALSE)-50),"-",(VLOOKUP($A20,'SegEnds_NonXtal_BW#'!$A:$Z,25,FALSE)+VLOOKUP($A20,A:AL,37,FALSE)-50))</f>
        <v>685</v>
      </c>
      <c r="AK20" s="3">
        <v>688</v>
      </c>
      <c r="AL20" s="3">
        <f>IF(ISERROR((VLOOKUP($A20,'SegEnds_NonXtal_BW#'!$A:$Z,26,FALSE)+VLOOKUP($A20,A:AL,37,FALSE)-50)),"-",(VLOOKUP($A20,'SegEnds_NonXtal_BW#'!$A:$Z,26,FALSE)+VLOOKUP($A20,A:AL,37,FALSE)-50))</f>
        <v>707</v>
      </c>
      <c r="AM20" s="28" t="str">
        <f>VLOOKUP(A20,Classification!A:B,2,FALSE)</f>
        <v>A</v>
      </c>
      <c r="AN20" s="28" t="b">
        <f t="shared" si="0"/>
        <v>1</v>
      </c>
      <c r="AO20" s="3" t="str">
        <f>IF(ISERROR(MATCH(A20,'SegEnds_Xtal_Prot#'!B:B, 0)), "NoXtal", "Xtal")</f>
        <v>NoXtal</v>
      </c>
      <c r="AP20" s="3">
        <f t="shared" si="1"/>
        <v>1</v>
      </c>
      <c r="AQ20" s="3">
        <f t="shared" si="2"/>
        <v>1</v>
      </c>
      <c r="AR20" s="3" t="str">
        <f t="shared" si="3"/>
        <v>-</v>
      </c>
      <c r="AS20" s="3" t="str">
        <f t="shared" si="4"/>
        <v>-</v>
      </c>
      <c r="AT20" s="3">
        <f t="shared" si="5"/>
        <v>1</v>
      </c>
      <c r="AU20" s="3">
        <f t="shared" si="6"/>
        <v>1</v>
      </c>
      <c r="AV20" s="3">
        <f t="shared" si="7"/>
        <v>14</v>
      </c>
      <c r="AW20" s="3">
        <f t="shared" si="8"/>
        <v>11</v>
      </c>
      <c r="AX20" s="3">
        <f t="shared" si="9"/>
        <v>4</v>
      </c>
      <c r="AY20" s="3">
        <f t="shared" si="10"/>
        <v>5</v>
      </c>
      <c r="AZ20" s="3">
        <f t="shared" si="11"/>
        <v>1</v>
      </c>
      <c r="BA20" s="3">
        <f>IF(ISERROR(LEN(VLOOKUP(A20,Seqs!A:E,2,FALSE))-AL20),"-",LEN(VLOOKUP(A20,Seqs!A:E,2,FALSE))-AL20)</f>
        <v>50</v>
      </c>
      <c r="BB20" s="16">
        <f t="shared" si="12"/>
        <v>28</v>
      </c>
      <c r="BC20" s="9">
        <f t="shared" si="13"/>
        <v>19</v>
      </c>
      <c r="BD20" s="3">
        <f t="shared" si="14"/>
        <v>28</v>
      </c>
      <c r="BE20" s="3">
        <f t="shared" si="15"/>
        <v>52</v>
      </c>
    </row>
    <row r="21" spans="1:60" s="3" customFormat="1" x14ac:dyDescent="0.2">
      <c r="A21" s="3" t="s">
        <v>376</v>
      </c>
      <c r="B21" s="3" t="str">
        <f>LOWER(VLOOKUP(A21,Xtal_Templ!A:B,2,FALSE))</f>
        <v>aa1r_human</v>
      </c>
      <c r="C21" s="3">
        <f>VLOOKUP($A21,'SegEnds_NonXtal_BW#'!$A:$Z,3,FALSE)+D21-50</f>
        <v>412</v>
      </c>
      <c r="D21" s="3">
        <v>433</v>
      </c>
      <c r="E21" s="3">
        <f>IF(ISERROR(VLOOKUP($A21,'SegEnds_NonXtal_BW#'!$A:$Z,4,FALSE)+VLOOKUP($A21,A:AL,4,FALSE)-50),"-",(VLOOKUP($A21,'SegEnds_NonXtal_BW#'!$A:$Z,4,FALSE)+VLOOKUP($A21,A:AL,4,FALSE)-50))</f>
        <v>443</v>
      </c>
      <c r="F21" s="3">
        <f t="shared" si="21"/>
        <v>444</v>
      </c>
      <c r="G21" s="3">
        <v>446</v>
      </c>
      <c r="H21" s="3">
        <f t="shared" si="22"/>
        <v>447</v>
      </c>
      <c r="I21" s="3">
        <f t="shared" si="22"/>
        <v>448</v>
      </c>
      <c r="J21" s="3">
        <v>461</v>
      </c>
      <c r="K21" s="3">
        <f>VLOOKUP($A21,'SegEnds_NonXtal_BW#'!$A:$Z,8,FALSE)+VLOOKUP($A21,A:AL,10,FALSE)-50</f>
        <v>478</v>
      </c>
      <c r="L21" s="3">
        <f>M21-1</f>
        <v>484</v>
      </c>
      <c r="M21" s="3">
        <v>485</v>
      </c>
      <c r="N21" s="3">
        <f>M21+2</f>
        <v>487</v>
      </c>
      <c r="O21" s="3">
        <f t="shared" ref="O21:O31" si="23">N21+1</f>
        <v>488</v>
      </c>
      <c r="P21" s="3">
        <v>520</v>
      </c>
      <c r="Q21" s="3">
        <f>VLOOKUP($A21,'SegEnds_NonXtal_BW#'!$A:$Z,12,FALSE)+VLOOKUP($A21,A:AL,16,FALSE)-50</f>
        <v>526</v>
      </c>
      <c r="R21" s="3">
        <f>IF(ISERROR(VLOOKUP($A21,'SegEnds_NonXtal_BW#'!$A:$Z,13,FALSE)+VLOOKUP($A21,A:AL,19,FALSE)-50),"-",VLOOKUP($A21,'SegEnds_NonXtal_BW#'!$A:$Z,13,FALSE)+VLOOKUP($A21,A:AL,19,FALSE)-50)</f>
        <v>527</v>
      </c>
      <c r="S21" s="3">
        <v>527</v>
      </c>
      <c r="T21" s="103">
        <f>IF(ISERROR(VLOOKUP($A21,'SegEnds_NonXtal_BW#'!$A:$Z,14,FALSE)+VLOOKUP($A21,A:AL,19,FALSE)-50),"-",(VLOOKUP($A21,'SegEnds_NonXtal_BW#'!$A:$Z,14,FALSE)+VLOOKUP($A21,A:AL,19,FALSE)-50))</f>
        <v>533</v>
      </c>
      <c r="U21" s="9">
        <f>IF(ISERROR(VLOOKUP($A21,'SegEnds_NonXtal_BW#'!$A:$Z,15,FALSE)+VLOOKUP($A21,A:AL,22,FALSE)-50),"-",VLOOKUP($A21,'SegEnds_NonXtal_BW#'!$A:$Z,15,FALSE)+VLOOKUP($A21,A:AL,22,FALSE)-50)</f>
        <v>534</v>
      </c>
      <c r="V21" s="3">
        <v>546</v>
      </c>
      <c r="W21" s="3">
        <f>IF(ISERROR(VLOOKUP($A21,'SegEnds_NonXtal_BW#'!$A:$Z,16,FALSE)+VLOOKUP($A21,A:AL,22,FALSE)-50),"-",(VLOOKUP($A21,'SegEnds_NonXtal_BW#'!$A:$Z,16,FALSE)+VLOOKUP($A21,A:AL,22,FALSE)-50))</f>
        <v>559</v>
      </c>
      <c r="X21" s="3">
        <f>IF(ISERROR(VLOOKUP($A21,'SegEnds_NonXtal_BW#'!$A:$Z,17,FALSE)+VLOOKUP($A21,A:AL,25,FALSE)-50),"-",(VLOOKUP($A21,'SegEnds_NonXtal_BW#'!$A:$Z,17,FALSE)+VLOOKUP($A21,A:AL,25,FALSE)-50))</f>
        <v>573</v>
      </c>
      <c r="Y21" s="3">
        <v>573</v>
      </c>
      <c r="Z21" s="3">
        <f t="shared" si="19"/>
        <v>575</v>
      </c>
      <c r="AA21" s="3">
        <f>IF(ISERROR(VLOOKUP($A21,'SegEnds_NonXtal_BW#'!$A:$Z,19,FALSE)+VLOOKUP($A21,A:AL,28,FALSE)-50),"-",(VLOOKUP($A21,'SegEnds_NonXtal_BW#'!$A:$Z,19,FALSE)+VLOOKUP($A21,A:AL,28,FALSE)-50))</f>
        <v>586</v>
      </c>
      <c r="AB21" s="3">
        <v>601</v>
      </c>
      <c r="AC21" s="3">
        <f>IF(ISERROR((VLOOKUP($A21,'SegEnds_NonXtal_BW#'!$A:$Z,20,FALSE)+VLOOKUP($A21,A:AL,28,FALSE)-50)),"-",(VLOOKUP($A21,'SegEnds_NonXtal_BW#'!$A:$Z,20,FALSE)+VLOOKUP($A21,A:AL,28,FALSE)-50))</f>
        <v>623</v>
      </c>
      <c r="AD21" s="3">
        <f>IF(ISERROR(VLOOKUP($A21,'SegEnds_NonXtal_BW#'!$A:$Z,21,FALSE)+VLOOKUP($A21,A:AL,31,FALSE)-50),"-",(VLOOKUP($A21,'SegEnds_NonXtal_BW#'!$A:$Z,21,FALSE)+VLOOKUP($A21,A:AL,31,FALSE)-50))</f>
        <v>627</v>
      </c>
      <c r="AE21" s="3">
        <v>653</v>
      </c>
      <c r="AF21" s="3">
        <f>IF(ISERROR((VLOOKUP($A21,'SegEnds_NonXtal_BW#'!$A:$Z,22,FALSE)+VLOOKUP($A21,A:AL,31,FALSE)-50)),"-",(VLOOKUP($A21,'SegEnds_NonXtal_BW#'!$A:$Z,22,FALSE)+VLOOKUP($A21,A:AL,31,FALSE)-50))</f>
        <v>664</v>
      </c>
      <c r="AG21" s="3">
        <f>IF(ISERROR(VLOOKUP($A21,'SegEnds_NonXtal_BW#'!$A:$Z,23,FALSE)+VLOOKUP($A21,A:AL,34,FALSE)-50),"-",(VLOOKUP($A21,'SegEnds_NonXtal_BW#'!$A:$Z,23,FALSE)+VLOOKUP($A21,A:AL,34,FALSE)-50))</f>
        <v>669</v>
      </c>
      <c r="AH21" s="3">
        <v>688</v>
      </c>
      <c r="AI21" s="3">
        <v>694</v>
      </c>
      <c r="AJ21" s="3">
        <f>IF(ISERROR(VLOOKUP($A21,'SegEnds_NonXtal_BW#'!$A:$Z,25,FALSE)+VLOOKUP($A21,A:AL,37,FALSE)-50),"-",(VLOOKUP($A21,'SegEnds_NonXtal_BW#'!$A:$Z,25,FALSE)+VLOOKUP($A21,A:AL,37,FALSE)-50))</f>
        <v>695</v>
      </c>
      <c r="AK21" s="3">
        <v>698</v>
      </c>
      <c r="AL21" s="3">
        <f>IF(ISERROR((VLOOKUP($A21,'SegEnds_NonXtal_BW#'!$A:$Z,26,FALSE)+VLOOKUP($A21,A:AL,37,FALSE)-50)),"-",(VLOOKUP($A21,'SegEnds_NonXtal_BW#'!$A:$Z,26,FALSE)+VLOOKUP($A21,A:AL,37,FALSE)-50))</f>
        <v>717</v>
      </c>
      <c r="AM21" s="28" t="str">
        <f>VLOOKUP(A21,Classification!A:B,2,FALSE)</f>
        <v>A</v>
      </c>
      <c r="AN21" s="28" t="b">
        <f t="shared" si="0"/>
        <v>1</v>
      </c>
      <c r="AO21" s="3" t="str">
        <f>IF(ISERROR(MATCH(A21,'SegEnds_Xtal_Prot#'!B:B, 0)), "NoXtal", "Xtal")</f>
        <v>NoXtal</v>
      </c>
      <c r="AP21" s="3">
        <f t="shared" si="1"/>
        <v>1</v>
      </c>
      <c r="AQ21" s="3">
        <f t="shared" si="2"/>
        <v>1</v>
      </c>
      <c r="AR21" s="3">
        <f t="shared" si="3"/>
        <v>6</v>
      </c>
      <c r="AS21" s="3">
        <f t="shared" si="4"/>
        <v>1</v>
      </c>
      <c r="AT21" s="3">
        <f t="shared" si="5"/>
        <v>1</v>
      </c>
      <c r="AU21" s="3">
        <f t="shared" si="6"/>
        <v>1</v>
      </c>
      <c r="AV21" s="3">
        <f t="shared" si="7"/>
        <v>14</v>
      </c>
      <c r="AW21" s="3">
        <f t="shared" si="8"/>
        <v>11</v>
      </c>
      <c r="AX21" s="3">
        <f t="shared" si="9"/>
        <v>4</v>
      </c>
      <c r="AY21" s="3">
        <f t="shared" si="10"/>
        <v>5</v>
      </c>
      <c r="AZ21" s="3">
        <f t="shared" si="11"/>
        <v>1</v>
      </c>
      <c r="BA21" s="3">
        <f>IF(ISERROR(LEN(VLOOKUP(A21,Seqs!A:E,2,FALSE))-AL21),"-",LEN(VLOOKUP(A21,Seqs!A:E,2,FALSE))-AL21)</f>
        <v>37</v>
      </c>
      <c r="BB21" s="16">
        <f t="shared" si="12"/>
        <v>28</v>
      </c>
      <c r="BC21" s="9">
        <f t="shared" si="13"/>
        <v>19</v>
      </c>
      <c r="BD21" s="3">
        <f t="shared" si="14"/>
        <v>28</v>
      </c>
      <c r="BE21" s="3">
        <f t="shared" si="15"/>
        <v>52</v>
      </c>
    </row>
    <row r="22" spans="1:60" s="3" customFormat="1" x14ac:dyDescent="0.2">
      <c r="A22" s="3" t="s">
        <v>104</v>
      </c>
      <c r="B22" s="3" t="str">
        <f>LOWER(VLOOKUP(A22,Xtal_Templ!A:B,2,FALSE))</f>
        <v>s1pr1_human</v>
      </c>
      <c r="C22" s="3">
        <f>VLOOKUP($A22,'SegEnds_NonXtal_BW#'!$A:$Z,3,FALSE)+D22-50</f>
        <v>42</v>
      </c>
      <c r="D22" s="3">
        <v>63</v>
      </c>
      <c r="E22" s="3">
        <f>IF(ISERROR(VLOOKUP($A22,'SegEnds_NonXtal_BW#'!$A:$Z,4,FALSE)+VLOOKUP($A22,A:AL,4,FALSE)-50),"-",(VLOOKUP($A22,'SegEnds_NonXtal_BW#'!$A:$Z,4,FALSE)+VLOOKUP($A22,A:AL,4,FALSE)-50))</f>
        <v>73</v>
      </c>
      <c r="F22" s="3">
        <f t="shared" si="21"/>
        <v>74</v>
      </c>
      <c r="G22" s="3">
        <v>76</v>
      </c>
      <c r="H22" s="3">
        <f t="shared" si="22"/>
        <v>77</v>
      </c>
      <c r="I22" s="3">
        <f t="shared" si="22"/>
        <v>78</v>
      </c>
      <c r="J22" s="3">
        <v>91</v>
      </c>
      <c r="K22" s="3">
        <f>VLOOKUP($A22,'SegEnds_NonXtal_BW#'!$A:$Z,8,FALSE)+VLOOKUP($A22,A:AL,10,FALSE)-50</f>
        <v>104</v>
      </c>
      <c r="L22" s="3">
        <f>M22-3</f>
        <v>106</v>
      </c>
      <c r="M22" s="3">
        <v>109</v>
      </c>
      <c r="N22" s="3">
        <f>M22+3</f>
        <v>112</v>
      </c>
      <c r="O22" s="3">
        <f t="shared" si="23"/>
        <v>113</v>
      </c>
      <c r="P22" s="3">
        <v>142</v>
      </c>
      <c r="Q22" s="3">
        <f>VLOOKUP($A22,'SegEnds_NonXtal_BW#'!$A:$Z,12,FALSE)+VLOOKUP($A22,A:AL,16,FALSE)-50</f>
        <v>148</v>
      </c>
      <c r="R22" s="3">
        <f>IF(ISERROR(VLOOKUP($A22,'SegEnds_NonXtal_BW#'!$A:$Z,13,FALSE)+VLOOKUP($A22,A:AL,19,FALSE)-50),"-",VLOOKUP($A22,'SegEnds_NonXtal_BW#'!$A:$Z,13,FALSE)+VLOOKUP($A22,A:AL,19,FALSE)-50)</f>
        <v>149</v>
      </c>
      <c r="S22" s="3">
        <v>149</v>
      </c>
      <c r="T22" s="103">
        <f>IF(ISERROR(VLOOKUP($A22,'SegEnds_NonXtal_BW#'!$A:$Z,14,FALSE)+VLOOKUP($A22,A:AL,19,FALSE)-50),"-",(VLOOKUP($A22,'SegEnds_NonXtal_BW#'!$A:$Z,14,FALSE)+VLOOKUP($A22,A:AL,19,FALSE)-50))</f>
        <v>155</v>
      </c>
      <c r="U22" s="9">
        <f>IF(ISERROR(VLOOKUP($A22,'SegEnds_NonXtal_BW#'!$A:$Z,15,FALSE)+VLOOKUP($A22,A:AL,22,FALSE)-50),"-",VLOOKUP($A22,'SegEnds_NonXtal_BW#'!$A:$Z,15,FALSE)+VLOOKUP($A22,A:AL,22,FALSE)-50)</f>
        <v>156</v>
      </c>
      <c r="V22" s="3">
        <v>168</v>
      </c>
      <c r="W22" s="3">
        <f>IF(ISERROR(VLOOKUP($A22,'SegEnds_NonXtal_BW#'!$A:$Z,16,FALSE)+VLOOKUP($A22,A:AL,22,FALSE)-50),"-",(VLOOKUP($A22,'SegEnds_NonXtal_BW#'!$A:$Z,16,FALSE)+VLOOKUP($A22,A:AL,22,FALSE)-50))</f>
        <v>181</v>
      </c>
      <c r="X22" s="3" t="str">
        <f>IF(ISERROR(VLOOKUP($A22,'SegEnds_NonXtal_BW#'!$A:$Z,17,FALSE)+VLOOKUP($A22,A:AL,25,FALSE)-50),"-",(VLOOKUP($A22,'SegEnds_NonXtal_BW#'!$A:$Z,17,FALSE)+VLOOKUP($A22,A:AL,25,FALSE)-50))</f>
        <v>-</v>
      </c>
      <c r="Y22" s="3" t="s">
        <v>23</v>
      </c>
      <c r="Z22" s="3" t="str">
        <f>IF(ISERROR(VLOOKUP($A22,'SegEnds_NonXtal_BW#'!$A:$Z,18,FALSE)+VLOOKUP($A22,A:AL,25,FALSE)-50),"-",(VLOOKUP($A22,'SegEnds_NonXtal_BW#'!$A:$Z,18,FALSE)+VLOOKUP($A22,A:AL,25,FALSE)-50))</f>
        <v>-</v>
      </c>
      <c r="AA22" s="3">
        <f>IF(ISERROR(VLOOKUP($A22,'SegEnds_NonXtal_BW#'!$A:$Z,19,FALSE)+VLOOKUP($A22,A:AL,28,FALSE)-50),"-",(VLOOKUP($A22,'SegEnds_NonXtal_BW#'!$A:$Z,19,FALSE)+VLOOKUP($A22,A:AL,28,FALSE)-50))</f>
        <v>199</v>
      </c>
      <c r="AB22" s="3">
        <v>213</v>
      </c>
      <c r="AC22" s="3">
        <f>IF(ISERROR((VLOOKUP($A22,'SegEnds_NonXtal_BW#'!$A:$Z,20,FALSE)+VLOOKUP($A22,A:AL,28,FALSE)-50)),"-",(VLOOKUP($A22,'SegEnds_NonXtal_BW#'!$A:$Z,20,FALSE)+VLOOKUP($A22,A:AL,28,FALSE)-50))</f>
        <v>236</v>
      </c>
      <c r="AD22" s="3">
        <f>IF(ISERROR(VLOOKUP($A22,'SegEnds_NonXtal_BW#'!$A:$Z,21,FALSE)+VLOOKUP($A22,A:AL,31,FALSE)-50),"-",(VLOOKUP($A22,'SegEnds_NonXtal_BW#'!$A:$Z,21,FALSE)+VLOOKUP($A22,A:AL,31,FALSE)-50))</f>
        <v>245</v>
      </c>
      <c r="AE22" s="3">
        <v>271</v>
      </c>
      <c r="AF22" s="3">
        <f>IF(ISERROR((VLOOKUP($A22,'SegEnds_NonXtal_BW#'!$A:$Z,22,FALSE)+VLOOKUP($A22,A:AL,31,FALSE)-50)),"-",(VLOOKUP($A22,'SegEnds_NonXtal_BW#'!$A:$Z,22,FALSE)+VLOOKUP($A22,A:AL,31,FALSE)-50))</f>
        <v>282</v>
      </c>
      <c r="AG22" s="3">
        <f>IF(ISERROR(VLOOKUP($A22,'SegEnds_NonXtal_BW#'!$A:$Z,23,FALSE)+VLOOKUP($A22,A:AL,34,FALSE)-50),"-",(VLOOKUP($A22,'SegEnds_NonXtal_BW#'!$A:$Z,23,FALSE)+VLOOKUP($A22,A:AL,34,FALSE)-50))</f>
        <v>288</v>
      </c>
      <c r="AH22" s="3">
        <v>308</v>
      </c>
      <c r="AI22" s="3">
        <f>IF(ISERROR((VLOOKUP($A22,'SegEnds_NonXtal_BW#'!$A:$Z,24,FALSE)+VLOOKUP($A22,A:AL,34,FALSE)-50)),"-",(VLOOKUP($A22,'SegEnds_NonXtal_BW#'!$A:$Z,24,FALSE)+VLOOKUP($A22,A:AL,34,FALSE)-50))</f>
        <v>314</v>
      </c>
      <c r="AJ22" s="3">
        <f>IF(ISERROR(VLOOKUP($A22,'SegEnds_NonXtal_BW#'!$A:$Z,25,FALSE)+VLOOKUP($A22,A:AL,37,FALSE)-50),"-",(VLOOKUP($A22,'SegEnds_NonXtal_BW#'!$A:$Z,25,FALSE)+VLOOKUP($A22,A:AL,37,FALSE)-50))</f>
        <v>315</v>
      </c>
      <c r="AK22" s="3">
        <v>318</v>
      </c>
      <c r="AL22" s="3">
        <f>IF(ISERROR((VLOOKUP($A22,'SegEnds_NonXtal_BW#'!$A:$Z,26,FALSE)+VLOOKUP($A22,A:AL,37,FALSE)-50)),"-",(VLOOKUP($A22,'SegEnds_NonXtal_BW#'!$A:$Z,26,FALSE)+VLOOKUP($A22,A:AL,37,FALSE)-50))</f>
        <v>327</v>
      </c>
      <c r="AM22" s="28" t="str">
        <f>VLOOKUP(A22,Classification!A:B,2,FALSE)</f>
        <v>A</v>
      </c>
      <c r="AN22" s="28" t="b">
        <f t="shared" si="0"/>
        <v>1</v>
      </c>
      <c r="AO22" s="3" t="str">
        <f>IF(ISERROR(MATCH(A22,'SegEnds_Xtal_Prot#'!B:B, 0)), "NoXtal", "Xtal")</f>
        <v>Xtal</v>
      </c>
      <c r="AP22" s="3">
        <f t="shared" si="1"/>
        <v>1</v>
      </c>
      <c r="AQ22" s="3">
        <f t="shared" si="2"/>
        <v>1</v>
      </c>
      <c r="AR22" s="3">
        <f t="shared" si="3"/>
        <v>2</v>
      </c>
      <c r="AS22" s="3">
        <f t="shared" si="4"/>
        <v>1</v>
      </c>
      <c r="AT22" s="3">
        <f t="shared" si="5"/>
        <v>1</v>
      </c>
      <c r="AU22" s="3">
        <f t="shared" si="6"/>
        <v>1</v>
      </c>
      <c r="AV22" s="3" t="str">
        <f t="shared" si="7"/>
        <v>-</v>
      </c>
      <c r="AW22" s="3" t="str">
        <f t="shared" si="8"/>
        <v>-</v>
      </c>
      <c r="AX22" s="3">
        <f t="shared" si="9"/>
        <v>9</v>
      </c>
      <c r="AY22" s="3">
        <f t="shared" si="10"/>
        <v>6</v>
      </c>
      <c r="AZ22" s="3">
        <f t="shared" si="11"/>
        <v>1</v>
      </c>
      <c r="BA22" s="3">
        <f>IF(ISERROR(LEN(VLOOKUP(A22,Seqs!A:E,2,FALSE))-AL22),"-",LEN(VLOOKUP(A22,Seqs!A:E,2,FALSE))-AL22)</f>
        <v>55</v>
      </c>
      <c r="BB22" s="16">
        <f t="shared" si="12"/>
        <v>28</v>
      </c>
      <c r="BC22" s="9">
        <f t="shared" si="13"/>
        <v>19</v>
      </c>
      <c r="BD22" s="3">
        <f t="shared" si="14"/>
        <v>28</v>
      </c>
      <c r="BE22" s="3">
        <f t="shared" si="15"/>
        <v>58</v>
      </c>
    </row>
    <row r="23" spans="1:60" s="3" customFormat="1" x14ac:dyDescent="0.2">
      <c r="A23" s="3" t="s">
        <v>377</v>
      </c>
      <c r="B23" s="3" t="str">
        <f>LOWER(VLOOKUP(A23,Xtal_Templ!A:B,2,FALSE))</f>
        <v>s1pr1_human</v>
      </c>
      <c r="C23" s="3">
        <f>VLOOKUP($A23,'SegEnds_NonXtal_BW#'!$A:$Z,3,FALSE)+D23-50</f>
        <v>30</v>
      </c>
      <c r="D23" s="3">
        <v>51</v>
      </c>
      <c r="E23" s="3">
        <f>IF(ISERROR(VLOOKUP($A23,'SegEnds_NonXtal_BW#'!$A:$Z,4,FALSE)+VLOOKUP($A23,A:AL,4,FALSE)-50),"-",(VLOOKUP($A23,'SegEnds_NonXtal_BW#'!$A:$Z,4,FALSE)+VLOOKUP($A23,A:AL,4,FALSE)-50))</f>
        <v>61</v>
      </c>
      <c r="F23" s="3">
        <f t="shared" si="21"/>
        <v>62</v>
      </c>
      <c r="G23" s="3">
        <v>64</v>
      </c>
      <c r="H23" s="3">
        <f t="shared" si="22"/>
        <v>65</v>
      </c>
      <c r="I23" s="3">
        <f t="shared" si="22"/>
        <v>66</v>
      </c>
      <c r="J23" s="3">
        <v>79</v>
      </c>
      <c r="K23" s="3">
        <f>VLOOKUP($A23,'SegEnds_NonXtal_BW#'!$A:$Z,8,FALSE)+VLOOKUP($A23,A:AL,10,FALSE)-50</f>
        <v>92</v>
      </c>
      <c r="L23" s="3">
        <f>M23-3</f>
        <v>94</v>
      </c>
      <c r="M23" s="3">
        <v>97</v>
      </c>
      <c r="N23" s="3">
        <f>M23+3</f>
        <v>100</v>
      </c>
      <c r="O23" s="3">
        <f t="shared" si="23"/>
        <v>101</v>
      </c>
      <c r="P23" s="3">
        <v>130</v>
      </c>
      <c r="Q23" s="3">
        <f>VLOOKUP($A23,'SegEnds_NonXtal_BW#'!$A:$Z,12,FALSE)+VLOOKUP($A23,A:AL,16,FALSE)-50</f>
        <v>136</v>
      </c>
      <c r="R23" s="3">
        <f>IF(ISERROR(VLOOKUP($A23,'SegEnds_NonXtal_BW#'!$A:$Z,13,FALSE)+VLOOKUP($A23,A:AL,19,FALSE)-50),"-",VLOOKUP($A23,'SegEnds_NonXtal_BW#'!$A:$Z,13,FALSE)+VLOOKUP($A23,A:AL,19,FALSE)-50)</f>
        <v>137</v>
      </c>
      <c r="S23" s="3">
        <v>137</v>
      </c>
      <c r="T23" s="103">
        <f>IF(ISERROR(VLOOKUP($A23,'SegEnds_NonXtal_BW#'!$A:$Z,14,FALSE)+VLOOKUP($A23,A:AL,19,FALSE)-50),"-",(VLOOKUP($A23,'SegEnds_NonXtal_BW#'!$A:$Z,14,FALSE)+VLOOKUP($A23,A:AL,19,FALSE)-50))</f>
        <v>143</v>
      </c>
      <c r="U23" s="9">
        <f>IF(ISERROR(VLOOKUP($A23,'SegEnds_NonXtal_BW#'!$A:$Z,15,FALSE)+VLOOKUP($A23,A:AL,22,FALSE)-50),"-",VLOOKUP($A23,'SegEnds_NonXtal_BW#'!$A:$Z,15,FALSE)+VLOOKUP($A23,A:AL,22,FALSE)-50)</f>
        <v>144</v>
      </c>
      <c r="V23" s="3">
        <v>156</v>
      </c>
      <c r="W23" s="3">
        <f>IF(ISERROR(VLOOKUP($A23,'SegEnds_NonXtal_BW#'!$A:$Z,16,FALSE)+VLOOKUP($A23,A:AL,22,FALSE)-50),"-",(VLOOKUP($A23,'SegEnds_NonXtal_BW#'!$A:$Z,16,FALSE)+VLOOKUP($A23,A:AL,22,FALSE)-50))</f>
        <v>169</v>
      </c>
      <c r="X23" s="3" t="str">
        <f>IF(ISERROR(VLOOKUP($A23,'SegEnds_NonXtal_BW#'!$A:$Z,17,FALSE)+VLOOKUP($A23,A:AL,25,FALSE)-50),"-",(VLOOKUP($A23,'SegEnds_NonXtal_BW#'!$A:$Z,17,FALSE)+VLOOKUP($A23,A:AL,25,FALSE)-50))</f>
        <v>-</v>
      </c>
      <c r="Y23" s="3" t="s">
        <v>23</v>
      </c>
      <c r="Z23" s="3" t="str">
        <f>IF(ISERROR(VLOOKUP($A23,'SegEnds_NonXtal_BW#'!$A:$Z,18,FALSE)+VLOOKUP($A23,A:AL,25,FALSE)-50),"-",(VLOOKUP($A23,'SegEnds_NonXtal_BW#'!$A:$Z,18,FALSE)+VLOOKUP($A23,A:AL,25,FALSE)-50))</f>
        <v>-</v>
      </c>
      <c r="AA23" s="3">
        <f>IF(ISERROR(VLOOKUP($A23,'SegEnds_NonXtal_BW#'!$A:$Z,19,FALSE)+VLOOKUP($A23,A:AL,28,FALSE)-50),"-",(VLOOKUP($A23,'SegEnds_NonXtal_BW#'!$A:$Z,19,FALSE)+VLOOKUP($A23,A:AL,28,FALSE)-50))</f>
        <v>187</v>
      </c>
      <c r="AB23" s="3">
        <v>201</v>
      </c>
      <c r="AC23" s="3">
        <f>IF(ISERROR((VLOOKUP($A23,'SegEnds_NonXtal_BW#'!$A:$Z,20,FALSE)+VLOOKUP($A23,A:AL,28,FALSE)-50)),"-",(VLOOKUP($A23,'SegEnds_NonXtal_BW#'!$A:$Z,20,FALSE)+VLOOKUP($A23,A:AL,28,FALSE)-50))</f>
        <v>218</v>
      </c>
      <c r="AD23" s="3">
        <f>IF(ISERROR(VLOOKUP($A23,'SegEnds_NonXtal_BW#'!$A:$Z,21,FALSE)+VLOOKUP($A23,A:AL,31,FALSE)-50),"-",(VLOOKUP($A23,'SegEnds_NonXtal_BW#'!$A:$Z,21,FALSE)+VLOOKUP($A23,A:AL,31,FALSE)-50))</f>
        <v>224</v>
      </c>
      <c r="AE23" s="3">
        <v>248</v>
      </c>
      <c r="AF23" s="3">
        <f>IF(ISERROR((VLOOKUP($A23,'SegEnds_NonXtal_BW#'!$A:$Z,22,FALSE)+VLOOKUP($A23,A:AL,31,FALSE)-50)),"-",(VLOOKUP($A23,'SegEnds_NonXtal_BW#'!$A:$Z,22,FALSE)+VLOOKUP($A23,A:AL,31,FALSE)-50))</f>
        <v>259</v>
      </c>
      <c r="AG23" s="3">
        <f>IF(ISERROR(VLOOKUP($A23,'SegEnds_NonXtal_BW#'!$A:$Z,23,FALSE)+VLOOKUP($A23,A:AL,34,FALSE)-50),"-",(VLOOKUP($A23,'SegEnds_NonXtal_BW#'!$A:$Z,23,FALSE)+VLOOKUP($A23,A:AL,34,FALSE)-50))</f>
        <v>265</v>
      </c>
      <c r="AH23" s="3">
        <v>285</v>
      </c>
      <c r="AI23" s="3">
        <f>IF(ISERROR((VLOOKUP($A23,'SegEnds_NonXtal_BW#'!$A:$Z,24,FALSE)+VLOOKUP($A23,A:AL,34,FALSE)-50)),"-",(VLOOKUP($A23,'SegEnds_NonXtal_BW#'!$A:$Z,24,FALSE)+VLOOKUP($A23,A:AL,34,FALSE)-50))</f>
        <v>291</v>
      </c>
      <c r="AJ23" s="3">
        <f>IF(ISERROR(VLOOKUP($A23,'SegEnds_NonXtal_BW#'!$A:$Z,25,FALSE)+VLOOKUP($A23,A:AL,37,FALSE)-50),"-",(VLOOKUP($A23,'SegEnds_NonXtal_BW#'!$A:$Z,25,FALSE)+VLOOKUP($A23,A:AL,37,FALSE)-50))</f>
        <v>292</v>
      </c>
      <c r="AK23" s="3">
        <v>295</v>
      </c>
      <c r="AL23" s="3">
        <f>IF(ISERROR((VLOOKUP($A23,'SegEnds_NonXtal_BW#'!$A:$Z,26,FALSE)+VLOOKUP($A23,A:AL,37,FALSE)-50)),"-",(VLOOKUP($A23,'SegEnds_NonXtal_BW#'!$A:$Z,26,FALSE)+VLOOKUP($A23,A:AL,37,FALSE)-50))</f>
        <v>304</v>
      </c>
      <c r="AM23" s="28" t="str">
        <f>VLOOKUP(A23,Classification!A:B,2,FALSE)</f>
        <v>A</v>
      </c>
      <c r="AN23" s="28" t="b">
        <f t="shared" si="0"/>
        <v>1</v>
      </c>
      <c r="AO23" s="3" t="str">
        <f>IF(ISERROR(MATCH(A23,'SegEnds_Xtal_Prot#'!B:B, 0)), "NoXtal", "Xtal")</f>
        <v>NoXtal</v>
      </c>
      <c r="AP23" s="3">
        <f t="shared" si="1"/>
        <v>1</v>
      </c>
      <c r="AQ23" s="3">
        <f t="shared" si="2"/>
        <v>1</v>
      </c>
      <c r="AR23" s="3">
        <f t="shared" si="3"/>
        <v>2</v>
      </c>
      <c r="AS23" s="3">
        <f t="shared" si="4"/>
        <v>1</v>
      </c>
      <c r="AT23" s="3">
        <f t="shared" si="5"/>
        <v>1</v>
      </c>
      <c r="AU23" s="3">
        <f t="shared" si="6"/>
        <v>1</v>
      </c>
      <c r="AV23" s="3" t="str">
        <f t="shared" si="7"/>
        <v>-</v>
      </c>
      <c r="AW23" s="3" t="str">
        <f t="shared" si="8"/>
        <v>-</v>
      </c>
      <c r="AX23" s="3">
        <f t="shared" si="9"/>
        <v>6</v>
      </c>
      <c r="AY23" s="3">
        <f t="shared" si="10"/>
        <v>6</v>
      </c>
      <c r="AZ23" s="3">
        <f t="shared" si="11"/>
        <v>1</v>
      </c>
      <c r="BA23" s="3">
        <f>IF(ISERROR(LEN(VLOOKUP(A23,Seqs!A:E,2,FALSE))-AL23),"-",LEN(VLOOKUP(A23,Seqs!A:E,2,FALSE))-AL23)</f>
        <v>49</v>
      </c>
      <c r="BB23" s="16">
        <f t="shared" si="12"/>
        <v>28</v>
      </c>
      <c r="BC23" s="9">
        <f t="shared" si="13"/>
        <v>19</v>
      </c>
      <c r="BD23" s="3">
        <f t="shared" si="14"/>
        <v>28</v>
      </c>
      <c r="BE23" s="3">
        <f t="shared" si="15"/>
        <v>47</v>
      </c>
      <c r="BH23" s="9"/>
    </row>
    <row r="24" spans="1:60" s="3" customFormat="1" x14ac:dyDescent="0.2">
      <c r="A24" s="3" t="s">
        <v>378</v>
      </c>
      <c r="B24" s="3" t="str">
        <f>LOWER(VLOOKUP(A24,Xtal_Templ!A:B,2,FALSE))</f>
        <v>s1pr1_human</v>
      </c>
      <c r="C24" s="3">
        <f>VLOOKUP($A24,'SegEnds_NonXtal_BW#'!$A:$Z,3,FALSE)+D24-50</f>
        <v>36</v>
      </c>
      <c r="D24" s="3">
        <v>57</v>
      </c>
      <c r="E24" s="3">
        <f>IF(ISERROR(VLOOKUP($A24,'SegEnds_NonXtal_BW#'!$A:$Z,4,FALSE)+VLOOKUP($A24,A:AL,4,FALSE)-50),"-",(VLOOKUP($A24,'SegEnds_NonXtal_BW#'!$A:$Z,4,FALSE)+VLOOKUP($A24,A:AL,4,FALSE)-50))</f>
        <v>67</v>
      </c>
      <c r="F24" s="3">
        <f t="shared" si="21"/>
        <v>68</v>
      </c>
      <c r="G24" s="3">
        <v>70</v>
      </c>
      <c r="H24" s="3">
        <f t="shared" si="22"/>
        <v>71</v>
      </c>
      <c r="I24" s="3">
        <f t="shared" si="22"/>
        <v>72</v>
      </c>
      <c r="J24" s="3">
        <v>85</v>
      </c>
      <c r="K24" s="3">
        <f>VLOOKUP($A24,'SegEnds_NonXtal_BW#'!$A:$Z,8,FALSE)+VLOOKUP($A24,A:AL,10,FALSE)-50</f>
        <v>98</v>
      </c>
      <c r="L24" s="3">
        <f>M24-3</f>
        <v>100</v>
      </c>
      <c r="M24" s="3">
        <v>103</v>
      </c>
      <c r="N24" s="3">
        <f>M24+3</f>
        <v>106</v>
      </c>
      <c r="O24" s="3">
        <f t="shared" si="23"/>
        <v>107</v>
      </c>
      <c r="P24" s="3">
        <v>136</v>
      </c>
      <c r="Q24" s="3">
        <f>VLOOKUP($A24,'SegEnds_NonXtal_BW#'!$A:$Z,12,FALSE)+VLOOKUP($A24,A:AL,16,FALSE)-50</f>
        <v>142</v>
      </c>
      <c r="R24" s="3">
        <f>IF(ISERROR(VLOOKUP($A24,'SegEnds_NonXtal_BW#'!$A:$Z,13,FALSE)+VLOOKUP($A24,A:AL,19,FALSE)-50),"-",VLOOKUP($A24,'SegEnds_NonXtal_BW#'!$A:$Z,13,FALSE)+VLOOKUP($A24,A:AL,19,FALSE)-50)</f>
        <v>143</v>
      </c>
      <c r="S24" s="3">
        <v>143</v>
      </c>
      <c r="T24" s="103">
        <f>IF(ISERROR(VLOOKUP($A24,'SegEnds_NonXtal_BW#'!$A:$Z,14,FALSE)+VLOOKUP($A24,A:AL,19,FALSE)-50),"-",(VLOOKUP($A24,'SegEnds_NonXtal_BW#'!$A:$Z,14,FALSE)+VLOOKUP($A24,A:AL,19,FALSE)-50))</f>
        <v>149</v>
      </c>
      <c r="U24" s="9">
        <f>IF(ISERROR(VLOOKUP($A24,'SegEnds_NonXtal_BW#'!$A:$Z,15,FALSE)+VLOOKUP($A24,A:AL,22,FALSE)-50),"-",VLOOKUP($A24,'SegEnds_NonXtal_BW#'!$A:$Z,15,FALSE)+VLOOKUP($A24,A:AL,22,FALSE)-50)</f>
        <v>150</v>
      </c>
      <c r="V24" s="3">
        <v>162</v>
      </c>
      <c r="W24" s="3">
        <f>IF(ISERROR(VLOOKUP($A24,'SegEnds_NonXtal_BW#'!$A:$Z,16,FALSE)+VLOOKUP($A24,A:AL,22,FALSE)-50),"-",(VLOOKUP($A24,'SegEnds_NonXtal_BW#'!$A:$Z,16,FALSE)+VLOOKUP($A24,A:AL,22,FALSE)-50))</f>
        <v>175</v>
      </c>
      <c r="X24" s="3" t="str">
        <f>IF(ISERROR(VLOOKUP($A24,'SegEnds_NonXtal_BW#'!$A:$Z,17,FALSE)+VLOOKUP($A24,A:AL,25,FALSE)-50),"-",(VLOOKUP($A24,'SegEnds_NonXtal_BW#'!$A:$Z,17,FALSE)+VLOOKUP($A24,A:AL,25,FALSE)-50))</f>
        <v>-</v>
      </c>
      <c r="Y24" s="3" t="s">
        <v>23</v>
      </c>
      <c r="Z24" s="3" t="str">
        <f>IF(ISERROR(VLOOKUP($A24,'SegEnds_NonXtal_BW#'!$A:$Z,18,FALSE)+VLOOKUP($A24,A:AL,25,FALSE)-50),"-",(VLOOKUP($A24,'SegEnds_NonXtal_BW#'!$A:$Z,18,FALSE)+VLOOKUP($A24,A:AL,25,FALSE)-50))</f>
        <v>-</v>
      </c>
      <c r="AA24" s="3">
        <f>IF(ISERROR(VLOOKUP($A24,'SegEnds_NonXtal_BW#'!$A:$Z,19,FALSE)+VLOOKUP($A24,A:AL,28,FALSE)-50),"-",(VLOOKUP($A24,'SegEnds_NonXtal_BW#'!$A:$Z,19,FALSE)+VLOOKUP($A24,A:AL,28,FALSE)-50))</f>
        <v>193</v>
      </c>
      <c r="AB24" s="3">
        <v>207</v>
      </c>
      <c r="AC24" s="3">
        <f>IF(ISERROR((VLOOKUP($A24,'SegEnds_NonXtal_BW#'!$A:$Z,20,FALSE)+VLOOKUP($A24,A:AL,28,FALSE)-50)),"-",(VLOOKUP($A24,'SegEnds_NonXtal_BW#'!$A:$Z,20,FALSE)+VLOOKUP($A24,A:AL,28,FALSE)-50))</f>
        <v>225</v>
      </c>
      <c r="AD24" s="3">
        <f>IF(ISERROR(VLOOKUP($A24,'SegEnds_NonXtal_BW#'!$A:$Z,21,FALSE)+VLOOKUP($A24,A:AL,31,FALSE)-50),"-",(VLOOKUP($A24,'SegEnds_NonXtal_BW#'!$A:$Z,21,FALSE)+VLOOKUP($A24,A:AL,31,FALSE)-50))</f>
        <v>231</v>
      </c>
      <c r="AE24" s="3">
        <v>258</v>
      </c>
      <c r="AF24" s="3">
        <f>IF(ISERROR((VLOOKUP($A24,'SegEnds_NonXtal_BW#'!$A:$Z,22,FALSE)+VLOOKUP($A24,A:AL,31,FALSE)-50)),"-",(VLOOKUP($A24,'SegEnds_NonXtal_BW#'!$A:$Z,22,FALSE)+VLOOKUP($A24,A:AL,31,FALSE)-50))</f>
        <v>269</v>
      </c>
      <c r="AG24" s="3">
        <f>IF(ISERROR(VLOOKUP($A24,'SegEnds_NonXtal_BW#'!$A:$Z,23,FALSE)+VLOOKUP($A24,A:AL,34,FALSE)-50),"-",(VLOOKUP($A24,'SegEnds_NonXtal_BW#'!$A:$Z,23,FALSE)+VLOOKUP($A24,A:AL,34,FALSE)-50))</f>
        <v>275</v>
      </c>
      <c r="AH24" s="3">
        <v>295</v>
      </c>
      <c r="AI24" s="3">
        <f>IF(ISERROR((VLOOKUP($A24,'SegEnds_NonXtal_BW#'!$A:$Z,24,FALSE)+VLOOKUP($A24,A:AL,34,FALSE)-50)),"-",(VLOOKUP($A24,'SegEnds_NonXtal_BW#'!$A:$Z,24,FALSE)+VLOOKUP($A24,A:AL,34,FALSE)-50))</f>
        <v>301</v>
      </c>
      <c r="AJ24" s="3">
        <f>IF(ISERROR(VLOOKUP($A24,'SegEnds_NonXtal_BW#'!$A:$Z,25,FALSE)+VLOOKUP($A24,A:AL,37,FALSE)-50),"-",(VLOOKUP($A24,'SegEnds_NonXtal_BW#'!$A:$Z,25,FALSE)+VLOOKUP($A24,A:AL,37,FALSE)-50))</f>
        <v>302</v>
      </c>
      <c r="AK24" s="3">
        <v>305</v>
      </c>
      <c r="AL24" s="3">
        <f>IF(ISERROR((VLOOKUP($A24,'SegEnds_NonXtal_BW#'!$A:$Z,26,FALSE)+VLOOKUP($A24,A:AL,37,FALSE)-50)),"-",(VLOOKUP($A24,'SegEnds_NonXtal_BW#'!$A:$Z,26,FALSE)+VLOOKUP($A24,A:AL,37,FALSE)-50))</f>
        <v>314</v>
      </c>
      <c r="AM24" s="28" t="str">
        <f>VLOOKUP(A24,Classification!A:B,2,FALSE)</f>
        <v>A</v>
      </c>
      <c r="AN24" s="28" t="b">
        <f t="shared" si="0"/>
        <v>1</v>
      </c>
      <c r="AO24" s="3" t="str">
        <f>IF(ISERROR(MATCH(A24,'SegEnds_Xtal_Prot#'!B:B, 0)), "NoXtal", "Xtal")</f>
        <v>NoXtal</v>
      </c>
      <c r="AP24" s="3">
        <f t="shared" si="1"/>
        <v>1</v>
      </c>
      <c r="AQ24" s="3">
        <f t="shared" si="2"/>
        <v>1</v>
      </c>
      <c r="AR24" s="3">
        <f t="shared" si="3"/>
        <v>2</v>
      </c>
      <c r="AS24" s="3">
        <f t="shared" si="4"/>
        <v>1</v>
      </c>
      <c r="AT24" s="3">
        <f t="shared" si="5"/>
        <v>1</v>
      </c>
      <c r="AU24" s="3">
        <f t="shared" si="6"/>
        <v>1</v>
      </c>
      <c r="AV24" s="3" t="str">
        <f t="shared" si="7"/>
        <v>-</v>
      </c>
      <c r="AW24" s="3" t="str">
        <f t="shared" si="8"/>
        <v>-</v>
      </c>
      <c r="AX24" s="3">
        <f t="shared" si="9"/>
        <v>6</v>
      </c>
      <c r="AY24" s="3">
        <f t="shared" si="10"/>
        <v>6</v>
      </c>
      <c r="AZ24" s="3">
        <f t="shared" si="11"/>
        <v>1</v>
      </c>
      <c r="BA24" s="3">
        <f>IF(ISERROR(LEN(VLOOKUP(A24,Seqs!A:E,2,FALSE))-AL24),"-",LEN(VLOOKUP(A24,Seqs!A:E,2,FALSE))-AL24)</f>
        <v>64</v>
      </c>
      <c r="BB24" s="16">
        <f t="shared" si="12"/>
        <v>28</v>
      </c>
      <c r="BC24" s="9">
        <f t="shared" si="13"/>
        <v>19</v>
      </c>
      <c r="BD24" s="3">
        <f t="shared" si="14"/>
        <v>28</v>
      </c>
      <c r="BE24" s="3">
        <f t="shared" si="15"/>
        <v>51</v>
      </c>
    </row>
    <row r="25" spans="1:60" s="3" customFormat="1" x14ac:dyDescent="0.2">
      <c r="A25" s="3" t="s">
        <v>396</v>
      </c>
      <c r="B25" s="3" t="str">
        <f>LOWER(VLOOKUP(A25,Xtal_Templ!A:B,2,FALSE))</f>
        <v>adrb2_human</v>
      </c>
      <c r="C25" s="3">
        <f>VLOOKUP($A25,'SegEnds_NonXtal_BW#'!$A:$Z,3,FALSE)+D25-50</f>
        <v>44</v>
      </c>
      <c r="D25" s="3">
        <v>69</v>
      </c>
      <c r="E25" s="3">
        <f>IF(ISERROR(VLOOKUP($A25,'SegEnds_NonXtal_BW#'!$A:$Z,4,FALSE)+VLOOKUP($A25,A:AL,4,FALSE)-50),"-",(VLOOKUP($A25,'SegEnds_NonXtal_BW#'!$A:$Z,4,FALSE)+VLOOKUP($A25,A:AL,4,FALSE)-50))</f>
        <v>79</v>
      </c>
      <c r="F25" s="3">
        <f t="shared" si="21"/>
        <v>80</v>
      </c>
      <c r="G25" s="3">
        <v>82</v>
      </c>
      <c r="H25" s="3">
        <f t="shared" si="22"/>
        <v>83</v>
      </c>
      <c r="I25" s="3">
        <f t="shared" si="22"/>
        <v>84</v>
      </c>
      <c r="J25" s="3">
        <v>97</v>
      </c>
      <c r="K25" s="3">
        <f>VLOOKUP($A25,'SegEnds_NonXtal_BW#'!$A:$Z,8,FALSE)+VLOOKUP($A25,A:AL,10,FALSE)-50</f>
        <v>113</v>
      </c>
      <c r="L25" s="3">
        <f t="shared" ref="L25:L31" si="24">M25-1</f>
        <v>115</v>
      </c>
      <c r="M25" s="3">
        <v>116</v>
      </c>
      <c r="N25" s="3">
        <f t="shared" ref="N25:N31" si="25">M25+2</f>
        <v>118</v>
      </c>
      <c r="O25" s="3">
        <f t="shared" si="23"/>
        <v>119</v>
      </c>
      <c r="P25" s="3">
        <v>148</v>
      </c>
      <c r="Q25" s="3">
        <f>VLOOKUP($A25,'SegEnds_NonXtal_BW#'!$A:$Z,12,FALSE)+VLOOKUP($A25,A:AL,16,FALSE)-50</f>
        <v>154</v>
      </c>
      <c r="R25" s="3">
        <f>IF(ISERROR(VLOOKUP($A25,'SegEnds_NonXtal_BW#'!$A:$Z,13,FALSE)+VLOOKUP($A25,A:AL,19,FALSE)-50),"-",VLOOKUP($A25,'SegEnds_NonXtal_BW#'!$A:$Z,13,FALSE)+VLOOKUP($A25,A:AL,19,FALSE)-50)</f>
        <v>155</v>
      </c>
      <c r="S25" s="3">
        <v>155</v>
      </c>
      <c r="T25" s="103">
        <f>IF(ISERROR(VLOOKUP($A25,'SegEnds_NonXtal_BW#'!$A:$Z,14,FALSE)+VLOOKUP($A25,A:AL,19,FALSE)-50),"-",(VLOOKUP($A25,'SegEnds_NonXtal_BW#'!$A:$Z,14,FALSE)+VLOOKUP($A25,A:AL,19,FALSE)-50))</f>
        <v>161</v>
      </c>
      <c r="U25" s="9">
        <f>IF(ISERROR(VLOOKUP($A25,'SegEnds_NonXtal_BW#'!$A:$Z,15,FALSE)+VLOOKUP($A25,A:AL,22,FALSE)-50),"-",VLOOKUP($A25,'SegEnds_NonXtal_BW#'!$A:$Z,15,FALSE)+VLOOKUP($A25,A:AL,22,FALSE)-50)</f>
        <v>162</v>
      </c>
      <c r="V25" s="3">
        <v>174</v>
      </c>
      <c r="W25" s="3">
        <f>IF(ISERROR(VLOOKUP($A25,'SegEnds_NonXtal_BW#'!$A:$Z,16,FALSE)+VLOOKUP($A25,A:AL,22,FALSE)-50),"-",(VLOOKUP($A25,'SegEnds_NonXtal_BW#'!$A:$Z,16,FALSE)+VLOOKUP($A25,A:AL,22,FALSE)-50))</f>
        <v>188</v>
      </c>
      <c r="X25" s="3">
        <f>IF(ISERROR(VLOOKUP($A25,'SegEnds_NonXtal_BW#'!$A:$Z,17,FALSE)+VLOOKUP($A25,A:AL,25,FALSE)-50),"-",(VLOOKUP($A25,'SegEnds_NonXtal_BW#'!$A:$Z,17,FALSE)+VLOOKUP($A25,A:AL,25,FALSE)-50))</f>
        <v>199</v>
      </c>
      <c r="Y25" s="3">
        <v>199</v>
      </c>
      <c r="Z25" s="3">
        <f>Y25+2</f>
        <v>201</v>
      </c>
      <c r="AA25" s="3">
        <f>IF(ISERROR(VLOOKUP($A25,'SegEnds_NonXtal_BW#'!$A:$Z,19,FALSE)+VLOOKUP($A25,A:AL,28,FALSE)-50),"-",(VLOOKUP($A25,'SegEnds_NonXtal_BW#'!$A:$Z,19,FALSE)+VLOOKUP($A25,A:AL,28,FALSE)-50))</f>
        <v>208</v>
      </c>
      <c r="AB25" s="3">
        <v>223</v>
      </c>
      <c r="AC25" s="3">
        <f>IF(ISERROR((VLOOKUP($A25,'SegEnds_NonXtal_BW#'!$A:$Z,20,FALSE)+VLOOKUP($A25,A:AL,28,FALSE)-50)),"-",(VLOOKUP($A25,'SegEnds_NonXtal_BW#'!$A:$Z,20,FALSE)+VLOOKUP($A25,A:AL,28,FALSE)-50))</f>
        <v>245</v>
      </c>
      <c r="AD25" s="3">
        <f>IF(ISERROR(VLOOKUP($A25,'SegEnds_NonXtal_BW#'!$A:$Z,21,FALSE)+VLOOKUP($A25,A:AL,31,FALSE)-50),"-",(VLOOKUP($A25,'SegEnds_NonXtal_BW#'!$A:$Z,21,FALSE)+VLOOKUP($A25,A:AL,31,FALSE)-50))</f>
        <v>252</v>
      </c>
      <c r="AE25" s="3">
        <v>273</v>
      </c>
      <c r="AF25" s="3">
        <f>IF(ISERROR((VLOOKUP($A25,'SegEnds_NonXtal_BW#'!$A:$Z,22,FALSE)+VLOOKUP($A25,A:AL,31,FALSE)-50)),"-",(VLOOKUP($A25,'SegEnds_NonXtal_BW#'!$A:$Z,22,FALSE)+VLOOKUP($A25,A:AL,31,FALSE)-50))</f>
        <v>284</v>
      </c>
      <c r="AG25" s="3">
        <f>IF(ISERROR(VLOOKUP($A25,'SegEnds_NonXtal_BW#'!$A:$Z,23,FALSE)+VLOOKUP($A25,A:AL,34,FALSE)-50),"-",(VLOOKUP($A25,'SegEnds_NonXtal_BW#'!$A:$Z,23,FALSE)+VLOOKUP($A25,A:AL,34,FALSE)-50))</f>
        <v>290</v>
      </c>
      <c r="AH25" s="3">
        <v>312</v>
      </c>
      <c r="AI25" s="3">
        <f>IF(ISERROR((VLOOKUP($A25,'SegEnds_NonXtal_BW#'!$A:$Z,24,FALSE)+VLOOKUP($A25,A:AL,34,FALSE)-50)),"-",(VLOOKUP($A25,'SegEnds_NonXtal_BW#'!$A:$Z,24,FALSE)+VLOOKUP($A25,A:AL,34,FALSE)-50))</f>
        <v>317</v>
      </c>
      <c r="AJ25" s="3">
        <f>IF(ISERROR(VLOOKUP($A25,'SegEnds_NonXtal_BW#'!$A:$Z,25,FALSE)+VLOOKUP($A25,A:AL,37,FALSE)-50),"-",(VLOOKUP($A25,'SegEnds_NonXtal_BW#'!$A:$Z,25,FALSE)+VLOOKUP($A25,A:AL,37,FALSE)-50))</f>
        <v>319</v>
      </c>
      <c r="AK25" s="3">
        <v>322</v>
      </c>
      <c r="AL25" s="3">
        <f>IF(ISERROR((VLOOKUP($A25,'SegEnds_NonXtal_BW#'!$A:$Z,26,FALSE)+VLOOKUP($A25,A:AL,37,FALSE)-50)),"-",(VLOOKUP($A25,'SegEnds_NonXtal_BW#'!$A:$Z,26,FALSE)+VLOOKUP($A25,A:AL,37,FALSE)-50))</f>
        <v>331</v>
      </c>
      <c r="AM25" s="28" t="str">
        <f>VLOOKUP(A25,Classification!A:B,2,FALSE)</f>
        <v>A</v>
      </c>
      <c r="AN25" s="28" t="b">
        <f t="shared" si="0"/>
        <v>1</v>
      </c>
      <c r="AO25" s="3" t="str">
        <f>IF(ISERROR(MATCH(A25,'SegEnds_Xtal_Prot#'!B:B, 0)), "NoXtal", "Xtal")</f>
        <v>NoXtal</v>
      </c>
      <c r="AP25" s="3">
        <f t="shared" si="1"/>
        <v>1</v>
      </c>
      <c r="AQ25" s="3">
        <f t="shared" si="2"/>
        <v>1</v>
      </c>
      <c r="AR25" s="3">
        <f t="shared" si="3"/>
        <v>2</v>
      </c>
      <c r="AS25" s="3">
        <f t="shared" si="4"/>
        <v>1</v>
      </c>
      <c r="AT25" s="3">
        <f t="shared" si="5"/>
        <v>1</v>
      </c>
      <c r="AU25" s="3">
        <f t="shared" si="6"/>
        <v>1</v>
      </c>
      <c r="AV25" s="3">
        <f t="shared" si="7"/>
        <v>11</v>
      </c>
      <c r="AW25" s="3">
        <f t="shared" si="8"/>
        <v>7</v>
      </c>
      <c r="AX25" s="3">
        <f t="shared" si="9"/>
        <v>7</v>
      </c>
      <c r="AY25" s="3">
        <f t="shared" si="10"/>
        <v>6</v>
      </c>
      <c r="AZ25" s="3">
        <f t="shared" si="11"/>
        <v>2</v>
      </c>
      <c r="BA25" s="3">
        <f>IF(ISERROR(LEN(VLOOKUP(A25,Seqs!A:E,2,FALSE))-AL25),"-",LEN(VLOOKUP(A25,Seqs!A:E,2,FALSE))-AL25)</f>
        <v>58</v>
      </c>
      <c r="BB25" s="16">
        <f t="shared" si="12"/>
        <v>28</v>
      </c>
      <c r="BC25" s="9">
        <f t="shared" si="13"/>
        <v>19</v>
      </c>
      <c r="BD25" s="3">
        <f t="shared" si="14"/>
        <v>28</v>
      </c>
      <c r="BE25" s="3">
        <f t="shared" si="15"/>
        <v>50</v>
      </c>
    </row>
    <row r="26" spans="1:60" s="3" customFormat="1" x14ac:dyDescent="0.2">
      <c r="A26" s="3" t="s">
        <v>397</v>
      </c>
      <c r="B26" s="3" t="str">
        <f>LOWER(VLOOKUP(A26,Xtal_Templ!A:B,2,FALSE))</f>
        <v>ox2r_human</v>
      </c>
      <c r="C26" s="3">
        <f>VLOOKUP($A26,'SegEnds_NonXtal_BW#'!$A:$Z,3,FALSE)+D26-50</f>
        <v>50</v>
      </c>
      <c r="D26" s="3">
        <v>69</v>
      </c>
      <c r="E26" s="3">
        <f>IF(ISERROR(VLOOKUP($A26,'SegEnds_NonXtal_BW#'!$A:$Z,4,FALSE)+VLOOKUP($A26,A:AL,4,FALSE)-50),"-",(VLOOKUP($A26,'SegEnds_NonXtal_BW#'!$A:$Z,4,FALSE)+VLOOKUP($A26,A:AL,4,FALSE)-50))</f>
        <v>79</v>
      </c>
      <c r="F26" s="3">
        <f t="shared" si="21"/>
        <v>80</v>
      </c>
      <c r="G26" s="3">
        <v>82</v>
      </c>
      <c r="H26" s="3">
        <f t="shared" si="22"/>
        <v>83</v>
      </c>
      <c r="I26" s="3">
        <f t="shared" si="22"/>
        <v>84</v>
      </c>
      <c r="J26" s="3">
        <v>97</v>
      </c>
      <c r="K26" s="3">
        <f>VLOOKUP($A26,'SegEnds_NonXtal_BW#'!$A:$Z,8,FALSE)+VLOOKUP($A26,A:AL,10,FALSE)-50</f>
        <v>114</v>
      </c>
      <c r="L26" s="108">
        <f>M26</f>
        <v>115</v>
      </c>
      <c r="M26" s="3">
        <v>115</v>
      </c>
      <c r="N26" s="3">
        <f t="shared" si="25"/>
        <v>117</v>
      </c>
      <c r="O26" s="3">
        <f t="shared" si="23"/>
        <v>118</v>
      </c>
      <c r="P26" s="3">
        <v>149</v>
      </c>
      <c r="Q26" s="3">
        <f>VLOOKUP($A26,'SegEnds_NonXtal_BW#'!$A:$Z,12,FALSE)+VLOOKUP($A26,A:AL,16,FALSE)-50</f>
        <v>155</v>
      </c>
      <c r="R26" s="3">
        <f>IF(ISERROR(VLOOKUP($A26,'SegEnds_NonXtal_BW#'!$A:$Z,13,FALSE)+VLOOKUP($A26,A:AL,19,FALSE)-50),"-",VLOOKUP($A26,'SegEnds_NonXtal_BW#'!$A:$Z,13,FALSE)+VLOOKUP($A26,A:AL,19,FALSE)-50)</f>
        <v>156</v>
      </c>
      <c r="S26" s="3">
        <v>156</v>
      </c>
      <c r="T26" s="103">
        <f>IF(ISERROR(VLOOKUP($A26,'SegEnds_NonXtal_BW#'!$A:$Z,14,FALSE)+VLOOKUP($A26,A:AL,19,FALSE)-50),"-",(VLOOKUP($A26,'SegEnds_NonXtal_BW#'!$A:$Z,14,FALSE)+VLOOKUP($A26,A:AL,19,FALSE)-50))</f>
        <v>162</v>
      </c>
      <c r="U26" s="9">
        <f>IF(ISERROR(VLOOKUP($A26,'SegEnds_NonXtal_BW#'!$A:$Z,15,FALSE)+VLOOKUP($A26,A:AL,22,FALSE)-50),"-",VLOOKUP($A26,'SegEnds_NonXtal_BW#'!$A:$Z,15,FALSE)+VLOOKUP($A26,A:AL,22,FALSE)-50)</f>
        <v>163</v>
      </c>
      <c r="V26" s="3">
        <v>175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>Y26+2</f>
        <v>205</v>
      </c>
      <c r="AA26" s="3">
        <f>IF(ISERROR(VLOOKUP($A26,'SegEnds_NonXtal_BW#'!$A:$Z,19,FALSE)+VLOOKUP($A26,A:AL,28,FALSE)-50),"-",(VLOOKUP($A26,'SegEnds_NonXtal_BW#'!$A:$Z,19,FALSE)+VLOOKUP($A26,A:AL,28,FALSE)-50))</f>
        <v>210</v>
      </c>
      <c r="AB26" s="3">
        <v>228</v>
      </c>
      <c r="AC26" s="3">
        <f>IF(ISERROR((VLOOKUP($A26,'SegEnds_NonXtal_BW#'!$A:$Z,20,FALSE)+VLOOKUP($A26,A:AL,28,FALSE)-50)),"-",(VLOOKUP($A26,'SegEnds_NonXtal_BW#'!$A:$Z,20,FALSE)+VLOOKUP($A26,A:AL,28,FALSE)-50))</f>
        <v>254</v>
      </c>
      <c r="AD26" s="3">
        <f>IF(ISERROR(VLOOKUP($A26,'SegEnds_NonXtal_BW#'!$A:$Z,21,FALSE)+VLOOKUP($A26,A:AL,31,FALSE)-50),"-",(VLOOKUP($A26,'SegEnds_NonXtal_BW#'!$A:$Z,21,FALSE)+VLOOKUP($A26,A:AL,31,FALSE)-50))</f>
        <v>280</v>
      </c>
      <c r="AE26" s="3">
        <v>306</v>
      </c>
      <c r="AF26" s="3">
        <f>IF(ISERROR((VLOOKUP($A26,'SegEnds_NonXtal_BW#'!$A:$Z,22,FALSE)+VLOOKUP($A26,A:AL,31,FALSE)-50)),"-",(VLOOKUP($A26,'SegEnds_NonXtal_BW#'!$A:$Z,22,FALSE)+VLOOKUP($A26,A:AL,31,FALSE)-50))</f>
        <v>317</v>
      </c>
      <c r="AG26" s="3">
        <f>IF(ISERROR(VLOOKUP($A26,'SegEnds_NonXtal_BW#'!$A:$Z,23,FALSE)+VLOOKUP($A26,A:AL,34,FALSE)-50),"-",(VLOOKUP($A26,'SegEnds_NonXtal_BW#'!$A:$Z,23,FALSE)+VLOOKUP($A26,A:AL,34,FALSE)-50))</f>
        <v>323</v>
      </c>
      <c r="AH26" s="3">
        <v>345</v>
      </c>
      <c r="AI26" s="3">
        <f>IF(ISERROR((VLOOKUP($A26,'SegEnds_NonXtal_BW#'!$A:$Z,24,FALSE)+VLOOKUP($A26,A:AL,34,FALSE)-50)),"-",(VLOOKUP($A26,'SegEnds_NonXtal_BW#'!$A:$Z,24,FALSE)+VLOOKUP($A26,A:AL,34,FALSE)-50))</f>
        <v>351</v>
      </c>
      <c r="AJ26" s="3">
        <f>IF(ISERROR(VLOOKUP($A26,'SegEnds_NonXtal_BW#'!$A:$Z,25,FALSE)+VLOOKUP($A26,A:AL,37,FALSE)-50),"-",(VLOOKUP($A26,'SegEnds_NonXtal_BW#'!$A:$Z,25,FALSE)+VLOOKUP($A26,A:AL,37,FALSE)-50))</f>
        <v>352</v>
      </c>
      <c r="AK26" s="3">
        <v>355</v>
      </c>
      <c r="AL26" s="3">
        <f>IF(ISERROR((VLOOKUP($A26,'SegEnds_NonXtal_BW#'!$A:$Z,26,FALSE)+VLOOKUP($A26,A:AL,37,FALSE)-50)),"-",(VLOOKUP($A26,'SegEnds_NonXtal_BW#'!$A:$Z,26,FALSE)+VLOOKUP($A26,A:AL,37,FALSE)-50))</f>
        <v>363</v>
      </c>
      <c r="AM26" s="28" t="str">
        <f>VLOOKUP(A26,Classification!A:B,2,FALSE)</f>
        <v>A</v>
      </c>
      <c r="AN26" s="28" t="b">
        <f t="shared" si="0"/>
        <v>1</v>
      </c>
      <c r="AO26" s="3" t="str">
        <f>IF(ISERROR(MATCH(A26,'SegEnds_Xtal_Prot#'!B:B, 0)), "NoXtal", "Xtal")</f>
        <v>NoXtal</v>
      </c>
      <c r="AP26" s="3">
        <f t="shared" si="1"/>
        <v>1</v>
      </c>
      <c r="AQ26" s="3">
        <f t="shared" si="2"/>
        <v>1</v>
      </c>
      <c r="AR26" s="3">
        <f t="shared" si="3"/>
        <v>1</v>
      </c>
      <c r="AS26" s="3">
        <f t="shared" si="4"/>
        <v>1</v>
      </c>
      <c r="AT26" s="3">
        <f t="shared" si="5"/>
        <v>1</v>
      </c>
      <c r="AU26" s="3">
        <f t="shared" si="6"/>
        <v>1</v>
      </c>
      <c r="AV26" s="3">
        <f t="shared" si="7"/>
        <v>14</v>
      </c>
      <c r="AW26" s="3">
        <f t="shared" si="8"/>
        <v>5</v>
      </c>
      <c r="AX26" s="3">
        <f t="shared" si="9"/>
        <v>26</v>
      </c>
      <c r="AY26" s="3">
        <f t="shared" si="10"/>
        <v>6</v>
      </c>
      <c r="AZ26" s="3">
        <f t="shared" si="11"/>
        <v>1</v>
      </c>
      <c r="BA26" s="3">
        <f>IF(ISERROR(LEN(VLOOKUP(A26,Seqs!A:E,2,FALSE))-AL26),"-",LEN(VLOOKUP(A26,Seqs!A:E,2,FALSE))-AL26)</f>
        <v>55</v>
      </c>
      <c r="BB26" s="16">
        <f t="shared" si="12"/>
        <v>28</v>
      </c>
      <c r="BC26" s="9">
        <f t="shared" si="13"/>
        <v>19</v>
      </c>
      <c r="BD26" s="3">
        <f t="shared" si="14"/>
        <v>28</v>
      </c>
      <c r="BE26" s="3">
        <f t="shared" si="15"/>
        <v>78</v>
      </c>
    </row>
    <row r="27" spans="1:60" s="3" customFormat="1" x14ac:dyDescent="0.2">
      <c r="A27" s="3" t="s">
        <v>398</v>
      </c>
      <c r="B27" s="3" t="str">
        <f>LOWER(VLOOKUP(A27,Xtal_Templ!A:B,2,FALSE))</f>
        <v>s1pr1_human</v>
      </c>
      <c r="C27" s="3">
        <f>VLOOKUP($A27,'SegEnds_NonXtal_BW#'!$A:$Z,3,FALSE)+D27-50</f>
        <v>31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62</v>
      </c>
      <c r="F27" s="3">
        <f t="shared" si="21"/>
        <v>63</v>
      </c>
      <c r="G27" s="3">
        <v>65</v>
      </c>
      <c r="H27" s="3">
        <f t="shared" si="22"/>
        <v>66</v>
      </c>
      <c r="I27" s="3">
        <f t="shared" si="22"/>
        <v>67</v>
      </c>
      <c r="J27" s="3">
        <v>80</v>
      </c>
      <c r="K27" s="3">
        <f>VLOOKUP($A27,'SegEnds_NonXtal_BW#'!$A:$Z,8,FALSE)+VLOOKUP($A27,A:AL,10,FALSE)-50</f>
        <v>93</v>
      </c>
      <c r="L27" s="108">
        <f>M27</f>
        <v>98</v>
      </c>
      <c r="M27" s="3">
        <v>98</v>
      </c>
      <c r="N27" s="3">
        <f t="shared" si="25"/>
        <v>100</v>
      </c>
      <c r="O27" s="3">
        <f t="shared" si="23"/>
        <v>101</v>
      </c>
      <c r="P27" s="3">
        <v>132</v>
      </c>
      <c r="Q27" s="3">
        <f>VLOOKUP($A27,'SegEnds_NonXtal_BW#'!$A:$Z,12,FALSE)+VLOOKUP($A27,A:AL,16,FALSE)-50</f>
        <v>138</v>
      </c>
      <c r="R27" s="3">
        <f>IF(ISERROR(VLOOKUP($A27,'SegEnds_NonXtal_BW#'!$A:$Z,13,FALSE)+VLOOKUP($A27,A:AL,19,FALSE)-50),"-",VLOOKUP($A27,'SegEnds_NonXtal_BW#'!$A:$Z,13,FALSE)+VLOOKUP($A27,A:AL,19,FALSE)-50)</f>
        <v>139</v>
      </c>
      <c r="S27" s="3">
        <v>139</v>
      </c>
      <c r="T27" s="103">
        <f>IF(ISERROR(VLOOKUP($A27,'SegEnds_NonXtal_BW#'!$A:$Z,14,FALSE)+VLOOKUP($A27,A:AL,19,FALSE)-50),"-",(VLOOKUP($A27,'SegEnds_NonXtal_BW#'!$A:$Z,14,FALSE)+VLOOKUP($A27,A:AL,19,FALSE)-50))</f>
        <v>145</v>
      </c>
      <c r="U27" s="9">
        <f>IF(ISERROR(VLOOKUP($A27,'SegEnds_NonXtal_BW#'!$A:$Z,15,FALSE)+VLOOKUP($A27,A:AL,22,FALSE)-50),"-",VLOOKUP($A27,'SegEnds_NonXtal_BW#'!$A:$Z,15,FALSE)+VLOOKUP($A27,A:AL,22,FALSE)-50)</f>
        <v>146</v>
      </c>
      <c r="V27" s="3">
        <v>158</v>
      </c>
      <c r="W27" s="3">
        <f>IF(ISERROR(VLOOKUP($A27,'SegEnds_NonXtal_BW#'!$A:$Z,16,FALSE)+VLOOKUP($A27,A:AL,22,FALSE)-50),"-",(VLOOKUP($A27,'SegEnds_NonXtal_BW#'!$A:$Z,16,FALSE)+VLOOKUP($A27,A:AL,22,FALSE)-50))</f>
        <v>171</v>
      </c>
      <c r="X27" s="3" t="str">
        <f>IF(ISERROR(VLOOKUP($A27,'SegEnds_NonXtal_BW#'!$A:$Z,17,FALSE)+VLOOKUP($A27,A:AL,25,FALSE)-50),"-",(VLOOKUP($A27,'SegEnds_NonXtal_BW#'!$A:$Z,17,FALSE)+VLOOKUP($A27,A:AL,25,FALSE)-50))</f>
        <v>-</v>
      </c>
      <c r="Y27" s="3">
        <v>186</v>
      </c>
      <c r="Z27" s="3">
        <f>Y27+2</f>
        <v>188</v>
      </c>
      <c r="AA27" s="3">
        <f>IF(ISERROR(VLOOKUP($A27,'SegEnds_NonXtal_BW#'!$A:$Z,19,FALSE)+VLOOKUP($A27,A:AL,28,FALSE)-50),"-",(VLOOKUP($A27,'SegEnds_NonXtal_BW#'!$A:$Z,19,FALSE)+VLOOKUP($A27,A:AL,28,FALSE)-50))</f>
        <v>197</v>
      </c>
      <c r="AB27" s="3">
        <v>211</v>
      </c>
      <c r="AC27" s="3">
        <f>IF(ISERROR((VLOOKUP($A27,'SegEnds_NonXtal_BW#'!$A:$Z,20,FALSE)+VLOOKUP($A27,A:AL,28,FALSE)-50)),"-",(VLOOKUP($A27,'SegEnds_NonXtal_BW#'!$A:$Z,20,FALSE)+VLOOKUP($A27,A:AL,28,FALSE)-50))</f>
        <v>237</v>
      </c>
      <c r="AD27" s="3">
        <f>IF(ISERROR(VLOOKUP($A27,'SegEnds_NonXtal_BW#'!$A:$Z,21,FALSE)+VLOOKUP($A27,A:AL,31,FALSE)-50),"-",(VLOOKUP($A27,'SegEnds_NonXtal_BW#'!$A:$Z,21,FALSE)+VLOOKUP($A27,A:AL,31,FALSE)-50))</f>
        <v>270</v>
      </c>
      <c r="AE27" s="3">
        <v>296</v>
      </c>
      <c r="AF27" s="3">
        <f>IF(ISERROR((VLOOKUP($A27,'SegEnds_NonXtal_BW#'!$A:$Z,22,FALSE)+VLOOKUP($A27,A:AL,31,FALSE)-50)),"-",(VLOOKUP($A27,'SegEnds_NonXtal_BW#'!$A:$Z,22,FALSE)+VLOOKUP($A27,A:AL,31,FALSE)-50))</f>
        <v>307</v>
      </c>
      <c r="AG27" s="3">
        <f>IF(ISERROR(VLOOKUP($A27,'SegEnds_NonXtal_BW#'!$A:$Z,23,FALSE)+VLOOKUP($A27,A:AL,34,FALSE)-50),"-",(VLOOKUP($A27,'SegEnds_NonXtal_BW#'!$A:$Z,23,FALSE)+VLOOKUP($A27,A:AL,34,FALSE)-50))</f>
        <v>313</v>
      </c>
      <c r="AH27" s="3">
        <v>335</v>
      </c>
      <c r="AI27" s="3">
        <f>IF(ISERROR((VLOOKUP($A27,'SegEnds_NonXtal_BW#'!$A:$Z,24,FALSE)+VLOOKUP($A27,A:AL,34,FALSE)-50)),"-",(VLOOKUP($A27,'SegEnds_NonXtal_BW#'!$A:$Z,24,FALSE)+VLOOKUP($A27,A:AL,34,FALSE)-50))</f>
        <v>341</v>
      </c>
      <c r="AJ27" s="3">
        <f>IF(ISERROR(VLOOKUP($A27,'SegEnds_NonXtal_BW#'!$A:$Z,25,FALSE)+VLOOKUP($A27,A:AL,37,FALSE)-50),"-",(VLOOKUP($A27,'SegEnds_NonXtal_BW#'!$A:$Z,25,FALSE)+VLOOKUP($A27,A:AL,37,FALSE)-50))</f>
        <v>342</v>
      </c>
      <c r="AK27" s="3">
        <v>345</v>
      </c>
      <c r="AL27" s="3">
        <f>IF(ISERROR((VLOOKUP($A27,'SegEnds_NonXtal_BW#'!$A:$Z,26,FALSE)+VLOOKUP($A27,A:AL,37,FALSE)-50)),"-",(VLOOKUP($A27,'SegEnds_NonXtal_BW#'!$A:$Z,26,FALSE)+VLOOKUP($A27,A:AL,37,FALSE)-50))</f>
        <v>354</v>
      </c>
      <c r="AM27" s="28" t="str">
        <f>VLOOKUP(A27,Classification!A:B,2,FALSE)</f>
        <v>A</v>
      </c>
      <c r="AN27" s="28" t="b">
        <f t="shared" si="0"/>
        <v>1</v>
      </c>
      <c r="AO27" s="3" t="str">
        <f>IF(ISERROR(MATCH(A27,'SegEnds_Xtal_Prot#'!B:B, 0)), "NoXtal", "Xtal")</f>
        <v>NoXtal</v>
      </c>
      <c r="AP27" s="3">
        <f t="shared" si="1"/>
        <v>1</v>
      </c>
      <c r="AQ27" s="3">
        <f t="shared" si="2"/>
        <v>1</v>
      </c>
      <c r="AR27" s="3">
        <f t="shared" si="3"/>
        <v>5</v>
      </c>
      <c r="AS27" s="3">
        <f t="shared" si="4"/>
        <v>1</v>
      </c>
      <c r="AT27" s="3">
        <f t="shared" si="5"/>
        <v>1</v>
      </c>
      <c r="AU27" s="3">
        <f t="shared" si="6"/>
        <v>1</v>
      </c>
      <c r="AV27" s="3" t="str">
        <f t="shared" si="7"/>
        <v>-</v>
      </c>
      <c r="AW27" s="3">
        <f t="shared" si="8"/>
        <v>9</v>
      </c>
      <c r="AX27" s="3">
        <f t="shared" si="9"/>
        <v>33</v>
      </c>
      <c r="AY27" s="3">
        <f t="shared" si="10"/>
        <v>6</v>
      </c>
      <c r="AZ27" s="3">
        <f t="shared" si="11"/>
        <v>1</v>
      </c>
      <c r="BA27" s="3">
        <f>IF(ISERROR(LEN(VLOOKUP(A27,Seqs!A:E,2,FALSE))-AL27),"-",LEN(VLOOKUP(A27,Seqs!A:E,2,FALSE))-AL27)</f>
        <v>70</v>
      </c>
      <c r="BB27" s="16">
        <f t="shared" si="12"/>
        <v>28</v>
      </c>
      <c r="BC27" s="9">
        <f t="shared" si="13"/>
        <v>19</v>
      </c>
      <c r="BD27" s="3">
        <f t="shared" si="14"/>
        <v>28</v>
      </c>
      <c r="BE27" s="3">
        <f t="shared" si="15"/>
        <v>85</v>
      </c>
    </row>
    <row r="28" spans="1:60" s="3" customFormat="1" x14ac:dyDescent="0.2">
      <c r="A28" s="3" t="s">
        <v>177</v>
      </c>
      <c r="B28" s="3" t="str">
        <f>LOWER(VLOOKUP(A28,Xtal_Templ!A:B,2,FALSE))</f>
        <v>ccr9_human</v>
      </c>
      <c r="C28" s="3">
        <f>VLOOKUP($A28,'SegEnds_NonXtal_BW#'!$A:$Z,3,FALSE)+D28-50</f>
        <v>43</v>
      </c>
      <c r="D28" s="3">
        <v>66</v>
      </c>
      <c r="E28" s="3">
        <f>IF(ISERROR(VLOOKUP($A28,'SegEnds_NonXtal_BW#'!$A:$Z,4,FALSE)+VLOOKUP($A28,A:AL,4,FALSE)-50),"-",(VLOOKUP($A28,'SegEnds_NonXtal_BW#'!$A:$Z,4,FALSE)+VLOOKUP($A28,A:AL,4,FALSE)-50))</f>
        <v>76</v>
      </c>
      <c r="F28" s="3">
        <f t="shared" si="21"/>
        <v>77</v>
      </c>
      <c r="G28" s="3">
        <v>79</v>
      </c>
      <c r="H28" s="3">
        <f t="shared" si="22"/>
        <v>80</v>
      </c>
      <c r="I28" s="3">
        <f t="shared" si="22"/>
        <v>81</v>
      </c>
      <c r="J28" s="3">
        <v>94</v>
      </c>
      <c r="K28" s="3">
        <f>VLOOKUP($A28,'SegEnds_NonXtal_BW#'!$A:$Z,8,FALSE)+VLOOKUP($A28,A:AL,10,FALSE)-50</f>
        <v>110</v>
      </c>
      <c r="L28" s="3">
        <f t="shared" si="24"/>
        <v>111</v>
      </c>
      <c r="M28" s="3">
        <v>112</v>
      </c>
      <c r="N28" s="3">
        <f t="shared" si="25"/>
        <v>114</v>
      </c>
      <c r="O28" s="3">
        <f t="shared" si="23"/>
        <v>115</v>
      </c>
      <c r="P28" s="3">
        <v>144</v>
      </c>
      <c r="Q28" s="3">
        <f>VLOOKUP($A28,'SegEnds_NonXtal_BW#'!$A:$Z,12,FALSE)+VLOOKUP($A28,A:AL,16,FALSE)-50</f>
        <v>150</v>
      </c>
      <c r="R28" s="3">
        <f>IF(ISERROR(VLOOKUP($A28,'SegEnds_NonXtal_BW#'!$A:$Z,13,FALSE)+VLOOKUP($A28,A:AL,19,FALSE)-50),"-",VLOOKUP($A28,'SegEnds_NonXtal_BW#'!$A:$Z,13,FALSE)+VLOOKUP($A28,A:AL,19,FALSE)-50)</f>
        <v>151</v>
      </c>
      <c r="S28" s="3">
        <v>151</v>
      </c>
      <c r="T28" s="103">
        <f>IF(ISERROR(VLOOKUP($A28,'SegEnds_NonXtal_BW#'!$A:$Z,14,FALSE)+VLOOKUP($A28,A:AL,19,FALSE)-50),"-",(VLOOKUP($A28,'SegEnds_NonXtal_BW#'!$A:$Z,14,FALSE)+VLOOKUP($A28,A:AL,19,FALSE)-50))</f>
        <v>157</v>
      </c>
      <c r="U28" s="9">
        <f>IF(ISERROR(VLOOKUP($A28,'SegEnds_NonXtal_BW#'!$A:$Z,15,FALSE)+VLOOKUP($A28,A:AL,22,FALSE)-50),"-",VLOOKUP($A28,'SegEnds_NonXtal_BW#'!$A:$Z,15,FALSE)+VLOOKUP($A28,A:AL,22,FALSE)-50)</f>
        <v>158</v>
      </c>
      <c r="V28" s="3">
        <v>173</v>
      </c>
      <c r="W28" s="3">
        <f>IF(ISERROR(VLOOKUP($A28,'SegEnds_NonXtal_BW#'!$A:$Z,16,FALSE)+VLOOKUP($A28,A:AL,22,FALSE)-50),"-",(VLOOKUP($A28,'SegEnds_NonXtal_BW#'!$A:$Z,16,FALSE)+VLOOKUP($A28,A:AL,22,FALSE)-50))</f>
        <v>187</v>
      </c>
      <c r="X28" s="3">
        <f>IF(ISERROR(VLOOKUP($A28,'SegEnds_NonXtal_BW#'!$A:$Z,17,FALSE)+VLOOKUP($A28,A:AL,25,FALSE)-50),"-",(VLOOKUP($A28,'SegEnds_NonXtal_BW#'!$A:$Z,17,FALSE)+VLOOKUP($A28,A:AL,25,FALSE)-50))</f>
        <v>198</v>
      </c>
      <c r="Y28" s="3">
        <v>198</v>
      </c>
      <c r="Z28" s="3">
        <f>Y28+2</f>
        <v>200</v>
      </c>
      <c r="AA28" s="3">
        <f>IF(ISERROR(VLOOKUP($A28,'SegEnds_NonXtal_BW#'!$A:$Z,19,FALSE)+VLOOKUP($A28,A:AL,28,FALSE)-50),"-",(VLOOKUP($A28,'SegEnds_NonXtal_BW#'!$A:$Z,19,FALSE)+VLOOKUP($A28,A:AL,28,FALSE)-50))</f>
        <v>209</v>
      </c>
      <c r="AB28" s="3">
        <v>226</v>
      </c>
      <c r="AC28" s="3">
        <f>IF(ISERROR((VLOOKUP($A28,'SegEnds_NonXtal_BW#'!$A:$Z,20,FALSE)+VLOOKUP($A28,A:AL,28,FALSE)-50)),"-",(VLOOKUP($A28,'SegEnds_NonXtal_BW#'!$A:$Z,20,FALSE)+VLOOKUP($A28,A:AL,28,FALSE)-50))</f>
        <v>244</v>
      </c>
      <c r="AD28" s="3">
        <f>IF(ISERROR(VLOOKUP($A28,'SegEnds_NonXtal_BW#'!$A:$Z,21,FALSE)+VLOOKUP($A28,A:AL,31,FALSE)-50),"-",(VLOOKUP($A28,'SegEnds_NonXtal_BW#'!$A:$Z,21,FALSE)+VLOOKUP($A28,A:AL,31,FALSE)-50))</f>
        <v>249</v>
      </c>
      <c r="AE28" s="3">
        <v>269</v>
      </c>
      <c r="AF28" s="3">
        <f>IF(ISERROR((VLOOKUP($A28,'SegEnds_NonXtal_BW#'!$A:$Z,22,FALSE)+VLOOKUP($A28,A:AL,31,FALSE)-50)),"-",(VLOOKUP($A28,'SegEnds_NonXtal_BW#'!$A:$Z,22,FALSE)+VLOOKUP($A28,A:AL,31,FALSE)-50))</f>
        <v>284</v>
      </c>
      <c r="AG28" s="3">
        <f>IF(ISERROR(VLOOKUP($A28,'SegEnds_NonXtal_BW#'!$A:$Z,23,FALSE)+VLOOKUP($A28,A:AL,34,FALSE)-50),"-",(VLOOKUP($A28,'SegEnds_NonXtal_BW#'!$A:$Z,23,FALSE)+VLOOKUP($A28,A:AL,34,FALSE)-50))</f>
        <v>288</v>
      </c>
      <c r="AH28" s="3">
        <v>314</v>
      </c>
      <c r="AI28" s="3">
        <f>IF(ISERROR((VLOOKUP($A28,'SegEnds_NonXtal_BW#'!$A:$Z,24,FALSE)+VLOOKUP($A28,A:AL,34,FALSE)-50)),"-",(VLOOKUP($A28,'SegEnds_NonXtal_BW#'!$A:$Z,24,FALSE)+VLOOKUP($A28,A:AL,34,FALSE)-50))</f>
        <v>320</v>
      </c>
      <c r="AJ28" s="3">
        <f>IF(ISERROR(VLOOKUP($A28,'SegEnds_NonXtal_BW#'!$A:$Z,25,FALSE)+VLOOKUP($A28,A:AL,37,FALSE)-50),"-",(VLOOKUP($A28,'SegEnds_NonXtal_BW#'!$A:$Z,25,FALSE)+VLOOKUP($A28,A:AL,37,FALSE)-50))</f>
        <v>321</v>
      </c>
      <c r="AK28" s="3">
        <v>324</v>
      </c>
      <c r="AL28" s="3">
        <f>IF(ISERROR((VLOOKUP($A28,'SegEnds_NonXtal_BW#'!$A:$Z,26,FALSE)+VLOOKUP($A28,A:AL,37,FALSE)-50)),"-",(VLOOKUP($A28,'SegEnds_NonXtal_BW#'!$A:$Z,26,FALSE)+VLOOKUP($A28,A:AL,37,FALSE)-50))</f>
        <v>341</v>
      </c>
      <c r="AM28" s="28" t="str">
        <f>VLOOKUP(A28,Classification!A:B,2,FALSE)</f>
        <v>A</v>
      </c>
      <c r="AN28" s="28" t="b">
        <f t="shared" ref="AN28:AN41" si="26">AND(IF(Y28="-",IF(AA28-W28&gt;3,TRUE,FALSE),TRUE),IF(M28="-",IF(O28-K28&gt;3,TRUE,FALSE),TRUE),C28&lt;E28,OR(E28&lt;F28,F28="-"),OR(F28&lt;H28,F28="-"),OR(H28&lt;I28,H28="-"),I28&lt;K28,OR(K28&lt;L28,L28="-"),OR(L28&lt;N28,L28="-"),OR(N28&lt;O28,N28="-"),O28&lt;Q28,OR(Q28&lt;R28,R28="-"),OR(R28&lt;T28,R28="-"),OR(T28&lt;U28,T28="-"),U28&lt;W28,OR(W28&lt;X28,X28="-"),OR(X28&lt;Z28,X28="-"),OR(Z28&lt;AA28,Z28="-"),AA28&lt;AC28,AC28&lt;AD28,AD28&lt;AF28,AF28&lt;AG28,AG28&lt;AI28,OR(AI28&lt;AJ28,AJ28="-"),OR(AJ28&lt;AL28,AJ28="-"))</f>
        <v>1</v>
      </c>
      <c r="AO28" s="3" t="str">
        <f>IF(ISERROR(MATCH(A28,'SegEnds_Xtal_Prot#'!B:B, 0)), "NoXtal", "Xtal")</f>
        <v>Xtal</v>
      </c>
      <c r="AP28" s="3">
        <f t="shared" si="1"/>
        <v>1</v>
      </c>
      <c r="AQ28" s="3">
        <f t="shared" si="2"/>
        <v>1</v>
      </c>
      <c r="AR28" s="3">
        <f t="shared" si="3"/>
        <v>1</v>
      </c>
      <c r="AS28" s="3">
        <f t="shared" si="4"/>
        <v>1</v>
      </c>
      <c r="AT28" s="3">
        <f t="shared" si="5"/>
        <v>1</v>
      </c>
      <c r="AU28" s="3">
        <f t="shared" si="6"/>
        <v>1</v>
      </c>
      <c r="AV28" s="3">
        <f t="shared" si="7"/>
        <v>11</v>
      </c>
      <c r="AW28" s="3">
        <f t="shared" si="8"/>
        <v>9</v>
      </c>
      <c r="AX28" s="3">
        <f t="shared" si="9"/>
        <v>5</v>
      </c>
      <c r="AY28" s="3">
        <f t="shared" si="10"/>
        <v>4</v>
      </c>
      <c r="AZ28" s="3">
        <f t="shared" si="11"/>
        <v>1</v>
      </c>
      <c r="BA28" s="3">
        <f>IF(ISERROR(LEN(VLOOKUP(A28,Seqs!A:E,2,FALSE))-AL28),"-",LEN(VLOOKUP(A28,Seqs!A:E,2,FALSE))-AL28)</f>
        <v>28</v>
      </c>
      <c r="BB28" s="16">
        <f t="shared" si="12"/>
        <v>28</v>
      </c>
      <c r="BC28" s="9">
        <f t="shared" si="13"/>
        <v>22</v>
      </c>
      <c r="BD28" s="3">
        <f t="shared" si="14"/>
        <v>28</v>
      </c>
      <c r="BE28" s="3">
        <f t="shared" si="15"/>
        <v>43</v>
      </c>
    </row>
    <row r="29" spans="1:60" s="3" customFormat="1" x14ac:dyDescent="0.2">
      <c r="A29" s="3" t="s">
        <v>329</v>
      </c>
      <c r="B29" s="3" t="str">
        <f>LOWER(VLOOKUP(A29,Xtal_Templ!A:B,2,FALSE))</f>
        <v>ox2r_human</v>
      </c>
      <c r="C29" s="3">
        <f>VLOOKUP($A29,'SegEnds_NonXtal_BW#'!$A:$Z,3,FALSE)+D29-50</f>
        <v>34</v>
      </c>
      <c r="D29" s="3">
        <v>53</v>
      </c>
      <c r="E29" s="3">
        <f>IF(ISERROR(VLOOKUP($A29,'SegEnds_NonXtal_BW#'!$A:$Z,4,FALSE)+VLOOKUP($A29,A:AL,4,FALSE)-50),"-",(VLOOKUP($A29,'SegEnds_NonXtal_BW#'!$A:$Z,4,FALSE)+VLOOKUP($A29,A:AL,4,FALSE)-50))</f>
        <v>63</v>
      </c>
      <c r="F29" s="3">
        <f t="shared" si="21"/>
        <v>65</v>
      </c>
      <c r="G29" s="3">
        <v>67</v>
      </c>
      <c r="H29" s="3">
        <f t="shared" si="22"/>
        <v>68</v>
      </c>
      <c r="I29" s="3">
        <f t="shared" si="22"/>
        <v>69</v>
      </c>
      <c r="J29" s="3">
        <v>82</v>
      </c>
      <c r="K29" s="3">
        <f>VLOOKUP($A29,'SegEnds_NonXtal_BW#'!$A:$Z,8,FALSE)+VLOOKUP($A29,A:AL,10,FALSE)-50</f>
        <v>99</v>
      </c>
      <c r="L29" s="3">
        <f t="shared" si="24"/>
        <v>101</v>
      </c>
      <c r="M29" s="3">
        <v>102</v>
      </c>
      <c r="N29" s="3">
        <f t="shared" si="25"/>
        <v>104</v>
      </c>
      <c r="O29" s="3">
        <f t="shared" si="23"/>
        <v>105</v>
      </c>
      <c r="P29" s="3">
        <v>134</v>
      </c>
      <c r="Q29" s="3">
        <f>VLOOKUP($A29,'SegEnds_NonXtal_BW#'!$A:$Z,12,FALSE)+VLOOKUP($A29,A:AL,16,FALSE)-50</f>
        <v>140</v>
      </c>
      <c r="R29" s="3" t="str">
        <f>IF(ISERROR(VLOOKUP($A29,'SegEnds_NonXtal_BW#'!$A:$Z,13,FALSE)+VLOOKUP($A29,A:AL,19,FALSE)-50),"-",VLOOKUP($A29,'SegEnds_NonXtal_BW#'!$A:$Z,13,FALSE)+VLOOKUP($A29,A:AL,19,FALSE)-50)</f>
        <v>-</v>
      </c>
      <c r="S29" s="3" t="s">
        <v>23</v>
      </c>
      <c r="T29" s="103" t="str">
        <f>IF(ISERROR(VLOOKUP($A29,'SegEnds_NonXtal_BW#'!$A:$Z,14,FALSE)+VLOOKUP($A29,A:AL,19,FALSE)-50),"-",(VLOOKUP($A29,'SegEnds_NonXtal_BW#'!$A:$Z,14,FALSE)+VLOOKUP($A29,A:AL,19,FALSE)-50))</f>
        <v>-</v>
      </c>
      <c r="U29" s="9">
        <f>IF(ISERROR(VLOOKUP($A29,'SegEnds_NonXtal_BW#'!$A:$Z,15,FALSE)+VLOOKUP($A29,A:AL,22,FALSE)-50),"-",VLOOKUP($A29,'SegEnds_NonXtal_BW#'!$A:$Z,15,FALSE)+VLOOKUP($A29,A:AL,22,FALSE)-50)</f>
        <v>147</v>
      </c>
      <c r="V29" s="3">
        <v>159</v>
      </c>
      <c r="W29" s="3">
        <f>IF(ISERROR(VLOOKUP($A29,'SegEnds_NonXtal_BW#'!$A:$Z,16,FALSE)+VLOOKUP($A29,A:AL,22,FALSE)-50),"-",(VLOOKUP($A29,'SegEnds_NonXtal_BW#'!$A:$Z,16,FALSE)+VLOOKUP($A29,A:AL,22,FALSE)-50))</f>
        <v>173</v>
      </c>
      <c r="X29" s="3" t="str">
        <f>IF(ISERROR(VLOOKUP($A29,'SegEnds_NonXtal_BW#'!$A:$Z,17,FALSE)+VLOOKUP($A29,A:AL,25,FALSE)-50),"-",(VLOOKUP($A29,'SegEnds_NonXtal_BW#'!$A:$Z,17,FALSE)+VLOOKUP($A29,A:AL,25,FALSE)-50))</f>
        <v>-</v>
      </c>
      <c r="Y29" s="3" t="s">
        <v>23</v>
      </c>
      <c r="Z29" s="3" t="str">
        <f>IF(ISERROR(VLOOKUP($A29,'SegEnds_NonXtal_BW#'!$A:$Z,18,FALSE)+VLOOKUP($A29,A:AL,25,FALSE)-50),"-",(VLOOKUP($A29,'SegEnds_NonXtal_BW#'!$A:$Z,18,FALSE)+VLOOKUP($A29,A:AL,25,FALSE)-50))</f>
        <v>-</v>
      </c>
      <c r="AA29" s="3">
        <f>IF(ISERROR(VLOOKUP($A29,'SegEnds_NonXtal_BW#'!$A:$Z,19,FALSE)+VLOOKUP($A29,A:AL,28,FALSE)-50),"-",(VLOOKUP($A29,'SegEnds_NonXtal_BW#'!$A:$Z,19,FALSE)+VLOOKUP($A29,A:AL,28,FALSE)-50))</f>
        <v>203</v>
      </c>
      <c r="AB29" s="3">
        <v>221</v>
      </c>
      <c r="AC29" s="3">
        <f>IF(ISERROR((VLOOKUP($A29,'SegEnds_NonXtal_BW#'!$A:$Z,20,FALSE)+VLOOKUP($A29,A:AL,28,FALSE)-50)),"-",(VLOOKUP($A29,'SegEnds_NonXtal_BW#'!$A:$Z,20,FALSE)+VLOOKUP($A29,A:AL,28,FALSE)-50))</f>
        <v>244</v>
      </c>
      <c r="AD29" s="3">
        <f>IF(ISERROR(VLOOKUP($A29,'SegEnds_NonXtal_BW#'!$A:$Z,21,FALSE)+VLOOKUP($A29,A:AL,31,FALSE)-50),"-",(VLOOKUP($A29,'SegEnds_NonXtal_BW#'!$A:$Z,21,FALSE)+VLOOKUP($A29,A:AL,31,FALSE)-50))</f>
        <v>248</v>
      </c>
      <c r="AE29" s="3">
        <v>276</v>
      </c>
      <c r="AF29" s="3">
        <f>IF(ISERROR((VLOOKUP($A29,'SegEnds_NonXtal_BW#'!$A:$Z,22,FALSE)+VLOOKUP($A29,A:AL,31,FALSE)-50)),"-",(VLOOKUP($A29,'SegEnds_NonXtal_BW#'!$A:$Z,22,FALSE)+VLOOKUP($A29,A:AL,31,FALSE)-50))</f>
        <v>287</v>
      </c>
      <c r="AG29" s="3" t="str">
        <f>IF(ISERROR(VLOOKUP($A29,'SegEnds_NonXtal_BW#'!$A:$Z,23,FALSE)+VLOOKUP($A29,A:AL,34,FALSE)-50),"-",(VLOOKUP($A29,'SegEnds_NonXtal_BW#'!$A:$Z,23,FALSE)+VLOOKUP($A29,A:AL,34,FALSE)-50))</f>
        <v>-</v>
      </c>
      <c r="AH29" s="3" t="s">
        <v>23</v>
      </c>
      <c r="AI29" s="3" t="str">
        <f>IF(ISERROR((VLOOKUP($A29,'SegEnds_NonXtal_BW#'!$A:$Z,24,FALSE)+VLOOKUP($A29,A:AL,34,FALSE)-50)),"-",(VLOOKUP($A29,'SegEnds_NonXtal_BW#'!$A:$Z,24,FALSE)+VLOOKUP($A29,A:AL,34,FALSE)-50))</f>
        <v>-</v>
      </c>
      <c r="AJ29" s="3" t="str">
        <f>IF(ISERROR(VLOOKUP($A29,'SegEnds_NonXtal_BW#'!$A:$Z,25,FALSE)+VLOOKUP($A29,A:AL,37,FALSE)-50),"-",(VLOOKUP($A29,'SegEnds_NonXtal_BW#'!$A:$Z,25,FALSE)+VLOOKUP($A29,A:AL,37,FALSE)-50))</f>
        <v>-</v>
      </c>
      <c r="AK29" s="3" t="s">
        <v>23</v>
      </c>
      <c r="AL29" s="3" t="str">
        <f>IF(ISERROR((VLOOKUP($A29,'SegEnds_NonXtal_BW#'!$A:$Z,26,FALSE)+VLOOKUP($A29,A:AL,37,FALSE)-50)),"-",(VLOOKUP($A29,'SegEnds_NonXtal_BW#'!$A:$Z,26,FALSE)+VLOOKUP($A29,A:AL,37,FALSE)-50))</f>
        <v>-</v>
      </c>
      <c r="AM29" s="28" t="str">
        <f>VLOOKUP(A29,Classification!A:B,2,FALSE)</f>
        <v>A</v>
      </c>
      <c r="AN29" s="28" t="b">
        <f t="shared" si="26"/>
        <v>0</v>
      </c>
      <c r="AO29" s="3" t="str">
        <f>IF(ISERROR(MATCH(A29,'SegEnds_Xtal_Prot#'!B:B, 0)), "NoXtal", "Xtal")</f>
        <v>NoXtal</v>
      </c>
      <c r="AP29" s="3">
        <f t="shared" si="1"/>
        <v>2</v>
      </c>
      <c r="AQ29" s="3">
        <f t="shared" si="2"/>
        <v>1</v>
      </c>
      <c r="AR29" s="3">
        <f t="shared" si="3"/>
        <v>2</v>
      </c>
      <c r="AS29" s="3">
        <f t="shared" si="4"/>
        <v>1</v>
      </c>
      <c r="AT29" s="3" t="str">
        <f t="shared" si="5"/>
        <v>-</v>
      </c>
      <c r="AU29" s="3" t="str">
        <f t="shared" si="6"/>
        <v>-</v>
      </c>
      <c r="AV29" s="3" t="str">
        <f t="shared" si="7"/>
        <v>-</v>
      </c>
      <c r="AW29" s="3" t="str">
        <f t="shared" si="8"/>
        <v>-</v>
      </c>
      <c r="AX29" s="3">
        <f t="shared" si="9"/>
        <v>4</v>
      </c>
      <c r="AY29" s="3" t="str">
        <f t="shared" si="10"/>
        <v>-</v>
      </c>
      <c r="AZ29" s="3" t="str">
        <f t="shared" si="11"/>
        <v>-</v>
      </c>
      <c r="BA29" s="3" t="str">
        <f>IF(ISERROR(LEN(VLOOKUP(A29,Seqs!A:E,2,FALSE))-AL29),"-",LEN(VLOOKUP(A29,Seqs!A:E,2,FALSE))-AL29)</f>
        <v>-</v>
      </c>
      <c r="BB29" s="16">
        <f t="shared" si="12"/>
        <v>29</v>
      </c>
      <c r="BC29" s="9" t="str">
        <f t="shared" si="13"/>
        <v>-</v>
      </c>
      <c r="BD29" s="3">
        <f t="shared" si="14"/>
        <v>29</v>
      </c>
      <c r="BE29" s="3">
        <f t="shared" si="15"/>
        <v>55</v>
      </c>
      <c r="BG29" s="3" t="s">
        <v>1312</v>
      </c>
    </row>
    <row r="30" spans="1:60" s="3" customFormat="1" x14ac:dyDescent="0.2">
      <c r="A30" s="3" t="s">
        <v>210</v>
      </c>
      <c r="B30" s="3" t="str">
        <f>LOWER(VLOOKUP(A30,Xtal_Templ!A:B,2,FALSE))</f>
        <v>apj_human</v>
      </c>
      <c r="C30" s="3">
        <f>VLOOKUP($A30,'SegEnds_NonXtal_BW#'!$A:$Z,3,FALSE)+D30-50</f>
        <v>36</v>
      </c>
      <c r="D30" s="3">
        <v>53</v>
      </c>
      <c r="E30" s="3">
        <f>IF(ISERROR(VLOOKUP($A30,'SegEnds_NonXtal_BW#'!$A:$Z,4,FALSE)+VLOOKUP($A30,A:AL,4,FALSE)-50),"-",(VLOOKUP($A30,'SegEnds_NonXtal_BW#'!$A:$Z,4,FALSE)+VLOOKUP($A30,A:AL,4,FALSE)-50))</f>
        <v>63</v>
      </c>
      <c r="F30" s="3">
        <f t="shared" si="21"/>
        <v>71</v>
      </c>
      <c r="G30" s="3">
        <v>73</v>
      </c>
      <c r="H30" s="3">
        <f t="shared" si="22"/>
        <v>74</v>
      </c>
      <c r="I30" s="3">
        <f t="shared" si="22"/>
        <v>75</v>
      </c>
      <c r="J30" s="108">
        <v>87</v>
      </c>
      <c r="K30" s="3">
        <f>VLOOKUP($A30,'SegEnds_NonXtal_BW#'!$A:$Z,8,FALSE)+VLOOKUP($A30,A:AL,10,FALSE)-50</f>
        <v>103</v>
      </c>
      <c r="L30" s="3">
        <f t="shared" si="24"/>
        <v>106</v>
      </c>
      <c r="M30" s="3">
        <v>107</v>
      </c>
      <c r="N30" s="3">
        <f t="shared" si="25"/>
        <v>109</v>
      </c>
      <c r="O30" s="3">
        <f t="shared" si="23"/>
        <v>110</v>
      </c>
      <c r="P30" s="3">
        <v>139</v>
      </c>
      <c r="Q30" s="3">
        <f>VLOOKUP($A30,'SegEnds_NonXtal_BW#'!$A:$Z,12,FALSE)+VLOOKUP($A30,A:AL,16,FALSE)-50</f>
        <v>145</v>
      </c>
      <c r="R30" s="3">
        <f>IF(ISERROR(VLOOKUP($A30,'SegEnds_NonXtal_BW#'!$A:$Z,13,FALSE)+VLOOKUP($A30,A:AL,19,FALSE)-50),"-",VLOOKUP($A30,'SegEnds_NonXtal_BW#'!$A:$Z,13,FALSE)+VLOOKUP($A30,A:AL,19,FALSE)-50)</f>
        <v>146</v>
      </c>
      <c r="S30" s="3">
        <v>146</v>
      </c>
      <c r="T30" s="103">
        <f>IF(ISERROR(VLOOKUP($A30,'SegEnds_NonXtal_BW#'!$A:$Z,14,FALSE)+VLOOKUP($A30,A:AL,19,FALSE)-50),"-",(VLOOKUP($A30,'SegEnds_NonXtal_BW#'!$A:$Z,14,FALSE)+VLOOKUP($A30,A:AL,19,FALSE)-50))</f>
        <v>149</v>
      </c>
      <c r="U30" s="9">
        <f>IF(ISERROR(VLOOKUP($A30,'SegEnds_NonXtal_BW#'!$A:$Z,15,FALSE)+VLOOKUP($A30,A:AL,22,FALSE)-50),"-",VLOOKUP($A30,'SegEnds_NonXtal_BW#'!$A:$Z,15,FALSE)+VLOOKUP($A30,A:AL,22,FALSE)-50)</f>
        <v>152</v>
      </c>
      <c r="V30" s="3">
        <v>164</v>
      </c>
      <c r="W30" s="3">
        <f>IF(ISERROR(VLOOKUP($A30,'SegEnds_NonXtal_BW#'!$A:$Z,16,FALSE)+VLOOKUP($A30,A:AL,22,FALSE)-50),"-",(VLOOKUP($A30,'SegEnds_NonXtal_BW#'!$A:$Z,16,FALSE)+VLOOKUP($A30,A:AL,22,FALSE)-50))</f>
        <v>178</v>
      </c>
      <c r="X30" s="3">
        <f>IF(ISERROR(VLOOKUP($A30,'SegEnds_NonXtal_BW#'!$A:$Z,17,FALSE)+VLOOKUP($A30,A:AL,25,FALSE)-50),"-",(VLOOKUP($A30,'SegEnds_NonXtal_BW#'!$A:$Z,17,FALSE)+VLOOKUP($A30,A:AL,25,FALSE)-50))</f>
        <v>200</v>
      </c>
      <c r="Y30" s="3">
        <v>200</v>
      </c>
      <c r="Z30" s="3">
        <f t="shared" ref="Z30:Z36" si="27">Y30+2</f>
        <v>202</v>
      </c>
      <c r="AA30" s="3">
        <f>IF(ISERROR(VLOOKUP($A30,'SegEnds_NonXtal_BW#'!$A:$Z,19,FALSE)+VLOOKUP($A30,A:AL,28,FALSE)-50),"-",(VLOOKUP($A30,'SegEnds_NonXtal_BW#'!$A:$Z,19,FALSE)+VLOOKUP($A30,A:AL,28,FALSE)-50))</f>
        <v>203</v>
      </c>
      <c r="AB30" s="3">
        <v>223</v>
      </c>
      <c r="AC30" s="3">
        <f>IF(ISERROR((VLOOKUP($A30,'SegEnds_NonXtal_BW#'!$A:$Z,20,FALSE)+VLOOKUP($A30,A:AL,28,FALSE)-50)),"-",(VLOOKUP($A30,'SegEnds_NonXtal_BW#'!$A:$Z,20,FALSE)+VLOOKUP($A30,A:AL,28,FALSE)-50))</f>
        <v>247</v>
      </c>
      <c r="AD30" s="3">
        <f>IF(ISERROR(VLOOKUP($A30,'SegEnds_NonXtal_BW#'!$A:$Z,21,FALSE)+VLOOKUP($A30,A:AL,31,FALSE)-50),"-",(VLOOKUP($A30,'SegEnds_NonXtal_BW#'!$A:$Z,21,FALSE)+VLOOKUP($A30,A:AL,31,FALSE)-50))</f>
        <v>253</v>
      </c>
      <c r="AE30" s="3">
        <v>282</v>
      </c>
      <c r="AF30" s="3">
        <f>IF(ISERROR((VLOOKUP($A30,'SegEnds_NonXtal_BW#'!$A:$Z,22,FALSE)+VLOOKUP($A30,A:AL,31,FALSE)-50)),"-",(VLOOKUP($A30,'SegEnds_NonXtal_BW#'!$A:$Z,22,FALSE)+VLOOKUP($A30,A:AL,31,FALSE)-50))</f>
        <v>293</v>
      </c>
      <c r="AG30" s="3">
        <f>IF(ISERROR(VLOOKUP($A30,'SegEnds_NonXtal_BW#'!$A:$Z,23,FALSE)+VLOOKUP($A30,A:AL,34,FALSE)-50),"-",(VLOOKUP($A30,'SegEnds_NonXtal_BW#'!$A:$Z,23,FALSE)+VLOOKUP($A30,A:AL,34,FALSE)-50))</f>
        <v>298</v>
      </c>
      <c r="AH30" s="3">
        <v>320</v>
      </c>
      <c r="AI30" s="3">
        <f>IF(ISERROR((VLOOKUP($A30,'SegEnds_NonXtal_BW#'!$A:$Z,24,FALSE)+VLOOKUP($A30,A:AL,34,FALSE)-50)),"-",(VLOOKUP($A30,'SegEnds_NonXtal_BW#'!$A:$Z,24,FALSE)+VLOOKUP($A30,A:AL,34,FALSE)-50))</f>
        <v>326</v>
      </c>
      <c r="AJ30" s="3" t="str">
        <f>IF(ISERROR(VLOOKUP($A30,'SegEnds_NonXtal_BW#'!$A:$Z,25,FALSE)+VLOOKUP($A30,A:AL,37,FALSE)-50),"-",(VLOOKUP($A30,'SegEnds_NonXtal_BW#'!$A:$Z,25,FALSE)+VLOOKUP($A30,A:AL,37,FALSE)-50))</f>
        <v>-</v>
      </c>
      <c r="AK30" s="3" t="s">
        <v>23</v>
      </c>
      <c r="AL30" s="3" t="str">
        <f>IF(ISERROR((VLOOKUP($A30,'SegEnds_NonXtal_BW#'!$A:$Z,26,FALSE)+VLOOKUP($A30,A:AL,37,FALSE)-50)),"-",(VLOOKUP($A30,'SegEnds_NonXtal_BW#'!$A:$Z,26,FALSE)+VLOOKUP($A30,A:AL,37,FALSE)-50))</f>
        <v>-</v>
      </c>
      <c r="AM30" s="28" t="str">
        <f>VLOOKUP(A30,Classification!A:B,2,FALSE)</f>
        <v>A</v>
      </c>
      <c r="AN30" s="28" t="b">
        <f t="shared" si="26"/>
        <v>1</v>
      </c>
      <c r="AO30" s="3" t="str">
        <f>IF(ISERROR(MATCH(A30,'SegEnds_Xtal_Prot#'!B:B, 0)), "NoXtal", "Xtal")</f>
        <v>NoXtal</v>
      </c>
      <c r="AP30" s="3">
        <f t="shared" si="1"/>
        <v>8</v>
      </c>
      <c r="AQ30" s="3">
        <f t="shared" si="2"/>
        <v>1</v>
      </c>
      <c r="AR30" s="3">
        <f t="shared" si="3"/>
        <v>3</v>
      </c>
      <c r="AS30" s="3">
        <f t="shared" si="4"/>
        <v>1</v>
      </c>
      <c r="AT30" s="3">
        <f t="shared" si="5"/>
        <v>1</v>
      </c>
      <c r="AU30" s="3">
        <f t="shared" si="6"/>
        <v>3</v>
      </c>
      <c r="AV30" s="3">
        <f t="shared" si="7"/>
        <v>22</v>
      </c>
      <c r="AW30" s="3">
        <f t="shared" si="8"/>
        <v>1</v>
      </c>
      <c r="AX30" s="3">
        <f t="shared" si="9"/>
        <v>6</v>
      </c>
      <c r="AY30" s="3">
        <f t="shared" si="10"/>
        <v>5</v>
      </c>
      <c r="AZ30" s="3" t="str">
        <f t="shared" si="11"/>
        <v>-</v>
      </c>
      <c r="BA30" s="3" t="str">
        <f>IF(ISERROR(LEN(VLOOKUP(A30,Seqs!A:E,2,FALSE))-AL30),"-",LEN(VLOOKUP(A30,Seqs!A:E,2,FALSE))-AL30)</f>
        <v>-</v>
      </c>
      <c r="BB30" s="16">
        <f t="shared" si="12"/>
        <v>34</v>
      </c>
      <c r="BC30" s="9">
        <f t="shared" si="13"/>
        <v>18</v>
      </c>
      <c r="BD30" s="3">
        <f t="shared" si="14"/>
        <v>34</v>
      </c>
      <c r="BE30" s="3">
        <f t="shared" si="15"/>
        <v>59</v>
      </c>
    </row>
    <row r="31" spans="1:60" s="3" customFormat="1" x14ac:dyDescent="0.2">
      <c r="A31" s="3" t="s">
        <v>242</v>
      </c>
      <c r="B31" s="3" t="str">
        <f>LOWER(VLOOKUP(A31,Xtal_Templ!A:B,2,FALSE))</f>
        <v>ox2r_human</v>
      </c>
      <c r="C31" s="3">
        <f>VLOOKUP($A31,'SegEnds_NonXtal_BW#'!$A:$Z,3,FALSE)+D31-50</f>
        <v>64</v>
      </c>
      <c r="D31" s="3">
        <v>83</v>
      </c>
      <c r="E31" s="3">
        <f>IF(ISERROR(VLOOKUP($A31,'SegEnds_NonXtal_BW#'!$A:$Z,4,FALSE)+VLOOKUP($A31,A:AL,4,FALSE)-50),"-",(VLOOKUP($A31,'SegEnds_NonXtal_BW#'!$A:$Z,4,FALSE)+VLOOKUP($A31,A:AL,4,FALSE)-50))</f>
        <v>93</v>
      </c>
      <c r="F31" s="3">
        <f t="shared" si="21"/>
        <v>94</v>
      </c>
      <c r="G31" s="3">
        <v>96</v>
      </c>
      <c r="H31" s="3">
        <f t="shared" si="22"/>
        <v>97</v>
      </c>
      <c r="I31" s="3">
        <f t="shared" si="22"/>
        <v>98</v>
      </c>
      <c r="J31" s="3">
        <v>111</v>
      </c>
      <c r="K31" s="3">
        <f>VLOOKUP($A31,'SegEnds_NonXtal_BW#'!$A:$Z,8,FALSE)+VLOOKUP($A31,A:AL,10,FALSE)-50</f>
        <v>128</v>
      </c>
      <c r="L31" s="3">
        <f t="shared" si="24"/>
        <v>130</v>
      </c>
      <c r="M31" s="3">
        <v>131</v>
      </c>
      <c r="N31" s="3">
        <f t="shared" si="25"/>
        <v>133</v>
      </c>
      <c r="O31" s="3">
        <f t="shared" si="23"/>
        <v>134</v>
      </c>
      <c r="P31" s="3">
        <v>163</v>
      </c>
      <c r="Q31" s="3">
        <f>VLOOKUP($A31,'SegEnds_NonXtal_BW#'!$A:$Z,12,FALSE)+VLOOKUP($A31,A:AL,16,FALSE)-50</f>
        <v>169</v>
      </c>
      <c r="R31" s="3">
        <f>IF(ISERROR(VLOOKUP($A31,'SegEnds_NonXtal_BW#'!$A:$Z,13,FALSE)+VLOOKUP($A31,A:AL,19,FALSE)-50),"-",VLOOKUP($A31,'SegEnds_NonXtal_BW#'!$A:$Z,13,FALSE)+VLOOKUP($A31,A:AL,19,FALSE)-50)</f>
        <v>170</v>
      </c>
      <c r="S31" s="3">
        <v>170</v>
      </c>
      <c r="T31" s="103">
        <f>IF(ISERROR(VLOOKUP($A31,'SegEnds_NonXtal_BW#'!$A:$Z,14,FALSE)+VLOOKUP($A31,A:AL,19,FALSE)-50),"-",(VLOOKUP($A31,'SegEnds_NonXtal_BW#'!$A:$Z,14,FALSE)+VLOOKUP($A31,A:AL,19,FALSE)-50))</f>
        <v>173</v>
      </c>
      <c r="U31" s="9">
        <f>IF(ISERROR(VLOOKUP($A31,'SegEnds_NonXtal_BW#'!$A:$Z,15,FALSE)+VLOOKUP($A31,A:AL,22,FALSE)-50),"-",VLOOKUP($A31,'SegEnds_NonXtal_BW#'!$A:$Z,15,FALSE)+VLOOKUP($A31,A:AL,22,FALSE)-50)</f>
        <v>176</v>
      </c>
      <c r="V31" s="3">
        <v>188</v>
      </c>
      <c r="W31" s="3">
        <f>IF(ISERROR(VLOOKUP($A31,'SegEnds_NonXtal_BW#'!$A:$Z,16,FALSE)+VLOOKUP($A31,A:AL,22,FALSE)-50),"-",(VLOOKUP($A31,'SegEnds_NonXtal_BW#'!$A:$Z,16,FALSE)+VLOOKUP($A31,A:AL,22,FALSE)-50))</f>
        <v>202</v>
      </c>
      <c r="X31" s="3">
        <f>IF(ISERROR(VLOOKUP($A31,'SegEnds_NonXtal_BW#'!$A:$Z,17,FALSE)+VLOOKUP($A31,A:AL,25,FALSE)-50),"-",(VLOOKUP($A31,'SegEnds_NonXtal_BW#'!$A:$Z,17,FALSE)+VLOOKUP($A31,A:AL,25,FALSE)-50))</f>
        <v>210</v>
      </c>
      <c r="Y31" s="3">
        <v>210</v>
      </c>
      <c r="Z31" s="3">
        <f t="shared" si="27"/>
        <v>212</v>
      </c>
      <c r="AA31" s="3">
        <f>IF(ISERROR(VLOOKUP($A31,'SegEnds_NonXtal_BW#'!$A:$Z,19,FALSE)+VLOOKUP($A31,A:AL,28,FALSE)-50),"-",(VLOOKUP($A31,'SegEnds_NonXtal_BW#'!$A:$Z,19,FALSE)+VLOOKUP($A31,A:AL,28,FALSE)-50))</f>
        <v>217</v>
      </c>
      <c r="AB31" s="3">
        <v>235</v>
      </c>
      <c r="AC31" s="3">
        <f>IF(ISERROR((VLOOKUP($A31,'SegEnds_NonXtal_BW#'!$A:$Z,20,FALSE)+VLOOKUP($A31,A:AL,28,FALSE)-50)),"-",(VLOOKUP($A31,'SegEnds_NonXtal_BW#'!$A:$Z,20,FALSE)+VLOOKUP($A31,A:AL,28,FALSE)-50))</f>
        <v>258</v>
      </c>
      <c r="AD31" s="3">
        <f>IF(ISERROR(VLOOKUP($A31,'SegEnds_NonXtal_BW#'!$A:$Z,21,FALSE)+VLOOKUP($A31,A:AL,31,FALSE)-50),"-",(VLOOKUP($A31,'SegEnds_NonXtal_BW#'!$A:$Z,21,FALSE)+VLOOKUP($A31,A:AL,31,FALSE)-50))</f>
        <v>263</v>
      </c>
      <c r="AE31" s="3">
        <v>291</v>
      </c>
      <c r="AF31" s="3">
        <f>IF(ISERROR((VLOOKUP($A31,'SegEnds_NonXtal_BW#'!$A:$Z,22,FALSE)+VLOOKUP($A31,A:AL,31,FALSE)-50)),"-",(VLOOKUP($A31,'SegEnds_NonXtal_BW#'!$A:$Z,22,FALSE)+VLOOKUP($A31,A:AL,31,FALSE)-50))</f>
        <v>302</v>
      </c>
      <c r="AG31" s="3">
        <f>IF(ISERROR(VLOOKUP($A31,'SegEnds_NonXtal_BW#'!$A:$Z,23,FALSE)+VLOOKUP($A31,A:AL,34,FALSE)-50),"-",(VLOOKUP($A31,'SegEnds_NonXtal_BW#'!$A:$Z,23,FALSE)+VLOOKUP($A31,A:AL,34,FALSE)-50))</f>
        <v>308</v>
      </c>
      <c r="AH31" s="3">
        <v>327</v>
      </c>
      <c r="AI31" s="3">
        <f>IF(ISERROR((VLOOKUP($A31,'SegEnds_NonXtal_BW#'!$A:$Z,24,FALSE)+VLOOKUP($A31,A:AL,34,FALSE)-50)),"-",(VLOOKUP($A31,'SegEnds_NonXtal_BW#'!$A:$Z,24,FALSE)+VLOOKUP($A31,A:AL,34,FALSE)-50))</f>
        <v>333</v>
      </c>
      <c r="AJ31" s="3">
        <f>IF(ISERROR(VLOOKUP($A31,'SegEnds_NonXtal_BW#'!$A:$Z,25,FALSE)+VLOOKUP($A31,A:AL,37,FALSE)-50),"-",(VLOOKUP($A31,'SegEnds_NonXtal_BW#'!$A:$Z,25,FALSE)+VLOOKUP($A31,A:AL,37,FALSE)-50))</f>
        <v>334</v>
      </c>
      <c r="AK31" s="3">
        <v>337</v>
      </c>
      <c r="AL31" s="3">
        <f>IF(ISERROR((VLOOKUP($A31,'SegEnds_NonXtal_BW#'!$A:$Z,26,FALSE)+VLOOKUP($A31,A:AL,37,FALSE)-50)),"-",(VLOOKUP($A31,'SegEnds_NonXtal_BW#'!$A:$Z,26,FALSE)+VLOOKUP($A31,A:AL,37,FALSE)-50))</f>
        <v>345</v>
      </c>
      <c r="AM31" s="28" t="str">
        <f>VLOOKUP(A31,Classification!A:B,2,FALSE)</f>
        <v>A</v>
      </c>
      <c r="AN31" s="28" t="b">
        <f t="shared" si="26"/>
        <v>1</v>
      </c>
      <c r="AO31" s="3" t="str">
        <f>IF(ISERROR(MATCH(A31,'SegEnds_Xtal_Prot#'!B:B, 0)), "NoXtal", "Xtal")</f>
        <v>NoXtal</v>
      </c>
      <c r="AP31" s="3">
        <f t="shared" si="1"/>
        <v>1</v>
      </c>
      <c r="AQ31" s="3">
        <f t="shared" si="2"/>
        <v>1</v>
      </c>
      <c r="AR31" s="3">
        <f t="shared" si="3"/>
        <v>2</v>
      </c>
      <c r="AS31" s="3">
        <f t="shared" si="4"/>
        <v>1</v>
      </c>
      <c r="AT31" s="3">
        <f t="shared" si="5"/>
        <v>1</v>
      </c>
      <c r="AU31" s="3">
        <f t="shared" si="6"/>
        <v>3</v>
      </c>
      <c r="AV31" s="3">
        <f t="shared" si="7"/>
        <v>8</v>
      </c>
      <c r="AW31" s="3">
        <f t="shared" si="8"/>
        <v>5</v>
      </c>
      <c r="AX31" s="3">
        <f t="shared" si="9"/>
        <v>5</v>
      </c>
      <c r="AY31" s="3">
        <f t="shared" si="10"/>
        <v>6</v>
      </c>
      <c r="AZ31" s="3">
        <f t="shared" si="11"/>
        <v>1</v>
      </c>
      <c r="BA31" s="3">
        <f>IF(ISERROR(LEN(VLOOKUP(A31,Seqs!A:E,2,FALSE))-AL31),"-",LEN(VLOOKUP(A31,Seqs!A:E,2,FALSE))-AL31)</f>
        <v>70</v>
      </c>
      <c r="BB31" s="16">
        <f t="shared" si="12"/>
        <v>28</v>
      </c>
      <c r="BC31" s="9">
        <f t="shared" si="13"/>
        <v>18</v>
      </c>
      <c r="BD31" s="3">
        <f t="shared" si="14"/>
        <v>28</v>
      </c>
      <c r="BE31" s="3">
        <f t="shared" si="15"/>
        <v>56</v>
      </c>
    </row>
    <row r="32" spans="1:60" s="3" customFormat="1" x14ac:dyDescent="0.2">
      <c r="A32" s="3" t="s">
        <v>245</v>
      </c>
      <c r="B32" s="3" t="str">
        <f>LOWER(VLOOKUP(A32,Xtal_Templ!A:B,2,FALSE))</f>
        <v>hrh1_human</v>
      </c>
      <c r="C32" s="3">
        <f>VLOOKUP($A32,'SegEnds_NonXtal_BW#'!$A:$Z,3,FALSE)+D32-50</f>
        <v>43</v>
      </c>
      <c r="D32" s="3">
        <v>59</v>
      </c>
      <c r="E32" s="3">
        <f>IF(ISERROR(VLOOKUP($A32,'SegEnds_NonXtal_BW#'!$A:$Z,4,FALSE)+VLOOKUP($A32,A:AL,4,FALSE)-50),"-",(VLOOKUP($A32,'SegEnds_NonXtal_BW#'!$A:$Z,4,FALSE)+VLOOKUP($A32,A:AL,4,FALSE)-50))</f>
        <v>69</v>
      </c>
      <c r="F32" s="3">
        <f t="shared" si="21"/>
        <v>70</v>
      </c>
      <c r="G32" s="3">
        <v>72</v>
      </c>
      <c r="H32" s="3">
        <f t="shared" si="22"/>
        <v>73</v>
      </c>
      <c r="I32" s="3">
        <f t="shared" si="22"/>
        <v>74</v>
      </c>
      <c r="J32" s="3">
        <v>88</v>
      </c>
      <c r="K32" s="3">
        <f>VLOOKUP($A32,'SegEnds_NonXtal_BW#'!$A:$Z,8,FALSE)+VLOOKUP($A32,A:AL,10,FALSE)-50</f>
        <v>105</v>
      </c>
      <c r="L32" s="3" t="str">
        <f>IF(ISERROR(VLOOKUP($A32,'SegEnds_NonXtal_BW#'!$A:$Z,9,FALSE)+VLOOKUP($A32,A:AL,13,FALSE)-50),"-",(VLOOKUP($A32,'SegEnds_NonXtal_BW#'!$A:$Z,9,FALSE)+VLOOKUP($A32,A:AL,13,FALSE)-50))</f>
        <v>-</v>
      </c>
      <c r="M32" s="3" t="s">
        <v>23</v>
      </c>
      <c r="N32" s="3" t="str">
        <f>IF(ISERROR(VLOOKUP($A32,'SegEnds_NonXtal_BW#'!$A:$Z,10,FALSE)+VLOOKUP($A32,A:AL,13,FALSE)-50),"-",(VLOOKUP($A32,'SegEnds_NonXtal_BW#'!$A:$Z,10,FALSE)+VLOOKUP($A32,A:AL,13,FALSE)-50))</f>
        <v>-</v>
      </c>
      <c r="O32" s="3">
        <f>VLOOKUP($A32,'SegEnds_NonXtal_BW#'!$A:$Z,11,FALSE)+VLOOKUP($A32,A:AL,16,FALSE)-50</f>
        <v>111</v>
      </c>
      <c r="P32" s="3">
        <v>140</v>
      </c>
      <c r="Q32" s="3">
        <f>VLOOKUP($A32,'SegEnds_NonXtal_BW#'!$A:$Z,12,FALSE)+VLOOKUP($A32,A:AL,16,FALSE)-50</f>
        <v>146</v>
      </c>
      <c r="R32" s="3">
        <f>IF(ISERROR(VLOOKUP($A32,'SegEnds_NonXtal_BW#'!$A:$Z,13,FALSE)+VLOOKUP($A32,A:AL,19,FALSE)-50),"-",VLOOKUP($A32,'SegEnds_NonXtal_BW#'!$A:$Z,13,FALSE)+VLOOKUP($A32,A:AL,19,FALSE)-50)</f>
        <v>147</v>
      </c>
      <c r="S32" s="3">
        <v>147</v>
      </c>
      <c r="T32" s="103">
        <f>IF(ISERROR(VLOOKUP($A32,'SegEnds_NonXtal_BW#'!$A:$Z,14,FALSE)+VLOOKUP($A32,A:AL,19,FALSE)-50),"-",(VLOOKUP($A32,'SegEnds_NonXtal_BW#'!$A:$Z,14,FALSE)+VLOOKUP($A32,A:AL,19,FALSE)-50))</f>
        <v>150</v>
      </c>
      <c r="U32" s="9">
        <f>IF(ISERROR(VLOOKUP($A32,'SegEnds_NonXtal_BW#'!$A:$Z,15,FALSE)+VLOOKUP($A32,A:AL,22,FALSE)-50),"-",VLOOKUP($A32,'SegEnds_NonXtal_BW#'!$A:$Z,15,FALSE)+VLOOKUP($A32,A:AL,22,FALSE)-50)</f>
        <v>153</v>
      </c>
      <c r="V32" s="3">
        <v>165</v>
      </c>
      <c r="W32" s="3">
        <f>IF(ISERROR(VLOOKUP($A32,'SegEnds_NonXtal_BW#'!$A:$Z,16,FALSE)+VLOOKUP($A32,A:AL,22,FALSE)-50),"-",(VLOOKUP($A32,'SegEnds_NonXtal_BW#'!$A:$Z,16,FALSE)+VLOOKUP($A32,A:AL,22,FALSE)-50))</f>
        <v>178</v>
      </c>
      <c r="X32" s="3">
        <f>IF(ISERROR(VLOOKUP($A32,'SegEnds_NonXtal_BW#'!$A:$Z,17,FALSE)+VLOOKUP($A32,A:AL,25,FALSE)-50),"-",(VLOOKUP($A32,'SegEnds_NonXtal_BW#'!$A:$Z,17,FALSE)+VLOOKUP($A32,A:AL,25,FALSE)-50))</f>
        <v>197</v>
      </c>
      <c r="Y32" s="3">
        <v>197</v>
      </c>
      <c r="Z32" s="3">
        <f t="shared" si="27"/>
        <v>199</v>
      </c>
      <c r="AA32" s="3">
        <f>IF(ISERROR(VLOOKUP($A32,'SegEnds_NonXtal_BW#'!$A:$Z,19,FALSE)+VLOOKUP($A32,A:AL,28,FALSE)-50),"-",(VLOOKUP($A32,'SegEnds_NonXtal_BW#'!$A:$Z,19,FALSE)+VLOOKUP($A32,A:AL,28,FALSE)-50))</f>
        <v>208</v>
      </c>
      <c r="AB32" s="3">
        <v>223</v>
      </c>
      <c r="AC32" s="3">
        <f>IF(ISERROR((VLOOKUP($A32,'SegEnds_NonXtal_BW#'!$A:$Z,20,FALSE)+VLOOKUP($A32,A:AL,28,FALSE)-50)),"-",(VLOOKUP($A32,'SegEnds_NonXtal_BW#'!$A:$Z,20,FALSE)+VLOOKUP($A32,A:AL,28,FALSE)-50))</f>
        <v>247</v>
      </c>
      <c r="AD32" s="3">
        <f>IF(ISERROR(VLOOKUP($A32,'SegEnds_NonXtal_BW#'!$A:$Z,21,FALSE)+VLOOKUP($A32,A:AL,31,FALSE)-50),"-",(VLOOKUP($A32,'SegEnds_NonXtal_BW#'!$A:$Z,21,FALSE)+VLOOKUP($A32,A:AL,31,FALSE)-50))</f>
        <v>302</v>
      </c>
      <c r="AE32" s="3">
        <v>328</v>
      </c>
      <c r="AF32" s="3">
        <f>IF(ISERROR((VLOOKUP($A32,'SegEnds_NonXtal_BW#'!$A:$Z,22,FALSE)+VLOOKUP($A32,A:AL,31,FALSE)-50)),"-",(VLOOKUP($A32,'SegEnds_NonXtal_BW#'!$A:$Z,22,FALSE)+VLOOKUP($A32,A:AL,31,FALSE)-50))</f>
        <v>339</v>
      </c>
      <c r="AG32" s="3">
        <f>IF(ISERROR(VLOOKUP($A32,'SegEnds_NonXtal_BW#'!$A:$Z,23,FALSE)+VLOOKUP($A32,A:AL,34,FALSE)-50),"-",(VLOOKUP($A32,'SegEnds_NonXtal_BW#'!$A:$Z,23,FALSE)+VLOOKUP($A32,A:AL,34,FALSE)-50))</f>
        <v>345</v>
      </c>
      <c r="AH32" s="3">
        <v>364</v>
      </c>
      <c r="AI32" s="3">
        <f>IF(ISERROR((VLOOKUP($A32,'SegEnds_NonXtal_BW#'!$A:$Z,24,FALSE)+VLOOKUP($A32,A:AL,34,FALSE)-50)),"-",(VLOOKUP($A32,'SegEnds_NonXtal_BW#'!$A:$Z,24,FALSE)+VLOOKUP($A32,A:AL,34,FALSE)-50))</f>
        <v>370</v>
      </c>
      <c r="AJ32" s="3">
        <f>IF(ISERROR(VLOOKUP($A32,'SegEnds_NonXtal_BW#'!$A:$Z,25,FALSE)+VLOOKUP($A32,A:AL,37,FALSE)-50),"-",(VLOOKUP($A32,'SegEnds_NonXtal_BW#'!$A:$Z,25,FALSE)+VLOOKUP($A32,A:AL,37,FALSE)-50))</f>
        <v>371</v>
      </c>
      <c r="AK32" s="3">
        <v>374</v>
      </c>
      <c r="AL32" s="3">
        <f>IF(ISERROR((VLOOKUP($A32,'SegEnds_NonXtal_BW#'!$A:$Z,26,FALSE)+VLOOKUP($A32,A:AL,37,FALSE)-50)),"-",(VLOOKUP($A32,'SegEnds_NonXtal_BW#'!$A:$Z,26,FALSE)+VLOOKUP($A32,A:AL,37,FALSE)-50))</f>
        <v>383</v>
      </c>
      <c r="AM32" s="28" t="str">
        <f>VLOOKUP(A32,Classification!A:B,2,FALSE)</f>
        <v>A</v>
      </c>
      <c r="AN32" s="28" t="b">
        <f t="shared" si="26"/>
        <v>1</v>
      </c>
      <c r="AO32" s="3" t="str">
        <f>IF(ISERROR(MATCH(A32,'SegEnds_Xtal_Prot#'!B:B, 0)), "NoXtal", "Xtal")</f>
        <v>NoXtal</v>
      </c>
      <c r="AP32" s="3">
        <f t="shared" si="1"/>
        <v>1</v>
      </c>
      <c r="AQ32" s="3">
        <f t="shared" si="2"/>
        <v>1</v>
      </c>
      <c r="AR32" s="3" t="str">
        <f t="shared" si="3"/>
        <v>-</v>
      </c>
      <c r="AS32" s="3" t="str">
        <f t="shared" si="4"/>
        <v>-</v>
      </c>
      <c r="AT32" s="3">
        <f t="shared" si="5"/>
        <v>1</v>
      </c>
      <c r="AU32" s="3">
        <f t="shared" si="6"/>
        <v>3</v>
      </c>
      <c r="AV32" s="3">
        <f t="shared" si="7"/>
        <v>19</v>
      </c>
      <c r="AW32" s="3">
        <f t="shared" si="8"/>
        <v>9</v>
      </c>
      <c r="AX32" s="3">
        <f t="shared" si="9"/>
        <v>55</v>
      </c>
      <c r="AY32" s="3">
        <f t="shared" si="10"/>
        <v>6</v>
      </c>
      <c r="AZ32" s="3">
        <f t="shared" si="11"/>
        <v>1</v>
      </c>
      <c r="BA32" s="3">
        <f>IF(ISERROR(LEN(VLOOKUP(A32,Seqs!A:E,2,FALSE))-AL32),"-",LEN(VLOOKUP(A32,Seqs!A:E,2,FALSE))-AL32)</f>
        <v>50</v>
      </c>
      <c r="BB32" s="16">
        <f t="shared" si="12"/>
        <v>29</v>
      </c>
      <c r="BC32" s="9">
        <f t="shared" si="13"/>
        <v>18</v>
      </c>
      <c r="BD32" s="3">
        <f t="shared" si="14"/>
        <v>29</v>
      </c>
      <c r="BE32" s="3">
        <f t="shared" si="15"/>
        <v>105</v>
      </c>
    </row>
    <row r="33" spans="1:58" s="3" customFormat="1" x14ac:dyDescent="0.2">
      <c r="A33" s="3" t="s">
        <v>324</v>
      </c>
      <c r="B33" s="3" t="str">
        <f>LOWER(VLOOKUP(A33,Xtal_Templ!A:B,2,FALSE))</f>
        <v>hrh1_human</v>
      </c>
      <c r="C33" s="3">
        <f>VLOOKUP($A33,'SegEnds_NonXtal_BW#'!$A:$Z,3,FALSE)+D33-50</f>
        <v>51</v>
      </c>
      <c r="D33" s="3">
        <v>67</v>
      </c>
      <c r="E33" s="3">
        <f>IF(ISERROR(VLOOKUP($A33,'SegEnds_NonXtal_BW#'!$A:$Z,4,FALSE)+VLOOKUP($A33,A:AL,4,FALSE)-50),"-",(VLOOKUP($A33,'SegEnds_NonXtal_BW#'!$A:$Z,4,FALSE)+VLOOKUP($A33,A:AL,4,FALSE)-50))</f>
        <v>77</v>
      </c>
      <c r="F33" s="3" t="str">
        <f>IF(ISERROR(VLOOKUP($A33,'SegEnds_NonXtal_BW#'!$A:$Z,5,FALSE)+VLOOKUP($A33,A:AL,7,FALSE)-50),"-",(VLOOKUP($A33,'SegEnds_NonXtal_BW#'!$A:$Z,5,FALSE)+VLOOKUP($A33,A:AL,7,FALSE)-50))</f>
        <v>-</v>
      </c>
      <c r="G33" s="3" t="s">
        <v>23</v>
      </c>
      <c r="H33" s="3" t="str">
        <f>IF(ISERROR(VLOOKUP($A33,'SegEnds_NonXtal_BW#'!$A:$Z,6,FALSE)+VLOOKUP($A33,A:AL,7,FALSE)-50),"-",(VLOOKUP($A33,'SegEnds_NonXtal_BW#'!$A:$Z,6,FALSE)+VLOOKUP($A33,A:AL,7,FALSE)-50))</f>
        <v>-</v>
      </c>
      <c r="I33" s="3">
        <f>VLOOKUP($A33,'SegEnds_NonXtal_BW#'!$A:$Z,7,FALSE)+J33-50</f>
        <v>81</v>
      </c>
      <c r="J33" s="3">
        <v>94</v>
      </c>
      <c r="K33" s="3">
        <f>VLOOKUP($A33,'SegEnds_NonXtal_BW#'!$A:$Z,8,FALSE)+VLOOKUP($A33,A:AL,10,FALSE)-50</f>
        <v>111</v>
      </c>
      <c r="L33" s="3">
        <f>M33-1</f>
        <v>113</v>
      </c>
      <c r="M33" s="3">
        <v>114</v>
      </c>
      <c r="N33" s="3">
        <f>M33+2</f>
        <v>116</v>
      </c>
      <c r="O33" s="3">
        <f t="shared" ref="O33:O53" si="28">N33+1</f>
        <v>117</v>
      </c>
      <c r="P33" s="3">
        <v>146</v>
      </c>
      <c r="Q33" s="3">
        <f>VLOOKUP($A33,'SegEnds_NonXtal_BW#'!$A:$Z,12,FALSE)+VLOOKUP($A33,A:AL,16,FALSE)-50</f>
        <v>152</v>
      </c>
      <c r="R33" s="3">
        <f>IF(ISERROR(VLOOKUP($A33,'SegEnds_NonXtal_BW#'!$A:$Z,13,FALSE)+VLOOKUP($A33,A:AL,19,FALSE)-50),"-",VLOOKUP($A33,'SegEnds_NonXtal_BW#'!$A:$Z,13,FALSE)+VLOOKUP($A33,A:AL,19,FALSE)-50)</f>
        <v>153</v>
      </c>
      <c r="S33" s="3">
        <v>153</v>
      </c>
      <c r="T33" s="103">
        <f>IF(ISERROR(VLOOKUP($A33,'SegEnds_NonXtal_BW#'!$A:$Z,14,FALSE)+VLOOKUP($A33,A:AL,19,FALSE)-50),"-",(VLOOKUP($A33,'SegEnds_NonXtal_BW#'!$A:$Z,14,FALSE)+VLOOKUP($A33,A:AL,19,FALSE)-50))</f>
        <v>156</v>
      </c>
      <c r="U33" s="9">
        <f>IF(ISERROR(VLOOKUP($A33,'SegEnds_NonXtal_BW#'!$A:$Z,15,FALSE)+VLOOKUP($A33,A:AL,22,FALSE)-50),"-",VLOOKUP($A33,'SegEnds_NonXtal_BW#'!$A:$Z,15,FALSE)+VLOOKUP($A33,A:AL,22,FALSE)-50)</f>
        <v>159</v>
      </c>
      <c r="V33" s="3">
        <v>171</v>
      </c>
      <c r="W33" s="3">
        <f>IF(ISERROR(VLOOKUP($A33,'SegEnds_NonXtal_BW#'!$A:$Z,16,FALSE)+VLOOKUP($A33,A:AL,22,FALSE)-50),"-",(VLOOKUP($A33,'SegEnds_NonXtal_BW#'!$A:$Z,16,FALSE)+VLOOKUP($A33,A:AL,22,FALSE)-50))</f>
        <v>183</v>
      </c>
      <c r="X33" s="3">
        <f>IF(ISERROR(VLOOKUP($A33,'SegEnds_NonXtal_BW#'!$A:$Z,17,FALSE)+VLOOKUP($A33,A:AL,25,FALSE)-50),"-",(VLOOKUP($A33,'SegEnds_NonXtal_BW#'!$A:$Z,17,FALSE)+VLOOKUP($A33,A:AL,25,FALSE)-50))</f>
        <v>197</v>
      </c>
      <c r="Y33" s="3">
        <v>197</v>
      </c>
      <c r="Z33" s="3">
        <f t="shared" si="27"/>
        <v>199</v>
      </c>
      <c r="AA33" s="3">
        <f>IF(ISERROR(VLOOKUP($A33,'SegEnds_NonXtal_BW#'!$A:$Z,19,FALSE)+VLOOKUP($A33,A:AL,28,FALSE)-50),"-",(VLOOKUP($A33,'SegEnds_NonXtal_BW#'!$A:$Z,19,FALSE)+VLOOKUP($A33,A:AL,28,FALSE)-50))</f>
        <v>207</v>
      </c>
      <c r="AB33" s="3">
        <v>222</v>
      </c>
      <c r="AC33" s="3">
        <f>IF(ISERROR((VLOOKUP($A33,'SegEnds_NonXtal_BW#'!$A:$Z,20,FALSE)+VLOOKUP($A33,A:AL,28,FALSE)-50)),"-",(VLOOKUP($A33,'SegEnds_NonXtal_BW#'!$A:$Z,20,FALSE)+VLOOKUP($A33,A:AL,28,FALSE)-50))</f>
        <v>248</v>
      </c>
      <c r="AD33" s="3">
        <f>IF(ISERROR(VLOOKUP($A33,'SegEnds_NonXtal_BW#'!$A:$Z,21,FALSE)+VLOOKUP($A33,A:AL,31,FALSE)-50),"-",(VLOOKUP($A33,'SegEnds_NonXtal_BW#'!$A:$Z,21,FALSE)+VLOOKUP($A33,A:AL,31,FALSE)-50))</f>
        <v>263</v>
      </c>
      <c r="AE33" s="3">
        <v>289</v>
      </c>
      <c r="AF33" s="3">
        <f>IF(ISERROR((VLOOKUP($A33,'SegEnds_NonXtal_BW#'!$A:$Z,22,FALSE)+VLOOKUP($A33,A:AL,31,FALSE)-50)),"-",(VLOOKUP($A33,'SegEnds_NonXtal_BW#'!$A:$Z,22,FALSE)+VLOOKUP($A33,A:AL,31,FALSE)-50))</f>
        <v>300</v>
      </c>
      <c r="AG33" s="3">
        <f>IF(ISERROR(VLOOKUP($A33,'SegEnds_NonXtal_BW#'!$A:$Z,23,FALSE)+VLOOKUP($A33,A:AL,34,FALSE)-50),"-",(VLOOKUP($A33,'SegEnds_NonXtal_BW#'!$A:$Z,23,FALSE)+VLOOKUP($A33,A:AL,34,FALSE)-50))</f>
        <v>305</v>
      </c>
      <c r="AH33" s="3">
        <v>327</v>
      </c>
      <c r="AI33" s="3">
        <f>IF(ISERROR((VLOOKUP($A33,'SegEnds_NonXtal_BW#'!$A:$Z,24,FALSE)+VLOOKUP($A33,A:AL,34,FALSE)-50)),"-",(VLOOKUP($A33,'SegEnds_NonXtal_BW#'!$A:$Z,24,FALSE)+VLOOKUP($A33,A:AL,34,FALSE)-50))</f>
        <v>333</v>
      </c>
      <c r="AJ33" s="3">
        <f>IF(ISERROR(VLOOKUP($A33,'SegEnds_NonXtal_BW#'!$A:$Z,25,FALSE)+VLOOKUP($A33,A:AL,37,FALSE)-50),"-",(VLOOKUP($A33,'SegEnds_NonXtal_BW#'!$A:$Z,25,FALSE)+VLOOKUP($A33,A:AL,37,FALSE)-50))</f>
        <v>334</v>
      </c>
      <c r="AK33" s="3">
        <v>337</v>
      </c>
      <c r="AL33" s="3">
        <f>IF(ISERROR((VLOOKUP($A33,'SegEnds_NonXtal_BW#'!$A:$Z,26,FALSE)+VLOOKUP($A33,A:AL,37,FALSE)-50)),"-",(VLOOKUP($A33,'SegEnds_NonXtal_BW#'!$A:$Z,26,FALSE)+VLOOKUP($A33,A:AL,37,FALSE)-50))</f>
        <v>346</v>
      </c>
      <c r="AM33" s="28" t="str">
        <f>VLOOKUP(A33,Classification!A:B,2,FALSE)</f>
        <v>A</v>
      </c>
      <c r="AN33" s="28" t="b">
        <f t="shared" si="26"/>
        <v>1</v>
      </c>
      <c r="AO33" s="3" t="str">
        <f>IF(ISERROR(MATCH(A33,'SegEnds_Xtal_Prot#'!B:B, 0)), "NoXtal", "Xtal")</f>
        <v>NoXtal</v>
      </c>
      <c r="AP33" s="3" t="str">
        <f t="shared" si="1"/>
        <v>-</v>
      </c>
      <c r="AQ33" s="3" t="str">
        <f t="shared" si="2"/>
        <v>-</v>
      </c>
      <c r="AR33" s="3">
        <f t="shared" si="3"/>
        <v>2</v>
      </c>
      <c r="AS33" s="3">
        <f t="shared" si="4"/>
        <v>1</v>
      </c>
      <c r="AT33" s="3">
        <f t="shared" si="5"/>
        <v>1</v>
      </c>
      <c r="AU33" s="3">
        <f t="shared" si="6"/>
        <v>3</v>
      </c>
      <c r="AV33" s="3">
        <f t="shared" si="7"/>
        <v>14</v>
      </c>
      <c r="AW33" s="3">
        <f t="shared" si="8"/>
        <v>8</v>
      </c>
      <c r="AX33" s="3">
        <f t="shared" si="9"/>
        <v>15</v>
      </c>
      <c r="AY33" s="3">
        <f t="shared" si="10"/>
        <v>5</v>
      </c>
      <c r="AZ33" s="3">
        <f t="shared" si="11"/>
        <v>1</v>
      </c>
      <c r="BA33" s="3">
        <f>IF(ISERROR(LEN(VLOOKUP(A33,Seqs!A:E,2,FALSE))-AL33),"-",LEN(VLOOKUP(A33,Seqs!A:E,2,FALSE))-AL33)</f>
        <v>25</v>
      </c>
      <c r="BB33" s="16">
        <f t="shared" si="12"/>
        <v>27</v>
      </c>
      <c r="BC33" s="9">
        <f t="shared" si="13"/>
        <v>18</v>
      </c>
      <c r="BD33" s="3">
        <f t="shared" si="14"/>
        <v>27</v>
      </c>
      <c r="BE33" s="3">
        <f t="shared" si="15"/>
        <v>67</v>
      </c>
      <c r="BF33" s="3">
        <f>AH33-AE33</f>
        <v>38</v>
      </c>
    </row>
    <row r="34" spans="1:58" s="3" customFormat="1" x14ac:dyDescent="0.2">
      <c r="A34" s="3" t="s">
        <v>1175</v>
      </c>
      <c r="B34" s="3" t="str">
        <f>LOWER(VLOOKUP(A34,Xtal_Templ!A:B,2,FALSE))</f>
        <v>ox1r_human</v>
      </c>
      <c r="C34" s="3">
        <f>VLOOKUP($A34,'SegEnds_NonXtal_BW#'!$A:$Z,3,FALSE)+D34-50</f>
        <v>46</v>
      </c>
      <c r="D34" s="3">
        <v>64</v>
      </c>
      <c r="E34" s="3">
        <f>IF(ISERROR(VLOOKUP($A34,'SegEnds_NonXtal_BW#'!$A:$Z,4,FALSE)+VLOOKUP($A34,A:AL,4,FALSE)-50),"-",(VLOOKUP($A34,'SegEnds_NonXtal_BW#'!$A:$Z,4,FALSE)+VLOOKUP($A34,A:AL,4,FALSE)-50))</f>
        <v>74</v>
      </c>
      <c r="F34" s="3">
        <f t="shared" ref="F34:F72" si="29">G34-2</f>
        <v>75</v>
      </c>
      <c r="G34" s="3">
        <v>77</v>
      </c>
      <c r="H34" s="3">
        <f t="shared" ref="H34:I53" si="30">G34+1</f>
        <v>78</v>
      </c>
      <c r="I34" s="3">
        <f t="shared" si="30"/>
        <v>79</v>
      </c>
      <c r="J34" s="3">
        <v>92</v>
      </c>
      <c r="K34" s="3">
        <f>VLOOKUP($A34,'SegEnds_NonXtal_BW#'!$A:$Z,8,FALSE)+VLOOKUP($A34,A:AL,10,FALSE)-50</f>
        <v>109</v>
      </c>
      <c r="L34" s="3">
        <f>M34-1</f>
        <v>111</v>
      </c>
      <c r="M34" s="3">
        <v>112</v>
      </c>
      <c r="N34" s="3">
        <f>M34+2</f>
        <v>114</v>
      </c>
      <c r="O34" s="3">
        <f t="shared" si="28"/>
        <v>115</v>
      </c>
      <c r="P34" s="3">
        <v>144</v>
      </c>
      <c r="Q34" s="3">
        <f>VLOOKUP($A34,'SegEnds_NonXtal_BW#'!$A:$Z,12,FALSE)+VLOOKUP($A34,A:AL,16,FALSE)-50</f>
        <v>150</v>
      </c>
      <c r="R34" s="3">
        <f>IF(ISERROR(VLOOKUP($A34,'SegEnds_NonXtal_BW#'!$A:$Z,13,FALSE)+VLOOKUP($A34,A:AL,19,FALSE)-50),"-",VLOOKUP($A34,'SegEnds_NonXtal_BW#'!$A:$Z,13,FALSE)+VLOOKUP($A34,A:AL,19,FALSE)-50)</f>
        <v>151</v>
      </c>
      <c r="S34" s="3">
        <v>151</v>
      </c>
      <c r="T34" s="103">
        <f>IF(ISERROR(VLOOKUP($A34,'SegEnds_NonXtal_BW#'!$A:$Z,14,FALSE)+VLOOKUP($A34,A:AL,19,FALSE)-50),"-",(VLOOKUP($A34,'SegEnds_NonXtal_BW#'!$A:$Z,14,FALSE)+VLOOKUP($A34,A:AL,19,FALSE)-50))</f>
        <v>154</v>
      </c>
      <c r="U34" s="9">
        <f>IF(ISERROR(VLOOKUP($A34,'SegEnds_NonXtal_BW#'!$A:$Z,15,FALSE)+VLOOKUP($A34,A:AL,22,FALSE)-50),"-",VLOOKUP($A34,'SegEnds_NonXtal_BW#'!$A:$Z,15,FALSE)+VLOOKUP($A34,A:AL,22,FALSE)-50)</f>
        <v>157</v>
      </c>
      <c r="V34" s="3">
        <v>169</v>
      </c>
      <c r="W34" s="3">
        <f>IF(ISERROR(VLOOKUP($A34,'SegEnds_NonXtal_BW#'!$A:$Z,16,FALSE)+VLOOKUP($A34,A:AL,22,FALSE)-50),"-",(VLOOKUP($A34,'SegEnds_NonXtal_BW#'!$A:$Z,16,FALSE)+VLOOKUP($A34,A:AL,22,FALSE)-50))</f>
        <v>183</v>
      </c>
      <c r="X34" s="3">
        <f>IF(ISERROR(VLOOKUP($A34,'SegEnds_NonXtal_BW#'!$A:$Z,17,FALSE)+VLOOKUP($A34,A:AL,25,FALSE)-50),"-",(VLOOKUP($A34,'SegEnds_NonXtal_BW#'!$A:$Z,17,FALSE)+VLOOKUP($A34,A:AL,25,FALSE)-50))</f>
        <v>202</v>
      </c>
      <c r="Y34" s="3">
        <v>202</v>
      </c>
      <c r="Z34" s="3">
        <f t="shared" si="27"/>
        <v>204</v>
      </c>
      <c r="AA34" s="3">
        <f>IF(ISERROR(VLOOKUP($A34,'SegEnds_NonXtal_BW#'!$A:$Z,19,FALSE)+VLOOKUP($A34,A:AL,28,FALSE)-50),"-",(VLOOKUP($A34,'SegEnds_NonXtal_BW#'!$A:$Z,19,FALSE)+VLOOKUP($A34,A:AL,28,FALSE)-50))</f>
        <v>209</v>
      </c>
      <c r="AB34" s="3">
        <v>227</v>
      </c>
      <c r="AC34" s="3">
        <v>248</v>
      </c>
      <c r="AD34" s="3">
        <f>IF(ISERROR(VLOOKUP($A34,'SegEnds_NonXtal_BW#'!$A:$Z,21,FALSE)+VLOOKUP($A34,A:AL,31,FALSE)-50),"-",(VLOOKUP($A34,'SegEnds_NonXtal_BW#'!$A:$Z,21,FALSE)+VLOOKUP($A34,A:AL,31,FALSE)-50))</f>
        <v>283</v>
      </c>
      <c r="AE34" s="3">
        <v>313</v>
      </c>
      <c r="AF34" s="3">
        <f>IF(ISERROR((VLOOKUP($A34,'SegEnds_NonXtal_BW#'!$A:$Z,22,FALSE)+VLOOKUP($A34,A:AL,31,FALSE)-50)),"-",(VLOOKUP($A34,'SegEnds_NonXtal_BW#'!$A:$Z,22,FALSE)+VLOOKUP($A34,A:AL,31,FALSE)-50))</f>
        <v>324</v>
      </c>
      <c r="AG34" s="3">
        <f>IF(ISERROR(VLOOKUP($A34,'SegEnds_NonXtal_BW#'!$A:$Z,23,FALSE)+VLOOKUP($A34,A:AL,34,FALSE)-50),"-",(VLOOKUP($A34,'SegEnds_NonXtal_BW#'!$A:$Z,23,FALSE)+VLOOKUP($A34,A:AL,34,FALSE)-50))</f>
        <v>333</v>
      </c>
      <c r="AH34" s="3">
        <v>355</v>
      </c>
      <c r="AI34" s="3">
        <f>IF(ISERROR((VLOOKUP($A34,'SegEnds_NonXtal_BW#'!$A:$Z,24,FALSE)+VLOOKUP($A34,A:AL,34,FALSE)-50)),"-",(VLOOKUP($A34,'SegEnds_NonXtal_BW#'!$A:$Z,24,FALSE)+VLOOKUP($A34,A:AL,34,FALSE)-50))</f>
        <v>361</v>
      </c>
      <c r="AJ34" s="3">
        <f>IF(ISERROR(VLOOKUP($A34,'SegEnds_NonXtal_BW#'!$A:$Z,25,FALSE)+VLOOKUP($A34,A:AL,37,FALSE)-50),"-",(VLOOKUP($A34,'SegEnds_NonXtal_BW#'!$A:$Z,25,FALSE)+VLOOKUP($A34,A:AL,37,FALSE)-50))</f>
        <v>362</v>
      </c>
      <c r="AK34" s="3">
        <v>365</v>
      </c>
      <c r="AL34" s="3">
        <f>IF(ISERROR((VLOOKUP($A34,'SegEnds_NonXtal_BW#'!$A:$Z,26,FALSE)+VLOOKUP($A34,A:AL,37,FALSE)-50)),"-",(VLOOKUP($A34,'SegEnds_NonXtal_BW#'!$A:$Z,26,FALSE)+VLOOKUP($A34,A:AL,37,FALSE)-50))</f>
        <v>373</v>
      </c>
      <c r="AM34" s="28" t="str">
        <f>VLOOKUP(A34,Classification!A:B,2,FALSE)</f>
        <v>A</v>
      </c>
      <c r="AN34" s="28" t="b">
        <f t="shared" si="26"/>
        <v>1</v>
      </c>
      <c r="AO34" s="3" t="str">
        <f>IF(ISERROR(MATCH(A34,'SegEnds_Xtal_Prot#'!B:B, 0)), "NoXtal", "Xtal")</f>
        <v>Xtal</v>
      </c>
      <c r="AP34" s="3">
        <f t="shared" si="1"/>
        <v>1</v>
      </c>
      <c r="AQ34" s="3">
        <f t="shared" si="2"/>
        <v>1</v>
      </c>
      <c r="AR34" s="3">
        <f t="shared" si="3"/>
        <v>2</v>
      </c>
      <c r="AS34" s="3">
        <f t="shared" si="4"/>
        <v>1</v>
      </c>
      <c r="AT34" s="3">
        <f t="shared" si="5"/>
        <v>1</v>
      </c>
      <c r="AU34" s="3">
        <f t="shared" si="6"/>
        <v>3</v>
      </c>
      <c r="AV34" s="3">
        <f t="shared" si="7"/>
        <v>19</v>
      </c>
      <c r="AW34" s="3">
        <f t="shared" si="8"/>
        <v>5</v>
      </c>
      <c r="AX34" s="3">
        <f t="shared" si="9"/>
        <v>35</v>
      </c>
      <c r="AY34" s="3">
        <f t="shared" si="10"/>
        <v>9</v>
      </c>
      <c r="AZ34" s="3">
        <f t="shared" si="11"/>
        <v>1</v>
      </c>
      <c r="BA34" s="3">
        <f>IF(ISERROR(LEN(VLOOKUP(A34,Seqs!A:E,2,FALSE))-AL34),"-",LEN(VLOOKUP(A34,Seqs!A:E,2,FALSE))-AL34)</f>
        <v>52</v>
      </c>
      <c r="BB34" s="16">
        <f t="shared" si="12"/>
        <v>28</v>
      </c>
      <c r="BC34" s="9">
        <f t="shared" si="13"/>
        <v>18</v>
      </c>
      <c r="BD34" s="3">
        <f t="shared" si="14"/>
        <v>28</v>
      </c>
      <c r="BE34" s="3">
        <f t="shared" si="15"/>
        <v>86</v>
      </c>
    </row>
    <row r="35" spans="1:58" s="3" customFormat="1" x14ac:dyDescent="0.2">
      <c r="A35" s="3" t="s">
        <v>1176</v>
      </c>
      <c r="B35" s="3" t="str">
        <f>LOWER(VLOOKUP(A35,Xtal_Templ!A:B,2,FALSE))</f>
        <v>ox2r_human</v>
      </c>
      <c r="C35" s="3">
        <f>VLOOKUP($A35,'SegEnds_NonXtal_BW#'!$A:$Z,3,FALSE)+D35-50</f>
        <v>53</v>
      </c>
      <c r="D35" s="3">
        <v>72</v>
      </c>
      <c r="E35" s="3">
        <f>IF(ISERROR(VLOOKUP($A35,'SegEnds_NonXtal_BW#'!$A:$Z,4,FALSE)+VLOOKUP($A35,A:AL,4,FALSE)-50),"-",(VLOOKUP($A35,'SegEnds_NonXtal_BW#'!$A:$Z,4,FALSE)+VLOOKUP($A35,A:AL,4,FALSE)-50))</f>
        <v>82</v>
      </c>
      <c r="F35" s="3">
        <f t="shared" si="29"/>
        <v>83</v>
      </c>
      <c r="G35" s="3">
        <v>85</v>
      </c>
      <c r="H35" s="3">
        <f t="shared" si="30"/>
        <v>86</v>
      </c>
      <c r="I35" s="3">
        <f t="shared" si="30"/>
        <v>87</v>
      </c>
      <c r="J35" s="3">
        <v>100</v>
      </c>
      <c r="K35" s="3">
        <f>VLOOKUP($A35,'SegEnds_NonXtal_BW#'!$A:$Z,8,FALSE)+VLOOKUP($A35,A:AL,10,FALSE)-50</f>
        <v>117</v>
      </c>
      <c r="L35" s="3">
        <f>M35-1</f>
        <v>119</v>
      </c>
      <c r="M35" s="3">
        <v>120</v>
      </c>
      <c r="N35" s="3">
        <f>M35+2</f>
        <v>122</v>
      </c>
      <c r="O35" s="3">
        <f t="shared" si="28"/>
        <v>123</v>
      </c>
      <c r="P35" s="3">
        <v>152</v>
      </c>
      <c r="Q35" s="3">
        <f>VLOOKUP($A35,'SegEnds_NonXtal_BW#'!$A:$Z,12,FALSE)+VLOOKUP($A35,A:AL,16,FALSE)-50</f>
        <v>158</v>
      </c>
      <c r="R35" s="3">
        <f>IF(ISERROR(VLOOKUP($A35,'SegEnds_NonXtal_BW#'!$A:$Z,13,FALSE)+VLOOKUP($A35,A:AL,19,FALSE)-50),"-",VLOOKUP($A35,'SegEnds_NonXtal_BW#'!$A:$Z,13,FALSE)+VLOOKUP($A35,A:AL,19,FALSE)-50)</f>
        <v>159</v>
      </c>
      <c r="S35" s="3">
        <v>159</v>
      </c>
      <c r="T35" s="103">
        <f>IF(ISERROR(VLOOKUP($A35,'SegEnds_NonXtal_BW#'!$A:$Z,14,FALSE)+VLOOKUP($A35,A:AL,19,FALSE)-50),"-",(VLOOKUP($A35,'SegEnds_NonXtal_BW#'!$A:$Z,14,FALSE)+VLOOKUP($A35,A:AL,19,FALSE)-50))</f>
        <v>162</v>
      </c>
      <c r="U35" s="9">
        <f>IF(ISERROR(VLOOKUP($A35,'SegEnds_NonXtal_BW#'!$A:$Z,15,FALSE)+VLOOKUP($A35,A:AL,22,FALSE)-50),"-",VLOOKUP($A35,'SegEnds_NonXtal_BW#'!$A:$Z,15,FALSE)+VLOOKUP($A35,A:AL,22,FALSE)-50)</f>
        <v>165</v>
      </c>
      <c r="V35" s="3">
        <v>177</v>
      </c>
      <c r="W35" s="3">
        <f>IF(ISERROR(VLOOKUP($A35,'SegEnds_NonXtal_BW#'!$A:$Z,16,FALSE)+VLOOKUP($A35,A:AL,22,FALSE)-50),"-",(VLOOKUP($A35,'SegEnds_NonXtal_BW#'!$A:$Z,16,FALSE)+VLOOKUP($A35,A:AL,22,FALSE)-50))</f>
        <v>191</v>
      </c>
      <c r="X35" s="3">
        <f>IF(ISERROR(VLOOKUP($A35,'SegEnds_NonXtal_BW#'!$A:$Z,17,FALSE)+VLOOKUP($A35,A:AL,25,FALSE)-50),"-",(VLOOKUP($A35,'SegEnds_NonXtal_BW#'!$A:$Z,17,FALSE)+VLOOKUP($A35,A:AL,25,FALSE)-50))</f>
        <v>210</v>
      </c>
      <c r="Y35" s="3">
        <v>210</v>
      </c>
      <c r="Z35" s="3">
        <f t="shared" si="27"/>
        <v>212</v>
      </c>
      <c r="AA35" s="3">
        <f>IF(ISERROR(VLOOKUP($A35,'SegEnds_NonXtal_BW#'!$A:$Z,19,FALSE)+VLOOKUP($A35,A:AL,28,FALSE)-50),"-",(VLOOKUP($A35,'SegEnds_NonXtal_BW#'!$A:$Z,19,FALSE)+VLOOKUP($A35,A:AL,28,FALSE)-50))</f>
        <v>217</v>
      </c>
      <c r="AB35" s="3">
        <v>235</v>
      </c>
      <c r="AC35" s="3">
        <v>256</v>
      </c>
      <c r="AD35" s="3">
        <f>IF(ISERROR(VLOOKUP($A35,'SegEnds_NonXtal_BW#'!$A:$Z,21,FALSE)+VLOOKUP($A35,A:AL,31,FALSE)-50),"-",(VLOOKUP($A35,'SegEnds_NonXtal_BW#'!$A:$Z,21,FALSE)+VLOOKUP($A35,A:AL,31,FALSE)-50))</f>
        <v>289</v>
      </c>
      <c r="AE35" s="3">
        <v>319</v>
      </c>
      <c r="AF35" s="3">
        <f>IF(ISERROR((VLOOKUP($A35,'SegEnds_NonXtal_BW#'!$A:$Z,22,FALSE)+VLOOKUP($A35,A:AL,31,FALSE)-50)),"-",(VLOOKUP($A35,'SegEnds_NonXtal_BW#'!$A:$Z,22,FALSE)+VLOOKUP($A35,A:AL,31,FALSE)-50))</f>
        <v>330</v>
      </c>
      <c r="AG35" s="3">
        <f>IF(ISERROR(VLOOKUP($A35,'SegEnds_NonXtal_BW#'!$A:$Z,23,FALSE)+VLOOKUP($A35,A:AL,34,FALSE)-50),"-",(VLOOKUP($A35,'SegEnds_NonXtal_BW#'!$A:$Z,23,FALSE)+VLOOKUP($A35,A:AL,34,FALSE)-50))</f>
        <v>339</v>
      </c>
      <c r="AH35" s="3">
        <v>361</v>
      </c>
      <c r="AI35" s="3">
        <f>IF(ISERROR((VLOOKUP($A35,'SegEnds_NonXtal_BW#'!$A:$Z,24,FALSE)+VLOOKUP($A35,A:AL,34,FALSE)-50)),"-",(VLOOKUP($A35,'SegEnds_NonXtal_BW#'!$A:$Z,24,FALSE)+VLOOKUP($A35,A:AL,34,FALSE)-50))</f>
        <v>367</v>
      </c>
      <c r="AJ35" s="3">
        <f>IF(ISERROR(VLOOKUP($A35,'SegEnds_NonXtal_BW#'!$A:$Z,25,FALSE)+VLOOKUP($A35,A:AL,37,FALSE)-50),"-",(VLOOKUP($A35,'SegEnds_NonXtal_BW#'!$A:$Z,25,FALSE)+VLOOKUP($A35,A:AL,37,FALSE)-50))</f>
        <v>368</v>
      </c>
      <c r="AK35" s="3">
        <v>371</v>
      </c>
      <c r="AL35" s="3">
        <f>IF(ISERROR((VLOOKUP($A35,'SegEnds_NonXtal_BW#'!$A:$Z,26,FALSE)+VLOOKUP($A35,A:AL,37,FALSE)-50)),"-",(VLOOKUP($A35,'SegEnds_NonXtal_BW#'!$A:$Z,26,FALSE)+VLOOKUP($A35,A:AL,37,FALSE)-50))</f>
        <v>379</v>
      </c>
      <c r="AM35" s="28" t="str">
        <f>VLOOKUP(A35,Classification!A:B,2,FALSE)</f>
        <v>A</v>
      </c>
      <c r="AN35" s="28" t="b">
        <f t="shared" si="26"/>
        <v>1</v>
      </c>
      <c r="AO35" s="3" t="str">
        <f>IF(ISERROR(MATCH(A35,'SegEnds_Xtal_Prot#'!B:B, 0)), "NoXtal", "Xtal")</f>
        <v>Xtal</v>
      </c>
      <c r="AP35" s="3">
        <f t="shared" si="1"/>
        <v>1</v>
      </c>
      <c r="AQ35" s="3">
        <f t="shared" si="2"/>
        <v>1</v>
      </c>
      <c r="AR35" s="3">
        <f t="shared" si="3"/>
        <v>2</v>
      </c>
      <c r="AS35" s="3">
        <f t="shared" si="4"/>
        <v>1</v>
      </c>
      <c r="AT35" s="3">
        <f t="shared" si="5"/>
        <v>1</v>
      </c>
      <c r="AU35" s="3">
        <f t="shared" si="6"/>
        <v>3</v>
      </c>
      <c r="AV35" s="3">
        <f t="shared" si="7"/>
        <v>19</v>
      </c>
      <c r="AW35" s="3">
        <f t="shared" si="8"/>
        <v>5</v>
      </c>
      <c r="AX35" s="3">
        <f t="shared" si="9"/>
        <v>33</v>
      </c>
      <c r="AY35" s="3">
        <f t="shared" si="10"/>
        <v>9</v>
      </c>
      <c r="AZ35" s="3">
        <f t="shared" si="11"/>
        <v>1</v>
      </c>
      <c r="BA35" s="3">
        <f>IF(ISERROR(LEN(VLOOKUP(A35,Seqs!A:E,2,FALSE))-AL35),"-",LEN(VLOOKUP(A35,Seqs!A:E,2,FALSE))-AL35)</f>
        <v>65</v>
      </c>
      <c r="BB35" s="16">
        <f t="shared" si="12"/>
        <v>28</v>
      </c>
      <c r="BC35" s="9">
        <f t="shared" si="13"/>
        <v>18</v>
      </c>
      <c r="BD35" s="3">
        <f t="shared" si="14"/>
        <v>28</v>
      </c>
      <c r="BE35" s="3">
        <f t="shared" si="15"/>
        <v>84</v>
      </c>
    </row>
    <row r="36" spans="1:58" s="3" customFormat="1" x14ac:dyDescent="0.2">
      <c r="A36" s="3" t="s">
        <v>369</v>
      </c>
      <c r="B36" s="3" t="str">
        <f>LOWER(VLOOKUP(A36,Xtal_Templ!A:B,2,FALSE))</f>
        <v>ox2r_human</v>
      </c>
      <c r="C36" s="3">
        <f>VLOOKUP($A36,'SegEnds_NonXtal_BW#'!$A:$Z,3,FALSE)+D36-50</f>
        <v>59</v>
      </c>
      <c r="D36" s="3">
        <v>78</v>
      </c>
      <c r="E36" s="3">
        <f>IF(ISERROR(VLOOKUP($A36,'SegEnds_NonXtal_BW#'!$A:$Z,4,FALSE)+VLOOKUP($A36,A:AL,4,FALSE)-50),"-",(VLOOKUP($A36,'SegEnds_NonXtal_BW#'!$A:$Z,4,FALSE)+VLOOKUP($A36,A:AL,4,FALSE)-50))</f>
        <v>88</v>
      </c>
      <c r="F36" s="3">
        <f t="shared" si="29"/>
        <v>89</v>
      </c>
      <c r="G36" s="3">
        <v>91</v>
      </c>
      <c r="H36" s="3">
        <f t="shared" si="30"/>
        <v>92</v>
      </c>
      <c r="I36" s="3">
        <f t="shared" si="30"/>
        <v>93</v>
      </c>
      <c r="J36" s="3">
        <v>106</v>
      </c>
      <c r="K36" s="3">
        <f>VLOOKUP($A36,'SegEnds_NonXtal_BW#'!$A:$Z,8,FALSE)+VLOOKUP($A36,A:AL,10,FALSE)-50</f>
        <v>123</v>
      </c>
      <c r="L36" s="3">
        <f>M36-1</f>
        <v>126</v>
      </c>
      <c r="M36" s="3">
        <v>127</v>
      </c>
      <c r="N36" s="3">
        <f>M36+2</f>
        <v>129</v>
      </c>
      <c r="O36" s="3">
        <f t="shared" si="28"/>
        <v>130</v>
      </c>
      <c r="P36" s="3">
        <v>159</v>
      </c>
      <c r="Q36" s="3">
        <f>VLOOKUP($A36,'SegEnds_NonXtal_BW#'!$A:$Z,12,FALSE)+VLOOKUP($A36,A:AL,16,FALSE)-50</f>
        <v>165</v>
      </c>
      <c r="R36" s="3">
        <f>IF(ISERROR(VLOOKUP($A36,'SegEnds_NonXtal_BW#'!$A:$Z,13,FALSE)+VLOOKUP($A36,A:AL,19,FALSE)-50),"-",VLOOKUP($A36,'SegEnds_NonXtal_BW#'!$A:$Z,13,FALSE)+VLOOKUP($A36,A:AL,19,FALSE)-50)</f>
        <v>166</v>
      </c>
      <c r="S36" s="3">
        <v>166</v>
      </c>
      <c r="T36" s="103">
        <f>IF(ISERROR(VLOOKUP($A36,'SegEnds_NonXtal_BW#'!$A:$Z,14,FALSE)+VLOOKUP($A36,A:AL,19,FALSE)-50),"-",(VLOOKUP($A36,'SegEnds_NonXtal_BW#'!$A:$Z,14,FALSE)+VLOOKUP($A36,A:AL,19,FALSE)-50))</f>
        <v>169</v>
      </c>
      <c r="U36" s="9">
        <f>IF(ISERROR(VLOOKUP($A36,'SegEnds_NonXtal_BW#'!$A:$Z,15,FALSE)+VLOOKUP($A36,A:AL,22,FALSE)-50),"-",VLOOKUP($A36,'SegEnds_NonXtal_BW#'!$A:$Z,15,FALSE)+VLOOKUP($A36,A:AL,22,FALSE)-50)</f>
        <v>172</v>
      </c>
      <c r="V36" s="3">
        <v>184</v>
      </c>
      <c r="W36" s="3">
        <f>IF(ISERROR(VLOOKUP($A36,'SegEnds_NonXtal_BW#'!$A:$Z,16,FALSE)+VLOOKUP($A36,A:AL,22,FALSE)-50),"-",(VLOOKUP($A36,'SegEnds_NonXtal_BW#'!$A:$Z,16,FALSE)+VLOOKUP($A36,A:AL,22,FALSE)-50))</f>
        <v>198</v>
      </c>
      <c r="X36" s="3">
        <f>IF(ISERROR(VLOOKUP($A36,'SegEnds_NonXtal_BW#'!$A:$Z,17,FALSE)+VLOOKUP($A36,A:AL,25,FALSE)-50),"-",(VLOOKUP($A36,'SegEnds_NonXtal_BW#'!$A:$Z,17,FALSE)+VLOOKUP($A36,A:AL,25,FALSE)-50))</f>
        <v>211</v>
      </c>
      <c r="Y36" s="3">
        <v>211</v>
      </c>
      <c r="Z36" s="3">
        <f t="shared" si="27"/>
        <v>213</v>
      </c>
      <c r="AA36" s="3">
        <f>IF(ISERROR(VLOOKUP($A36,'SegEnds_NonXtal_BW#'!$A:$Z,19,FALSE)+VLOOKUP($A36,A:AL,28,FALSE)-50),"-",(VLOOKUP($A36,'SegEnds_NonXtal_BW#'!$A:$Z,19,FALSE)+VLOOKUP($A36,A:AL,28,FALSE)-50))</f>
        <v>219</v>
      </c>
      <c r="AB36" s="3">
        <v>237</v>
      </c>
      <c r="AC36" s="3">
        <f>IF(ISERROR((VLOOKUP($A36,'SegEnds_NonXtal_BW#'!$A:$Z,20,FALSE)+VLOOKUP($A36,A:AL,28,FALSE)-50)),"-",(VLOOKUP($A36,'SegEnds_NonXtal_BW#'!$A:$Z,20,FALSE)+VLOOKUP($A36,A:AL,28,FALSE)-50))</f>
        <v>260</v>
      </c>
      <c r="AD36" s="3">
        <f>IF(ISERROR(VLOOKUP($A36,'SegEnds_NonXtal_BW#'!$A:$Z,21,FALSE)+VLOOKUP($A36,A:AL,31,FALSE)-50),"-",(VLOOKUP($A36,'SegEnds_NonXtal_BW#'!$A:$Z,21,FALSE)+VLOOKUP($A36,A:AL,31,FALSE)-50))</f>
        <v>265</v>
      </c>
      <c r="AE36" s="3">
        <v>293</v>
      </c>
      <c r="AF36" s="3">
        <f>IF(ISERROR((VLOOKUP($A36,'SegEnds_NonXtal_BW#'!$A:$Z,22,FALSE)+VLOOKUP($A36,A:AL,31,FALSE)-50)),"-",(VLOOKUP($A36,'SegEnds_NonXtal_BW#'!$A:$Z,22,FALSE)+VLOOKUP($A36,A:AL,31,FALSE)-50))</f>
        <v>304</v>
      </c>
      <c r="AG36" s="3">
        <f>IF(ISERROR(VLOOKUP($A36,'SegEnds_NonXtal_BW#'!$A:$Z,23,FALSE)+VLOOKUP($A36,A:AL,34,FALSE)-50),"-",(VLOOKUP($A36,'SegEnds_NonXtal_BW#'!$A:$Z,23,FALSE)+VLOOKUP($A36,A:AL,34,FALSE)-50))</f>
        <v>310</v>
      </c>
      <c r="AH36" s="3">
        <v>332</v>
      </c>
      <c r="AI36" s="3">
        <f>IF(ISERROR((VLOOKUP($A36,'SegEnds_NonXtal_BW#'!$A:$Z,24,FALSE)+VLOOKUP($A36,A:AL,34,FALSE)-50)),"-",(VLOOKUP($A36,'SegEnds_NonXtal_BW#'!$A:$Z,24,FALSE)+VLOOKUP($A36,A:AL,34,FALSE)-50))</f>
        <v>338</v>
      </c>
      <c r="AJ36" s="3">
        <f>IF(ISERROR(VLOOKUP($A36,'SegEnds_NonXtal_BW#'!$A:$Z,25,FALSE)+VLOOKUP($A36,A:AL,37,FALSE)-50),"-",(VLOOKUP($A36,'SegEnds_NonXtal_BW#'!$A:$Z,25,FALSE)+VLOOKUP($A36,A:AL,37,FALSE)-50))</f>
        <v>339</v>
      </c>
      <c r="AK36" s="3">
        <v>342</v>
      </c>
      <c r="AL36" s="3">
        <f>IF(ISERROR((VLOOKUP($A36,'SegEnds_NonXtal_BW#'!$A:$Z,26,FALSE)+VLOOKUP($A36,A:AL,37,FALSE)-50)),"-",(VLOOKUP($A36,'SegEnds_NonXtal_BW#'!$A:$Z,26,FALSE)+VLOOKUP($A36,A:AL,37,FALSE)-50))</f>
        <v>350</v>
      </c>
      <c r="AM36" s="28" t="str">
        <f>VLOOKUP(A36,Classification!A:B,2,FALSE)</f>
        <v>A</v>
      </c>
      <c r="AN36" s="28" t="b">
        <f t="shared" si="26"/>
        <v>1</v>
      </c>
      <c r="AO36" s="3" t="str">
        <f>IF(ISERROR(MATCH(A36,'SegEnds_Xtal_Prot#'!B:B, 0)), "NoXtal", "Xtal")</f>
        <v>NoXtal</v>
      </c>
      <c r="AP36" s="3">
        <f t="shared" si="1"/>
        <v>1</v>
      </c>
      <c r="AQ36" s="3">
        <f t="shared" si="2"/>
        <v>1</v>
      </c>
      <c r="AR36" s="3">
        <f t="shared" si="3"/>
        <v>3</v>
      </c>
      <c r="AS36" s="3">
        <f t="shared" si="4"/>
        <v>1</v>
      </c>
      <c r="AT36" s="3">
        <f t="shared" si="5"/>
        <v>1</v>
      </c>
      <c r="AU36" s="3">
        <f t="shared" si="6"/>
        <v>3</v>
      </c>
      <c r="AV36" s="3">
        <f t="shared" si="7"/>
        <v>13</v>
      </c>
      <c r="AW36" s="3">
        <f t="shared" si="8"/>
        <v>6</v>
      </c>
      <c r="AX36" s="3">
        <f t="shared" si="9"/>
        <v>5</v>
      </c>
      <c r="AY36" s="3">
        <f t="shared" si="10"/>
        <v>6</v>
      </c>
      <c r="AZ36" s="3">
        <f t="shared" si="11"/>
        <v>1</v>
      </c>
      <c r="BA36" s="3">
        <f>IF(ISERROR(LEN(VLOOKUP(A36,Seqs!A:E,2,FALSE))-AL36),"-",LEN(VLOOKUP(A36,Seqs!A:E,2,FALSE))-AL36)</f>
        <v>20</v>
      </c>
      <c r="BB36" s="16">
        <f t="shared" si="12"/>
        <v>28</v>
      </c>
      <c r="BC36" s="9">
        <f t="shared" si="13"/>
        <v>18</v>
      </c>
      <c r="BD36" s="3">
        <f t="shared" si="14"/>
        <v>28</v>
      </c>
      <c r="BE36" s="3">
        <f t="shared" si="15"/>
        <v>56</v>
      </c>
      <c r="BF36" s="3">
        <f>AH36-AE36</f>
        <v>39</v>
      </c>
    </row>
    <row r="37" spans="1:58" s="3" customFormat="1" x14ac:dyDescent="0.2">
      <c r="A37" s="3" t="s">
        <v>380</v>
      </c>
      <c r="B37" s="3" t="str">
        <f>LOWER(VLOOKUP(A37,Xtal_Templ!A:B,2,FALSE))</f>
        <v>s1pr1_human</v>
      </c>
      <c r="C37" s="3">
        <f>VLOOKUP($A37,'SegEnds_NonXtal_BW#'!$A:$Z,3,FALSE)+D37-50</f>
        <v>33</v>
      </c>
      <c r="D37" s="3">
        <v>54</v>
      </c>
      <c r="E37" s="3">
        <f>IF(ISERROR(VLOOKUP($A37,'SegEnds_NonXtal_BW#'!$A:$Z,4,FALSE)+VLOOKUP($A37,A:AL,4,FALSE)-50),"-",(VLOOKUP($A37,'SegEnds_NonXtal_BW#'!$A:$Z,4,FALSE)+VLOOKUP($A37,A:AL,4,FALSE)-50))</f>
        <v>64</v>
      </c>
      <c r="F37" s="3">
        <f t="shared" si="29"/>
        <v>65</v>
      </c>
      <c r="G37" s="3">
        <v>67</v>
      </c>
      <c r="H37" s="3">
        <f t="shared" si="30"/>
        <v>68</v>
      </c>
      <c r="I37" s="3">
        <f t="shared" si="30"/>
        <v>69</v>
      </c>
      <c r="J37" s="3">
        <v>82</v>
      </c>
      <c r="K37" s="3">
        <f>VLOOKUP($A37,'SegEnds_NonXtal_BW#'!$A:$Z,8,FALSE)+VLOOKUP($A37,A:AL,10,FALSE)-50</f>
        <v>95</v>
      </c>
      <c r="L37" s="3">
        <f>M37-3</f>
        <v>97</v>
      </c>
      <c r="M37" s="3">
        <v>100</v>
      </c>
      <c r="N37" s="3">
        <f>M37+3</f>
        <v>103</v>
      </c>
      <c r="O37" s="3">
        <f t="shared" si="28"/>
        <v>104</v>
      </c>
      <c r="P37" s="3">
        <v>133</v>
      </c>
      <c r="Q37" s="3">
        <f>VLOOKUP($A37,'SegEnds_NonXtal_BW#'!$A:$Z,12,FALSE)+VLOOKUP($A37,A:AL,16,FALSE)-50</f>
        <v>139</v>
      </c>
      <c r="R37" s="3">
        <f>IF(ISERROR(VLOOKUP($A37,'SegEnds_NonXtal_BW#'!$A:$Z,13,FALSE)+VLOOKUP($A37,A:AL,19,FALSE)-50),"-",VLOOKUP($A37,'SegEnds_NonXtal_BW#'!$A:$Z,13,FALSE)+VLOOKUP($A37,A:AL,19,FALSE)-50)</f>
        <v>140</v>
      </c>
      <c r="S37" s="3">
        <v>140</v>
      </c>
      <c r="T37" s="103">
        <f>IF(ISERROR(VLOOKUP($A37,'SegEnds_NonXtal_BW#'!$A:$Z,14,FALSE)+VLOOKUP($A37,A:AL,19,FALSE)-50),"-",(VLOOKUP($A37,'SegEnds_NonXtal_BW#'!$A:$Z,14,FALSE)+VLOOKUP($A37,A:AL,19,FALSE)-50))</f>
        <v>146</v>
      </c>
      <c r="U37" s="9">
        <f>IF(ISERROR(VLOOKUP($A37,'SegEnds_NonXtal_BW#'!$A:$Z,15,FALSE)+VLOOKUP($A37,A:AL,22,FALSE)-50),"-",VLOOKUP($A37,'SegEnds_NonXtal_BW#'!$A:$Z,15,FALSE)+VLOOKUP($A37,A:AL,22,FALSE)-50)</f>
        <v>147</v>
      </c>
      <c r="V37" s="3">
        <v>159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3" t="str">
        <f>IF(ISERROR(VLOOKUP($A37,'SegEnds_NonXtal_BW#'!$A:$Z,17,FALSE)+VLOOKUP($A37,A:AL,25,FALSE)-50),"-",(VLOOKUP($A37,'SegEnds_NonXtal_BW#'!$A:$Z,17,FALSE)+VLOOKUP($A37,A:AL,25,FALSE)-50))</f>
        <v>-</v>
      </c>
      <c r="Y37" s="3" t="s">
        <v>23</v>
      </c>
      <c r="Z37" s="3" t="str">
        <f>IF(ISERROR(VLOOKUP($A37,'SegEnds_NonXtal_BW#'!$A:$Z,18,FALSE)+VLOOKUP($A37,A:AL,25,FALSE)-50),"-",(VLOOKUP($A37,'SegEnds_NonXtal_BW#'!$A:$Z,18,FALSE)+VLOOKUP($A37,A:AL,25,FALSE)-50))</f>
        <v>-</v>
      </c>
      <c r="AA37" s="3">
        <f>IF(ISERROR(VLOOKUP($A37,'SegEnds_NonXtal_BW#'!$A:$Z,19,FALSE)+VLOOKUP($A37,A:AL,28,FALSE)-50),"-",(VLOOKUP($A37,'SegEnds_NonXtal_BW#'!$A:$Z,19,FALSE)+VLOOKUP($A37,A:AL,28,FALSE)-50))</f>
        <v>190</v>
      </c>
      <c r="AB37" s="3">
        <v>204</v>
      </c>
      <c r="AC37" s="3">
        <f>IF(ISERROR((VLOOKUP($A37,'SegEnds_NonXtal_BW#'!$A:$Z,20,FALSE)+VLOOKUP($A37,A:AL,28,FALSE)-50)),"-",(VLOOKUP($A37,'SegEnds_NonXtal_BW#'!$A:$Z,20,FALSE)+VLOOKUP($A37,A:AL,28,FALSE)-50))</f>
        <v>228</v>
      </c>
      <c r="AD37" s="3">
        <f>IF(ISERROR(VLOOKUP($A37,'SegEnds_NonXtal_BW#'!$A:$Z,21,FALSE)+VLOOKUP($A37,A:AL,31,FALSE)-50),"-",(VLOOKUP($A37,'SegEnds_NonXtal_BW#'!$A:$Z,21,FALSE)+VLOOKUP($A37,A:AL,31,FALSE)-50))</f>
        <v>237</v>
      </c>
      <c r="AE37" s="3">
        <v>266</v>
      </c>
      <c r="AF37" s="3">
        <f>IF(ISERROR((VLOOKUP($A37,'SegEnds_NonXtal_BW#'!$A:$Z,22,FALSE)+VLOOKUP($A37,A:AL,31,FALSE)-50)),"-",(VLOOKUP($A37,'SegEnds_NonXtal_BW#'!$A:$Z,22,FALSE)+VLOOKUP($A37,A:AL,31,FALSE)-50))</f>
        <v>277</v>
      </c>
      <c r="AG37" s="3">
        <f>IF(ISERROR(VLOOKUP($A37,'SegEnds_NonXtal_BW#'!$A:$Z,23,FALSE)+VLOOKUP($A37,A:AL,34,FALSE)-50),"-",(VLOOKUP($A37,'SegEnds_NonXtal_BW#'!$A:$Z,23,FALSE)+VLOOKUP($A37,A:AL,34,FALSE)-50))</f>
        <v>283</v>
      </c>
      <c r="AH37" s="3">
        <v>303</v>
      </c>
      <c r="AI37" s="3">
        <f>IF(ISERROR((VLOOKUP($A37,'SegEnds_NonXtal_BW#'!$A:$Z,24,FALSE)+VLOOKUP($A37,A:AL,34,FALSE)-50)),"-",(VLOOKUP($A37,'SegEnds_NonXtal_BW#'!$A:$Z,24,FALSE)+VLOOKUP($A37,A:AL,34,FALSE)-50))</f>
        <v>309</v>
      </c>
      <c r="AJ37" s="3">
        <f>IF(ISERROR(VLOOKUP($A37,'SegEnds_NonXtal_BW#'!$A:$Z,25,FALSE)+VLOOKUP($A37,A:AL,37,FALSE)-50),"-",(VLOOKUP($A37,'SegEnds_NonXtal_BW#'!$A:$Z,25,FALSE)+VLOOKUP($A37,A:AL,37,FALSE)-50))</f>
        <v>310</v>
      </c>
      <c r="AK37" s="3">
        <v>313</v>
      </c>
      <c r="AL37" s="3">
        <f>IF(ISERROR((VLOOKUP($A37,'SegEnds_NonXtal_BW#'!$A:$Z,26,FALSE)+VLOOKUP($A37,A:AL,37,FALSE)-50)),"-",(VLOOKUP($A37,'SegEnds_NonXtal_BW#'!$A:$Z,26,FALSE)+VLOOKUP($A37,A:AL,37,FALSE)-50))</f>
        <v>322</v>
      </c>
      <c r="AM37" s="28" t="str">
        <f>VLOOKUP(A37,Classification!A:B,2,FALSE)</f>
        <v>A</v>
      </c>
      <c r="AN37" s="28" t="b">
        <f t="shared" si="26"/>
        <v>1</v>
      </c>
      <c r="AO37" s="3" t="str">
        <f>IF(ISERROR(MATCH(A37,'SegEnds_Xtal_Prot#'!B:B, 0)), "NoXtal", "Xtal")</f>
        <v>NoXtal</v>
      </c>
      <c r="AP37" s="3">
        <f t="shared" si="1"/>
        <v>1</v>
      </c>
      <c r="AQ37" s="3">
        <f t="shared" si="2"/>
        <v>1</v>
      </c>
      <c r="AR37" s="3">
        <f t="shared" si="3"/>
        <v>2</v>
      </c>
      <c r="AS37" s="3">
        <f t="shared" si="4"/>
        <v>1</v>
      </c>
      <c r="AT37" s="3">
        <f t="shared" si="5"/>
        <v>1</v>
      </c>
      <c r="AU37" s="3">
        <f t="shared" si="6"/>
        <v>1</v>
      </c>
      <c r="AV37" s="3" t="str">
        <f t="shared" si="7"/>
        <v>-</v>
      </c>
      <c r="AW37" s="3" t="str">
        <f t="shared" si="8"/>
        <v>-</v>
      </c>
      <c r="AX37" s="3">
        <f t="shared" si="9"/>
        <v>9</v>
      </c>
      <c r="AY37" s="3">
        <f t="shared" si="10"/>
        <v>6</v>
      </c>
      <c r="AZ37" s="3">
        <f t="shared" si="11"/>
        <v>1</v>
      </c>
      <c r="BA37" s="3">
        <f>IF(ISERROR(LEN(VLOOKUP(A37,Seqs!A:E,2,FALSE))-AL37),"-",LEN(VLOOKUP(A37,Seqs!A:E,2,FALSE))-AL37)</f>
        <v>76</v>
      </c>
      <c r="BB37" s="16">
        <f t="shared" si="12"/>
        <v>28</v>
      </c>
      <c r="BC37" s="9">
        <f t="shared" si="13"/>
        <v>19</v>
      </c>
      <c r="BD37" s="3">
        <f t="shared" si="14"/>
        <v>28</v>
      </c>
      <c r="BE37" s="3">
        <f t="shared" si="15"/>
        <v>62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33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9"/>
        <v>65</v>
      </c>
      <c r="G38" s="3">
        <v>67</v>
      </c>
      <c r="H38" s="3">
        <f t="shared" si="30"/>
        <v>68</v>
      </c>
      <c r="I38" s="3">
        <f t="shared" si="30"/>
        <v>69</v>
      </c>
      <c r="J38" s="3">
        <v>82</v>
      </c>
      <c r="K38" s="3">
        <f>VLOOKUP($A38,'SegEnds_NonXtal_BW#'!$A:$Z,8,FALSE)+VLOOKUP($A38,A:AL,10,FALSE)-50</f>
        <v>99</v>
      </c>
      <c r="L38" s="3">
        <f t="shared" ref="L38:L49" si="31">M38-1</f>
        <v>101</v>
      </c>
      <c r="M38" s="3">
        <v>102</v>
      </c>
      <c r="N38" s="3">
        <f t="shared" ref="N38:N53" si="32">M38+2</f>
        <v>104</v>
      </c>
      <c r="O38" s="3">
        <f t="shared" si="28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3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ref="Z38:Z60" si="33">Y38+2</f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26"/>
        <v>1</v>
      </c>
      <c r="AO38" s="3" t="str">
        <f>IF(ISERROR(MATCH(A38,'SegEnds_Xtal_Prot#'!B:B, 0)), "NoXtal", "Xtal")</f>
        <v>NoXtal</v>
      </c>
      <c r="AP38" s="3">
        <f t="shared" si="1"/>
        <v>1</v>
      </c>
      <c r="AQ38" s="3">
        <f t="shared" si="2"/>
        <v>1</v>
      </c>
      <c r="AR38" s="3">
        <f t="shared" si="3"/>
        <v>2</v>
      </c>
      <c r="AS38" s="3">
        <f t="shared" si="4"/>
        <v>1</v>
      </c>
      <c r="AT38" s="3">
        <f t="shared" si="5"/>
        <v>1</v>
      </c>
      <c r="AU38" s="3">
        <f t="shared" si="6"/>
        <v>1</v>
      </c>
      <c r="AV38" s="3">
        <f t="shared" si="7"/>
        <v>13</v>
      </c>
      <c r="AW38" s="3">
        <f t="shared" si="8"/>
        <v>3</v>
      </c>
      <c r="AX38" s="3">
        <f t="shared" si="9"/>
        <v>101</v>
      </c>
      <c r="AY38" s="3">
        <f t="shared" si="10"/>
        <v>8</v>
      </c>
      <c r="AZ38" s="3">
        <f t="shared" si="11"/>
        <v>1</v>
      </c>
      <c r="BA38" s="3">
        <f>IF(ISERROR(LEN(VLOOKUP(A38,Seqs!A:E,2,FALSE))-AL38),"-",LEN(VLOOKUP(A38,Seqs!A:E,2,FALSE))-AL38)</f>
        <v>7</v>
      </c>
      <c r="BB38" s="16">
        <f t="shared" si="12"/>
        <v>28</v>
      </c>
      <c r="BC38" s="9">
        <f t="shared" si="13"/>
        <v>20</v>
      </c>
      <c r="BD38" s="3">
        <f t="shared" si="14"/>
        <v>28</v>
      </c>
      <c r="BE38" s="3">
        <f t="shared" si="15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46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9"/>
        <v>78</v>
      </c>
      <c r="G39" s="3">
        <v>80</v>
      </c>
      <c r="H39" s="3">
        <f t="shared" si="30"/>
        <v>81</v>
      </c>
      <c r="I39" s="3">
        <f t="shared" si="30"/>
        <v>82</v>
      </c>
      <c r="J39" s="3">
        <v>95</v>
      </c>
      <c r="K39" s="3">
        <f>VLOOKUP($A39,'SegEnds_NonXtal_BW#'!$A:$Z,8,FALSE)+VLOOKUP($A39,A:AL,10,FALSE)-50</f>
        <v>112</v>
      </c>
      <c r="L39" s="3">
        <f t="shared" si="31"/>
        <v>114</v>
      </c>
      <c r="M39" s="3">
        <v>115</v>
      </c>
      <c r="N39" s="3">
        <f t="shared" si="32"/>
        <v>117</v>
      </c>
      <c r="O39" s="3">
        <f t="shared" si="28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3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3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26"/>
        <v>1</v>
      </c>
      <c r="AO39" s="3" t="str">
        <f>IF(ISERROR(MATCH(A39,'SegEnds_Xtal_Prot#'!B:B, 0)), "NoXtal", "Xtal")</f>
        <v>Xtal</v>
      </c>
      <c r="AP39" s="3">
        <f t="shared" si="1"/>
        <v>1</v>
      </c>
      <c r="AQ39" s="3">
        <f t="shared" si="2"/>
        <v>1</v>
      </c>
      <c r="AR39" s="3">
        <f t="shared" si="3"/>
        <v>2</v>
      </c>
      <c r="AS39" s="3">
        <f t="shared" si="4"/>
        <v>1</v>
      </c>
      <c r="AT39" s="3">
        <f t="shared" si="5"/>
        <v>1</v>
      </c>
      <c r="AU39" s="3">
        <f t="shared" si="6"/>
        <v>1</v>
      </c>
      <c r="AV39" s="3">
        <f t="shared" si="7"/>
        <v>12</v>
      </c>
      <c r="AW39" s="3">
        <f t="shared" si="8"/>
        <v>4</v>
      </c>
      <c r="AX39" s="3">
        <f t="shared" si="9"/>
        <v>59</v>
      </c>
      <c r="AY39" s="3">
        <f t="shared" si="10"/>
        <v>8</v>
      </c>
      <c r="AZ39" s="3">
        <f t="shared" si="11"/>
        <v>1</v>
      </c>
      <c r="BA39" s="3">
        <f>IF(ISERROR(LEN(VLOOKUP(A39,Seqs!A:E,2,FALSE))-AL39),"-",LEN(VLOOKUP(A39,Seqs!A:E,2,FALSE))-AL39)</f>
        <v>6</v>
      </c>
      <c r="BB39" s="16">
        <f t="shared" si="12"/>
        <v>28</v>
      </c>
      <c r="BC39" s="9">
        <f t="shared" si="13"/>
        <v>20</v>
      </c>
      <c r="BD39" s="3">
        <f t="shared" si="14"/>
        <v>28</v>
      </c>
      <c r="BE39" s="3">
        <f t="shared" si="15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35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9"/>
        <v>67</v>
      </c>
      <c r="G40" s="3">
        <v>69</v>
      </c>
      <c r="H40" s="3">
        <f t="shared" si="30"/>
        <v>70</v>
      </c>
      <c r="I40" s="3">
        <f t="shared" si="30"/>
        <v>71</v>
      </c>
      <c r="J40" s="3">
        <v>84</v>
      </c>
      <c r="K40" s="3">
        <f>VLOOKUP($A40,'SegEnds_NonXtal_BW#'!$A:$Z,8,FALSE)+VLOOKUP($A40,A:AL,10,FALSE)-50</f>
        <v>101</v>
      </c>
      <c r="L40" s="3">
        <f t="shared" si="31"/>
        <v>103</v>
      </c>
      <c r="M40" s="3">
        <v>104</v>
      </c>
      <c r="N40" s="3">
        <f t="shared" si="32"/>
        <v>106</v>
      </c>
      <c r="O40" s="3">
        <f t="shared" si="28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3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3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26"/>
        <v>1</v>
      </c>
      <c r="AO40" s="3" t="str">
        <f>IF(ISERROR(MATCH(A40,'SegEnds_Xtal_Prot#'!B:B, 0)), "NoXtal", "Xtal")</f>
        <v>NoXtal</v>
      </c>
      <c r="AP40" s="3">
        <f t="shared" si="1"/>
        <v>1</v>
      </c>
      <c r="AQ40" s="3">
        <f t="shared" si="2"/>
        <v>1</v>
      </c>
      <c r="AR40" s="3">
        <f t="shared" si="3"/>
        <v>2</v>
      </c>
      <c r="AS40" s="3">
        <f t="shared" si="4"/>
        <v>1</v>
      </c>
      <c r="AT40" s="3">
        <f t="shared" si="5"/>
        <v>1</v>
      </c>
      <c r="AU40" s="3">
        <f t="shared" si="6"/>
        <v>1</v>
      </c>
      <c r="AV40" s="3">
        <f t="shared" si="7"/>
        <v>12</v>
      </c>
      <c r="AW40" s="3">
        <f t="shared" si="8"/>
        <v>4</v>
      </c>
      <c r="AX40" s="3">
        <f t="shared" si="9"/>
        <v>57</v>
      </c>
      <c r="AY40" s="3">
        <f t="shared" si="10"/>
        <v>8</v>
      </c>
      <c r="AZ40" s="3">
        <f t="shared" si="11"/>
        <v>1</v>
      </c>
      <c r="BA40" s="3">
        <f>IF(ISERROR(LEN(VLOOKUP(A40,Seqs!A:E,2,FALSE))-AL40),"-",LEN(VLOOKUP(A40,Seqs!A:E,2,FALSE))-AL40)</f>
        <v>6</v>
      </c>
      <c r="BB40" s="16">
        <f t="shared" si="12"/>
        <v>28</v>
      </c>
      <c r="BC40" s="9">
        <f t="shared" si="13"/>
        <v>20</v>
      </c>
      <c r="BD40" s="3">
        <f t="shared" si="14"/>
        <v>28</v>
      </c>
      <c r="BE40" s="3">
        <f t="shared" si="15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19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9"/>
        <v>51</v>
      </c>
      <c r="G41" s="3">
        <v>53</v>
      </c>
      <c r="H41" s="3">
        <f t="shared" si="30"/>
        <v>54</v>
      </c>
      <c r="I41" s="3">
        <f t="shared" si="30"/>
        <v>55</v>
      </c>
      <c r="J41" s="3">
        <v>68</v>
      </c>
      <c r="K41" s="3">
        <f>VLOOKUP($A41,'SegEnds_NonXtal_BW#'!$A:$Z,8,FALSE)+VLOOKUP($A41,A:AL,10,FALSE)-50</f>
        <v>85</v>
      </c>
      <c r="L41" s="3">
        <f t="shared" si="31"/>
        <v>87</v>
      </c>
      <c r="M41" s="3">
        <v>88</v>
      </c>
      <c r="N41" s="3">
        <f t="shared" si="32"/>
        <v>90</v>
      </c>
      <c r="O41" s="3">
        <f t="shared" si="28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3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3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26"/>
        <v>1</v>
      </c>
      <c r="AO41" s="3" t="str">
        <f>IF(ISERROR(MATCH(A41,'SegEnds_Xtal_Prot#'!B:B, 0)), "NoXtal", "Xtal")</f>
        <v>NoXtal</v>
      </c>
      <c r="AP41" s="3">
        <f t="shared" si="1"/>
        <v>1</v>
      </c>
      <c r="AQ41" s="3">
        <f t="shared" si="2"/>
        <v>1</v>
      </c>
      <c r="AR41" s="3">
        <f t="shared" si="3"/>
        <v>2</v>
      </c>
      <c r="AS41" s="3">
        <f t="shared" si="4"/>
        <v>1</v>
      </c>
      <c r="AT41" s="3">
        <f t="shared" si="5"/>
        <v>1</v>
      </c>
      <c r="AU41" s="3">
        <f t="shared" si="6"/>
        <v>1</v>
      </c>
      <c r="AV41" s="3">
        <f t="shared" si="7"/>
        <v>13</v>
      </c>
      <c r="AW41" s="3">
        <f t="shared" si="8"/>
        <v>4</v>
      </c>
      <c r="AX41" s="3">
        <f t="shared" si="9"/>
        <v>60</v>
      </c>
      <c r="AY41" s="3">
        <f t="shared" si="10"/>
        <v>5</v>
      </c>
      <c r="AZ41" s="3">
        <f t="shared" si="11"/>
        <v>1</v>
      </c>
      <c r="BA41" s="3">
        <f>IF(ISERROR(LEN(VLOOKUP(A41,Seqs!A:E,2,FALSE))-AL41),"-",LEN(VLOOKUP(A41,Seqs!A:E,2,FALSE))-AL41)</f>
        <v>6</v>
      </c>
      <c r="BB41" s="16">
        <f t="shared" si="12"/>
        <v>28</v>
      </c>
      <c r="BC41" s="9">
        <f t="shared" si="13"/>
        <v>20</v>
      </c>
      <c r="BD41" s="3">
        <f t="shared" si="14"/>
        <v>28</v>
      </c>
      <c r="BE41" s="3">
        <f t="shared" si="15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20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9"/>
        <v>52</v>
      </c>
      <c r="G42" s="3">
        <v>54</v>
      </c>
      <c r="H42" s="3">
        <f t="shared" si="30"/>
        <v>55</v>
      </c>
      <c r="I42" s="3">
        <f t="shared" si="30"/>
        <v>56</v>
      </c>
      <c r="J42" s="3">
        <v>69</v>
      </c>
      <c r="K42" s="3">
        <f>VLOOKUP($A42,'SegEnds_NonXtal_BW#'!$A:$Z,8,FALSE)+VLOOKUP($A42,A:AL,10,FALSE)-50</f>
        <v>86</v>
      </c>
      <c r="L42" s="3">
        <f t="shared" si="31"/>
        <v>88</v>
      </c>
      <c r="M42" s="3">
        <v>89</v>
      </c>
      <c r="N42" s="3">
        <f t="shared" si="32"/>
        <v>91</v>
      </c>
      <c r="O42" s="3">
        <f t="shared" si="28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3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3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ref="AN42:AN75" si="34">AND(IF(Y42="-",IF(AA42-W42&gt;3,TRUE,FALSE),TRUE),IF(M42="-",IF(O42-K42&gt;3,TRUE,FALSE),TRUE),C42&lt;E42,OR(E42&lt;F42,F42="-"),OR(F42&lt;H42,F42="-"),OR(H42&lt;I42,H42="-"),I42&lt;K42,OR(K42&lt;L42,L42="-"),OR(L42&lt;N42,L42="-"),OR(N42&lt;O42,N42="-"),O42&lt;Q42,OR(Q42&lt;R42,R42="-"),OR(R42&lt;T42,R42="-"),OR(T42&lt;U42,T42="-"),U42&lt;W42,OR(W42&lt;X42,X42="-"),OR(X42&lt;Z42,X42="-"),OR(Z42&lt;AA42,Z42="-"),AA42&lt;AC42,AC42&lt;AD42,AD42&lt;AF42,AF42&lt;AG42,AG42&lt;AI42,OR(AI42&lt;AJ42,AJ42="-"),OR(AJ42&lt;AL42,AJ42="-"))</f>
        <v>1</v>
      </c>
      <c r="AO42" s="3" t="str">
        <f>IF(ISERROR(MATCH(A42,'SegEnds_Xtal_Prot#'!B:B, 0)), "NoXtal", "Xtal")</f>
        <v>NoXtal</v>
      </c>
      <c r="AP42" s="3">
        <f t="shared" si="1"/>
        <v>1</v>
      </c>
      <c r="AQ42" s="3">
        <f t="shared" si="2"/>
        <v>1</v>
      </c>
      <c r="AR42" s="3">
        <f t="shared" si="3"/>
        <v>2</v>
      </c>
      <c r="AS42" s="3">
        <f t="shared" si="4"/>
        <v>1</v>
      </c>
      <c r="AT42" s="3">
        <f t="shared" si="5"/>
        <v>1</v>
      </c>
      <c r="AU42" s="3">
        <f t="shared" si="6"/>
        <v>1</v>
      </c>
      <c r="AV42" s="3">
        <f t="shared" si="7"/>
        <v>11</v>
      </c>
      <c r="AW42" s="3">
        <f t="shared" si="8"/>
        <v>4</v>
      </c>
      <c r="AX42" s="3">
        <f t="shared" si="9"/>
        <v>63</v>
      </c>
      <c r="AY42" s="3">
        <f t="shared" si="10"/>
        <v>6</v>
      </c>
      <c r="AZ42" s="3">
        <f t="shared" si="11"/>
        <v>1</v>
      </c>
      <c r="BA42" s="3">
        <f>IF(ISERROR(LEN(VLOOKUP(A42,Seqs!A:E,2,FALSE))-AL42),"-",LEN(VLOOKUP(A42,Seqs!A:E,2,FALSE))-AL42)</f>
        <v>4</v>
      </c>
      <c r="BB42" s="16">
        <f t="shared" si="12"/>
        <v>28</v>
      </c>
      <c r="BC42" s="9">
        <f t="shared" si="13"/>
        <v>20</v>
      </c>
      <c r="BD42" s="3">
        <f t="shared" si="14"/>
        <v>28</v>
      </c>
      <c r="BE42" s="3">
        <f t="shared" si="15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5ht2b_human</v>
      </c>
      <c r="C43" s="3">
        <f>VLOOKUP($A43,'SegEnds_NonXtal_BW#'!$A:$Z,3,FALSE)+D43-50</f>
        <v>74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9"/>
        <v>103</v>
      </c>
      <c r="G43" s="3">
        <v>105</v>
      </c>
      <c r="H43" s="3">
        <f t="shared" si="30"/>
        <v>106</v>
      </c>
      <c r="I43" s="3">
        <f t="shared" si="30"/>
        <v>107</v>
      </c>
      <c r="J43" s="3">
        <v>120</v>
      </c>
      <c r="K43" s="3">
        <f>VLOOKUP($A43,'SegEnds_NonXtal_BW#'!$A:$Z,8,FALSE)+VLOOKUP($A43,A:AL,10,FALSE)-50</f>
        <v>137</v>
      </c>
      <c r="L43" s="3">
        <f t="shared" si="31"/>
        <v>140</v>
      </c>
      <c r="M43" s="3">
        <v>141</v>
      </c>
      <c r="N43" s="3">
        <f t="shared" si="32"/>
        <v>143</v>
      </c>
      <c r="O43" s="3">
        <f t="shared" si="28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3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214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3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355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395</v>
      </c>
      <c r="AM43" s="28" t="str">
        <f>VLOOKUP(A43,Classification!A:B,2,FALSE)</f>
        <v>A</v>
      </c>
      <c r="AN43" s="28" t="b">
        <f t="shared" si="34"/>
        <v>1</v>
      </c>
      <c r="AO43" s="3" t="str">
        <f>IF(ISERROR(MATCH(A43,'SegEnds_Xtal_Prot#'!B:B, 0)), "NoXtal", "Xtal")</f>
        <v>NoXtal</v>
      </c>
      <c r="AP43" s="3">
        <f t="shared" si="1"/>
        <v>1</v>
      </c>
      <c r="AQ43" s="3">
        <f t="shared" si="2"/>
        <v>1</v>
      </c>
      <c r="AR43" s="3">
        <f t="shared" si="3"/>
        <v>3</v>
      </c>
      <c r="AS43" s="3">
        <f t="shared" si="4"/>
        <v>1</v>
      </c>
      <c r="AT43" s="3">
        <f t="shared" si="5"/>
        <v>1</v>
      </c>
      <c r="AU43" s="3">
        <f t="shared" si="6"/>
        <v>1</v>
      </c>
      <c r="AV43" s="3">
        <f t="shared" si="7"/>
        <v>13</v>
      </c>
      <c r="AW43" s="3">
        <f t="shared" si="8"/>
        <v>2</v>
      </c>
      <c r="AX43" s="3">
        <f t="shared" si="9"/>
        <v>40</v>
      </c>
      <c r="AY43" s="3">
        <f t="shared" si="10"/>
        <v>6</v>
      </c>
      <c r="AZ43" s="3">
        <f t="shared" si="11"/>
        <v>1</v>
      </c>
      <c r="BA43" s="3">
        <f>IF(ISERROR(LEN(VLOOKUP(A43,Seqs!A:E,2,FALSE))-AL43),"-",LEN(VLOOKUP(A43,Seqs!A:E,2,FALSE))-AL43)</f>
        <v>76</v>
      </c>
      <c r="BB43" s="16">
        <f t="shared" si="12"/>
        <v>28</v>
      </c>
      <c r="BC43" s="9">
        <f t="shared" si="13"/>
        <v>20</v>
      </c>
      <c r="BD43" s="3">
        <f t="shared" si="14"/>
        <v>28</v>
      </c>
      <c r="BE43" s="3">
        <f t="shared" si="15"/>
        <v>92</v>
      </c>
    </row>
    <row r="44" spans="1:58" s="3" customFormat="1" ht="17" customHeigh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54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9"/>
        <v>83</v>
      </c>
      <c r="G44" s="3">
        <v>85</v>
      </c>
      <c r="H44" s="3">
        <f t="shared" si="30"/>
        <v>86</v>
      </c>
      <c r="I44" s="3">
        <f t="shared" si="30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1"/>
        <v>120</v>
      </c>
      <c r="M44" s="3">
        <v>121</v>
      </c>
      <c r="N44" s="3">
        <f t="shared" si="32"/>
        <v>123</v>
      </c>
      <c r="O44" s="3">
        <f t="shared" si="28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3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3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355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34"/>
        <v>1</v>
      </c>
      <c r="AO44" s="3" t="str">
        <f>IF(ISERROR(MATCH(A44,'SegEnds_Xtal_Prot#'!B:B, 0)), "NoXtal", "Xtal")</f>
        <v>Xtal</v>
      </c>
      <c r="AP44" s="3">
        <f t="shared" si="1"/>
        <v>1</v>
      </c>
      <c r="AQ44" s="3">
        <f t="shared" si="2"/>
        <v>1</v>
      </c>
      <c r="AR44" s="3">
        <f t="shared" si="3"/>
        <v>3</v>
      </c>
      <c r="AS44" s="3">
        <f t="shared" si="4"/>
        <v>1</v>
      </c>
      <c r="AT44" s="3">
        <f t="shared" si="5"/>
        <v>1</v>
      </c>
      <c r="AU44" s="3">
        <f t="shared" si="6"/>
        <v>1</v>
      </c>
      <c r="AV44" s="3">
        <f t="shared" si="7"/>
        <v>13</v>
      </c>
      <c r="AW44" s="3">
        <f t="shared" si="8"/>
        <v>5</v>
      </c>
      <c r="AX44" s="3">
        <f t="shared" si="9"/>
        <v>58</v>
      </c>
      <c r="AY44" s="3">
        <f t="shared" si="10"/>
        <v>5</v>
      </c>
      <c r="AZ44" s="3">
        <f t="shared" si="11"/>
        <v>1</v>
      </c>
      <c r="BA44" s="3">
        <f>IF(ISERROR(LEN(VLOOKUP(A44,Seqs!A:E,2,FALSE))-AL44),"-",LEN(VLOOKUP(A44,Seqs!A:E,2,FALSE))-AL44)</f>
        <v>86</v>
      </c>
      <c r="BB44" s="16">
        <f t="shared" si="12"/>
        <v>28</v>
      </c>
      <c r="BC44" s="9">
        <f t="shared" si="13"/>
        <v>20</v>
      </c>
      <c r="BD44" s="3">
        <f t="shared" si="14"/>
        <v>28</v>
      </c>
      <c r="BE44" s="3">
        <f t="shared" si="15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5ht2b_human</v>
      </c>
      <c r="C45" s="3">
        <f>VLOOKUP($A45,'SegEnds_NonXtal_BW#'!$A:$Z,3,FALSE)+D45-50</f>
        <v>53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9"/>
        <v>82</v>
      </c>
      <c r="G45" s="3">
        <v>84</v>
      </c>
      <c r="H45" s="3">
        <f t="shared" si="30"/>
        <v>85</v>
      </c>
      <c r="I45" s="3">
        <f t="shared" si="30"/>
        <v>86</v>
      </c>
      <c r="J45" s="3">
        <v>99</v>
      </c>
      <c r="K45" s="3">
        <f>VLOOKUP($A45,'SegEnds_NonXtal_BW#'!$A:$Z,8,FALSE)+VLOOKUP($A45,A:AL,10,FALSE)-50</f>
        <v>116</v>
      </c>
      <c r="L45" s="3">
        <f t="shared" si="31"/>
        <v>119</v>
      </c>
      <c r="M45" s="3">
        <v>120</v>
      </c>
      <c r="N45" s="3">
        <f t="shared" si="32"/>
        <v>122</v>
      </c>
      <c r="O45" s="3">
        <f t="shared" si="28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3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193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3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343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383</v>
      </c>
      <c r="AM45" s="28" t="str">
        <f>VLOOKUP(A45,Classification!A:B,2,FALSE)</f>
        <v>A</v>
      </c>
      <c r="AN45" s="28" t="b">
        <f t="shared" si="34"/>
        <v>1</v>
      </c>
      <c r="AO45" s="3" t="str">
        <f>IF(ISERROR(MATCH(A45,'SegEnds_Xtal_Prot#'!B:B, 0)), "NoXtal", "Xtal")</f>
        <v>NoXtal</v>
      </c>
      <c r="AP45" s="3">
        <f t="shared" si="1"/>
        <v>1</v>
      </c>
      <c r="AQ45" s="3">
        <f t="shared" si="2"/>
        <v>1</v>
      </c>
      <c r="AR45" s="3">
        <f t="shared" si="3"/>
        <v>3</v>
      </c>
      <c r="AS45" s="3">
        <f t="shared" si="4"/>
        <v>1</v>
      </c>
      <c r="AT45" s="3">
        <f t="shared" si="5"/>
        <v>1</v>
      </c>
      <c r="AU45" s="3">
        <f t="shared" si="6"/>
        <v>1</v>
      </c>
      <c r="AV45" s="3">
        <f t="shared" si="7"/>
        <v>14</v>
      </c>
      <c r="AW45" s="3">
        <f t="shared" si="8"/>
        <v>2</v>
      </c>
      <c r="AX45" s="3">
        <f t="shared" si="9"/>
        <v>50</v>
      </c>
      <c r="AY45" s="3">
        <f t="shared" si="10"/>
        <v>6</v>
      </c>
      <c r="AZ45" s="3">
        <f t="shared" si="11"/>
        <v>1</v>
      </c>
      <c r="BA45" s="3">
        <f>IF(ISERROR(LEN(VLOOKUP(A45,Seqs!A:E,2,FALSE))-AL45),"-",LEN(VLOOKUP(A45,Seqs!A:E,2,FALSE))-AL45)</f>
        <v>75</v>
      </c>
      <c r="BB45" s="16">
        <f t="shared" si="12"/>
        <v>28</v>
      </c>
      <c r="BC45" s="9">
        <f t="shared" si="13"/>
        <v>20</v>
      </c>
      <c r="BD45" s="3">
        <f t="shared" si="14"/>
        <v>28</v>
      </c>
      <c r="BE45" s="3">
        <f t="shared" si="15"/>
        <v>100</v>
      </c>
    </row>
    <row r="46" spans="1:58" s="3" customFormat="1" x14ac:dyDescent="0.2">
      <c r="A46" s="3" t="s">
        <v>134</v>
      </c>
      <c r="B46" s="3" t="str">
        <f>LOWER(VLOOKUP(A46,Xtal_Templ!A:B,2,FALSE))</f>
        <v>adrb2_human</v>
      </c>
      <c r="C46" s="3">
        <f>VLOOKUP($A46,'SegEnds_NonXtal_BW#'!$A:$Z,3,FALSE)+D46-50</f>
        <v>12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9"/>
        <v>48</v>
      </c>
      <c r="G46" s="3">
        <v>50</v>
      </c>
      <c r="H46" s="3">
        <f t="shared" si="30"/>
        <v>51</v>
      </c>
      <c r="I46" s="3">
        <f t="shared" si="30"/>
        <v>52</v>
      </c>
      <c r="J46" s="3">
        <v>66</v>
      </c>
      <c r="K46" s="3">
        <f>VLOOKUP($A46,'SegEnds_NonXtal_BW#'!$A:$Z,8,FALSE)+VLOOKUP($A46,A:AL,10,FALSE)-50</f>
        <v>83</v>
      </c>
      <c r="L46" s="3">
        <f t="shared" si="31"/>
        <v>85</v>
      </c>
      <c r="M46" s="3">
        <v>86</v>
      </c>
      <c r="N46" s="3">
        <f t="shared" si="32"/>
        <v>88</v>
      </c>
      <c r="O46" s="3">
        <f t="shared" si="28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3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160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3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34"/>
        <v>1</v>
      </c>
      <c r="AO46" s="3" t="str">
        <f>IF(ISERROR(MATCH(A46,'SegEnds_Xtal_Prot#'!B:B, 0)), "NoXtal", "Xtal")</f>
        <v>NoXtal</v>
      </c>
      <c r="AP46" s="3">
        <f t="shared" si="1"/>
        <v>1</v>
      </c>
      <c r="AQ46" s="3">
        <f t="shared" si="2"/>
        <v>1</v>
      </c>
      <c r="AR46" s="3">
        <f t="shared" si="3"/>
        <v>2</v>
      </c>
      <c r="AS46" s="3">
        <f t="shared" si="4"/>
        <v>1</v>
      </c>
      <c r="AT46" s="3">
        <f t="shared" si="5"/>
        <v>2</v>
      </c>
      <c r="AU46" s="3">
        <f t="shared" si="6"/>
        <v>1</v>
      </c>
      <c r="AV46" s="3">
        <f t="shared" si="7"/>
        <v>24</v>
      </c>
      <c r="AW46" s="3">
        <f t="shared" si="8"/>
        <v>3</v>
      </c>
      <c r="AX46" s="3">
        <f t="shared" si="9"/>
        <v>18</v>
      </c>
      <c r="AY46" s="3">
        <f t="shared" si="10"/>
        <v>5</v>
      </c>
      <c r="AZ46" s="3">
        <f t="shared" si="11"/>
        <v>1</v>
      </c>
      <c r="BA46" s="3">
        <f>IF(ISERROR(LEN(VLOOKUP(A46,Seqs!A:E,2,FALSE))-AL46),"-",LEN(VLOOKUP(A46,Seqs!A:E,2,FALSE))-AL46)</f>
        <v>60</v>
      </c>
      <c r="BB46" s="16">
        <f t="shared" si="12"/>
        <v>29</v>
      </c>
      <c r="BC46" s="9">
        <f t="shared" si="13"/>
        <v>20</v>
      </c>
      <c r="BD46" s="3">
        <f t="shared" si="14"/>
        <v>29</v>
      </c>
      <c r="BE46" s="3">
        <f t="shared" si="15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37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9"/>
        <v>69</v>
      </c>
      <c r="G47" s="3">
        <v>71</v>
      </c>
      <c r="H47" s="3">
        <f t="shared" si="30"/>
        <v>72</v>
      </c>
      <c r="I47" s="3">
        <f t="shared" si="30"/>
        <v>73</v>
      </c>
      <c r="J47" s="3">
        <v>86</v>
      </c>
      <c r="K47" s="3">
        <f>VLOOKUP($A47,'SegEnds_NonXtal_BW#'!$A:$Z,8,FALSE)+VLOOKUP($A47,A:AL,10,FALSE)-50</f>
        <v>103</v>
      </c>
      <c r="L47" s="3">
        <f t="shared" si="31"/>
        <v>106</v>
      </c>
      <c r="M47" s="3">
        <v>107</v>
      </c>
      <c r="N47" s="3">
        <f t="shared" si="32"/>
        <v>109</v>
      </c>
      <c r="O47" s="3">
        <f t="shared" si="28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3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3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34"/>
        <v>1</v>
      </c>
      <c r="AO47" s="3" t="str">
        <f>IF(ISERROR(MATCH(A47,'SegEnds_Xtal_Prot#'!B:B, 0)), "NoXtal", "Xtal")</f>
        <v>NoXtal</v>
      </c>
      <c r="AP47" s="3">
        <f t="shared" si="1"/>
        <v>1</v>
      </c>
      <c r="AQ47" s="3">
        <f t="shared" si="2"/>
        <v>1</v>
      </c>
      <c r="AR47" s="3">
        <f t="shared" si="3"/>
        <v>3</v>
      </c>
      <c r="AS47" s="3">
        <f t="shared" si="4"/>
        <v>1</v>
      </c>
      <c r="AT47" s="3">
        <f t="shared" si="5"/>
        <v>1</v>
      </c>
      <c r="AU47" s="3">
        <f t="shared" si="6"/>
        <v>1</v>
      </c>
      <c r="AV47" s="3">
        <f t="shared" si="7"/>
        <v>13</v>
      </c>
      <c r="AW47" s="3">
        <f t="shared" si="8"/>
        <v>3</v>
      </c>
      <c r="AX47" s="3">
        <f t="shared" si="9"/>
        <v>36</v>
      </c>
      <c r="AY47" s="3">
        <f t="shared" si="10"/>
        <v>5</v>
      </c>
      <c r="AZ47" s="3">
        <f t="shared" si="11"/>
        <v>1</v>
      </c>
      <c r="BA47" s="3">
        <f>IF(ISERROR(LEN(VLOOKUP(A47,Seqs!A:E,2,FALSE))-AL47),"-",LEN(VLOOKUP(A47,Seqs!A:E,2,FALSE))-AL47)</f>
        <v>4</v>
      </c>
      <c r="BB47" s="16">
        <f t="shared" si="12"/>
        <v>28</v>
      </c>
      <c r="BC47" s="9">
        <f t="shared" si="13"/>
        <v>20</v>
      </c>
      <c r="BD47" s="3">
        <f t="shared" si="14"/>
        <v>28</v>
      </c>
      <c r="BE47" s="3">
        <f t="shared" si="15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5ht2b_human</v>
      </c>
      <c r="C48" s="3">
        <f>VLOOKUP($A48,'SegEnds_NonXtal_BW#'!$A:$Z,3,FALSE)+D48-50</f>
        <v>26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9"/>
        <v>55</v>
      </c>
      <c r="G48" s="3">
        <v>57</v>
      </c>
      <c r="H48" s="3">
        <f t="shared" si="30"/>
        <v>58</v>
      </c>
      <c r="I48" s="3">
        <f t="shared" si="30"/>
        <v>59</v>
      </c>
      <c r="J48" s="3">
        <v>72</v>
      </c>
      <c r="K48" s="3">
        <f>VLOOKUP($A48,'SegEnds_NonXtal_BW#'!$A:$Z,8,FALSE)+VLOOKUP($A48,A:AL,10,FALSE)-50</f>
        <v>89</v>
      </c>
      <c r="L48" s="3">
        <f t="shared" si="31"/>
        <v>91</v>
      </c>
      <c r="M48" s="3">
        <v>92</v>
      </c>
      <c r="N48" s="3">
        <f t="shared" si="32"/>
        <v>94</v>
      </c>
      <c r="O48" s="3">
        <f t="shared" si="28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3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165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3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335</v>
      </c>
      <c r="AM48" s="28" t="str">
        <f>VLOOKUP(A48,Classification!A:B,2,FALSE)</f>
        <v>A</v>
      </c>
      <c r="AN48" s="28" t="b">
        <f t="shared" si="34"/>
        <v>1</v>
      </c>
      <c r="AO48" s="3" t="str">
        <f>IF(ISERROR(MATCH(A48,'SegEnds_Xtal_Prot#'!B:B, 0)), "NoXtal", "Xtal")</f>
        <v>NoXtal</v>
      </c>
      <c r="AP48" s="3">
        <f t="shared" si="1"/>
        <v>1</v>
      </c>
      <c r="AQ48" s="3">
        <f t="shared" si="2"/>
        <v>1</v>
      </c>
      <c r="AR48" s="3">
        <f t="shared" si="3"/>
        <v>2</v>
      </c>
      <c r="AS48" s="3">
        <f t="shared" si="4"/>
        <v>1</v>
      </c>
      <c r="AT48" s="3">
        <f t="shared" si="5"/>
        <v>1</v>
      </c>
      <c r="AU48" s="3">
        <f t="shared" si="6"/>
        <v>1</v>
      </c>
      <c r="AV48" s="3">
        <f t="shared" si="7"/>
        <v>15</v>
      </c>
      <c r="AW48" s="3">
        <f t="shared" si="8"/>
        <v>3</v>
      </c>
      <c r="AX48" s="3">
        <f t="shared" si="9"/>
        <v>31</v>
      </c>
      <c r="AY48" s="3">
        <f t="shared" si="10"/>
        <v>5</v>
      </c>
      <c r="AZ48" s="3">
        <f t="shared" si="11"/>
        <v>1</v>
      </c>
      <c r="BA48" s="3">
        <f>IF(ISERROR(LEN(VLOOKUP(A48,Seqs!A:E,2,FALSE))-AL48),"-",LEN(VLOOKUP(A48,Seqs!A:E,2,FALSE))-AL48)</f>
        <v>105</v>
      </c>
      <c r="BB48" s="16">
        <f t="shared" si="12"/>
        <v>28</v>
      </c>
      <c r="BC48" s="9">
        <f t="shared" si="13"/>
        <v>20</v>
      </c>
      <c r="BD48" s="3">
        <f t="shared" si="14"/>
        <v>28</v>
      </c>
      <c r="BE48" s="3">
        <f t="shared" si="15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78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9"/>
        <v>110</v>
      </c>
      <c r="G49" s="3">
        <v>112</v>
      </c>
      <c r="H49" s="3">
        <f t="shared" si="30"/>
        <v>113</v>
      </c>
      <c r="I49" s="3">
        <f t="shared" si="30"/>
        <v>114</v>
      </c>
      <c r="J49" s="3">
        <v>127</v>
      </c>
      <c r="K49" s="3">
        <f>VLOOKUP($A49,'SegEnds_NonXtal_BW#'!$A:$Z,8,FALSE)+VLOOKUP($A49,A:AL,10,FALSE)-50</f>
        <v>144</v>
      </c>
      <c r="L49" s="3">
        <f t="shared" si="31"/>
        <v>147</v>
      </c>
      <c r="M49" s="3">
        <v>148</v>
      </c>
      <c r="N49" s="3">
        <f t="shared" si="32"/>
        <v>150</v>
      </c>
      <c r="O49" s="3">
        <f t="shared" si="28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3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3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359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34"/>
        <v>1</v>
      </c>
      <c r="AO49" s="3" t="str">
        <f>IF(ISERROR(MATCH(A49,'SegEnds_Xtal_Prot#'!B:B, 0)), "NoXtal", "Xtal")</f>
        <v>NoXtal</v>
      </c>
      <c r="AP49" s="3">
        <f t="shared" si="1"/>
        <v>1</v>
      </c>
      <c r="AQ49" s="3">
        <f t="shared" si="2"/>
        <v>1</v>
      </c>
      <c r="AR49" s="3">
        <f t="shared" si="3"/>
        <v>3</v>
      </c>
      <c r="AS49" s="3">
        <f t="shared" si="4"/>
        <v>1</v>
      </c>
      <c r="AT49" s="3">
        <f t="shared" si="5"/>
        <v>1</v>
      </c>
      <c r="AU49" s="3">
        <f t="shared" si="6"/>
        <v>1</v>
      </c>
      <c r="AV49" s="3">
        <f t="shared" si="7"/>
        <v>11</v>
      </c>
      <c r="AW49" s="3">
        <f t="shared" si="8"/>
        <v>3</v>
      </c>
      <c r="AX49" s="3">
        <f t="shared" si="9"/>
        <v>39</v>
      </c>
      <c r="AY49" s="3">
        <f t="shared" si="10"/>
        <v>6</v>
      </c>
      <c r="AZ49" s="3">
        <f t="shared" si="11"/>
        <v>1</v>
      </c>
      <c r="BA49" s="3">
        <f>IF(ISERROR(LEN(VLOOKUP(A49,Seqs!A:E,2,FALSE))-AL49),"-",LEN(VLOOKUP(A49,Seqs!A:E,2,FALSE))-AL49)</f>
        <v>80</v>
      </c>
      <c r="BB49" s="16">
        <f t="shared" si="12"/>
        <v>28</v>
      </c>
      <c r="BC49" s="9">
        <f t="shared" si="13"/>
        <v>20</v>
      </c>
      <c r="BD49" s="3">
        <f t="shared" si="14"/>
        <v>28</v>
      </c>
      <c r="BE49" s="3">
        <f t="shared" si="15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9"/>
        <v>38</v>
      </c>
      <c r="G50" s="3">
        <v>40</v>
      </c>
      <c r="H50" s="3">
        <f t="shared" si="30"/>
        <v>41</v>
      </c>
      <c r="I50" s="3">
        <f t="shared" si="30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2"/>
        <v>75</v>
      </c>
      <c r="O50" s="3">
        <f t="shared" si="28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3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3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214</v>
      </c>
      <c r="AD50" s="3">
        <f>IF(ISERROR(VLOOKUP($A50,'SegEnds_NonXtal_BW#'!$A:$Z,21,FALSE)+VLOOKUP($A50,A:AL,31,FALSE)-50),"-",(VLOOKUP($A50,'SegEnds_NonXtal_BW#'!$A:$Z,21,FALSE)+VLOOKUP($A50,A:AL,31,FALSE)-50))</f>
        <v>223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34"/>
        <v>1</v>
      </c>
      <c r="AO50" s="3" t="str">
        <f>IF(ISERROR(MATCH(A50,'SegEnds_Xtal_Prot#'!B:B, 0)), "NoXtal", "Xtal")</f>
        <v>Xtal</v>
      </c>
      <c r="AP50" s="3">
        <f t="shared" si="1"/>
        <v>1</v>
      </c>
      <c r="AQ50" s="3">
        <f t="shared" si="2"/>
        <v>1</v>
      </c>
      <c r="AR50" s="3">
        <f t="shared" si="3"/>
        <v>1</v>
      </c>
      <c r="AS50" s="3">
        <f t="shared" si="4"/>
        <v>1</v>
      </c>
      <c r="AT50" s="3">
        <f t="shared" si="5"/>
        <v>1</v>
      </c>
      <c r="AU50" s="3">
        <f t="shared" si="6"/>
        <v>1</v>
      </c>
      <c r="AV50" s="3">
        <f t="shared" si="7"/>
        <v>24</v>
      </c>
      <c r="AW50" s="3">
        <f t="shared" si="8"/>
        <v>5</v>
      </c>
      <c r="AX50" s="3">
        <f t="shared" si="9"/>
        <v>9</v>
      </c>
      <c r="AY50" s="3">
        <f t="shared" si="10"/>
        <v>6</v>
      </c>
      <c r="AZ50" s="3">
        <f t="shared" si="11"/>
        <v>1</v>
      </c>
      <c r="BA50" s="3">
        <f>IF(ISERROR(LEN(VLOOKUP(A50,Seqs!A:E,2,FALSE))-AL50),"-",LEN(VLOOKUP(A50,Seqs!A:E,2,FALSE))-AL50)</f>
        <v>12</v>
      </c>
      <c r="BB50" s="16">
        <f t="shared" si="12"/>
        <v>28</v>
      </c>
      <c r="BC50" s="9">
        <f t="shared" si="13"/>
        <v>20</v>
      </c>
      <c r="BD50" s="3">
        <f t="shared" si="14"/>
        <v>28</v>
      </c>
      <c r="BE50" s="3">
        <f t="shared" si="15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9"/>
        <v>35</v>
      </c>
      <c r="G51" s="3">
        <v>37</v>
      </c>
      <c r="H51" s="3">
        <f t="shared" si="30"/>
        <v>38</v>
      </c>
      <c r="I51" s="3">
        <f t="shared" si="30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2"/>
        <v>72</v>
      </c>
      <c r="O51" s="3">
        <f t="shared" si="28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3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3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34"/>
        <v>1</v>
      </c>
      <c r="AO51" s="3" t="str">
        <f>IF(ISERROR(MATCH(A51,'SegEnds_Xtal_Prot#'!B:B, 0)), "NoXtal", "Xtal")</f>
        <v>Xtal</v>
      </c>
      <c r="AP51" s="3">
        <f t="shared" si="1"/>
        <v>1</v>
      </c>
      <c r="AQ51" s="3">
        <f t="shared" si="2"/>
        <v>1</v>
      </c>
      <c r="AR51" s="3">
        <f t="shared" si="3"/>
        <v>1</v>
      </c>
      <c r="AS51" s="3">
        <f t="shared" si="4"/>
        <v>1</v>
      </c>
      <c r="AT51" s="3">
        <f t="shared" si="5"/>
        <v>1</v>
      </c>
      <c r="AU51" s="3">
        <f t="shared" si="6"/>
        <v>1</v>
      </c>
      <c r="AV51" s="3">
        <f t="shared" si="7"/>
        <v>24</v>
      </c>
      <c r="AW51" s="3">
        <f t="shared" si="8"/>
        <v>5</v>
      </c>
      <c r="AX51" s="3">
        <f t="shared" si="9"/>
        <v>6</v>
      </c>
      <c r="AY51" s="3">
        <f t="shared" si="10"/>
        <v>7</v>
      </c>
      <c r="AZ51" s="3">
        <f t="shared" si="11"/>
        <v>1</v>
      </c>
      <c r="BA51" s="3">
        <f>IF(ISERROR(LEN(VLOOKUP(A51,Seqs!A:E,2,FALSE))-AL51),"-",LEN(VLOOKUP(A51,Seqs!A:E,2,FALSE))-AL51)</f>
        <v>98</v>
      </c>
      <c r="BB51" s="16">
        <f t="shared" si="12"/>
        <v>28</v>
      </c>
      <c r="BC51" s="9">
        <f t="shared" si="13"/>
        <v>20</v>
      </c>
      <c r="BD51" s="3">
        <f t="shared" si="14"/>
        <v>28</v>
      </c>
      <c r="BE51" s="3">
        <f t="shared" si="15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9"/>
        <v>36</v>
      </c>
      <c r="G52" s="3">
        <v>38</v>
      </c>
      <c r="H52" s="3">
        <f t="shared" si="30"/>
        <v>39</v>
      </c>
      <c r="I52" s="3">
        <f t="shared" si="30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2"/>
        <v>73</v>
      </c>
      <c r="O52" s="3">
        <f t="shared" si="28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3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3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265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34"/>
        <v>1</v>
      </c>
      <c r="AO52" s="3" t="str">
        <f>IF(ISERROR(MATCH(A52,'SegEnds_Xtal_Prot#'!B:B, 0)), "NoXtal", "Xtal")</f>
        <v>NoXtal</v>
      </c>
      <c r="AP52" s="3">
        <f t="shared" si="1"/>
        <v>1</v>
      </c>
      <c r="AQ52" s="3">
        <f t="shared" si="2"/>
        <v>1</v>
      </c>
      <c r="AR52" s="3">
        <f t="shared" si="3"/>
        <v>1</v>
      </c>
      <c r="AS52" s="3">
        <f t="shared" si="4"/>
        <v>1</v>
      </c>
      <c r="AT52" s="3">
        <f t="shared" si="5"/>
        <v>1</v>
      </c>
      <c r="AU52" s="3">
        <f t="shared" si="6"/>
        <v>1</v>
      </c>
      <c r="AV52" s="3">
        <f t="shared" si="7"/>
        <v>28</v>
      </c>
      <c r="AW52" s="3">
        <f t="shared" si="8"/>
        <v>5</v>
      </c>
      <c r="AX52" s="3">
        <f t="shared" si="9"/>
        <v>4</v>
      </c>
      <c r="AY52" s="3">
        <f t="shared" si="10"/>
        <v>5</v>
      </c>
      <c r="AZ52" s="3">
        <f t="shared" si="11"/>
        <v>1</v>
      </c>
      <c r="BA52" s="3">
        <f>IF(ISERROR(LEN(VLOOKUP(A52,Seqs!A:E,2,FALSE))-AL52),"-",LEN(VLOOKUP(A52,Seqs!A:E,2,FALSE))-AL52)</f>
        <v>16</v>
      </c>
      <c r="BB52" s="16">
        <f t="shared" si="12"/>
        <v>28</v>
      </c>
      <c r="BC52" s="9">
        <f t="shared" si="13"/>
        <v>20</v>
      </c>
      <c r="BD52" s="3">
        <f t="shared" si="14"/>
        <v>28</v>
      </c>
      <c r="BE52" s="3">
        <f t="shared" si="15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9"/>
        <v>41</v>
      </c>
      <c r="G53" s="3">
        <v>43</v>
      </c>
      <c r="H53" s="3">
        <f t="shared" si="30"/>
        <v>44</v>
      </c>
      <c r="I53" s="3">
        <f t="shared" si="30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2"/>
        <v>78</v>
      </c>
      <c r="O53" s="3">
        <f t="shared" si="28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3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3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34"/>
        <v>1</v>
      </c>
      <c r="AO53" s="3" t="str">
        <f>IF(ISERROR(MATCH(A53,'SegEnds_Xtal_Prot#'!B:B, 0)), "NoXtal", "Xtal")</f>
        <v>NoXtal</v>
      </c>
      <c r="AP53" s="3">
        <f t="shared" si="1"/>
        <v>1</v>
      </c>
      <c r="AQ53" s="3">
        <f t="shared" si="2"/>
        <v>1</v>
      </c>
      <c r="AR53" s="3">
        <f t="shared" si="3"/>
        <v>1</v>
      </c>
      <c r="AS53" s="3">
        <f t="shared" si="4"/>
        <v>1</v>
      </c>
      <c r="AT53" s="3">
        <f t="shared" si="5"/>
        <v>1</v>
      </c>
      <c r="AU53" s="3">
        <f t="shared" si="6"/>
        <v>1</v>
      </c>
      <c r="AV53" s="3">
        <f t="shared" si="7"/>
        <v>18</v>
      </c>
      <c r="AW53" s="3">
        <f t="shared" si="8"/>
        <v>5</v>
      </c>
      <c r="AX53" s="3">
        <f t="shared" si="9"/>
        <v>5</v>
      </c>
      <c r="AY53" s="3">
        <f t="shared" si="10"/>
        <v>5</v>
      </c>
      <c r="AZ53" s="3">
        <f t="shared" si="11"/>
        <v>1</v>
      </c>
      <c r="BA53" s="3">
        <f>IF(ISERROR(LEN(VLOOKUP(A53,Seqs!A:E,2,FALSE))-AL53),"-",LEN(VLOOKUP(A53,Seqs!A:E,2,FALSE))-AL53)</f>
        <v>10</v>
      </c>
      <c r="BB53" s="16">
        <f t="shared" si="12"/>
        <v>28</v>
      </c>
      <c r="BC53" s="9">
        <f t="shared" si="13"/>
        <v>20</v>
      </c>
      <c r="BD53" s="3">
        <f t="shared" si="14"/>
        <v>28</v>
      </c>
      <c r="BE53" s="3">
        <f t="shared" si="15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9"/>
        <v>75</v>
      </c>
      <c r="G54" s="3">
        <v>77</v>
      </c>
      <c r="H54" s="3">
        <f t="shared" ref="H54:I72" si="35">G54+1</f>
        <v>78</v>
      </c>
      <c r="I54" s="3">
        <f t="shared" si="35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3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3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34"/>
        <v>1</v>
      </c>
      <c r="AO54" s="3" t="str">
        <f>IF(ISERROR(MATCH(A54,'SegEnds_Xtal_Prot#'!B:B, 0)), "NoXtal", "Xtal")</f>
        <v>NoXtal</v>
      </c>
      <c r="AP54" s="3">
        <f t="shared" si="1"/>
        <v>1</v>
      </c>
      <c r="AQ54" s="3">
        <f t="shared" si="2"/>
        <v>1</v>
      </c>
      <c r="AR54" s="3">
        <f t="shared" si="3"/>
        <v>1</v>
      </c>
      <c r="AS54" s="3">
        <f t="shared" si="4"/>
        <v>1</v>
      </c>
      <c r="AT54" s="3">
        <f t="shared" si="5"/>
        <v>1</v>
      </c>
      <c r="AU54" s="3">
        <f t="shared" si="6"/>
        <v>1</v>
      </c>
      <c r="AV54" s="3">
        <f t="shared" si="7"/>
        <v>12</v>
      </c>
      <c r="AW54" s="3">
        <f t="shared" si="8"/>
        <v>5</v>
      </c>
      <c r="AX54" s="3">
        <f t="shared" si="9"/>
        <v>5</v>
      </c>
      <c r="AY54" s="3">
        <f t="shared" si="10"/>
        <v>4</v>
      </c>
      <c r="AZ54" s="3">
        <f t="shared" si="11"/>
        <v>1</v>
      </c>
      <c r="BA54" s="3">
        <f>IF(ISERROR(LEN(VLOOKUP(A54,Seqs!A:E,2,FALSE))-AL54),"-",LEN(VLOOKUP(A54,Seqs!A:E,2,FALSE))-AL54)</f>
        <v>56</v>
      </c>
      <c r="BB54" s="16">
        <f t="shared" si="12"/>
        <v>28</v>
      </c>
      <c r="BC54" s="9">
        <f t="shared" si="13"/>
        <v>20</v>
      </c>
      <c r="BD54" s="3">
        <f t="shared" si="14"/>
        <v>28</v>
      </c>
      <c r="BE54" s="3">
        <f t="shared" si="15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9"/>
        <v>54</v>
      </c>
      <c r="G55" s="3">
        <v>56</v>
      </c>
      <c r="H55" s="3">
        <f t="shared" si="35"/>
        <v>57</v>
      </c>
      <c r="I55" s="3">
        <f t="shared" si="35"/>
        <v>58</v>
      </c>
      <c r="J55" s="3">
        <v>71</v>
      </c>
      <c r="K55" s="3">
        <f>VLOOKUP($A55,'SegEnds_NonXtal_BW#'!$A:$Z,8,FALSE)+VLOOKUP($A55,A:AL,10,FALSE)-50</f>
        <v>88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6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3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3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34"/>
        <v>1</v>
      </c>
      <c r="AO55" s="3" t="str">
        <f>IF(ISERROR(MATCH(A55,'SegEnds_Xtal_Prot#'!B:B, 0)), "NoXtal", "Xtal")</f>
        <v>Xtal</v>
      </c>
      <c r="AP55" s="3">
        <f t="shared" si="1"/>
        <v>1</v>
      </c>
      <c r="AQ55" s="3">
        <f t="shared" si="2"/>
        <v>1</v>
      </c>
      <c r="AR55" s="3">
        <f t="shared" si="3"/>
        <v>2</v>
      </c>
      <c r="AS55" s="3">
        <f t="shared" si="4"/>
        <v>1</v>
      </c>
      <c r="AT55" s="3">
        <f t="shared" si="5"/>
        <v>1</v>
      </c>
      <c r="AU55" s="3">
        <f t="shared" si="6"/>
        <v>1</v>
      </c>
      <c r="AV55" s="3">
        <f t="shared" si="7"/>
        <v>9</v>
      </c>
      <c r="AW55" s="3">
        <f t="shared" si="8"/>
        <v>5</v>
      </c>
      <c r="AX55" s="3">
        <f t="shared" si="9"/>
        <v>129</v>
      </c>
      <c r="AY55" s="3">
        <f t="shared" si="10"/>
        <v>5</v>
      </c>
      <c r="AZ55" s="3">
        <f t="shared" si="11"/>
        <v>1</v>
      </c>
      <c r="BA55" s="3">
        <f>IF(ISERROR(LEN(VLOOKUP(A55,Seqs!A:E,2,FALSE))-AL55),"-",LEN(VLOOKUP(A55,Seqs!A:E,2,FALSE))-AL55)</f>
        <v>26</v>
      </c>
      <c r="BB55" s="16">
        <f t="shared" si="12"/>
        <v>28</v>
      </c>
      <c r="BC55" s="9">
        <f t="shared" si="13"/>
        <v>20</v>
      </c>
      <c r="BD55" s="3">
        <f t="shared" si="14"/>
        <v>28</v>
      </c>
      <c r="BE55" s="3">
        <f t="shared" si="15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9"/>
        <v>52</v>
      </c>
      <c r="G56" s="3">
        <v>54</v>
      </c>
      <c r="H56" s="3">
        <f t="shared" si="35"/>
        <v>55</v>
      </c>
      <c r="I56" s="3">
        <f t="shared" si="35"/>
        <v>56</v>
      </c>
      <c r="J56" s="3">
        <v>69</v>
      </c>
      <c r="K56" s="3">
        <f>VLOOKUP($A56,'SegEnds_NonXtal_BW#'!$A:$Z,8,FALSE)+VLOOKUP($A56,A:AL,10,FALSE)-50</f>
        <v>86</v>
      </c>
      <c r="L56" s="3">
        <f>M56-1</f>
        <v>88</v>
      </c>
      <c r="M56" s="3">
        <v>89</v>
      </c>
      <c r="N56" s="3">
        <f>M56+2</f>
        <v>91</v>
      </c>
      <c r="O56" s="3">
        <f t="shared" si="36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3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3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34"/>
        <v>1</v>
      </c>
      <c r="AO56" s="3" t="str">
        <f>IF(ISERROR(MATCH(A56,'SegEnds_Xtal_Prot#'!B:B, 0)), "NoXtal", "Xtal")</f>
        <v>Xtal</v>
      </c>
      <c r="AP56" s="3">
        <f t="shared" si="1"/>
        <v>1</v>
      </c>
      <c r="AQ56" s="3">
        <f t="shared" si="2"/>
        <v>1</v>
      </c>
      <c r="AR56" s="3">
        <f t="shared" si="3"/>
        <v>2</v>
      </c>
      <c r="AS56" s="3">
        <f t="shared" si="4"/>
        <v>1</v>
      </c>
      <c r="AT56" s="3">
        <f t="shared" si="5"/>
        <v>1</v>
      </c>
      <c r="AU56" s="3">
        <f t="shared" si="6"/>
        <v>1</v>
      </c>
      <c r="AV56" s="3">
        <f t="shared" si="7"/>
        <v>9</v>
      </c>
      <c r="AW56" s="3">
        <f t="shared" si="8"/>
        <v>5</v>
      </c>
      <c r="AX56" s="3">
        <f t="shared" si="9"/>
        <v>153</v>
      </c>
      <c r="AY56" s="3">
        <f t="shared" si="10"/>
        <v>5</v>
      </c>
      <c r="AZ56" s="3">
        <f t="shared" si="11"/>
        <v>1</v>
      </c>
      <c r="BA56" s="3">
        <f>IF(ISERROR(LEN(VLOOKUP(A56,Seqs!A:E,2,FALSE))-AL56),"-",LEN(VLOOKUP(A56,Seqs!A:E,2,FALSE))-AL56)</f>
        <v>10</v>
      </c>
      <c r="BB56" s="16">
        <f t="shared" si="12"/>
        <v>28</v>
      </c>
      <c r="BC56" s="9">
        <f t="shared" si="13"/>
        <v>20</v>
      </c>
      <c r="BD56" s="3">
        <f t="shared" si="14"/>
        <v>28</v>
      </c>
      <c r="BE56" s="3">
        <f t="shared" si="15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9"/>
        <v>97</v>
      </c>
      <c r="G57" s="3">
        <v>99</v>
      </c>
      <c r="H57" s="3">
        <f t="shared" si="35"/>
        <v>100</v>
      </c>
      <c r="I57" s="3">
        <f t="shared" si="35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6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3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3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34"/>
        <v>1</v>
      </c>
      <c r="AO57" s="3" t="str">
        <f>IF(ISERROR(MATCH(A57,'SegEnds_Xtal_Prot#'!B:B, 0)), "NoXtal", "Xtal")</f>
        <v>NoXtal</v>
      </c>
      <c r="AP57" s="3">
        <f t="shared" si="1"/>
        <v>1</v>
      </c>
      <c r="AQ57" s="3">
        <f t="shared" si="2"/>
        <v>1</v>
      </c>
      <c r="AR57" s="3">
        <f t="shared" si="3"/>
        <v>2</v>
      </c>
      <c r="AS57" s="3">
        <f t="shared" si="4"/>
        <v>1</v>
      </c>
      <c r="AT57" s="3">
        <f t="shared" si="5"/>
        <v>1</v>
      </c>
      <c r="AU57" s="3">
        <f t="shared" si="6"/>
        <v>1</v>
      </c>
      <c r="AV57" s="3">
        <f t="shared" si="7"/>
        <v>9</v>
      </c>
      <c r="AW57" s="3">
        <f t="shared" si="8"/>
        <v>5</v>
      </c>
      <c r="AX57" s="3">
        <f t="shared" si="9"/>
        <v>212</v>
      </c>
      <c r="AY57" s="3">
        <f t="shared" si="10"/>
        <v>5</v>
      </c>
      <c r="AZ57" s="3">
        <f t="shared" si="11"/>
        <v>1</v>
      </c>
      <c r="BA57" s="3">
        <f>IF(ISERROR(LEN(VLOOKUP(A57,Seqs!A:E,2,FALSE))-AL57),"-",LEN(VLOOKUP(A57,Seqs!A:E,2,FALSE))-AL57)</f>
        <v>31</v>
      </c>
      <c r="BB57" s="16">
        <f t="shared" si="12"/>
        <v>28</v>
      </c>
      <c r="BC57" s="9">
        <f t="shared" si="13"/>
        <v>20</v>
      </c>
      <c r="BD57" s="3">
        <f t="shared" si="14"/>
        <v>28</v>
      </c>
      <c r="BE57" s="3">
        <f t="shared" si="15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9"/>
        <v>96</v>
      </c>
      <c r="G58" s="3">
        <v>98</v>
      </c>
      <c r="H58" s="3">
        <f t="shared" si="35"/>
        <v>99</v>
      </c>
      <c r="I58" s="3">
        <f t="shared" si="35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6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3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3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34"/>
        <v>1</v>
      </c>
      <c r="AO58" s="3" t="str">
        <f>IF(ISERROR(MATCH(A58,'SegEnds_Xtal_Prot#'!B:B, 0)), "NoXtal", "Xtal")</f>
        <v>Xtal</v>
      </c>
      <c r="AP58" s="3">
        <f t="shared" si="1"/>
        <v>1</v>
      </c>
      <c r="AQ58" s="3">
        <f t="shared" si="2"/>
        <v>1</v>
      </c>
      <c r="AR58" s="3">
        <f t="shared" si="3"/>
        <v>2</v>
      </c>
      <c r="AS58" s="3">
        <f t="shared" si="4"/>
        <v>1</v>
      </c>
      <c r="AT58" s="3">
        <f t="shared" si="5"/>
        <v>1</v>
      </c>
      <c r="AU58" s="3">
        <f t="shared" si="6"/>
        <v>1</v>
      </c>
      <c r="AV58" s="3">
        <f t="shared" si="7"/>
        <v>9</v>
      </c>
      <c r="AW58" s="3">
        <f t="shared" si="8"/>
        <v>5</v>
      </c>
      <c r="AX58" s="3">
        <f t="shared" si="9"/>
        <v>212</v>
      </c>
      <c r="AY58" s="3">
        <f t="shared" si="10"/>
        <v>5</v>
      </c>
      <c r="AZ58" s="3">
        <f t="shared" si="11"/>
        <v>1</v>
      </c>
      <c r="BA58" s="3">
        <f>IF(ISERROR(LEN(VLOOKUP(A58,Seqs!A:E,2,FALSE))-AL58),"-",LEN(VLOOKUP(A58,Seqs!A:E,2,FALSE))-AL58)</f>
        <v>31</v>
      </c>
      <c r="BB58" s="16">
        <f t="shared" si="12"/>
        <v>28</v>
      </c>
      <c r="BC58" s="9">
        <f t="shared" si="13"/>
        <v>20</v>
      </c>
      <c r="BD58" s="3">
        <f t="shared" si="14"/>
        <v>28</v>
      </c>
      <c r="BE58" s="3">
        <f t="shared" si="15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9"/>
        <v>61</v>
      </c>
      <c r="G59" s="3">
        <v>63</v>
      </c>
      <c r="H59" s="3">
        <f t="shared" si="35"/>
        <v>64</v>
      </c>
      <c r="I59" s="3">
        <f t="shared" si="35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6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3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3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34"/>
        <v>1</v>
      </c>
      <c r="AO59" s="3" t="str">
        <f>IF(ISERROR(MATCH(A59,'SegEnds_Xtal_Prot#'!B:B, 0)), "NoXtal", "Xtal")</f>
        <v>Xtal</v>
      </c>
      <c r="AP59" s="3">
        <f t="shared" si="1"/>
        <v>1</v>
      </c>
      <c r="AQ59" s="3">
        <f t="shared" si="2"/>
        <v>1</v>
      </c>
      <c r="AR59" s="3">
        <f t="shared" si="3"/>
        <v>2</v>
      </c>
      <c r="AS59" s="3">
        <f t="shared" si="4"/>
        <v>1</v>
      </c>
      <c r="AT59" s="3">
        <f t="shared" si="5"/>
        <v>1</v>
      </c>
      <c r="AU59" s="3">
        <f t="shared" si="6"/>
        <v>1</v>
      </c>
      <c r="AV59" s="3">
        <f t="shared" si="7"/>
        <v>9</v>
      </c>
      <c r="AW59" s="3">
        <f t="shared" si="8"/>
        <v>5</v>
      </c>
      <c r="AX59" s="3">
        <f t="shared" si="9"/>
        <v>157</v>
      </c>
      <c r="AY59" s="3">
        <f t="shared" si="10"/>
        <v>5</v>
      </c>
      <c r="AZ59" s="3">
        <f t="shared" si="11"/>
        <v>1</v>
      </c>
      <c r="BA59" s="3">
        <f>IF(ISERROR(LEN(VLOOKUP(A59,Seqs!A:E,2,FALSE))-AL59),"-",LEN(VLOOKUP(A59,Seqs!A:E,2,FALSE))-AL59)</f>
        <v>10</v>
      </c>
      <c r="BB59" s="16">
        <f t="shared" si="12"/>
        <v>28</v>
      </c>
      <c r="BC59" s="9">
        <f t="shared" si="13"/>
        <v>20</v>
      </c>
      <c r="BD59" s="3">
        <f t="shared" si="14"/>
        <v>28</v>
      </c>
      <c r="BE59" s="3">
        <f t="shared" si="15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9"/>
        <v>59</v>
      </c>
      <c r="G60" s="3">
        <v>61</v>
      </c>
      <c r="H60" s="3">
        <f t="shared" si="35"/>
        <v>62</v>
      </c>
      <c r="I60" s="3">
        <f t="shared" si="35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6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3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3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34"/>
        <v>1</v>
      </c>
      <c r="AO60" s="3" t="str">
        <f>IF(ISERROR(MATCH(A60,'SegEnds_Xtal_Prot#'!B:B, 0)), "NoXtal", "Xtal")</f>
        <v>NoXtal</v>
      </c>
      <c r="AP60" s="3">
        <f t="shared" si="1"/>
        <v>1</v>
      </c>
      <c r="AQ60" s="3">
        <f t="shared" si="2"/>
        <v>1</v>
      </c>
      <c r="AR60" s="3">
        <f t="shared" si="3"/>
        <v>2</v>
      </c>
      <c r="AS60" s="3">
        <f t="shared" si="4"/>
        <v>1</v>
      </c>
      <c r="AT60" s="3">
        <f t="shared" si="5"/>
        <v>1</v>
      </c>
      <c r="AU60" s="3">
        <f t="shared" si="6"/>
        <v>1</v>
      </c>
      <c r="AV60" s="3">
        <f t="shared" si="7"/>
        <v>9</v>
      </c>
      <c r="AW60" s="3">
        <f t="shared" si="8"/>
        <v>5</v>
      </c>
      <c r="AX60" s="3">
        <f t="shared" si="9"/>
        <v>201</v>
      </c>
      <c r="AY60" s="3">
        <f t="shared" si="10"/>
        <v>5</v>
      </c>
      <c r="AZ60" s="3">
        <f t="shared" si="11"/>
        <v>1</v>
      </c>
      <c r="BA60" s="3">
        <f>IF(ISERROR(LEN(VLOOKUP(A60,Seqs!A:E,2,FALSE))-AL60),"-",LEN(VLOOKUP(A60,Seqs!A:E,2,FALSE))-AL60)</f>
        <v>22</v>
      </c>
      <c r="BB60" s="16">
        <f t="shared" si="12"/>
        <v>28</v>
      </c>
      <c r="BC60" s="9">
        <f t="shared" si="13"/>
        <v>20</v>
      </c>
      <c r="BD60" s="3">
        <f t="shared" si="14"/>
        <v>28</v>
      </c>
      <c r="BE60" s="3">
        <f t="shared" si="15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9"/>
        <v>53</v>
      </c>
      <c r="G61" s="3">
        <v>55</v>
      </c>
      <c r="H61" s="3">
        <f t="shared" si="35"/>
        <v>56</v>
      </c>
      <c r="I61" s="3">
        <f t="shared" si="35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3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251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34"/>
        <v>1</v>
      </c>
      <c r="AO61" s="3" t="str">
        <f>IF(ISERROR(MATCH(A61,'SegEnds_Xtal_Prot#'!B:B, 0)), "NoXtal", "Xtal")</f>
        <v>NoXtal</v>
      </c>
      <c r="AP61" s="3">
        <f t="shared" si="1"/>
        <v>1</v>
      </c>
      <c r="AQ61" s="3">
        <f t="shared" si="2"/>
        <v>1</v>
      </c>
      <c r="AR61" s="3" t="str">
        <f t="shared" si="3"/>
        <v>-</v>
      </c>
      <c r="AS61" s="3" t="str">
        <f t="shared" si="4"/>
        <v>-</v>
      </c>
      <c r="AT61" s="3">
        <f t="shared" si="5"/>
        <v>1</v>
      </c>
      <c r="AU61" s="3">
        <f t="shared" si="6"/>
        <v>1</v>
      </c>
      <c r="AV61" s="3" t="str">
        <f t="shared" si="7"/>
        <v>-</v>
      </c>
      <c r="AW61" s="3" t="str">
        <f t="shared" si="8"/>
        <v>-</v>
      </c>
      <c r="AX61" s="3">
        <f t="shared" si="9"/>
        <v>3</v>
      </c>
      <c r="AY61" s="3">
        <f t="shared" si="10"/>
        <v>6</v>
      </c>
      <c r="AZ61" s="3">
        <f t="shared" si="11"/>
        <v>1</v>
      </c>
      <c r="BA61" s="3">
        <f>IF(ISERROR(LEN(VLOOKUP(A61,Seqs!A:E,2,FALSE))-AL61),"-",LEN(VLOOKUP(A61,Seqs!A:E,2,FALSE))-AL61)</f>
        <v>5</v>
      </c>
      <c r="BB61" s="16">
        <f t="shared" si="12"/>
        <v>28</v>
      </c>
      <c r="BC61" s="9">
        <f t="shared" si="13"/>
        <v>20</v>
      </c>
      <c r="BD61" s="3">
        <f t="shared" si="14"/>
        <v>28</v>
      </c>
      <c r="BE61" s="3">
        <f t="shared" si="15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5ht1b_human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9"/>
        <v>55</v>
      </c>
      <c r="G62" s="3">
        <v>57</v>
      </c>
      <c r="H62" s="3">
        <f t="shared" si="35"/>
        <v>58</v>
      </c>
      <c r="I62" s="3">
        <f t="shared" si="35"/>
        <v>59</v>
      </c>
      <c r="J62" s="3">
        <v>72</v>
      </c>
      <c r="K62" s="3">
        <f>VLOOKUP($A62,'SegEnds_NonXtal_BW#'!$A:$Z,8,FALSE)+VLOOKUP($A62,A:AL,10,FALSE)-50</f>
        <v>89</v>
      </c>
      <c r="L62" s="3">
        <f t="shared" ref="L62:L68" si="37">M62-1</f>
        <v>91</v>
      </c>
      <c r="M62" s="3">
        <v>92</v>
      </c>
      <c r="N62" s="3">
        <f t="shared" ref="N62:N68" si="38">M62+2</f>
        <v>94</v>
      </c>
      <c r="O62" s="3">
        <f t="shared" ref="O62:O89" si="39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3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164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40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341</v>
      </c>
      <c r="AM62" s="28" t="str">
        <f>VLOOKUP(A62,Classification!A:B,2,FALSE)</f>
        <v>A</v>
      </c>
      <c r="AN62" s="28" t="b">
        <f t="shared" si="34"/>
        <v>1</v>
      </c>
      <c r="AO62" s="3" t="str">
        <f>IF(ISERROR(MATCH(A62,'SegEnds_Xtal_Prot#'!B:B, 0)), "NoXtal", "Xtal")</f>
        <v>NoXtal</v>
      </c>
      <c r="AP62" s="3">
        <f t="shared" si="1"/>
        <v>1</v>
      </c>
      <c r="AQ62" s="3">
        <f t="shared" si="2"/>
        <v>1</v>
      </c>
      <c r="AR62" s="3">
        <f t="shared" si="3"/>
        <v>2</v>
      </c>
      <c r="AS62" s="3">
        <f t="shared" si="4"/>
        <v>1</v>
      </c>
      <c r="AT62" s="3">
        <f t="shared" si="5"/>
        <v>1</v>
      </c>
      <c r="AU62" s="3">
        <f t="shared" si="6"/>
        <v>1</v>
      </c>
      <c r="AV62" s="3">
        <f t="shared" si="7"/>
        <v>12</v>
      </c>
      <c r="AW62" s="3">
        <f t="shared" si="8"/>
        <v>3</v>
      </c>
      <c r="AX62" s="3">
        <f t="shared" si="9"/>
        <v>39</v>
      </c>
      <c r="AY62" s="3">
        <f t="shared" si="10"/>
        <v>6</v>
      </c>
      <c r="AZ62" s="3">
        <f t="shared" si="11"/>
        <v>1</v>
      </c>
      <c r="BA62" s="3">
        <f>IF(ISERROR(LEN(VLOOKUP(A62,Seqs!A:E,2,FALSE))-AL62),"-",LEN(VLOOKUP(A62,Seqs!A:E,2,FALSE))-AL62)</f>
        <v>125</v>
      </c>
      <c r="BB62" s="16">
        <f t="shared" si="12"/>
        <v>28</v>
      </c>
      <c r="BC62" s="9">
        <f t="shared" si="13"/>
        <v>20</v>
      </c>
      <c r="BD62" s="3">
        <f t="shared" si="14"/>
        <v>28</v>
      </c>
      <c r="BE62" s="3">
        <f t="shared" si="15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drd3_human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9"/>
        <v>74</v>
      </c>
      <c r="G63" s="3">
        <v>76</v>
      </c>
      <c r="H63" s="3">
        <f t="shared" si="35"/>
        <v>77</v>
      </c>
      <c r="I63" s="3">
        <f t="shared" si="35"/>
        <v>78</v>
      </c>
      <c r="J63" s="3">
        <v>91</v>
      </c>
      <c r="K63" s="3">
        <f>VLOOKUP($A63,'SegEnds_NonXtal_BW#'!$A:$Z,8,FALSE)+VLOOKUP($A63,A:AL,10,FALSE)-50</f>
        <v>108</v>
      </c>
      <c r="L63" s="3">
        <f t="shared" si="37"/>
        <v>110</v>
      </c>
      <c r="M63" s="3">
        <v>111</v>
      </c>
      <c r="N63" s="3">
        <f t="shared" si="38"/>
        <v>113</v>
      </c>
      <c r="O63" s="3">
        <f t="shared" si="39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3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183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40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34"/>
        <v>1</v>
      </c>
      <c r="AO63" s="3" t="str">
        <f>IF(ISERROR(MATCH(A63,'SegEnds_Xtal_Prot#'!B:B, 0)), "NoXtal", "Xtal")</f>
        <v>NoXtal</v>
      </c>
      <c r="AP63" s="3">
        <f t="shared" si="1"/>
        <v>1</v>
      </c>
      <c r="AQ63" s="3">
        <f t="shared" si="2"/>
        <v>1</v>
      </c>
      <c r="AR63" s="3">
        <f t="shared" si="3"/>
        <v>2</v>
      </c>
      <c r="AS63" s="3">
        <f t="shared" si="4"/>
        <v>1</v>
      </c>
      <c r="AT63" s="3">
        <f t="shared" si="5"/>
        <v>1</v>
      </c>
      <c r="AU63" s="3">
        <f t="shared" si="6"/>
        <v>1</v>
      </c>
      <c r="AV63" s="3">
        <f t="shared" si="7"/>
        <v>12</v>
      </c>
      <c r="AW63" s="3">
        <f t="shared" si="8"/>
        <v>3</v>
      </c>
      <c r="AX63" s="3">
        <f t="shared" si="9"/>
        <v>44</v>
      </c>
      <c r="AY63" s="3">
        <f t="shared" si="10"/>
        <v>6</v>
      </c>
      <c r="AZ63" s="3">
        <f t="shared" si="11"/>
        <v>1</v>
      </c>
      <c r="BA63" s="3">
        <f>IF(ISERROR(LEN(VLOOKUP(A63,Seqs!A:E,2,FALSE))-AL63),"-",LEN(VLOOKUP(A63,Seqs!A:E,2,FALSE))-AL63)</f>
        <v>156</v>
      </c>
      <c r="BB63" s="16">
        <f t="shared" si="12"/>
        <v>28</v>
      </c>
      <c r="BC63" s="9">
        <f t="shared" si="13"/>
        <v>20</v>
      </c>
      <c r="BD63" s="3">
        <f t="shared" si="14"/>
        <v>28</v>
      </c>
      <c r="BE63" s="3">
        <f t="shared" si="15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adrb2_human</v>
      </c>
      <c r="C64" s="3">
        <f>VLOOKUP($A64,'SegEnds_NonXtal_BW#'!$A:$Z,3,FALSE)+D64-50</f>
        <v>89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9"/>
        <v>125</v>
      </c>
      <c r="G64" s="3">
        <v>127</v>
      </c>
      <c r="H64" s="3">
        <f t="shared" si="35"/>
        <v>128</v>
      </c>
      <c r="I64" s="3">
        <f t="shared" si="35"/>
        <v>129</v>
      </c>
      <c r="J64" s="3">
        <v>142</v>
      </c>
      <c r="K64" s="3">
        <f>VLOOKUP($A64,'SegEnds_NonXtal_BW#'!$A:$Z,8,FALSE)+VLOOKUP($A64,A:AL,10,FALSE)-50</f>
        <v>159</v>
      </c>
      <c r="L64" s="3">
        <f t="shared" si="37"/>
        <v>161</v>
      </c>
      <c r="M64" s="3">
        <v>162</v>
      </c>
      <c r="N64" s="3">
        <f t="shared" si="38"/>
        <v>164</v>
      </c>
      <c r="O64" s="3">
        <f t="shared" si="39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3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235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40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34"/>
        <v>1</v>
      </c>
      <c r="AO64" s="3" t="str">
        <f>IF(ISERROR(MATCH(A64,'SegEnds_Xtal_Prot#'!B:B, 0)), "NoXtal", "Xtal")</f>
        <v>NoXtal</v>
      </c>
      <c r="AP64" s="3">
        <f t="shared" si="1"/>
        <v>1</v>
      </c>
      <c r="AQ64" s="3">
        <f t="shared" si="2"/>
        <v>1</v>
      </c>
      <c r="AR64" s="3">
        <f t="shared" si="3"/>
        <v>2</v>
      </c>
      <c r="AS64" s="3">
        <f t="shared" si="4"/>
        <v>1</v>
      </c>
      <c r="AT64" s="3">
        <f t="shared" si="5"/>
        <v>1</v>
      </c>
      <c r="AU64" s="3">
        <f t="shared" si="6"/>
        <v>1</v>
      </c>
      <c r="AV64" s="3">
        <f t="shared" si="7"/>
        <v>11</v>
      </c>
      <c r="AW64" s="3">
        <f t="shared" si="8"/>
        <v>3</v>
      </c>
      <c r="AX64" s="3">
        <f t="shared" si="9"/>
        <v>47</v>
      </c>
      <c r="AY64" s="3">
        <f t="shared" si="10"/>
        <v>6</v>
      </c>
      <c r="AZ64" s="3">
        <f t="shared" si="11"/>
        <v>1</v>
      </c>
      <c r="BA64" s="3">
        <f>IF(ISERROR(LEN(VLOOKUP(A64,Seqs!A:E,2,FALSE))-AL64),"-",LEN(VLOOKUP(A64,Seqs!A:E,2,FALSE))-AL64)</f>
        <v>154</v>
      </c>
      <c r="BB64" s="16">
        <f t="shared" si="12"/>
        <v>28</v>
      </c>
      <c r="BC64" s="9">
        <f t="shared" si="13"/>
        <v>20</v>
      </c>
      <c r="BD64" s="3">
        <f t="shared" si="14"/>
        <v>28</v>
      </c>
      <c r="BE64" s="3">
        <f t="shared" si="15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drd3_human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9"/>
        <v>62</v>
      </c>
      <c r="G65" s="3">
        <v>64</v>
      </c>
      <c r="H65" s="3">
        <f t="shared" si="35"/>
        <v>65</v>
      </c>
      <c r="I65" s="3">
        <f t="shared" si="35"/>
        <v>66</v>
      </c>
      <c r="J65" s="3">
        <v>79</v>
      </c>
      <c r="K65" s="3">
        <f>VLOOKUP($A65,'SegEnds_NonXtal_BW#'!$A:$Z,8,FALSE)+VLOOKUP($A65,A:AL,10,FALSE)-50</f>
        <v>96</v>
      </c>
      <c r="L65" s="3">
        <f t="shared" si="37"/>
        <v>98</v>
      </c>
      <c r="M65" s="3">
        <v>99</v>
      </c>
      <c r="N65" s="3">
        <f t="shared" si="38"/>
        <v>101</v>
      </c>
      <c r="O65" s="3">
        <f t="shared" si="39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3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171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40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34"/>
        <v>1</v>
      </c>
      <c r="AO65" s="3" t="str">
        <f>IF(ISERROR(MATCH(A65,'SegEnds_Xtal_Prot#'!B:B, 0)), "NoXtal", "Xtal")</f>
        <v>NoXtal</v>
      </c>
      <c r="AP65" s="3">
        <f t="shared" si="1"/>
        <v>1</v>
      </c>
      <c r="AQ65" s="3">
        <f t="shared" si="2"/>
        <v>1</v>
      </c>
      <c r="AR65" s="3">
        <f t="shared" si="3"/>
        <v>2</v>
      </c>
      <c r="AS65" s="3">
        <f t="shared" si="4"/>
        <v>1</v>
      </c>
      <c r="AT65" s="3">
        <f t="shared" si="5"/>
        <v>1</v>
      </c>
      <c r="AU65" s="3">
        <f t="shared" si="6"/>
        <v>1</v>
      </c>
      <c r="AV65" s="3">
        <f t="shared" si="7"/>
        <v>17</v>
      </c>
      <c r="AW65" s="3">
        <f t="shared" si="8"/>
        <v>3</v>
      </c>
      <c r="AX65" s="3">
        <f t="shared" si="9"/>
        <v>130</v>
      </c>
      <c r="AY65" s="3">
        <f t="shared" si="10"/>
        <v>5</v>
      </c>
      <c r="AZ65" s="3">
        <f t="shared" si="11"/>
        <v>1</v>
      </c>
      <c r="BA65" s="3">
        <f>IF(ISERROR(LEN(VLOOKUP(A65,Seqs!A:E,2,FALSE))-AL65),"-",LEN(VLOOKUP(A65,Seqs!A:E,2,FALSE))-AL65)</f>
        <v>8</v>
      </c>
      <c r="BB65" s="16">
        <f t="shared" si="12"/>
        <v>28</v>
      </c>
      <c r="BC65" s="9">
        <f t="shared" si="13"/>
        <v>20</v>
      </c>
      <c r="BD65" s="3">
        <f t="shared" si="14"/>
        <v>28</v>
      </c>
      <c r="BE65" s="3">
        <f t="shared" si="15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drd3_human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9"/>
        <v>41</v>
      </c>
      <c r="G66" s="3">
        <v>43</v>
      </c>
      <c r="H66" s="3">
        <f t="shared" si="35"/>
        <v>44</v>
      </c>
      <c r="I66" s="3">
        <f t="shared" si="35"/>
        <v>45</v>
      </c>
      <c r="J66" s="3">
        <v>58</v>
      </c>
      <c r="K66" s="3">
        <f>VLOOKUP($A66,'SegEnds_NonXtal_BW#'!$A:$Z,8,FALSE)+VLOOKUP($A66,A:AL,10,FALSE)-50</f>
        <v>75</v>
      </c>
      <c r="L66" s="3">
        <f t="shared" si="37"/>
        <v>77</v>
      </c>
      <c r="M66" s="3">
        <v>78</v>
      </c>
      <c r="N66" s="3">
        <f t="shared" si="38"/>
        <v>80</v>
      </c>
      <c r="O66" s="3">
        <f t="shared" si="39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3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150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40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34"/>
        <v>1</v>
      </c>
      <c r="AO66" s="3" t="str">
        <f>IF(ISERROR(MATCH(A66,'SegEnds_Xtal_Prot#'!B:B, 0)), "NoXtal", "Xtal")</f>
        <v>NoXtal</v>
      </c>
      <c r="AP66" s="3">
        <f t="shared" ref="AP66:AP129" si="41">IF(ISERROR(F66-E66),"-",F66-E66)</f>
        <v>1</v>
      </c>
      <c r="AQ66" s="3">
        <f t="shared" ref="AQ66:AQ129" si="42">IF(ISERROR(I66-H66),"-",I66-H66)</f>
        <v>1</v>
      </c>
      <c r="AR66" s="3">
        <f t="shared" ref="AR66:AR129" si="43">IF(ISERROR(L66-K66),"-",L66-K66)</f>
        <v>2</v>
      </c>
      <c r="AS66" s="3">
        <f t="shared" ref="AS66:AS129" si="44">IF(ISERROR(O66-N66),"-",O66-N66)</f>
        <v>1</v>
      </c>
      <c r="AT66" s="3">
        <f t="shared" ref="AT66:AT129" si="45">IF(ISERROR(R66-Q66),"-",R66-Q66)</f>
        <v>1</v>
      </c>
      <c r="AU66" s="3">
        <f t="shared" ref="AU66:AU129" si="46">IF(ISERROR(U66-T66),"-",U66-T66)</f>
        <v>1</v>
      </c>
      <c r="AV66" s="3">
        <f t="shared" ref="AV66:AV129" si="47">IF(ISERROR(X66-W66),"-",X66-W66)</f>
        <v>14</v>
      </c>
      <c r="AW66" s="3">
        <f t="shared" ref="AW66:AW129" si="48">IF(ISERROR(AA66-Z66),"-",AA66-Z66)</f>
        <v>3</v>
      </c>
      <c r="AX66" s="3">
        <f t="shared" ref="AX66:AX129" si="49">IF(ISERROR(AD66-AC66),"-",AD66-AC66)</f>
        <v>148</v>
      </c>
      <c r="AY66" s="3">
        <f t="shared" ref="AY66:AY129" si="50">IF(ISERROR(AG66-AF66),"-",AG66-AF66)</f>
        <v>7</v>
      </c>
      <c r="AZ66" s="3">
        <f t="shared" ref="AZ66:AZ129" si="51">IF(ISERROR(AJ66-AI66),"-",AJ66-AI66)</f>
        <v>1</v>
      </c>
      <c r="BA66" s="3">
        <f>IF(ISERROR(LEN(VLOOKUP(A66,Seqs!A:E,2,FALSE))-AL66),"-",LEN(VLOOKUP(A66,Seqs!A:E,2,FALSE))-AL66)</f>
        <v>8</v>
      </c>
      <c r="BB66" s="16">
        <f t="shared" ref="BB66:BB129" si="52">J66-D66</f>
        <v>28</v>
      </c>
      <c r="BC66" s="9">
        <f t="shared" ref="BC66:BC129" si="53">IF(ISERROR(V66-S66),"-",V66-S66)</f>
        <v>20</v>
      </c>
      <c r="BD66" s="3">
        <f t="shared" ref="BD66:BD129" si="54">J66-D66</f>
        <v>28</v>
      </c>
      <c r="BE66" s="3">
        <f t="shared" ref="BE66:BE129" si="55">AE66-AB66</f>
        <v>199</v>
      </c>
      <c r="BF66" s="3">
        <f>AH66-AE66</f>
        <v>37</v>
      </c>
    </row>
    <row r="67" spans="1:58" s="3" customFormat="1" ht="17" customHeight="1" x14ac:dyDescent="0.2">
      <c r="A67" s="3" t="s">
        <v>157</v>
      </c>
      <c r="B67" s="3" t="str">
        <f>LOWER(VLOOKUP(A67,Xtal_Templ!A:B,2,FALSE))</f>
        <v>drd3_human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9"/>
        <v>80</v>
      </c>
      <c r="G67" s="3">
        <v>82</v>
      </c>
      <c r="H67" s="3">
        <f t="shared" si="35"/>
        <v>83</v>
      </c>
      <c r="I67" s="3">
        <f t="shared" si="35"/>
        <v>84</v>
      </c>
      <c r="J67" s="3">
        <v>97</v>
      </c>
      <c r="K67" s="3">
        <f>VLOOKUP($A67,'SegEnds_NonXtal_BW#'!$A:$Z,8,FALSE)+VLOOKUP($A67,A:AL,10,FALSE)-50</f>
        <v>114</v>
      </c>
      <c r="L67" s="3">
        <f t="shared" si="37"/>
        <v>116</v>
      </c>
      <c r="M67" s="3">
        <v>117</v>
      </c>
      <c r="N67" s="3">
        <f t="shared" si="38"/>
        <v>119</v>
      </c>
      <c r="O67" s="3">
        <f t="shared" si="39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3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189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40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34"/>
        <v>1</v>
      </c>
      <c r="AO67" s="3" t="str">
        <f>IF(ISERROR(MATCH(A67,'SegEnds_Xtal_Prot#'!B:B, 0)), "NoXtal", "Xtal")</f>
        <v>NoXtal</v>
      </c>
      <c r="AP67" s="3">
        <f t="shared" si="41"/>
        <v>1</v>
      </c>
      <c r="AQ67" s="3">
        <f t="shared" si="42"/>
        <v>1</v>
      </c>
      <c r="AR67" s="3">
        <f t="shared" si="43"/>
        <v>2</v>
      </c>
      <c r="AS67" s="3">
        <f t="shared" si="44"/>
        <v>1</v>
      </c>
      <c r="AT67" s="3">
        <f t="shared" si="45"/>
        <v>1</v>
      </c>
      <c r="AU67" s="3">
        <f t="shared" si="46"/>
        <v>1</v>
      </c>
      <c r="AV67" s="3">
        <f t="shared" si="47"/>
        <v>13</v>
      </c>
      <c r="AW67" s="3">
        <f t="shared" si="48"/>
        <v>3</v>
      </c>
      <c r="AX67" s="3">
        <f t="shared" si="49"/>
        <v>124</v>
      </c>
      <c r="AY67" s="3">
        <f t="shared" si="50"/>
        <v>7</v>
      </c>
      <c r="AZ67" s="3">
        <f t="shared" si="51"/>
        <v>1</v>
      </c>
      <c r="BA67" s="3">
        <f>IF(ISERROR(LEN(VLOOKUP(A67,Seqs!A:E,2,FALSE))-AL67),"-",LEN(VLOOKUP(A67,Seqs!A:E,2,FALSE))-AL67)</f>
        <v>9</v>
      </c>
      <c r="BB67" s="16">
        <f t="shared" si="52"/>
        <v>28</v>
      </c>
      <c r="BC67" s="9">
        <f t="shared" si="53"/>
        <v>20</v>
      </c>
      <c r="BD67" s="3">
        <f t="shared" si="54"/>
        <v>28</v>
      </c>
      <c r="BE67" s="3">
        <f t="shared" si="55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9"/>
        <v>87</v>
      </c>
      <c r="G68" s="3">
        <v>89</v>
      </c>
      <c r="H68" s="3">
        <f t="shared" si="35"/>
        <v>90</v>
      </c>
      <c r="I68" s="3">
        <f t="shared" si="35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7"/>
        <v>123</v>
      </c>
      <c r="M68" s="3">
        <v>124</v>
      </c>
      <c r="N68" s="3">
        <f t="shared" si="38"/>
        <v>126</v>
      </c>
      <c r="O68" s="3">
        <f t="shared" si="39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3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40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34"/>
        <v>1</v>
      </c>
      <c r="AO68" s="3" t="str">
        <f>IF(ISERROR(MATCH(A68,'SegEnds_Xtal_Prot#'!B:B, 0)), "NoXtal", "Xtal")</f>
        <v>NoXtal</v>
      </c>
      <c r="AP68" s="3">
        <f t="shared" si="41"/>
        <v>1</v>
      </c>
      <c r="AQ68" s="3">
        <f t="shared" si="42"/>
        <v>1</v>
      </c>
      <c r="AR68" s="3">
        <f t="shared" si="43"/>
        <v>2</v>
      </c>
      <c r="AS68" s="3">
        <f t="shared" si="44"/>
        <v>1</v>
      </c>
      <c r="AT68" s="3">
        <f t="shared" si="45"/>
        <v>1</v>
      </c>
      <c r="AU68" s="3">
        <f t="shared" si="46"/>
        <v>1</v>
      </c>
      <c r="AV68" s="3">
        <f t="shared" si="47"/>
        <v>19</v>
      </c>
      <c r="AW68" s="3">
        <f t="shared" si="48"/>
        <v>3</v>
      </c>
      <c r="AX68" s="3">
        <f t="shared" si="49"/>
        <v>53</v>
      </c>
      <c r="AY68" s="3">
        <f t="shared" si="50"/>
        <v>5</v>
      </c>
      <c r="AZ68" s="3">
        <f t="shared" si="51"/>
        <v>1</v>
      </c>
      <c r="BA68" s="3">
        <f>IF(ISERROR(LEN(VLOOKUP(A68,Seqs!A:E,2,FALSE))-AL68),"-",LEN(VLOOKUP(A68,Seqs!A:E,2,FALSE))-AL68)</f>
        <v>85</v>
      </c>
      <c r="BB68" s="16">
        <f t="shared" si="52"/>
        <v>28</v>
      </c>
      <c r="BC68" s="9">
        <f t="shared" si="53"/>
        <v>20</v>
      </c>
      <c r="BD68" s="3">
        <f t="shared" si="54"/>
        <v>28</v>
      </c>
      <c r="BE68" s="3">
        <f t="shared" si="55"/>
        <v>103</v>
      </c>
    </row>
    <row r="69" spans="1:58" s="3" customForma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9"/>
        <v>70</v>
      </c>
      <c r="G69" s="3">
        <v>72</v>
      </c>
      <c r="H69" s="3">
        <f t="shared" si="35"/>
        <v>73</v>
      </c>
      <c r="I69" s="3">
        <f t="shared" si="35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9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3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40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si="34"/>
        <v>1</v>
      </c>
      <c r="AO69" s="3" t="str">
        <f>IF(ISERROR(MATCH(A69,'SegEnds_Xtal_Prot#'!B:B, 0)), "NoXtal", "Xtal")</f>
        <v>Xtal</v>
      </c>
      <c r="AP69" s="3">
        <f t="shared" si="41"/>
        <v>1</v>
      </c>
      <c r="AQ69" s="3">
        <f t="shared" si="42"/>
        <v>1</v>
      </c>
      <c r="AR69" s="3">
        <f t="shared" si="43"/>
        <v>2</v>
      </c>
      <c r="AS69" s="3">
        <f t="shared" si="44"/>
        <v>1</v>
      </c>
      <c r="AT69" s="3">
        <f t="shared" si="45"/>
        <v>1</v>
      </c>
      <c r="AU69" s="3">
        <f t="shared" si="46"/>
        <v>1</v>
      </c>
      <c r="AV69" s="3">
        <f t="shared" si="47"/>
        <v>19</v>
      </c>
      <c r="AW69" s="3">
        <f t="shared" si="48"/>
        <v>3</v>
      </c>
      <c r="AX69" s="3">
        <f t="shared" si="49"/>
        <v>30</v>
      </c>
      <c r="AY69" s="3">
        <f t="shared" si="50"/>
        <v>5</v>
      </c>
      <c r="AZ69" s="3">
        <f t="shared" si="51"/>
        <v>1</v>
      </c>
      <c r="BA69" s="3">
        <f>IF(ISERROR(LEN(VLOOKUP(A69,Seqs!A:E,2,FALSE))-AL69),"-",LEN(VLOOKUP(A69,Seqs!A:E,2,FALSE))-AL69)</f>
        <v>125</v>
      </c>
      <c r="BB69" s="16">
        <f t="shared" si="52"/>
        <v>28</v>
      </c>
      <c r="BC69" s="9">
        <f t="shared" si="53"/>
        <v>20</v>
      </c>
      <c r="BD69" s="3">
        <f t="shared" si="54"/>
        <v>28</v>
      </c>
      <c r="BE69" s="3">
        <f t="shared" si="55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9"/>
        <v>62</v>
      </c>
      <c r="G70" s="3">
        <v>64</v>
      </c>
      <c r="H70" s="3">
        <f t="shared" si="35"/>
        <v>65</v>
      </c>
      <c r="I70" s="3">
        <f t="shared" si="35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9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3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40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34"/>
        <v>1</v>
      </c>
      <c r="AO70" s="3" t="str">
        <f>IF(ISERROR(MATCH(A70,'SegEnds_Xtal_Prot#'!B:B, 0)), "NoXtal", "Xtal")</f>
        <v>Xtal</v>
      </c>
      <c r="AP70" s="3">
        <f t="shared" si="41"/>
        <v>1</v>
      </c>
      <c r="AQ70" s="3">
        <f t="shared" si="42"/>
        <v>1</v>
      </c>
      <c r="AR70" s="3">
        <f t="shared" si="43"/>
        <v>2</v>
      </c>
      <c r="AS70" s="3">
        <f t="shared" si="44"/>
        <v>1</v>
      </c>
      <c r="AT70" s="3">
        <f t="shared" si="45"/>
        <v>1</v>
      </c>
      <c r="AU70" s="3">
        <f t="shared" si="46"/>
        <v>1</v>
      </c>
      <c r="AV70" s="3">
        <f t="shared" si="47"/>
        <v>19</v>
      </c>
      <c r="AW70" s="3">
        <f t="shared" si="48"/>
        <v>3</v>
      </c>
      <c r="AX70" s="3">
        <f t="shared" si="49"/>
        <v>25</v>
      </c>
      <c r="AY70" s="3">
        <f t="shared" si="50"/>
        <v>5</v>
      </c>
      <c r="AZ70" s="3">
        <f t="shared" si="51"/>
        <v>1</v>
      </c>
      <c r="BA70" s="3">
        <f>IF(ISERROR(LEN(VLOOKUP(A70,Seqs!A:E,2,FALSE))-AL70),"-",LEN(VLOOKUP(A70,Seqs!A:E,2,FALSE))-AL70)</f>
        <v>72</v>
      </c>
      <c r="BB70" s="16">
        <f t="shared" si="52"/>
        <v>28</v>
      </c>
      <c r="BC70" s="9">
        <f t="shared" si="53"/>
        <v>20</v>
      </c>
      <c r="BD70" s="3">
        <f t="shared" si="54"/>
        <v>28</v>
      </c>
      <c r="BE70" s="3">
        <f t="shared" si="55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9"/>
        <v>66</v>
      </c>
      <c r="G71" s="3">
        <v>68</v>
      </c>
      <c r="H71" s="3">
        <f t="shared" si="35"/>
        <v>69</v>
      </c>
      <c r="I71" s="3">
        <f t="shared" si="35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9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3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40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34"/>
        <v>1</v>
      </c>
      <c r="AO71" s="3" t="str">
        <f>IF(ISERROR(MATCH(A71,'SegEnds_Xtal_Prot#'!B:B, 0)), "NoXtal", "Xtal")</f>
        <v>NoXtal</v>
      </c>
      <c r="AP71" s="3">
        <f t="shared" si="41"/>
        <v>1</v>
      </c>
      <c r="AQ71" s="3">
        <f t="shared" si="42"/>
        <v>1</v>
      </c>
      <c r="AR71" s="3">
        <f t="shared" si="43"/>
        <v>2</v>
      </c>
      <c r="AS71" s="3">
        <f t="shared" si="44"/>
        <v>1</v>
      </c>
      <c r="AT71" s="3">
        <f t="shared" si="45"/>
        <v>1</v>
      </c>
      <c r="AU71" s="3">
        <f t="shared" si="46"/>
        <v>1</v>
      </c>
      <c r="AV71" s="3">
        <f t="shared" si="47"/>
        <v>20</v>
      </c>
      <c r="AW71" s="3">
        <f t="shared" si="48"/>
        <v>3</v>
      </c>
      <c r="AX71" s="3">
        <f t="shared" si="49"/>
        <v>39</v>
      </c>
      <c r="AY71" s="3">
        <f t="shared" si="50"/>
        <v>6</v>
      </c>
      <c r="AZ71" s="3">
        <f t="shared" si="51"/>
        <v>1</v>
      </c>
      <c r="BA71" s="3">
        <f>IF(ISERROR(LEN(VLOOKUP(A71,Seqs!A:E,2,FALSE))-AL71),"-",LEN(VLOOKUP(A71,Seqs!A:E,2,FALSE))-AL71)</f>
        <v>47</v>
      </c>
      <c r="BB71" s="16">
        <f t="shared" si="52"/>
        <v>28</v>
      </c>
      <c r="BC71" s="9">
        <f t="shared" si="53"/>
        <v>20</v>
      </c>
      <c r="BD71" s="3">
        <f t="shared" si="54"/>
        <v>28</v>
      </c>
      <c r="BE71" s="3">
        <f t="shared" si="55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26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9"/>
        <v>57</v>
      </c>
      <c r="G72" s="3">
        <v>59</v>
      </c>
      <c r="H72" s="3">
        <f t="shared" si="35"/>
        <v>60</v>
      </c>
      <c r="I72" s="3">
        <f t="shared" si="35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9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3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40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34"/>
        <v>1</v>
      </c>
      <c r="AO72" s="3" t="str">
        <f>IF(ISERROR(MATCH(A72,'SegEnds_Xtal_Prot#'!B:B, 0)), "NoXtal", "Xtal")</f>
        <v>Xtal</v>
      </c>
      <c r="AP72" s="3">
        <f t="shared" si="41"/>
        <v>1</v>
      </c>
      <c r="AQ72" s="3">
        <f t="shared" si="42"/>
        <v>1</v>
      </c>
      <c r="AR72" s="3">
        <f t="shared" si="43"/>
        <v>3</v>
      </c>
      <c r="AS72" s="3">
        <f t="shared" si="44"/>
        <v>1</v>
      </c>
      <c r="AT72" s="3">
        <f t="shared" si="45"/>
        <v>1</v>
      </c>
      <c r="AU72" s="3">
        <f t="shared" si="46"/>
        <v>1</v>
      </c>
      <c r="AV72" s="3">
        <f t="shared" si="47"/>
        <v>13</v>
      </c>
      <c r="AW72" s="3">
        <f t="shared" si="48"/>
        <v>9</v>
      </c>
      <c r="AX72" s="3">
        <f t="shared" si="49"/>
        <v>4</v>
      </c>
      <c r="AY72" s="3">
        <f t="shared" si="50"/>
        <v>4</v>
      </c>
      <c r="AZ72" s="3">
        <f t="shared" si="51"/>
        <v>1</v>
      </c>
      <c r="BA72" s="3">
        <f>IF(ISERROR(LEN(VLOOKUP(A72,Seqs!A:E,2,FALSE))-AL72),"-",LEN(VLOOKUP(A72,Seqs!A:E,2,FALSE))-AL72)</f>
        <v>39</v>
      </c>
      <c r="BB72" s="16">
        <f t="shared" si="52"/>
        <v>28</v>
      </c>
      <c r="BC72" s="9">
        <f t="shared" si="53"/>
        <v>20</v>
      </c>
      <c r="BD72" s="3">
        <f t="shared" si="54"/>
        <v>28</v>
      </c>
      <c r="BE72" s="3">
        <f t="shared" si="55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9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3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40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34"/>
        <v>1</v>
      </c>
      <c r="AO73" s="3" t="str">
        <f>IF(ISERROR(MATCH(A73,'SegEnds_Xtal_Prot#'!B:B, 0)), "NoXtal", "Xtal")</f>
        <v>Xtal</v>
      </c>
      <c r="AP73" s="3">
        <f t="shared" si="41"/>
        <v>1</v>
      </c>
      <c r="AQ73" s="3">
        <f t="shared" si="42"/>
        <v>1</v>
      </c>
      <c r="AR73" s="3">
        <f t="shared" si="43"/>
        <v>2</v>
      </c>
      <c r="AS73" s="3">
        <f t="shared" si="44"/>
        <v>1</v>
      </c>
      <c r="AT73" s="3">
        <f t="shared" si="45"/>
        <v>1</v>
      </c>
      <c r="AU73" s="3">
        <f t="shared" si="46"/>
        <v>1</v>
      </c>
      <c r="AV73" s="3">
        <f t="shared" si="47"/>
        <v>13</v>
      </c>
      <c r="AW73" s="3">
        <f t="shared" si="48"/>
        <v>10</v>
      </c>
      <c r="AX73" s="3">
        <f t="shared" si="49"/>
        <v>7</v>
      </c>
      <c r="AY73" s="3">
        <f t="shared" si="50"/>
        <v>4</v>
      </c>
      <c r="AZ73" s="3">
        <f t="shared" si="51"/>
        <v>1</v>
      </c>
      <c r="BA73" s="3">
        <f>IF(ISERROR(LEN(VLOOKUP(A73,Seqs!A:E,2,FALSE))-AL73),"-",LEN(VLOOKUP(A73,Seqs!A:E,2,FALSE))-AL73)</f>
        <v>53</v>
      </c>
      <c r="BB73" s="16">
        <f t="shared" si="52"/>
        <v>29</v>
      </c>
      <c r="BC73" s="9">
        <f t="shared" si="53"/>
        <v>20</v>
      </c>
      <c r="BD73" s="3">
        <f t="shared" si="54"/>
        <v>29</v>
      </c>
      <c r="BE73" s="3">
        <f t="shared" si="55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35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9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3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40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34"/>
        <v>1</v>
      </c>
      <c r="AO74" s="3" t="str">
        <f>IF(ISERROR(MATCH(A74,'SegEnds_Xtal_Prot#'!B:B, 0)), "NoXtal", "Xtal")</f>
        <v>NoXtal</v>
      </c>
      <c r="AP74" s="3">
        <f t="shared" si="41"/>
        <v>1</v>
      </c>
      <c r="AQ74" s="3">
        <f t="shared" si="42"/>
        <v>1</v>
      </c>
      <c r="AR74" s="3">
        <f t="shared" si="43"/>
        <v>3</v>
      </c>
      <c r="AS74" s="3">
        <f t="shared" si="44"/>
        <v>1</v>
      </c>
      <c r="AT74" s="3">
        <f t="shared" si="45"/>
        <v>1</v>
      </c>
      <c r="AU74" s="3">
        <f t="shared" si="46"/>
        <v>1</v>
      </c>
      <c r="AV74" s="3">
        <f t="shared" si="47"/>
        <v>13</v>
      </c>
      <c r="AW74" s="3">
        <f t="shared" si="48"/>
        <v>7</v>
      </c>
      <c r="AX74" s="3">
        <f t="shared" si="49"/>
        <v>6</v>
      </c>
      <c r="AY74" s="3">
        <f t="shared" si="50"/>
        <v>4</v>
      </c>
      <c r="AZ74" s="3">
        <f t="shared" si="51"/>
        <v>1</v>
      </c>
      <c r="BA74" s="3">
        <f>IF(ISERROR(LEN(VLOOKUP(A74,Seqs!A:E,2,FALSE))-AL74),"-",LEN(VLOOKUP(A74,Seqs!A:E,2,FALSE))-AL74)</f>
        <v>23</v>
      </c>
      <c r="BB74" s="16">
        <f t="shared" si="52"/>
        <v>28</v>
      </c>
      <c r="BC74" s="9">
        <f t="shared" si="53"/>
        <v>20</v>
      </c>
      <c r="BD74" s="3">
        <f t="shared" si="54"/>
        <v>28</v>
      </c>
      <c r="BE74" s="3">
        <f t="shared" si="55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9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3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40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34"/>
        <v>1</v>
      </c>
      <c r="AO75" s="3" t="str">
        <f>IF(ISERROR(MATCH(A75,'SegEnds_Xtal_Prot#'!B:B, 0)), "NoXtal", "Xtal")</f>
        <v>NoXtal</v>
      </c>
      <c r="AP75" s="3">
        <f t="shared" si="41"/>
        <v>1</v>
      </c>
      <c r="AQ75" s="3">
        <f t="shared" si="42"/>
        <v>1</v>
      </c>
      <c r="AR75" s="3">
        <f t="shared" si="43"/>
        <v>3</v>
      </c>
      <c r="AS75" s="3">
        <f t="shared" si="44"/>
        <v>1</v>
      </c>
      <c r="AT75" s="3">
        <f t="shared" si="45"/>
        <v>1</v>
      </c>
      <c r="AU75" s="3">
        <f t="shared" si="46"/>
        <v>1</v>
      </c>
      <c r="AV75" s="3">
        <f t="shared" si="47"/>
        <v>15</v>
      </c>
      <c r="AW75" s="3">
        <f t="shared" si="48"/>
        <v>3</v>
      </c>
      <c r="AX75" s="3">
        <f t="shared" si="49"/>
        <v>5</v>
      </c>
      <c r="AY75" s="3">
        <f t="shared" si="50"/>
        <v>4</v>
      </c>
      <c r="AZ75" s="3">
        <f t="shared" si="51"/>
        <v>1</v>
      </c>
      <c r="BA75" s="3">
        <f>IF(ISERROR(LEN(VLOOKUP(A75,Seqs!A:E,2,FALSE))-AL75),"-",LEN(VLOOKUP(A75,Seqs!A:E,2,FALSE))-AL75)</f>
        <v>41</v>
      </c>
      <c r="BB75" s="16">
        <f t="shared" si="52"/>
        <v>28</v>
      </c>
      <c r="BC75" s="9">
        <f t="shared" si="53"/>
        <v>20</v>
      </c>
      <c r="BD75" s="3">
        <f t="shared" si="54"/>
        <v>28</v>
      </c>
      <c r="BE75" s="3">
        <f t="shared" si="55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9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3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40"/>
        <v>205</v>
      </c>
      <c r="AA76" s="3">
        <f>IF(ISERROR(VLOOKUP($A76,'SegEnds_NonXtal_BW#'!$A:$Z,19,FALSE)+VLOOKUP($A76,A:AL,28,FALSE)-50),"-",(VLOOKUP($A76,'SegEnds_NonXtal_BW#'!$A:$Z,19,FALSE)+VLOOKUP($A76,A:AL,28,FALSE)-50))</f>
        <v>208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251</v>
      </c>
      <c r="AD76" s="3">
        <f>IF(ISERROR(VLOOKUP($A76,'SegEnds_NonXtal_BW#'!$A:$Z,21,FALSE)+VLOOKUP($A76,A:AL,31,FALSE)-50),"-",(VLOOKUP($A76,'SegEnds_NonXtal_BW#'!$A:$Z,21,FALSE)+VLOOKUP($A76,A:AL,31,FALSE)-50))</f>
        <v>260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ref="AN76:AN106" si="59">AND(IF(Y76="-",IF(AA76-W76&gt;3,TRUE,FALSE),TRUE),IF(M76="-",IF(O76-K76&gt;3,TRUE,FALSE),TRUE),C76&lt;E76,OR(E76&lt;F76,F76="-"),OR(F76&lt;H76,F76="-"),OR(H76&lt;I76,H76="-"),I76&lt;K76,OR(K76&lt;L76,L76="-"),OR(L76&lt;N76,L76="-"),OR(N76&lt;O76,N76="-"),O76&lt;Q76,OR(Q76&lt;R76,R76="-"),OR(R76&lt;T76,R76="-"),OR(T76&lt;U76,T76="-"),U76&lt;W76,OR(W76&lt;X76,X76="-"),OR(X76&lt;Z76,X76="-"),OR(Z76&lt;AA76,Z76="-"),AA76&lt;AC76,AC76&lt;AD76,AD76&lt;AF76,AF76&lt;AG76,AG76&lt;AI76,OR(AI76&lt;AJ76,AJ76="-"),OR(AJ76&lt;AL76,AJ76="-"))</f>
        <v>1</v>
      </c>
      <c r="AO76" s="3" t="str">
        <f>IF(ISERROR(MATCH(A76,'SegEnds_Xtal_Prot#'!B:B, 0)), "NoXtal", "Xtal")</f>
        <v>NoXtal</v>
      </c>
      <c r="AP76" s="3">
        <f t="shared" si="41"/>
        <v>1</v>
      </c>
      <c r="AQ76" s="3">
        <f t="shared" si="42"/>
        <v>1</v>
      </c>
      <c r="AR76" s="3">
        <f t="shared" si="43"/>
        <v>2</v>
      </c>
      <c r="AS76" s="3">
        <f t="shared" si="44"/>
        <v>1</v>
      </c>
      <c r="AT76" s="3">
        <f t="shared" si="45"/>
        <v>1</v>
      </c>
      <c r="AU76" s="3">
        <f t="shared" si="46"/>
        <v>1</v>
      </c>
      <c r="AV76" s="3">
        <f t="shared" si="47"/>
        <v>17</v>
      </c>
      <c r="AW76" s="3">
        <f t="shared" si="48"/>
        <v>3</v>
      </c>
      <c r="AX76" s="3">
        <f t="shared" si="49"/>
        <v>9</v>
      </c>
      <c r="AY76" s="3">
        <f t="shared" si="50"/>
        <v>8</v>
      </c>
      <c r="AZ76" s="3">
        <f t="shared" si="51"/>
        <v>1</v>
      </c>
      <c r="BA76" s="3">
        <f>IF(ISERROR(LEN(VLOOKUP(A76,Seqs!A:E,2,FALSE))-AL76),"-",LEN(VLOOKUP(A76,Seqs!A:E,2,FALSE))-AL76)</f>
        <v>52</v>
      </c>
      <c r="BB76" s="16">
        <f t="shared" si="52"/>
        <v>28</v>
      </c>
      <c r="BC76" s="9">
        <f t="shared" si="53"/>
        <v>20</v>
      </c>
      <c r="BD76" s="3">
        <f t="shared" si="54"/>
        <v>28</v>
      </c>
      <c r="BE76" s="3">
        <f t="shared" si="55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agtr1_human</v>
      </c>
      <c r="C77" s="3">
        <f>VLOOKUP($A77,'SegEnds_NonXtal_BW#'!$A:$Z,3,FALSE)+D77-50</f>
        <v>21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84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9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3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40"/>
        <v>174</v>
      </c>
      <c r="AA77" s="3">
        <f>IF(ISERROR(VLOOKUP($A77,'SegEnds_NonXtal_BW#'!$A:$Z,19,FALSE)+VLOOKUP($A77,A:AL,28,FALSE)-50),"-",(VLOOKUP($A77,'SegEnds_NonXtal_BW#'!$A:$Z,19,FALSE)+VLOOKUP($A77,A:AL,28,FALSE)-50))</f>
        <v>332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370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410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453</v>
      </c>
      <c r="AM77" s="28" t="str">
        <f>VLOOKUP(A77,Classification!A:B,2,FALSE)</f>
        <v>A</v>
      </c>
      <c r="AN77" s="28" t="b">
        <f t="shared" si="59"/>
        <v>1</v>
      </c>
      <c r="AO77" s="3" t="str">
        <f>IF(ISERROR(MATCH(A77,'SegEnds_Xtal_Prot#'!B:B, 0)), "NoXtal", "Xtal")</f>
        <v>NoXtal</v>
      </c>
      <c r="AP77" s="3" t="str">
        <f t="shared" si="41"/>
        <v>-</v>
      </c>
      <c r="AQ77" s="3" t="str">
        <f t="shared" si="42"/>
        <v>-</v>
      </c>
      <c r="AR77" s="3">
        <f t="shared" si="43"/>
        <v>3</v>
      </c>
      <c r="AS77" s="3">
        <f t="shared" si="44"/>
        <v>1</v>
      </c>
      <c r="AT77" s="3">
        <f t="shared" si="45"/>
        <v>1</v>
      </c>
      <c r="AU77" s="3">
        <f t="shared" si="46"/>
        <v>1</v>
      </c>
      <c r="AV77" s="3">
        <f t="shared" si="47"/>
        <v>11</v>
      </c>
      <c r="AW77" s="3">
        <f t="shared" si="48"/>
        <v>158</v>
      </c>
      <c r="AX77" s="3">
        <f t="shared" si="49"/>
        <v>4</v>
      </c>
      <c r="AY77" s="3">
        <f t="shared" si="50"/>
        <v>7</v>
      </c>
      <c r="AZ77" s="3">
        <f t="shared" si="51"/>
        <v>1</v>
      </c>
      <c r="BA77" s="3">
        <f>IF(ISERROR(LEN(VLOOKUP(A77,Seqs!A:E,2,FALSE))-AL77),"-",LEN(VLOOKUP(A77,Seqs!A:E,2,FALSE))-AL77)</f>
        <v>29</v>
      </c>
      <c r="BB77" s="16">
        <f t="shared" si="52"/>
        <v>27</v>
      </c>
      <c r="BC77" s="9">
        <f t="shared" si="53"/>
        <v>20</v>
      </c>
      <c r="BD77" s="3">
        <f t="shared" si="54"/>
        <v>27</v>
      </c>
      <c r="BE77" s="3">
        <f t="shared" si="55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agtr1_human</v>
      </c>
      <c r="C78" s="3">
        <f>VLOOKUP($A78,'SegEnds_NonXtal_BW#'!$A:$Z,3,FALSE)+D78-50</f>
        <v>35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98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9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3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40"/>
        <v>190</v>
      </c>
      <c r="AA78" s="3">
        <f>IF(ISERROR(VLOOKUP($A78,'SegEnds_NonXtal_BW#'!$A:$Z,19,FALSE)+VLOOKUP($A78,A:AL,28,FALSE)-50),"-",(VLOOKUP($A78,'SegEnds_NonXtal_BW#'!$A:$Z,19,FALSE)+VLOOKUP($A78,A:AL,28,FALSE)-50))</f>
        <v>198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237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275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318</v>
      </c>
      <c r="AM78" s="28" t="str">
        <f>VLOOKUP(A78,Classification!A:B,2,FALSE)</f>
        <v>A</v>
      </c>
      <c r="AN78" s="28" t="b">
        <f t="shared" si="59"/>
        <v>1</v>
      </c>
      <c r="AO78" s="3" t="str">
        <f>IF(ISERROR(MATCH(A78,'SegEnds_Xtal_Prot#'!B:B, 0)), "NoXtal", "Xtal")</f>
        <v>NoXtal</v>
      </c>
      <c r="AP78" s="3" t="str">
        <f t="shared" si="41"/>
        <v>-</v>
      </c>
      <c r="AQ78" s="3" t="str">
        <f t="shared" si="42"/>
        <v>-</v>
      </c>
      <c r="AR78" s="3">
        <f t="shared" si="43"/>
        <v>3</v>
      </c>
      <c r="AS78" s="3">
        <f t="shared" si="44"/>
        <v>1</v>
      </c>
      <c r="AT78" s="3">
        <f t="shared" si="45"/>
        <v>1</v>
      </c>
      <c r="AU78" s="3">
        <f t="shared" si="46"/>
        <v>1</v>
      </c>
      <c r="AV78" s="3">
        <f t="shared" si="47"/>
        <v>13</v>
      </c>
      <c r="AW78" s="3">
        <f t="shared" si="48"/>
        <v>8</v>
      </c>
      <c r="AX78" s="3">
        <f t="shared" si="49"/>
        <v>5</v>
      </c>
      <c r="AY78" s="3">
        <f t="shared" si="50"/>
        <v>7</v>
      </c>
      <c r="AZ78" s="3">
        <f t="shared" si="51"/>
        <v>1</v>
      </c>
      <c r="BA78" s="3">
        <f>IF(ISERROR(LEN(VLOOKUP(A78,Seqs!A:E,2,FALSE))-AL78),"-",LEN(VLOOKUP(A78,Seqs!A:E,2,FALSE))-AL78)</f>
        <v>32</v>
      </c>
      <c r="BB78" s="16">
        <f t="shared" si="52"/>
        <v>27</v>
      </c>
      <c r="BC78" s="9">
        <f t="shared" si="53"/>
        <v>20</v>
      </c>
      <c r="BD78" s="3">
        <f t="shared" si="54"/>
        <v>27</v>
      </c>
      <c r="BE78" s="3">
        <f t="shared" si="55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agtr1_human</v>
      </c>
      <c r="C79" s="3">
        <f>VLOOKUP($A79,'SegEnds_NonXtal_BW#'!$A:$Z,3,FALSE)+D79-50</f>
        <v>33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96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9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3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40"/>
        <v>188</v>
      </c>
      <c r="AA79" s="3">
        <f>IF(ISERROR(VLOOKUP($A79,'SegEnds_NonXtal_BW#'!$A:$Z,19,FALSE)+VLOOKUP($A79,A:AL,28,FALSE)-50),"-",(VLOOKUP($A79,'SegEnds_NonXtal_BW#'!$A:$Z,19,FALSE)+VLOOKUP($A79,A:AL,28,FALSE)-50))</f>
        <v>196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232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266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309</v>
      </c>
      <c r="AM79" s="28" t="str">
        <f>VLOOKUP(A79,Classification!A:B,2,FALSE)</f>
        <v>A</v>
      </c>
      <c r="AN79" s="28" t="b">
        <f t="shared" si="59"/>
        <v>1</v>
      </c>
      <c r="AO79" s="3" t="str">
        <f>IF(ISERROR(MATCH(A79,'SegEnds_Xtal_Prot#'!B:B, 0)), "NoXtal", "Xtal")</f>
        <v>NoXtal</v>
      </c>
      <c r="AP79" s="3" t="str">
        <f t="shared" si="41"/>
        <v>-</v>
      </c>
      <c r="AQ79" s="3" t="str">
        <f t="shared" si="42"/>
        <v>-</v>
      </c>
      <c r="AR79" s="3">
        <f t="shared" si="43"/>
        <v>3</v>
      </c>
      <c r="AS79" s="3">
        <f t="shared" si="44"/>
        <v>1</v>
      </c>
      <c r="AT79" s="3">
        <f t="shared" si="45"/>
        <v>1</v>
      </c>
      <c r="AU79" s="3">
        <f t="shared" si="46"/>
        <v>1</v>
      </c>
      <c r="AV79" s="3">
        <f t="shared" si="47"/>
        <v>13</v>
      </c>
      <c r="AW79" s="3">
        <f t="shared" si="48"/>
        <v>8</v>
      </c>
      <c r="AX79" s="3">
        <f t="shared" si="49"/>
        <v>6</v>
      </c>
      <c r="AY79" s="3">
        <f t="shared" si="50"/>
        <v>7</v>
      </c>
      <c r="AZ79" s="3">
        <f t="shared" si="51"/>
        <v>1</v>
      </c>
      <c r="BA79" s="3">
        <f>IF(ISERROR(LEN(VLOOKUP(A79,Seqs!A:E,2,FALSE))-AL79),"-",LEN(VLOOKUP(A79,Seqs!A:E,2,FALSE))-AL79)</f>
        <v>28</v>
      </c>
      <c r="BB79" s="16">
        <f t="shared" si="52"/>
        <v>27</v>
      </c>
      <c r="BC79" s="9">
        <f t="shared" si="53"/>
        <v>20</v>
      </c>
      <c r="BD79" s="3">
        <f t="shared" si="54"/>
        <v>27</v>
      </c>
      <c r="BE79" s="3">
        <f t="shared" si="55"/>
        <v>36</v>
      </c>
      <c r="BF79" s="3">
        <f>MIN(ABS(BE79-'ICL3'!F2:F232))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ox2r_human</v>
      </c>
      <c r="C80" s="3">
        <f>VLOOKUP($A80,'SegEnds_NonXtal_BW#'!$A:$Z,3,FALSE)+D80-50</f>
        <v>40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60">G80-2</f>
        <v>70</v>
      </c>
      <c r="G80" s="3">
        <v>72</v>
      </c>
      <c r="H80" s="3">
        <f t="shared" ref="H80:I86" si="61">G80+1</f>
        <v>73</v>
      </c>
      <c r="I80" s="3">
        <f t="shared" si="61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9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3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40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9"/>
        <v>1</v>
      </c>
      <c r="AO80" s="3" t="str">
        <f>IF(ISERROR(MATCH(A80,'SegEnds_Xtal_Prot#'!B:B, 0)), "NoXtal", "Xtal")</f>
        <v>NoXtal</v>
      </c>
      <c r="AP80" s="3">
        <f t="shared" si="41"/>
        <v>1</v>
      </c>
      <c r="AQ80" s="3">
        <f t="shared" si="42"/>
        <v>1</v>
      </c>
      <c r="AR80" s="3">
        <f t="shared" si="43"/>
        <v>2</v>
      </c>
      <c r="AS80" s="3">
        <f t="shared" si="44"/>
        <v>1</v>
      </c>
      <c r="AT80" s="3">
        <f t="shared" si="45"/>
        <v>1</v>
      </c>
      <c r="AU80" s="3">
        <f t="shared" si="46"/>
        <v>1</v>
      </c>
      <c r="AV80" s="3">
        <f t="shared" si="47"/>
        <v>16</v>
      </c>
      <c r="AW80" s="3">
        <f t="shared" si="48"/>
        <v>5</v>
      </c>
      <c r="AX80" s="3">
        <f t="shared" si="49"/>
        <v>57</v>
      </c>
      <c r="AY80" s="3">
        <f t="shared" si="50"/>
        <v>6</v>
      </c>
      <c r="AZ80" s="3">
        <f t="shared" si="51"/>
        <v>1</v>
      </c>
      <c r="BA80" s="3">
        <f>IF(ISERROR(LEN(VLOOKUP(A80,Seqs!A:E,2,FALSE))-AL80),"-",LEN(VLOOKUP(A80,Seqs!A:E,2,FALSE))-AL80)</f>
        <v>43</v>
      </c>
      <c r="BB80" s="16">
        <f t="shared" si="52"/>
        <v>28</v>
      </c>
      <c r="BC80" s="9">
        <f t="shared" si="53"/>
        <v>20</v>
      </c>
      <c r="BD80" s="3">
        <f t="shared" si="54"/>
        <v>28</v>
      </c>
      <c r="BE80" s="3">
        <f t="shared" si="55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60"/>
        <v>63</v>
      </c>
      <c r="G81" s="3">
        <v>65</v>
      </c>
      <c r="H81" s="3">
        <f t="shared" si="61"/>
        <v>66</v>
      </c>
      <c r="I81" s="3">
        <f t="shared" si="61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9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3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40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9"/>
        <v>1</v>
      </c>
      <c r="AO81" s="3" t="str">
        <f>IF(ISERROR(MATCH(A81,'SegEnds_Xtal_Prot#'!B:B, 0)), "NoXtal", "Xtal")</f>
        <v>NoXtal</v>
      </c>
      <c r="AP81" s="3">
        <f t="shared" si="41"/>
        <v>1</v>
      </c>
      <c r="AQ81" s="3">
        <f t="shared" si="42"/>
        <v>1</v>
      </c>
      <c r="AR81" s="3">
        <f t="shared" si="43"/>
        <v>2</v>
      </c>
      <c r="AS81" s="3">
        <f t="shared" si="44"/>
        <v>1</v>
      </c>
      <c r="AT81" s="3">
        <f t="shared" si="45"/>
        <v>1</v>
      </c>
      <c r="AU81" s="3">
        <f t="shared" si="46"/>
        <v>1</v>
      </c>
      <c r="AV81" s="3">
        <f t="shared" si="47"/>
        <v>11</v>
      </c>
      <c r="AW81" s="3">
        <f t="shared" si="48"/>
        <v>6</v>
      </c>
      <c r="AX81" s="3">
        <f t="shared" si="49"/>
        <v>5</v>
      </c>
      <c r="AY81" s="3">
        <f t="shared" si="50"/>
        <v>3</v>
      </c>
      <c r="AZ81" s="3">
        <f t="shared" si="51"/>
        <v>1</v>
      </c>
      <c r="BA81" s="3">
        <f>IF(ISERROR(LEN(VLOOKUP(A81,Seqs!A:E,2,FALSE))-AL81),"-",LEN(VLOOKUP(A81,Seqs!A:E,2,FALSE))-AL81)</f>
        <v>38</v>
      </c>
      <c r="BB81" s="16">
        <f t="shared" si="52"/>
        <v>28</v>
      </c>
      <c r="BC81" s="9">
        <f t="shared" si="53"/>
        <v>20</v>
      </c>
      <c r="BD81" s="3">
        <f t="shared" si="54"/>
        <v>28</v>
      </c>
      <c r="BE81" s="3">
        <f t="shared" si="55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60"/>
        <v>71</v>
      </c>
      <c r="G82" s="3">
        <v>73</v>
      </c>
      <c r="H82" s="3">
        <f t="shared" si="61"/>
        <v>74</v>
      </c>
      <c r="I82" s="3">
        <f t="shared" si="61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9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3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40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9"/>
        <v>1</v>
      </c>
      <c r="AO82" s="3" t="str">
        <f>IF(ISERROR(MATCH(A82,'SegEnds_Xtal_Prot#'!B:B, 0)), "NoXtal", "Xtal")</f>
        <v>Xtal</v>
      </c>
      <c r="AP82" s="3">
        <f t="shared" si="41"/>
        <v>1</v>
      </c>
      <c r="AQ82" s="3">
        <f t="shared" si="42"/>
        <v>1</v>
      </c>
      <c r="AR82" s="3">
        <f t="shared" si="43"/>
        <v>1</v>
      </c>
      <c r="AS82" s="3">
        <f t="shared" si="44"/>
        <v>1</v>
      </c>
      <c r="AT82" s="3">
        <f t="shared" si="45"/>
        <v>1</v>
      </c>
      <c r="AU82" s="3">
        <f t="shared" si="46"/>
        <v>1</v>
      </c>
      <c r="AV82" s="3">
        <f t="shared" si="47"/>
        <v>11</v>
      </c>
      <c r="AW82" s="3">
        <f t="shared" si="48"/>
        <v>3</v>
      </c>
      <c r="AX82" s="3">
        <f t="shared" si="49"/>
        <v>4</v>
      </c>
      <c r="AY82" s="3">
        <f t="shared" si="50"/>
        <v>3</v>
      </c>
      <c r="AZ82" s="3">
        <f t="shared" si="51"/>
        <v>1</v>
      </c>
      <c r="BA82" s="3">
        <f>IF(ISERROR(LEN(VLOOKUP(A82,Seqs!A:E,2,FALSE))-AL82),"-",LEN(VLOOKUP(A82,Seqs!A:E,2,FALSE))-AL82)</f>
        <v>54</v>
      </c>
      <c r="BB82" s="16">
        <f t="shared" si="52"/>
        <v>28</v>
      </c>
      <c r="BC82" s="9">
        <f t="shared" si="53"/>
        <v>20</v>
      </c>
      <c r="BD82" s="3">
        <f t="shared" si="54"/>
        <v>28</v>
      </c>
      <c r="BE82" s="3">
        <f t="shared" si="55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60"/>
        <v>63</v>
      </c>
      <c r="G83" s="3">
        <v>65</v>
      </c>
      <c r="H83" s="3">
        <f t="shared" si="61"/>
        <v>66</v>
      </c>
      <c r="I83" s="3">
        <f t="shared" si="61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9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3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40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9"/>
        <v>1</v>
      </c>
      <c r="AO83" s="3" t="str">
        <f>IF(ISERROR(MATCH(A83,'SegEnds_Xtal_Prot#'!B:B, 0)), "NoXtal", "Xtal")</f>
        <v>NoXtal</v>
      </c>
      <c r="AP83" s="3">
        <f t="shared" si="41"/>
        <v>1</v>
      </c>
      <c r="AQ83" s="3">
        <f t="shared" si="42"/>
        <v>1</v>
      </c>
      <c r="AR83" s="3">
        <f t="shared" si="43"/>
        <v>2</v>
      </c>
      <c r="AS83" s="3">
        <f t="shared" si="44"/>
        <v>1</v>
      </c>
      <c r="AT83" s="3">
        <f t="shared" si="45"/>
        <v>1</v>
      </c>
      <c r="AU83" s="3">
        <f t="shared" si="46"/>
        <v>1</v>
      </c>
      <c r="AV83" s="3">
        <f t="shared" si="47"/>
        <v>11</v>
      </c>
      <c r="AW83" s="3">
        <f t="shared" si="48"/>
        <v>6</v>
      </c>
      <c r="AX83" s="3">
        <f t="shared" si="49"/>
        <v>5</v>
      </c>
      <c r="AY83" s="3">
        <f t="shared" si="50"/>
        <v>3</v>
      </c>
      <c r="AZ83" s="3">
        <f t="shared" si="51"/>
        <v>1</v>
      </c>
      <c r="BA83" s="3">
        <f>IF(ISERROR(LEN(VLOOKUP(A83,Seqs!A:E,2,FALSE))-AL83),"-",LEN(VLOOKUP(A83,Seqs!A:E,2,FALSE))-AL83)</f>
        <v>38</v>
      </c>
      <c r="BB83" s="16">
        <f t="shared" si="52"/>
        <v>28</v>
      </c>
      <c r="BC83" s="9">
        <f t="shared" si="53"/>
        <v>20</v>
      </c>
      <c r="BD83" s="3">
        <f t="shared" si="54"/>
        <v>28</v>
      </c>
      <c r="BE83" s="3">
        <f t="shared" si="55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60"/>
        <v>68</v>
      </c>
      <c r="G84" s="3">
        <v>70</v>
      </c>
      <c r="H84" s="3">
        <f t="shared" si="61"/>
        <v>71</v>
      </c>
      <c r="I84" s="3">
        <f t="shared" si="61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9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3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40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9"/>
        <v>1</v>
      </c>
      <c r="AO84" s="3" t="str">
        <f>IF(ISERROR(MATCH(A84,'SegEnds_Xtal_Prot#'!B:B, 0)), "NoXtal", "Xtal")</f>
        <v>NoXtal</v>
      </c>
      <c r="AP84" s="3">
        <f t="shared" si="41"/>
        <v>1</v>
      </c>
      <c r="AQ84" s="3">
        <f t="shared" si="42"/>
        <v>1</v>
      </c>
      <c r="AR84" s="3">
        <f t="shared" si="43"/>
        <v>1</v>
      </c>
      <c r="AS84" s="3">
        <f t="shared" si="44"/>
        <v>1</v>
      </c>
      <c r="AT84" s="3">
        <f t="shared" si="45"/>
        <v>1</v>
      </c>
      <c r="AU84" s="3">
        <f t="shared" si="46"/>
        <v>1</v>
      </c>
      <c r="AV84" s="3">
        <f t="shared" si="47"/>
        <v>11</v>
      </c>
      <c r="AW84" s="3">
        <f t="shared" si="48"/>
        <v>5</v>
      </c>
      <c r="AX84" s="3">
        <f t="shared" si="49"/>
        <v>5</v>
      </c>
      <c r="AY84" s="3">
        <f t="shared" si="50"/>
        <v>3</v>
      </c>
      <c r="AZ84" s="3">
        <f t="shared" si="51"/>
        <v>1</v>
      </c>
      <c r="BA84" s="3">
        <f>IF(ISERROR(LEN(VLOOKUP(A84,Seqs!A:E,2,FALSE))-AL84),"-",LEN(VLOOKUP(A84,Seqs!A:E,2,FALSE))-AL84)</f>
        <v>40</v>
      </c>
      <c r="BB84" s="16">
        <f t="shared" si="52"/>
        <v>28</v>
      </c>
      <c r="BC84" s="9">
        <f t="shared" si="53"/>
        <v>20</v>
      </c>
      <c r="BD84" s="3">
        <f t="shared" si="54"/>
        <v>28</v>
      </c>
      <c r="BE84" s="3">
        <f t="shared" si="55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60"/>
        <v>59</v>
      </c>
      <c r="G85" s="3">
        <v>61</v>
      </c>
      <c r="H85" s="3">
        <f t="shared" si="61"/>
        <v>62</v>
      </c>
      <c r="I85" s="3">
        <f t="shared" si="61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9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40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9"/>
        <v>1</v>
      </c>
      <c r="AO85" s="3" t="str">
        <f>IF(ISERROR(MATCH(A85,'SegEnds_Xtal_Prot#'!B:B, 0)), "NoXtal", "Xtal")</f>
        <v>Xtal</v>
      </c>
      <c r="AP85" s="3">
        <f t="shared" si="41"/>
        <v>1</v>
      </c>
      <c r="AQ85" s="3">
        <f t="shared" si="42"/>
        <v>1</v>
      </c>
      <c r="AR85" s="3">
        <f t="shared" si="43"/>
        <v>1</v>
      </c>
      <c r="AS85" s="3">
        <f t="shared" si="44"/>
        <v>1</v>
      </c>
      <c r="AT85" s="3">
        <f t="shared" si="45"/>
        <v>1</v>
      </c>
      <c r="AU85" s="3">
        <f t="shared" si="46"/>
        <v>1</v>
      </c>
      <c r="AV85" s="3">
        <f t="shared" si="47"/>
        <v>11</v>
      </c>
      <c r="AW85" s="3">
        <f t="shared" si="48"/>
        <v>6</v>
      </c>
      <c r="AX85" s="3">
        <f t="shared" si="49"/>
        <v>4</v>
      </c>
      <c r="AY85" s="3">
        <f t="shared" si="50"/>
        <v>3</v>
      </c>
      <c r="AZ85" s="3">
        <f t="shared" si="51"/>
        <v>1</v>
      </c>
      <c r="BA85" s="3">
        <f>IF(ISERROR(LEN(VLOOKUP(A85,Seqs!A:E,2,FALSE))-AL85),"-",LEN(VLOOKUP(A85,Seqs!A:E,2,FALSE))-AL85)</f>
        <v>39</v>
      </c>
      <c r="BB85" s="16">
        <f t="shared" si="52"/>
        <v>28</v>
      </c>
      <c r="BC85" s="3">
        <f t="shared" si="53"/>
        <v>20</v>
      </c>
      <c r="BD85" s="3">
        <f t="shared" si="54"/>
        <v>28</v>
      </c>
      <c r="BE85" s="3">
        <f t="shared" si="55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60"/>
        <v>64</v>
      </c>
      <c r="G86" s="3">
        <v>66</v>
      </c>
      <c r="H86" s="3">
        <f t="shared" si="61"/>
        <v>67</v>
      </c>
      <c r="I86" s="3">
        <f t="shared" si="61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9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3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40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9"/>
        <v>1</v>
      </c>
      <c r="AO86" s="3" t="str">
        <f>IF(ISERROR(MATCH(A86,'SegEnds_Xtal_Prot#'!B:B, 0)), "NoXtal", "Xtal")</f>
        <v>NoXtal</v>
      </c>
      <c r="AP86" s="3">
        <f t="shared" si="41"/>
        <v>1</v>
      </c>
      <c r="AQ86" s="3">
        <f t="shared" si="42"/>
        <v>1</v>
      </c>
      <c r="AR86" s="3">
        <f t="shared" si="43"/>
        <v>1</v>
      </c>
      <c r="AS86" s="3">
        <f t="shared" si="44"/>
        <v>1</v>
      </c>
      <c r="AT86" s="3">
        <f t="shared" si="45"/>
        <v>1</v>
      </c>
      <c r="AU86" s="3">
        <f t="shared" si="46"/>
        <v>1</v>
      </c>
      <c r="AV86" s="3">
        <f t="shared" si="47"/>
        <v>11</v>
      </c>
      <c r="AW86" s="3">
        <f t="shared" si="48"/>
        <v>5</v>
      </c>
      <c r="AX86" s="3">
        <f t="shared" si="49"/>
        <v>5</v>
      </c>
      <c r="AY86" s="3">
        <f t="shared" si="50"/>
        <v>3</v>
      </c>
      <c r="AZ86" s="3">
        <f t="shared" si="51"/>
        <v>1</v>
      </c>
      <c r="BA86" s="3">
        <f>IF(ISERROR(LEN(VLOOKUP(A86,Seqs!A:E,2,FALSE))-AL86),"-",LEN(VLOOKUP(A86,Seqs!A:E,2,FALSE))-AL86)</f>
        <v>39</v>
      </c>
      <c r="BB86" s="16">
        <f t="shared" si="52"/>
        <v>28</v>
      </c>
      <c r="BC86" s="9">
        <f t="shared" si="53"/>
        <v>20</v>
      </c>
      <c r="BD86" s="3">
        <f t="shared" si="54"/>
        <v>28</v>
      </c>
      <c r="BE86" s="3">
        <f t="shared" si="55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9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3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40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9"/>
        <v>1</v>
      </c>
      <c r="AO87" s="3" t="str">
        <f>IF(ISERROR(MATCH(A87,'SegEnds_Xtal_Prot#'!B:B, 0)), "NoXtal", "Xtal")</f>
        <v>NoXtal</v>
      </c>
      <c r="AP87" s="3" t="str">
        <f t="shared" si="41"/>
        <v>-</v>
      </c>
      <c r="AQ87" s="3" t="str">
        <f t="shared" si="42"/>
        <v>-</v>
      </c>
      <c r="AR87" s="3">
        <f t="shared" si="43"/>
        <v>3</v>
      </c>
      <c r="AS87" s="3">
        <f t="shared" si="44"/>
        <v>1</v>
      </c>
      <c r="AT87" s="3">
        <f t="shared" si="45"/>
        <v>1</v>
      </c>
      <c r="AU87" s="3">
        <f t="shared" si="46"/>
        <v>1</v>
      </c>
      <c r="AV87" s="3">
        <f t="shared" si="47"/>
        <v>11</v>
      </c>
      <c r="AW87" s="3">
        <f t="shared" si="48"/>
        <v>8</v>
      </c>
      <c r="AX87" s="3">
        <f t="shared" si="49"/>
        <v>6</v>
      </c>
      <c r="AY87" s="3">
        <f t="shared" si="50"/>
        <v>4</v>
      </c>
      <c r="AZ87" s="3">
        <f t="shared" si="51"/>
        <v>1</v>
      </c>
      <c r="BA87" s="3">
        <f>IF(ISERROR(LEN(VLOOKUP(A87,Seqs!A:E,2,FALSE))-AL87),"-",LEN(VLOOKUP(A87,Seqs!A:E,2,FALSE))-AL87)</f>
        <v>26</v>
      </c>
      <c r="BB87" s="16">
        <f t="shared" si="52"/>
        <v>28</v>
      </c>
      <c r="BC87" s="9">
        <f t="shared" si="53"/>
        <v>20</v>
      </c>
      <c r="BD87" s="3">
        <f t="shared" si="54"/>
        <v>28</v>
      </c>
      <c r="BE87" s="3">
        <f t="shared" si="55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9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3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40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9"/>
        <v>1</v>
      </c>
      <c r="AO88" s="3" t="str">
        <f>IF(ISERROR(MATCH(A88,'SegEnds_Xtal_Prot#'!B:B, 0)), "NoXtal", "Xtal")</f>
        <v>NoXtal</v>
      </c>
      <c r="AP88" s="3" t="str">
        <f t="shared" si="41"/>
        <v>-</v>
      </c>
      <c r="AQ88" s="3" t="str">
        <f t="shared" si="42"/>
        <v>-</v>
      </c>
      <c r="AR88" s="3">
        <f t="shared" si="43"/>
        <v>3</v>
      </c>
      <c r="AS88" s="3">
        <f t="shared" si="44"/>
        <v>1</v>
      </c>
      <c r="AT88" s="3">
        <f t="shared" si="45"/>
        <v>1</v>
      </c>
      <c r="AU88" s="3">
        <f t="shared" si="46"/>
        <v>1</v>
      </c>
      <c r="AV88" s="3">
        <f t="shared" si="47"/>
        <v>10</v>
      </c>
      <c r="AW88" s="3">
        <f t="shared" si="48"/>
        <v>6</v>
      </c>
      <c r="AX88" s="3">
        <f t="shared" si="49"/>
        <v>5</v>
      </c>
      <c r="AY88" s="3">
        <f t="shared" si="50"/>
        <v>7</v>
      </c>
      <c r="AZ88" s="3">
        <f t="shared" si="51"/>
        <v>1</v>
      </c>
      <c r="BA88" s="3">
        <f>IF(ISERROR(LEN(VLOOKUP(A88,Seqs!A:E,2,FALSE))-AL88),"-",LEN(VLOOKUP(A88,Seqs!A:E,2,FALSE))-AL88)</f>
        <v>25</v>
      </c>
      <c r="BB88" s="16">
        <f t="shared" si="52"/>
        <v>28</v>
      </c>
      <c r="BC88" s="9">
        <f t="shared" si="53"/>
        <v>20</v>
      </c>
      <c r="BD88" s="3">
        <f t="shared" si="54"/>
        <v>28</v>
      </c>
      <c r="BE88" s="3">
        <f t="shared" si="55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38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9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3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40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291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9"/>
        <v>1</v>
      </c>
      <c r="AO89" s="3" t="str">
        <f>IF(ISERROR(MATCH(A89,'SegEnds_Xtal_Prot#'!B:B, 0)), "NoXtal", "Xtal")</f>
        <v>NoXtal</v>
      </c>
      <c r="AP89" s="3" t="str">
        <f t="shared" si="41"/>
        <v>-</v>
      </c>
      <c r="AQ89" s="3" t="str">
        <f t="shared" si="42"/>
        <v>-</v>
      </c>
      <c r="AR89" s="3">
        <f t="shared" si="43"/>
        <v>3</v>
      </c>
      <c r="AS89" s="3">
        <f t="shared" si="44"/>
        <v>1</v>
      </c>
      <c r="AT89" s="3">
        <f t="shared" si="45"/>
        <v>1</v>
      </c>
      <c r="AU89" s="3">
        <f t="shared" si="46"/>
        <v>1</v>
      </c>
      <c r="AV89" s="3">
        <f t="shared" si="47"/>
        <v>11</v>
      </c>
      <c r="AW89" s="3">
        <f t="shared" si="48"/>
        <v>25</v>
      </c>
      <c r="AX89" s="3">
        <f t="shared" si="49"/>
        <v>5</v>
      </c>
      <c r="AY89" s="3">
        <f t="shared" si="50"/>
        <v>5</v>
      </c>
      <c r="AZ89" s="3">
        <f t="shared" si="51"/>
        <v>1</v>
      </c>
      <c r="BA89" s="3">
        <f>IF(ISERROR(LEN(VLOOKUP(A89,Seqs!A:E,2,FALSE))-AL89),"-",LEN(VLOOKUP(A89,Seqs!A:E,2,FALSE))-AL89)</f>
        <v>39</v>
      </c>
      <c r="BB89" s="16">
        <f t="shared" si="52"/>
        <v>27</v>
      </c>
      <c r="BC89" s="9">
        <f t="shared" si="53"/>
        <v>20</v>
      </c>
      <c r="BD89" s="3">
        <f t="shared" si="54"/>
        <v>27</v>
      </c>
      <c r="BE89" s="3">
        <f t="shared" si="55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2">G90-2</f>
        <v>145</v>
      </c>
      <c r="G90" s="3">
        <v>147</v>
      </c>
      <c r="H90" s="3">
        <f t="shared" ref="H90:H98" si="63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3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9"/>
        <v>1</v>
      </c>
      <c r="AO90" s="3" t="str">
        <f>IF(ISERROR(MATCH(A90,'SegEnds_Xtal_Prot#'!B:B, 0)), "NoXtal", "Xtal")</f>
        <v>Xtal</v>
      </c>
      <c r="AP90" s="3">
        <f t="shared" si="41"/>
        <v>1</v>
      </c>
      <c r="AQ90" s="3">
        <f t="shared" si="42"/>
        <v>2</v>
      </c>
      <c r="AR90" s="3" t="str">
        <f t="shared" si="43"/>
        <v>-</v>
      </c>
      <c r="AS90" s="3" t="str">
        <f t="shared" si="44"/>
        <v>-</v>
      </c>
      <c r="AT90" s="3">
        <f t="shared" si="45"/>
        <v>1</v>
      </c>
      <c r="AU90" s="3">
        <f t="shared" si="46"/>
        <v>1</v>
      </c>
      <c r="AV90" s="3" t="str">
        <f t="shared" si="47"/>
        <v>-</v>
      </c>
      <c r="AW90" s="3" t="str">
        <f t="shared" si="48"/>
        <v>-</v>
      </c>
      <c r="AX90" s="3">
        <f t="shared" si="49"/>
        <v>20</v>
      </c>
      <c r="AY90" s="3">
        <f t="shared" si="50"/>
        <v>3</v>
      </c>
      <c r="AZ90" s="3">
        <f t="shared" si="51"/>
        <v>1</v>
      </c>
      <c r="BA90" s="3">
        <f>IF(ISERROR(LEN(VLOOKUP(A90,Seqs!A:E,2,FALSE))-AL90),"-",LEN(VLOOKUP(A90,Seqs!A:E,2,FALSE))-AL90)</f>
        <v>59</v>
      </c>
      <c r="BB90" s="16">
        <f t="shared" si="52"/>
        <v>29</v>
      </c>
      <c r="BC90" s="9">
        <f t="shared" si="53"/>
        <v>20</v>
      </c>
      <c r="BD90" s="3">
        <f t="shared" si="54"/>
        <v>29</v>
      </c>
      <c r="BE90" s="3">
        <f t="shared" si="55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cnr1_human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2"/>
        <v>62</v>
      </c>
      <c r="G91" s="3">
        <v>64</v>
      </c>
      <c r="H91" s="3">
        <f t="shared" si="63"/>
        <v>65</v>
      </c>
      <c r="I91" s="3">
        <f t="shared" ref="I91:I101" si="64">H91+1</f>
        <v>66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3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277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315</v>
      </c>
      <c r="AM91" s="28" t="str">
        <f>VLOOKUP(A91,Classification!A:B,2,FALSE)</f>
        <v>A</v>
      </c>
      <c r="AN91" s="28" t="b">
        <f t="shared" si="59"/>
        <v>1</v>
      </c>
      <c r="AO91" s="3" t="str">
        <f>IF(ISERROR(MATCH(A91,'SegEnds_Xtal_Prot#'!B:B, 0)), "NoXtal", "Xtal")</f>
        <v>NoXtal</v>
      </c>
      <c r="AP91" s="3">
        <f t="shared" si="41"/>
        <v>1</v>
      </c>
      <c r="AQ91" s="3">
        <f t="shared" si="42"/>
        <v>1</v>
      </c>
      <c r="AR91" s="3" t="str">
        <f t="shared" si="43"/>
        <v>-</v>
      </c>
      <c r="AS91" s="3" t="str">
        <f t="shared" si="44"/>
        <v>-</v>
      </c>
      <c r="AT91" s="3">
        <f t="shared" si="45"/>
        <v>1</v>
      </c>
      <c r="AU91" s="3">
        <f t="shared" si="46"/>
        <v>1</v>
      </c>
      <c r="AV91" s="3" t="str">
        <f t="shared" si="47"/>
        <v>-</v>
      </c>
      <c r="AW91" s="3" t="str">
        <f t="shared" si="48"/>
        <v>-</v>
      </c>
      <c r="AX91" s="3">
        <f t="shared" si="49"/>
        <v>6</v>
      </c>
      <c r="AY91" s="3">
        <f t="shared" si="50"/>
        <v>6</v>
      </c>
      <c r="AZ91" s="3">
        <f t="shared" si="51"/>
        <v>1</v>
      </c>
      <c r="BA91" s="3">
        <f>IF(ISERROR(LEN(VLOOKUP(A91,Seqs!A:E,2,FALSE))-AL91),"-",LEN(VLOOKUP(A91,Seqs!A:E,2,FALSE))-AL91)</f>
        <v>45</v>
      </c>
      <c r="BB91" s="16">
        <f t="shared" si="52"/>
        <v>29</v>
      </c>
      <c r="BC91" s="9">
        <f t="shared" si="53"/>
        <v>20</v>
      </c>
      <c r="BD91" s="3">
        <f t="shared" si="54"/>
        <v>29</v>
      </c>
      <c r="BE91" s="3">
        <f t="shared" si="55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2"/>
        <v>60</v>
      </c>
      <c r="G92" s="3">
        <v>62</v>
      </c>
      <c r="H92" s="3">
        <f t="shared" si="63"/>
        <v>63</v>
      </c>
      <c r="I92" s="3">
        <f t="shared" si="64"/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3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5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9"/>
        <v>1</v>
      </c>
      <c r="AO92" s="3" t="str">
        <f>IF(ISERROR(MATCH(A92,'SegEnds_Xtal_Prot#'!B:B, 0)), "NoXtal", "Xtal")</f>
        <v>NoXtal</v>
      </c>
      <c r="AP92" s="3">
        <f t="shared" si="41"/>
        <v>1</v>
      </c>
      <c r="AQ92" s="3">
        <f t="shared" si="42"/>
        <v>1</v>
      </c>
      <c r="AR92" s="3" t="str">
        <f t="shared" si="43"/>
        <v>-</v>
      </c>
      <c r="AS92" s="3" t="str">
        <f t="shared" si="44"/>
        <v>-</v>
      </c>
      <c r="AT92" s="3">
        <f t="shared" si="45"/>
        <v>1</v>
      </c>
      <c r="AU92" s="3">
        <f t="shared" si="46"/>
        <v>1</v>
      </c>
      <c r="AV92" s="3">
        <f t="shared" si="47"/>
        <v>7</v>
      </c>
      <c r="AW92" s="3">
        <f t="shared" si="48"/>
        <v>6</v>
      </c>
      <c r="AX92" s="3">
        <f t="shared" si="49"/>
        <v>5</v>
      </c>
      <c r="AY92" s="3">
        <f t="shared" si="50"/>
        <v>4</v>
      </c>
      <c r="AZ92" s="3">
        <f t="shared" si="51"/>
        <v>1</v>
      </c>
      <c r="BA92" s="3">
        <f>IF(ISERROR(LEN(VLOOKUP(A92,Seqs!A:E,2,FALSE))-AL92),"-",LEN(VLOOKUP(A92,Seqs!A:E,2,FALSE))-AL92)</f>
        <v>46</v>
      </c>
      <c r="BB92" s="16">
        <f t="shared" si="52"/>
        <v>28</v>
      </c>
      <c r="BC92" s="9">
        <f t="shared" si="53"/>
        <v>20</v>
      </c>
      <c r="BD92" s="3">
        <f t="shared" si="54"/>
        <v>28</v>
      </c>
      <c r="BE92" s="3">
        <f t="shared" si="55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2"/>
        <v>82</v>
      </c>
      <c r="G93" s="3">
        <v>84</v>
      </c>
      <c r="H93" s="3">
        <f t="shared" si="63"/>
        <v>85</v>
      </c>
      <c r="I93" s="3">
        <f t="shared" si="64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6">M93-1</f>
        <v>116</v>
      </c>
      <c r="M93" s="3">
        <v>117</v>
      </c>
      <c r="N93" s="3">
        <f t="shared" ref="N93:N100" si="67">M93+2</f>
        <v>119</v>
      </c>
      <c r="O93" s="3">
        <f t="shared" ref="O93:O100" si="68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3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5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9"/>
        <v>1</v>
      </c>
      <c r="AO93" s="3" t="str">
        <f>IF(ISERROR(MATCH(A93,'SegEnds_Xtal_Prot#'!B:B, 0)), "NoXtal", "Xtal")</f>
        <v>NoXtal</v>
      </c>
      <c r="AP93" s="3">
        <f t="shared" si="41"/>
        <v>1</v>
      </c>
      <c r="AQ93" s="3">
        <f t="shared" si="42"/>
        <v>1</v>
      </c>
      <c r="AR93" s="3">
        <f t="shared" si="43"/>
        <v>1</v>
      </c>
      <c r="AS93" s="3">
        <f t="shared" si="44"/>
        <v>1</v>
      </c>
      <c r="AT93" s="3">
        <f t="shared" si="45"/>
        <v>1</v>
      </c>
      <c r="AU93" s="3">
        <f t="shared" si="46"/>
        <v>1</v>
      </c>
      <c r="AV93" s="3">
        <f t="shared" si="47"/>
        <v>13</v>
      </c>
      <c r="AW93" s="3">
        <f t="shared" si="48"/>
        <v>4</v>
      </c>
      <c r="AX93" s="3">
        <f t="shared" si="49"/>
        <v>5</v>
      </c>
      <c r="AY93" s="3">
        <f t="shared" si="50"/>
        <v>5</v>
      </c>
      <c r="AZ93" s="3">
        <f t="shared" si="51"/>
        <v>1</v>
      </c>
      <c r="BA93" s="3">
        <f>IF(ISERROR(LEN(VLOOKUP(A93,Seqs!A:E,2,FALSE))-AL93),"-",LEN(VLOOKUP(A93,Seqs!A:E,2,FALSE))-AL93)</f>
        <v>34</v>
      </c>
      <c r="BB93" s="16">
        <f t="shared" si="52"/>
        <v>28</v>
      </c>
      <c r="BC93" s="9">
        <f t="shared" si="53"/>
        <v>20</v>
      </c>
      <c r="BD93" s="3">
        <f t="shared" si="54"/>
        <v>28</v>
      </c>
      <c r="BE93" s="3">
        <f t="shared" si="55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2"/>
        <v>67</v>
      </c>
      <c r="G94" s="3">
        <v>69</v>
      </c>
      <c r="H94" s="3">
        <f t="shared" si="63"/>
        <v>70</v>
      </c>
      <c r="I94" s="3">
        <f t="shared" si="64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6"/>
        <v>101</v>
      </c>
      <c r="M94" s="3">
        <v>102</v>
      </c>
      <c r="N94" s="3">
        <f t="shared" si="67"/>
        <v>104</v>
      </c>
      <c r="O94" s="3">
        <f t="shared" si="68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3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5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9"/>
        <v>1</v>
      </c>
      <c r="AO94" s="3" t="str">
        <f>IF(ISERROR(MATCH(A94,'SegEnds_Xtal_Prot#'!B:B, 0)), "NoXtal", "Xtal")</f>
        <v>Xtal</v>
      </c>
      <c r="AP94" s="3">
        <f t="shared" si="41"/>
        <v>1</v>
      </c>
      <c r="AQ94" s="3">
        <f t="shared" si="42"/>
        <v>1</v>
      </c>
      <c r="AR94" s="3">
        <f t="shared" si="43"/>
        <v>1</v>
      </c>
      <c r="AS94" s="3">
        <f t="shared" si="44"/>
        <v>1</v>
      </c>
      <c r="AT94" s="3">
        <f t="shared" si="45"/>
        <v>1</v>
      </c>
      <c r="AU94" s="3">
        <f t="shared" si="46"/>
        <v>1</v>
      </c>
      <c r="AV94" s="3">
        <f t="shared" si="47"/>
        <v>11</v>
      </c>
      <c r="AW94" s="3">
        <f t="shared" si="48"/>
        <v>5</v>
      </c>
      <c r="AX94" s="3">
        <f t="shared" si="49"/>
        <v>5</v>
      </c>
      <c r="AY94" s="3">
        <f t="shared" si="50"/>
        <v>5</v>
      </c>
      <c r="AZ94" s="3">
        <f t="shared" si="51"/>
        <v>1</v>
      </c>
      <c r="BA94" s="3">
        <f>IF(ISERROR(LEN(VLOOKUP(A94,Seqs!A:E,2,FALSE))-AL94),"-",LEN(VLOOKUP(A94,Seqs!A:E,2,FALSE))-AL94)</f>
        <v>34</v>
      </c>
      <c r="BB94" s="16">
        <f t="shared" si="52"/>
        <v>28</v>
      </c>
      <c r="BC94" s="9">
        <f t="shared" si="53"/>
        <v>20</v>
      </c>
      <c r="BD94" s="3">
        <f t="shared" si="54"/>
        <v>28</v>
      </c>
      <c r="BE94" s="3">
        <f t="shared" si="55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2"/>
        <v>80</v>
      </c>
      <c r="G95" s="3">
        <v>82</v>
      </c>
      <c r="H95" s="3">
        <f t="shared" si="63"/>
        <v>83</v>
      </c>
      <c r="I95" s="3">
        <f t="shared" si="64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6"/>
        <v>114</v>
      </c>
      <c r="M95" s="3">
        <v>115</v>
      </c>
      <c r="N95" s="3">
        <f t="shared" si="67"/>
        <v>117</v>
      </c>
      <c r="O95" s="3">
        <f t="shared" si="68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3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5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9"/>
        <v>1</v>
      </c>
      <c r="AO95" s="3" t="str">
        <f>IF(ISERROR(MATCH(A95,'SegEnds_Xtal_Prot#'!B:B, 0)), "NoXtal", "Xtal")</f>
        <v>NoXtal</v>
      </c>
      <c r="AP95" s="3">
        <f t="shared" si="41"/>
        <v>1</v>
      </c>
      <c r="AQ95" s="3">
        <f t="shared" si="42"/>
        <v>1</v>
      </c>
      <c r="AR95" s="3">
        <f t="shared" si="43"/>
        <v>1</v>
      </c>
      <c r="AS95" s="3">
        <f t="shared" si="44"/>
        <v>1</v>
      </c>
      <c r="AT95" s="3">
        <f t="shared" si="45"/>
        <v>1</v>
      </c>
      <c r="AU95" s="3">
        <f t="shared" si="46"/>
        <v>1</v>
      </c>
      <c r="AV95" s="3">
        <f t="shared" si="47"/>
        <v>14</v>
      </c>
      <c r="AW95" s="3">
        <f t="shared" si="48"/>
        <v>8</v>
      </c>
      <c r="AX95" s="3">
        <f t="shared" si="49"/>
        <v>4</v>
      </c>
      <c r="AY95" s="3">
        <f t="shared" si="50"/>
        <v>5</v>
      </c>
      <c r="AZ95" s="3">
        <f t="shared" si="51"/>
        <v>1</v>
      </c>
      <c r="BA95" s="3">
        <f>IF(ISERROR(LEN(VLOOKUP(A95,Seqs!A:E,2,FALSE))-AL95),"-",LEN(VLOOKUP(A95,Seqs!A:E,2,FALSE))-AL95)</f>
        <v>34</v>
      </c>
      <c r="BB95" s="16">
        <f t="shared" si="52"/>
        <v>28</v>
      </c>
      <c r="BC95" s="9">
        <f t="shared" si="53"/>
        <v>20</v>
      </c>
      <c r="BD95" s="3">
        <f t="shared" si="54"/>
        <v>28</v>
      </c>
      <c r="BE95" s="3">
        <f t="shared" si="55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2"/>
        <v>52</v>
      </c>
      <c r="G96" s="3">
        <v>54</v>
      </c>
      <c r="H96" s="3">
        <f t="shared" si="63"/>
        <v>55</v>
      </c>
      <c r="I96" s="3">
        <f t="shared" si="64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6"/>
        <v>89</v>
      </c>
      <c r="M96" s="3">
        <v>90</v>
      </c>
      <c r="N96" s="3">
        <f t="shared" si="67"/>
        <v>92</v>
      </c>
      <c r="O96" s="3">
        <f t="shared" si="68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3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5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9"/>
        <v>1</v>
      </c>
      <c r="AO96" s="3" t="str">
        <f>IF(ISERROR(MATCH(A96,'SegEnds_Xtal_Prot#'!B:B, 0)), "NoXtal", "Xtal")</f>
        <v>NoXtal</v>
      </c>
      <c r="AP96" s="3">
        <f t="shared" si="41"/>
        <v>1</v>
      </c>
      <c r="AQ96" s="3">
        <f t="shared" si="42"/>
        <v>1</v>
      </c>
      <c r="AR96" s="3">
        <f t="shared" si="43"/>
        <v>3</v>
      </c>
      <c r="AS96" s="3">
        <f t="shared" si="44"/>
        <v>1</v>
      </c>
      <c r="AT96" s="3">
        <f t="shared" si="45"/>
        <v>1</v>
      </c>
      <c r="AU96" s="3">
        <f t="shared" si="46"/>
        <v>1</v>
      </c>
      <c r="AV96" s="3">
        <f t="shared" si="47"/>
        <v>24</v>
      </c>
      <c r="AW96" s="3">
        <f t="shared" si="48"/>
        <v>3</v>
      </c>
      <c r="AX96" s="3">
        <f t="shared" si="49"/>
        <v>29</v>
      </c>
      <c r="AY96" s="3">
        <f t="shared" si="50"/>
        <v>8</v>
      </c>
      <c r="AZ96" s="3">
        <f t="shared" si="51"/>
        <v>1</v>
      </c>
      <c r="BA96" s="3">
        <f>IF(ISERROR(LEN(VLOOKUP(A96,Seqs!A:E,2,FALSE))-AL96),"-",LEN(VLOOKUP(A96,Seqs!A:E,2,FALSE))-AL96)</f>
        <v>99</v>
      </c>
      <c r="BB96" s="16">
        <f t="shared" si="52"/>
        <v>29</v>
      </c>
      <c r="BC96" s="9">
        <f t="shared" si="53"/>
        <v>20</v>
      </c>
      <c r="BD96" s="3">
        <f t="shared" si="54"/>
        <v>29</v>
      </c>
      <c r="BE96" s="3">
        <f t="shared" si="55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drd3_human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2"/>
        <v>63</v>
      </c>
      <c r="G97" s="3">
        <v>65</v>
      </c>
      <c r="H97" s="3">
        <f t="shared" si="63"/>
        <v>66</v>
      </c>
      <c r="I97" s="3">
        <f t="shared" si="64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6"/>
        <v>100</v>
      </c>
      <c r="M97" s="3">
        <v>101</v>
      </c>
      <c r="N97" s="3">
        <f t="shared" si="67"/>
        <v>103</v>
      </c>
      <c r="O97" s="3">
        <f t="shared" si="68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3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5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419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9"/>
        <v>1</v>
      </c>
      <c r="AO97" s="3" t="str">
        <f>IF(ISERROR(MATCH(A97,'SegEnds_Xtal_Prot#'!B:B, 0)), "NoXtal", "Xtal")</f>
        <v>NoXtal</v>
      </c>
      <c r="AP97" s="3">
        <f t="shared" si="41"/>
        <v>1</v>
      </c>
      <c r="AQ97" s="3">
        <f t="shared" si="42"/>
        <v>1</v>
      </c>
      <c r="AR97" s="3">
        <f t="shared" si="43"/>
        <v>3</v>
      </c>
      <c r="AS97" s="3">
        <f t="shared" si="44"/>
        <v>1</v>
      </c>
      <c r="AT97" s="3">
        <f t="shared" si="45"/>
        <v>1</v>
      </c>
      <c r="AU97" s="3">
        <f t="shared" si="46"/>
        <v>1</v>
      </c>
      <c r="AV97" s="3">
        <f t="shared" si="47"/>
        <v>12</v>
      </c>
      <c r="AW97" s="3">
        <f t="shared" si="48"/>
        <v>2</v>
      </c>
      <c r="AX97" s="3">
        <f t="shared" si="49"/>
        <v>154</v>
      </c>
      <c r="AY97" s="3">
        <f t="shared" si="50"/>
        <v>7</v>
      </c>
      <c r="AZ97" s="3">
        <f t="shared" si="51"/>
        <v>1</v>
      </c>
      <c r="BA97" s="3">
        <f>IF(ISERROR(LEN(VLOOKUP(A97,Seqs!A:E,2,FALSE))-AL97),"-",LEN(VLOOKUP(A97,Seqs!A:E,2,FALSE))-AL97)</f>
        <v>3</v>
      </c>
      <c r="BB97" s="16">
        <f t="shared" si="52"/>
        <v>28</v>
      </c>
      <c r="BC97" s="9">
        <f t="shared" si="53"/>
        <v>20</v>
      </c>
      <c r="BD97" s="3">
        <f t="shared" si="54"/>
        <v>28</v>
      </c>
      <c r="BE97" s="3">
        <f t="shared" si="55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2"/>
        <v>69</v>
      </c>
      <c r="G98" s="3">
        <v>71</v>
      </c>
      <c r="H98" s="3">
        <f t="shared" si="63"/>
        <v>72</v>
      </c>
      <c r="I98" s="3">
        <f t="shared" si="64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6"/>
        <v>106</v>
      </c>
      <c r="M98" s="3">
        <v>107</v>
      </c>
      <c r="N98" s="3">
        <f t="shared" si="67"/>
        <v>109</v>
      </c>
      <c r="O98" s="3">
        <f t="shared" si="68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3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5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9"/>
        <v>1</v>
      </c>
      <c r="AO98" s="3" t="str">
        <f>IF(ISERROR(MATCH(A98,'SegEnds_Xtal_Prot#'!B:B, 0)), "NoXtal", "Xtal")</f>
        <v>NoXtal</v>
      </c>
      <c r="AP98" s="3">
        <f t="shared" si="41"/>
        <v>1</v>
      </c>
      <c r="AQ98" s="3">
        <f t="shared" si="42"/>
        <v>1</v>
      </c>
      <c r="AR98" s="3">
        <f t="shared" si="43"/>
        <v>3</v>
      </c>
      <c r="AS98" s="3">
        <f t="shared" si="44"/>
        <v>1</v>
      </c>
      <c r="AT98" s="3">
        <f t="shared" si="45"/>
        <v>1</v>
      </c>
      <c r="AU98" s="3">
        <f t="shared" si="46"/>
        <v>1</v>
      </c>
      <c r="AV98" s="3">
        <f t="shared" si="47"/>
        <v>38</v>
      </c>
      <c r="AW98" s="3">
        <f t="shared" si="48"/>
        <v>3</v>
      </c>
      <c r="AX98" s="3">
        <f t="shared" si="49"/>
        <v>22</v>
      </c>
      <c r="AY98" s="3">
        <f t="shared" si="50"/>
        <v>5</v>
      </c>
      <c r="AZ98" s="3">
        <f t="shared" si="51"/>
        <v>1</v>
      </c>
      <c r="BA98" s="3">
        <f>IF(ISERROR(LEN(VLOOKUP(A98,Seqs!A:E,2,FALSE))-AL98),"-",LEN(VLOOKUP(A98,Seqs!A:E,2,FALSE))-AL98)</f>
        <v>102</v>
      </c>
      <c r="BB98" s="16">
        <f t="shared" si="52"/>
        <v>29</v>
      </c>
      <c r="BC98" s="9">
        <f t="shared" si="53"/>
        <v>20</v>
      </c>
      <c r="BD98" s="3">
        <f t="shared" si="54"/>
        <v>29</v>
      </c>
      <c r="BE98" s="3">
        <f t="shared" si="55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2"/>
        <v>109</v>
      </c>
      <c r="G99" s="3">
        <v>111</v>
      </c>
      <c r="H99" s="3">
        <v>113</v>
      </c>
      <c r="I99" s="3">
        <f t="shared" si="64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6"/>
        <v>145</v>
      </c>
      <c r="M99" s="3">
        <v>146</v>
      </c>
      <c r="N99" s="3">
        <f t="shared" si="67"/>
        <v>148</v>
      </c>
      <c r="O99" s="3">
        <f t="shared" si="68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3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5"/>
        <v>241</v>
      </c>
      <c r="AA99" s="3">
        <f>IF(ISERROR(VLOOKUP($A99,'SegEnds_NonXtal_BW#'!$A:$Z,19,FALSE)+VLOOKUP($A99,A:AL,28,FALSE)-50),"-",(VLOOKUP($A99,'SegEnds_NonXtal_BW#'!$A:$Z,19,FALSE)+VLOOKUP($A99,A:AL,28,FALSE)-50))</f>
        <v>246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9"/>
        <v>1</v>
      </c>
      <c r="AO99" s="3" t="str">
        <f>IF(ISERROR(MATCH(A99,'SegEnds_Xtal_Prot#'!B:B, 0)), "NoXtal", "Xtal")</f>
        <v>NoXtal</v>
      </c>
      <c r="AP99" s="3">
        <f t="shared" si="41"/>
        <v>1</v>
      </c>
      <c r="AQ99" s="3">
        <f t="shared" si="42"/>
        <v>1</v>
      </c>
      <c r="AR99" s="3">
        <f t="shared" si="43"/>
        <v>2</v>
      </c>
      <c r="AS99" s="3">
        <f t="shared" si="44"/>
        <v>1</v>
      </c>
      <c r="AT99" s="3">
        <f t="shared" si="45"/>
        <v>1</v>
      </c>
      <c r="AU99" s="3">
        <f t="shared" si="46"/>
        <v>1</v>
      </c>
      <c r="AV99" s="3">
        <f t="shared" si="47"/>
        <v>15</v>
      </c>
      <c r="AW99" s="3">
        <f t="shared" si="48"/>
        <v>5</v>
      </c>
      <c r="AX99" s="3">
        <f t="shared" si="49"/>
        <v>6</v>
      </c>
      <c r="AY99" s="3">
        <f t="shared" si="50"/>
        <v>7</v>
      </c>
      <c r="AZ99" s="3">
        <f t="shared" si="51"/>
        <v>1</v>
      </c>
      <c r="BA99" s="3">
        <f>IF(ISERROR(LEN(VLOOKUP(A99,Seqs!A:E,2,FALSE))-AL99),"-",LEN(VLOOKUP(A99,Seqs!A:E,2,FALSE))-AL99)</f>
        <v>41</v>
      </c>
      <c r="BB99" s="16">
        <f t="shared" si="52"/>
        <v>28</v>
      </c>
      <c r="BC99" s="9">
        <f t="shared" si="53"/>
        <v>20</v>
      </c>
      <c r="BD99" s="3">
        <f t="shared" si="54"/>
        <v>28</v>
      </c>
      <c r="BE99" s="3">
        <f t="shared" si="55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2"/>
        <v>130</v>
      </c>
      <c r="G100" s="3">
        <v>132</v>
      </c>
      <c r="H100" s="3">
        <v>134</v>
      </c>
      <c r="I100" s="3">
        <f t="shared" si="64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6"/>
        <v>166</v>
      </c>
      <c r="M100" s="3">
        <v>167</v>
      </c>
      <c r="N100" s="3">
        <f t="shared" si="67"/>
        <v>169</v>
      </c>
      <c r="O100" s="3">
        <f t="shared" si="68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3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5"/>
        <v>257</v>
      </c>
      <c r="AA100" s="3">
        <f>IF(ISERROR(VLOOKUP($A100,'SegEnds_NonXtal_BW#'!$A:$Z,19,FALSE)+VLOOKUP($A100,A:AL,28,FALSE)-50),"-",(VLOOKUP($A100,'SegEnds_NonXtal_BW#'!$A:$Z,19,FALSE)+VLOOKUP($A100,A:AL,28,FALSE)-50))</f>
        <v>264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9"/>
        <v>1</v>
      </c>
      <c r="AO100" s="3" t="str">
        <f>IF(ISERROR(MATCH(A100,'SegEnds_Xtal_Prot#'!B:B, 0)), "NoXtal", "Xtal")</f>
        <v>Xtal</v>
      </c>
      <c r="AP100" s="3">
        <f t="shared" si="41"/>
        <v>1</v>
      </c>
      <c r="AQ100" s="3">
        <f t="shared" si="42"/>
        <v>1</v>
      </c>
      <c r="AR100" s="3">
        <f t="shared" si="43"/>
        <v>2</v>
      </c>
      <c r="AS100" s="3">
        <f t="shared" si="44"/>
        <v>1</v>
      </c>
      <c r="AT100" s="3">
        <f t="shared" si="45"/>
        <v>1</v>
      </c>
      <c r="AU100" s="3">
        <f t="shared" si="46"/>
        <v>1</v>
      </c>
      <c r="AV100" s="3">
        <f t="shared" si="47"/>
        <v>15</v>
      </c>
      <c r="AW100" s="3">
        <f t="shared" si="48"/>
        <v>7</v>
      </c>
      <c r="AX100" s="3">
        <f t="shared" si="49"/>
        <v>5</v>
      </c>
      <c r="AY100" s="3">
        <f t="shared" si="50"/>
        <v>7</v>
      </c>
      <c r="AZ100" s="3">
        <f t="shared" si="51"/>
        <v>1</v>
      </c>
      <c r="BA100" s="3">
        <f>IF(ISERROR(LEN(VLOOKUP(A100,Seqs!A:E,2,FALSE))-AL100),"-",LEN(VLOOKUP(A100,Seqs!A:E,2,FALSE))-AL100)</f>
        <v>39</v>
      </c>
      <c r="BB100" s="16">
        <f t="shared" si="52"/>
        <v>28</v>
      </c>
      <c r="BC100" s="9">
        <f t="shared" si="53"/>
        <v>20</v>
      </c>
      <c r="BD100" s="3">
        <f t="shared" si="54"/>
        <v>28</v>
      </c>
      <c r="BE100" s="3">
        <f t="shared" si="55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2"/>
        <v>159</v>
      </c>
      <c r="G101" s="3">
        <v>161</v>
      </c>
      <c r="H101" s="3">
        <f>G101+1</f>
        <v>162</v>
      </c>
      <c r="I101" s="3">
        <f t="shared" si="64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3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5"/>
        <v>288</v>
      </c>
      <c r="AA101" s="3">
        <f>IF(ISERROR(VLOOKUP($A101,'SegEnds_NonXtal_BW#'!$A:$Z,19,FALSE)+VLOOKUP($A101,A:AL,28,FALSE)-50),"-",(VLOOKUP($A101,'SegEnds_NonXtal_BW#'!$A:$Z,19,FALSE)+VLOOKUP($A101,A:AL,28,FALSE)-50))</f>
        <v>300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391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9"/>
        <v>1</v>
      </c>
      <c r="AO101" s="3" t="str">
        <f>IF(ISERROR(MATCH(A101,'SegEnds_Xtal_Prot#'!B:B, 0)), "NoXtal", "Xtal")</f>
        <v>NoXtal</v>
      </c>
      <c r="AP101" s="3">
        <f t="shared" si="41"/>
        <v>1</v>
      </c>
      <c r="AQ101" s="3">
        <f t="shared" si="42"/>
        <v>1</v>
      </c>
      <c r="AR101" s="3" t="str">
        <f t="shared" si="43"/>
        <v>-</v>
      </c>
      <c r="AS101" s="3" t="str">
        <f t="shared" si="44"/>
        <v>-</v>
      </c>
      <c r="AT101" s="3">
        <f t="shared" si="45"/>
        <v>2</v>
      </c>
      <c r="AU101" s="3">
        <f t="shared" si="46"/>
        <v>1</v>
      </c>
      <c r="AV101" s="3">
        <f t="shared" si="47"/>
        <v>16</v>
      </c>
      <c r="AW101" s="3">
        <f t="shared" si="48"/>
        <v>12</v>
      </c>
      <c r="AX101" s="3">
        <f t="shared" si="49"/>
        <v>5</v>
      </c>
      <c r="AY101" s="3">
        <f t="shared" si="50"/>
        <v>6</v>
      </c>
      <c r="AZ101" s="3">
        <f t="shared" si="51"/>
        <v>1</v>
      </c>
      <c r="BA101" s="3">
        <f>IF(ISERROR(LEN(VLOOKUP(A101,Seqs!A:E,2,FALSE))-AL101),"-",LEN(VLOOKUP(A101,Seqs!A:E,2,FALSE))-AL101)</f>
        <v>48</v>
      </c>
      <c r="BB101" s="16">
        <f t="shared" si="52"/>
        <v>28</v>
      </c>
      <c r="BC101" s="9">
        <f t="shared" si="53"/>
        <v>20</v>
      </c>
      <c r="BD101" s="3">
        <f t="shared" si="54"/>
        <v>28</v>
      </c>
      <c r="BE101" s="3">
        <f t="shared" si="55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9">M102-1</f>
        <v>71</v>
      </c>
      <c r="M102" s="3">
        <v>72</v>
      </c>
      <c r="N102" s="3">
        <f t="shared" ref="N102:N115" si="70">M102+2</f>
        <v>74</v>
      </c>
      <c r="O102" s="3">
        <f t="shared" ref="O102:O115" si="71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3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5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9"/>
        <v>1</v>
      </c>
      <c r="AO102" s="3" t="str">
        <f>IF(ISERROR(MATCH(A102,'SegEnds_Xtal_Prot#'!B:B, 0)), "NoXtal", "Xtal")</f>
        <v>Xtal</v>
      </c>
      <c r="AP102" s="3" t="str">
        <f t="shared" si="41"/>
        <v>-</v>
      </c>
      <c r="AQ102" s="3" t="str">
        <f t="shared" si="42"/>
        <v>-</v>
      </c>
      <c r="AR102" s="3">
        <f t="shared" si="43"/>
        <v>2</v>
      </c>
      <c r="AS102" s="3">
        <f t="shared" si="44"/>
        <v>1</v>
      </c>
      <c r="AT102" s="3">
        <f t="shared" si="45"/>
        <v>1</v>
      </c>
      <c r="AU102" s="3">
        <f t="shared" si="46"/>
        <v>1</v>
      </c>
      <c r="AV102" s="3">
        <f t="shared" si="47"/>
        <v>24</v>
      </c>
      <c r="AW102" s="3">
        <f t="shared" si="48"/>
        <v>3</v>
      </c>
      <c r="AX102" s="3">
        <f t="shared" si="49"/>
        <v>6</v>
      </c>
      <c r="AY102" s="3">
        <f t="shared" si="50"/>
        <v>5</v>
      </c>
      <c r="AZ102" s="3">
        <f t="shared" si="51"/>
        <v>1</v>
      </c>
      <c r="BA102" s="3">
        <f>IF(ISERROR(LEN(VLOOKUP(A102,Seqs!A:E,2,FALSE))-AL102),"-",LEN(VLOOKUP(A102,Seqs!A:E,2,FALSE))-AL102)</f>
        <v>6</v>
      </c>
      <c r="BB102" s="16">
        <f t="shared" si="52"/>
        <v>29</v>
      </c>
      <c r="BC102" s="9">
        <f t="shared" si="53"/>
        <v>20</v>
      </c>
      <c r="BD102" s="3">
        <f t="shared" si="54"/>
        <v>29</v>
      </c>
      <c r="BE102" s="3">
        <f t="shared" si="55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9"/>
        <v>74</v>
      </c>
      <c r="M103" s="3">
        <v>75</v>
      </c>
      <c r="N103" s="3">
        <f t="shared" si="70"/>
        <v>77</v>
      </c>
      <c r="O103" s="3">
        <f t="shared" si="71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3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5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9"/>
        <v>1</v>
      </c>
      <c r="AO103" s="3" t="str">
        <f>IF(ISERROR(MATCH(A103,'SegEnds_Xtal_Prot#'!B:B, 0)), "NoXtal", "Xtal")</f>
        <v>NoXtal</v>
      </c>
      <c r="AP103" s="3" t="str">
        <f t="shared" si="41"/>
        <v>-</v>
      </c>
      <c r="AQ103" s="3" t="str">
        <f t="shared" si="42"/>
        <v>-</v>
      </c>
      <c r="AR103" s="3">
        <f t="shared" si="43"/>
        <v>3</v>
      </c>
      <c r="AS103" s="3">
        <f t="shared" si="44"/>
        <v>1</v>
      </c>
      <c r="AT103" s="3">
        <f t="shared" si="45"/>
        <v>1</v>
      </c>
      <c r="AU103" s="3">
        <f t="shared" si="46"/>
        <v>1</v>
      </c>
      <c r="AV103" s="3">
        <f t="shared" si="47"/>
        <v>18</v>
      </c>
      <c r="AW103" s="3">
        <f t="shared" si="48"/>
        <v>6</v>
      </c>
      <c r="AX103" s="3">
        <f t="shared" si="49"/>
        <v>5</v>
      </c>
      <c r="AY103" s="3">
        <f t="shared" si="50"/>
        <v>5</v>
      </c>
      <c r="AZ103" s="3">
        <f t="shared" si="51"/>
        <v>1</v>
      </c>
      <c r="BA103" s="3">
        <f>IF(ISERROR(LEN(VLOOKUP(A103,Seqs!A:E,2,FALSE))-AL103),"-",LEN(VLOOKUP(A103,Seqs!A:E,2,FALSE))-AL103)</f>
        <v>39</v>
      </c>
      <c r="BB103" s="16">
        <f t="shared" si="52"/>
        <v>30</v>
      </c>
      <c r="BC103" s="9">
        <f t="shared" si="53"/>
        <v>20</v>
      </c>
      <c r="BD103" s="3">
        <f t="shared" si="54"/>
        <v>30</v>
      </c>
      <c r="BE103" s="3">
        <f t="shared" si="55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9"/>
        <v>80</v>
      </c>
      <c r="M104" s="3">
        <v>81</v>
      </c>
      <c r="N104" s="3">
        <f t="shared" si="70"/>
        <v>83</v>
      </c>
      <c r="O104" s="3">
        <f t="shared" si="71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3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5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9"/>
        <v>1</v>
      </c>
      <c r="AO104" s="3" t="str">
        <f>IF(ISERROR(MATCH(A104,'SegEnds_Xtal_Prot#'!B:B, 0)), "NoXtal", "Xtal")</f>
        <v>NoXtal</v>
      </c>
      <c r="AP104" s="3" t="str">
        <f t="shared" si="41"/>
        <v>-</v>
      </c>
      <c r="AQ104" s="3" t="str">
        <f t="shared" si="42"/>
        <v>-</v>
      </c>
      <c r="AR104" s="3">
        <f t="shared" si="43"/>
        <v>3</v>
      </c>
      <c r="AS104" s="3">
        <f t="shared" si="44"/>
        <v>1</v>
      </c>
      <c r="AT104" s="3">
        <f t="shared" si="45"/>
        <v>1</v>
      </c>
      <c r="AU104" s="3">
        <f t="shared" si="46"/>
        <v>1</v>
      </c>
      <c r="AV104" s="3">
        <f t="shared" si="47"/>
        <v>16</v>
      </c>
      <c r="AW104" s="3">
        <f t="shared" si="48"/>
        <v>7</v>
      </c>
      <c r="AX104" s="3">
        <f t="shared" si="49"/>
        <v>4</v>
      </c>
      <c r="AY104" s="3">
        <f t="shared" si="50"/>
        <v>5</v>
      </c>
      <c r="AZ104" s="3">
        <f t="shared" si="51"/>
        <v>1</v>
      </c>
      <c r="BA104" s="3">
        <f>IF(ISERROR(LEN(VLOOKUP(A104,Seqs!A:E,2,FALSE))-AL104),"-",LEN(VLOOKUP(A104,Seqs!A:E,2,FALSE))-AL104)</f>
        <v>52</v>
      </c>
      <c r="BB104" s="16">
        <f t="shared" si="52"/>
        <v>29</v>
      </c>
      <c r="BC104" s="9">
        <f t="shared" si="53"/>
        <v>20</v>
      </c>
      <c r="BD104" s="3">
        <f t="shared" si="54"/>
        <v>29</v>
      </c>
      <c r="BE104" s="3">
        <f t="shared" si="55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9"/>
        <v>103</v>
      </c>
      <c r="M105" s="3">
        <v>104</v>
      </c>
      <c r="N105" s="3">
        <f t="shared" si="70"/>
        <v>106</v>
      </c>
      <c r="O105" s="3">
        <f t="shared" si="71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3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5"/>
        <v>196</v>
      </c>
      <c r="AA105" s="3">
        <f>IF(ISERROR(VLOOKUP($A105,'SegEnds_NonXtal_BW#'!$A:$Z,19,FALSE)+VLOOKUP($A105,A:AL,28,FALSE)-50),"-",(VLOOKUP($A105,'SegEnds_NonXtal_BW#'!$A:$Z,19,FALSE)+VLOOKUP($A105,A:AL,28,FALSE)-50))</f>
        <v>201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312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9"/>
        <v>1</v>
      </c>
      <c r="AO105" s="3" t="str">
        <f>IF(ISERROR(MATCH(A105,'SegEnds_Xtal_Prot#'!B:B, 0)), "NoXtal", "Xtal")</f>
        <v>NoXtal</v>
      </c>
      <c r="AP105" s="3" t="str">
        <f t="shared" si="41"/>
        <v>-</v>
      </c>
      <c r="AQ105" s="3" t="str">
        <f t="shared" si="42"/>
        <v>-</v>
      </c>
      <c r="AR105" s="3">
        <f t="shared" si="43"/>
        <v>2</v>
      </c>
      <c r="AS105" s="3">
        <f t="shared" si="44"/>
        <v>1</v>
      </c>
      <c r="AT105" s="3">
        <f t="shared" si="45"/>
        <v>1</v>
      </c>
      <c r="AU105" s="3">
        <f t="shared" si="46"/>
        <v>1</v>
      </c>
      <c r="AV105" s="3">
        <f t="shared" si="47"/>
        <v>17</v>
      </c>
      <c r="AW105" s="3">
        <f t="shared" si="48"/>
        <v>5</v>
      </c>
      <c r="AX105" s="3">
        <f t="shared" si="49"/>
        <v>24</v>
      </c>
      <c r="AY105" s="3">
        <f t="shared" si="50"/>
        <v>6</v>
      </c>
      <c r="AZ105" s="3">
        <f t="shared" si="51"/>
        <v>1</v>
      </c>
      <c r="BA105" s="3">
        <f>IF(ISERROR(LEN(VLOOKUP(A105,Seqs!A:E,2,FALSE))-AL105),"-",LEN(VLOOKUP(A105,Seqs!A:E,2,FALSE))-AL105)</f>
        <v>25</v>
      </c>
      <c r="BB105" s="16">
        <f t="shared" si="52"/>
        <v>27</v>
      </c>
      <c r="BC105" s="9">
        <f t="shared" si="53"/>
        <v>20</v>
      </c>
      <c r="BD105" s="3">
        <f t="shared" si="54"/>
        <v>27</v>
      </c>
      <c r="BE105" s="3">
        <f t="shared" si="55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agtr1_human</v>
      </c>
      <c r="C106" s="3">
        <f>VLOOKUP($A106,'SegEnds_NonXtal_BW#'!$A:$Z,3,FALSE)+D106-50</f>
        <v>24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87</v>
      </c>
      <c r="L106" s="3">
        <f t="shared" si="69"/>
        <v>90</v>
      </c>
      <c r="M106" s="3">
        <v>91</v>
      </c>
      <c r="N106" s="3">
        <f t="shared" si="70"/>
        <v>93</v>
      </c>
      <c r="O106" s="3">
        <f t="shared" si="71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3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5"/>
        <v>178</v>
      </c>
      <c r="AA106" s="3">
        <f>IF(ISERROR(VLOOKUP($A106,'SegEnds_NonXtal_BW#'!$A:$Z,19,FALSE)+VLOOKUP($A106,A:AL,28,FALSE)-50),"-",(VLOOKUP($A106,'SegEnds_NonXtal_BW#'!$A:$Z,19,FALSE)+VLOOKUP($A106,A:AL,28,FALSE)-50))</f>
        <v>197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319</v>
      </c>
      <c r="AM106" s="28" t="str">
        <f>VLOOKUP(A106,Classification!A:B,2,FALSE)</f>
        <v>A</v>
      </c>
      <c r="AN106" s="28" t="b">
        <f t="shared" si="59"/>
        <v>1</v>
      </c>
      <c r="AO106" s="3" t="str">
        <f>IF(ISERROR(MATCH(A106,'SegEnds_Xtal_Prot#'!B:B, 0)), "NoXtal", "Xtal")</f>
        <v>NoXtal</v>
      </c>
      <c r="AP106" s="3" t="str">
        <f t="shared" si="41"/>
        <v>-</v>
      </c>
      <c r="AQ106" s="3" t="str">
        <f t="shared" si="42"/>
        <v>-</v>
      </c>
      <c r="AR106" s="3">
        <f t="shared" si="43"/>
        <v>3</v>
      </c>
      <c r="AS106" s="3">
        <f t="shared" si="44"/>
        <v>1</v>
      </c>
      <c r="AT106" s="3">
        <f t="shared" si="45"/>
        <v>1</v>
      </c>
      <c r="AU106" s="3">
        <f t="shared" si="46"/>
        <v>1</v>
      </c>
      <c r="AV106" s="3">
        <f t="shared" si="47"/>
        <v>12</v>
      </c>
      <c r="AW106" s="3">
        <f t="shared" si="48"/>
        <v>19</v>
      </c>
      <c r="AX106" s="3">
        <f t="shared" si="49"/>
        <v>5</v>
      </c>
      <c r="AY106" s="3">
        <f t="shared" si="50"/>
        <v>9</v>
      </c>
      <c r="AZ106" s="3">
        <f t="shared" si="51"/>
        <v>1</v>
      </c>
      <c r="BA106" s="3">
        <f>IF(ISERROR(LEN(VLOOKUP(A106,Seqs!A:E,2,FALSE))-AL106),"-",LEN(VLOOKUP(A106,Seqs!A:E,2,FALSE))-AL106)</f>
        <v>31</v>
      </c>
      <c r="BB106" s="16">
        <f t="shared" si="52"/>
        <v>27</v>
      </c>
      <c r="BC106" s="9">
        <f t="shared" si="53"/>
        <v>20</v>
      </c>
      <c r="BD106" s="3">
        <f t="shared" si="54"/>
        <v>27</v>
      </c>
      <c r="BE106" s="3">
        <f t="shared" si="55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cxcr4_human</v>
      </c>
      <c r="C107" s="3">
        <f>VLOOKUP($A107,'SegEnds_NonXtal_BW#'!$A:$Z,3,FALSE)+D107-50</f>
        <v>18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87</v>
      </c>
      <c r="L107" s="3">
        <f t="shared" si="69"/>
        <v>90</v>
      </c>
      <c r="M107" s="3">
        <v>91</v>
      </c>
      <c r="N107" s="3">
        <f t="shared" si="70"/>
        <v>93</v>
      </c>
      <c r="O107" s="3">
        <f t="shared" si="71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3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5"/>
        <v>178</v>
      </c>
      <c r="AA107" s="3">
        <f>IF(ISERROR(VLOOKUP($A107,'SegEnds_NonXtal_BW#'!$A:$Z,19,FALSE)+VLOOKUP($A107,A:AL,28,FALSE)-50),"-",(VLOOKUP($A107,'SegEnds_NonXtal_BW#'!$A:$Z,19,FALSE)+VLOOKUP($A107,A:AL,28,FALSE)-50))</f>
        <v>195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318</v>
      </c>
      <c r="AM107" s="28" t="str">
        <f>VLOOKUP(A107,Classification!A:B,2,FALSE)</f>
        <v>A</v>
      </c>
      <c r="AN107" s="28" t="b">
        <f t="shared" ref="AN107:AN132" si="72">AND(IF(Y107="-",IF(AA107-W107&gt;3,TRUE,FALSE),TRUE),IF(M107="-",IF(O107-K107&gt;3,TRUE,FALSE),TRUE),C107&lt;E107,OR(E107&lt;F107,F107="-"),OR(F107&lt;H107,F107="-"),OR(H107&lt;I107,H107="-"),I107&lt;K107,OR(K107&lt;L107,L107="-"),OR(L107&lt;N107,L107="-"),OR(N107&lt;O107,N107="-"),O107&lt;Q107,OR(Q107&lt;R107,R107="-"),OR(R107&lt;T107,R107="-"),OR(T107&lt;U107,T107="-"),U107&lt;W107,OR(W107&lt;X107,X107="-"),OR(X107&lt;Z107,X107="-"),OR(Z107&lt;AA107,Z107="-"),AA107&lt;AC107,AC107&lt;AD107,AD107&lt;AF107,AF107&lt;AG107,AG107&lt;AI107,OR(AI107&lt;AJ107,AJ107="-"),OR(AJ107&lt;AL107,AJ107="-"))</f>
        <v>1</v>
      </c>
      <c r="AO107" s="3" t="str">
        <f>IF(ISERROR(MATCH(A107,'SegEnds_Xtal_Prot#'!B:B, 0)), "NoXtal", "Xtal")</f>
        <v>NoXtal</v>
      </c>
      <c r="AP107" s="3" t="str">
        <f t="shared" si="41"/>
        <v>-</v>
      </c>
      <c r="AQ107" s="3" t="str">
        <f t="shared" si="42"/>
        <v>-</v>
      </c>
      <c r="AR107" s="3">
        <f t="shared" si="43"/>
        <v>3</v>
      </c>
      <c r="AS107" s="3">
        <f t="shared" si="44"/>
        <v>1</v>
      </c>
      <c r="AT107" s="3">
        <f t="shared" si="45"/>
        <v>1</v>
      </c>
      <c r="AU107" s="3">
        <f t="shared" si="46"/>
        <v>1</v>
      </c>
      <c r="AV107" s="3">
        <f t="shared" si="47"/>
        <v>12</v>
      </c>
      <c r="AW107" s="3">
        <f t="shared" si="48"/>
        <v>17</v>
      </c>
      <c r="AX107" s="3">
        <f t="shared" si="49"/>
        <v>5</v>
      </c>
      <c r="AY107" s="3">
        <f t="shared" si="50"/>
        <v>6</v>
      </c>
      <c r="AZ107" s="3">
        <f t="shared" si="51"/>
        <v>1</v>
      </c>
      <c r="BA107" s="3">
        <f>IF(ISERROR(LEN(VLOOKUP(A107,Seqs!A:E,2,FALSE))-AL107),"-",LEN(VLOOKUP(A107,Seqs!A:E,2,FALSE))-AL107)</f>
        <v>33</v>
      </c>
      <c r="BB107" s="16">
        <f t="shared" si="52"/>
        <v>27</v>
      </c>
      <c r="BC107" s="9">
        <f t="shared" si="53"/>
        <v>20</v>
      </c>
      <c r="BD107" s="3">
        <f t="shared" si="54"/>
        <v>27</v>
      </c>
      <c r="BE107" s="3">
        <f t="shared" si="55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cxcr4_human</v>
      </c>
      <c r="C108" s="3">
        <f>VLOOKUP($A108,'SegEnds_NonXtal_BW#'!$A:$Z,3,FALSE)+D108-50</f>
        <v>18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87</v>
      </c>
      <c r="L108" s="3">
        <f t="shared" si="69"/>
        <v>90</v>
      </c>
      <c r="M108" s="3">
        <v>91</v>
      </c>
      <c r="N108" s="3">
        <f t="shared" si="70"/>
        <v>93</v>
      </c>
      <c r="O108" s="3">
        <f t="shared" si="71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3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5"/>
        <v>178</v>
      </c>
      <c r="AA108" s="3">
        <f>IF(ISERROR(VLOOKUP($A108,'SegEnds_NonXtal_BW#'!$A:$Z,19,FALSE)+VLOOKUP($A108,A:AL,28,FALSE)-50),"-",(VLOOKUP($A108,'SegEnds_NonXtal_BW#'!$A:$Z,19,FALSE)+VLOOKUP($A108,A:AL,28,FALSE)-50))</f>
        <v>195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318</v>
      </c>
      <c r="AM108" s="28" t="str">
        <f>VLOOKUP(A108,Classification!A:B,2,FALSE)</f>
        <v>A</v>
      </c>
      <c r="AN108" s="28" t="b">
        <f t="shared" si="72"/>
        <v>1</v>
      </c>
      <c r="AO108" s="3" t="str">
        <f>IF(ISERROR(MATCH(A108,'SegEnds_Xtal_Prot#'!B:B, 0)), "NoXtal", "Xtal")</f>
        <v>NoXtal</v>
      </c>
      <c r="AP108" s="3" t="str">
        <f t="shared" si="41"/>
        <v>-</v>
      </c>
      <c r="AQ108" s="3" t="str">
        <f t="shared" si="42"/>
        <v>-</v>
      </c>
      <c r="AR108" s="3">
        <f t="shared" si="43"/>
        <v>3</v>
      </c>
      <c r="AS108" s="3">
        <f t="shared" si="44"/>
        <v>1</v>
      </c>
      <c r="AT108" s="3">
        <f t="shared" si="45"/>
        <v>1</v>
      </c>
      <c r="AU108" s="3">
        <f t="shared" si="46"/>
        <v>1</v>
      </c>
      <c r="AV108" s="3">
        <f t="shared" si="47"/>
        <v>12</v>
      </c>
      <c r="AW108" s="3">
        <f t="shared" si="48"/>
        <v>17</v>
      </c>
      <c r="AX108" s="3">
        <f t="shared" si="49"/>
        <v>5</v>
      </c>
      <c r="AY108" s="3">
        <f t="shared" si="50"/>
        <v>6</v>
      </c>
      <c r="AZ108" s="3">
        <f t="shared" si="51"/>
        <v>1</v>
      </c>
      <c r="BA108" s="3">
        <f>IF(ISERROR(LEN(VLOOKUP(A108,Seqs!A:E,2,FALSE))-AL108),"-",LEN(VLOOKUP(A108,Seqs!A:E,2,FALSE))-AL108)</f>
        <v>35</v>
      </c>
      <c r="BB108" s="16">
        <f t="shared" si="52"/>
        <v>27</v>
      </c>
      <c r="BC108" s="9">
        <f t="shared" si="53"/>
        <v>20</v>
      </c>
      <c r="BD108" s="3">
        <f t="shared" si="54"/>
        <v>27</v>
      </c>
      <c r="BE108" s="3">
        <f t="shared" si="55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9"/>
        <v>435</v>
      </c>
      <c r="M109" s="3">
        <v>436</v>
      </c>
      <c r="N109" s="3">
        <f t="shared" si="70"/>
        <v>438</v>
      </c>
      <c r="O109" s="3">
        <f t="shared" si="71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3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5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72"/>
        <v>1</v>
      </c>
      <c r="AO109" s="3" t="str">
        <f>IF(ISERROR(MATCH(A109,'SegEnds_Xtal_Prot#'!B:B, 0)), "NoXtal", "Xtal")</f>
        <v>NoXtal</v>
      </c>
      <c r="AP109" s="3">
        <f t="shared" si="41"/>
        <v>2</v>
      </c>
      <c r="AQ109" s="3">
        <f t="shared" si="42"/>
        <v>1</v>
      </c>
      <c r="AR109" s="3">
        <f t="shared" si="43"/>
        <v>10</v>
      </c>
      <c r="AS109" s="3">
        <f t="shared" si="44"/>
        <v>1</v>
      </c>
      <c r="AT109" s="3">
        <f t="shared" si="45"/>
        <v>1</v>
      </c>
      <c r="AU109" s="3">
        <f t="shared" si="46"/>
        <v>1</v>
      </c>
      <c r="AV109" s="3">
        <f t="shared" si="47"/>
        <v>10</v>
      </c>
      <c r="AW109" s="3">
        <f t="shared" si="48"/>
        <v>6</v>
      </c>
      <c r="AX109" s="3">
        <f t="shared" si="49"/>
        <v>5</v>
      </c>
      <c r="AY109" s="3">
        <f t="shared" si="50"/>
        <v>6</v>
      </c>
      <c r="AZ109" s="3">
        <f t="shared" si="51"/>
        <v>1</v>
      </c>
      <c r="BA109" s="3">
        <f>IF(ISERROR(LEN(VLOOKUP(A109,Seqs!A:E,2,FALSE))-AL109),"-",LEN(VLOOKUP(A109,Seqs!A:E,2,FALSE))-AL109)</f>
        <v>43</v>
      </c>
      <c r="BB109" s="16">
        <f t="shared" si="52"/>
        <v>28</v>
      </c>
      <c r="BC109" s="9">
        <f t="shared" si="53"/>
        <v>20</v>
      </c>
      <c r="BD109" s="3">
        <f t="shared" si="54"/>
        <v>28</v>
      </c>
      <c r="BE109" s="3">
        <f t="shared" si="55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97</v>
      </c>
      <c r="L110" s="3">
        <f t="shared" si="69"/>
        <v>100</v>
      </c>
      <c r="M110" s="3">
        <v>101</v>
      </c>
      <c r="N110" s="3">
        <f t="shared" si="70"/>
        <v>103</v>
      </c>
      <c r="O110" s="3">
        <f t="shared" si="71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3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5"/>
        <v>189</v>
      </c>
      <c r="AA110" s="3">
        <f>IF(ISERROR(VLOOKUP($A110,'SegEnds_NonXtal_BW#'!$A:$Z,19,FALSE)+VLOOKUP($A110,A:AL,28,FALSE)-50),"-",(VLOOKUP($A110,'SegEnds_NonXtal_BW#'!$A:$Z,19,FALSE)+VLOOKUP($A110,A:AL,28,FALSE)-50))</f>
        <v>193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72"/>
        <v>1</v>
      </c>
      <c r="AO110" s="3" t="str">
        <f>IF(ISERROR(MATCH(A110,'SegEnds_Xtal_Prot#'!B:B, 0)), "NoXtal", "Xtal")</f>
        <v>NoXtal</v>
      </c>
      <c r="AP110" s="3" t="str">
        <f t="shared" si="41"/>
        <v>-</v>
      </c>
      <c r="AQ110" s="3" t="str">
        <f t="shared" si="42"/>
        <v>-</v>
      </c>
      <c r="AR110" s="3">
        <f t="shared" si="43"/>
        <v>3</v>
      </c>
      <c r="AS110" s="3">
        <f t="shared" si="44"/>
        <v>1</v>
      </c>
      <c r="AT110" s="3">
        <f t="shared" si="45"/>
        <v>1</v>
      </c>
      <c r="AU110" s="3">
        <f t="shared" si="46"/>
        <v>1</v>
      </c>
      <c r="AV110" s="3">
        <f t="shared" si="47"/>
        <v>13</v>
      </c>
      <c r="AW110" s="3">
        <f t="shared" si="48"/>
        <v>4</v>
      </c>
      <c r="AX110" s="3">
        <f t="shared" si="49"/>
        <v>7</v>
      </c>
      <c r="AY110" s="3">
        <f t="shared" si="50"/>
        <v>5</v>
      </c>
      <c r="AZ110" s="3">
        <f t="shared" si="51"/>
        <v>1</v>
      </c>
      <c r="BA110" s="3">
        <f>IF(ISERROR(LEN(VLOOKUP(A110,Seqs!A:E,2,FALSE))-AL110),"-",LEN(VLOOKUP(A110,Seqs!A:E,2,FALSE))-AL110)</f>
        <v>30</v>
      </c>
      <c r="BB110" s="16">
        <f t="shared" si="52"/>
        <v>30</v>
      </c>
      <c r="BC110" s="9">
        <f t="shared" si="53"/>
        <v>20</v>
      </c>
      <c r="BD110" s="3">
        <f t="shared" si="54"/>
        <v>30</v>
      </c>
      <c r="BE110" s="3">
        <f t="shared" si="55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3">G111+1</f>
        <v>57</v>
      </c>
      <c r="I111" s="3">
        <f t="shared" si="73"/>
        <v>58</v>
      </c>
      <c r="J111" s="3">
        <v>71</v>
      </c>
      <c r="K111" s="3">
        <f>VLOOKUP($A111,'SegEnds_NonXtal_BW#'!$A:$Z,8,FALSE)+VLOOKUP($A111,A:AL,10,FALSE)-50</f>
        <v>87</v>
      </c>
      <c r="L111" s="3">
        <f t="shared" si="69"/>
        <v>90</v>
      </c>
      <c r="M111" s="3">
        <v>91</v>
      </c>
      <c r="N111" s="3">
        <f t="shared" si="70"/>
        <v>93</v>
      </c>
      <c r="O111" s="3">
        <f t="shared" si="71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3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5"/>
        <v>177</v>
      </c>
      <c r="AA111" s="3">
        <f>IF(ISERROR(VLOOKUP($A111,'SegEnds_NonXtal_BW#'!$A:$Z,19,FALSE)+VLOOKUP($A111,A:AL,28,FALSE)-50),"-",(VLOOKUP($A111,'SegEnds_NonXtal_BW#'!$A:$Z,19,FALSE)+VLOOKUP($A111,A:AL,28,FALSE)-50))</f>
        <v>180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72"/>
        <v>1</v>
      </c>
      <c r="AO111" s="3" t="str">
        <f>IF(ISERROR(MATCH(A111,'SegEnds_Xtal_Prot#'!B:B, 0)), "NoXtal", "Xtal")</f>
        <v>NoXtal</v>
      </c>
      <c r="AP111" s="3">
        <f t="shared" si="41"/>
        <v>1</v>
      </c>
      <c r="AQ111" s="3">
        <f t="shared" si="42"/>
        <v>1</v>
      </c>
      <c r="AR111" s="3">
        <f t="shared" si="43"/>
        <v>3</v>
      </c>
      <c r="AS111" s="3">
        <f t="shared" si="44"/>
        <v>1</v>
      </c>
      <c r="AT111" s="3">
        <f t="shared" si="45"/>
        <v>1</v>
      </c>
      <c r="AU111" s="3">
        <f t="shared" si="46"/>
        <v>1</v>
      </c>
      <c r="AV111" s="3">
        <f t="shared" si="47"/>
        <v>11</v>
      </c>
      <c r="AW111" s="3">
        <f t="shared" si="48"/>
        <v>3</v>
      </c>
      <c r="AX111" s="3">
        <f t="shared" si="49"/>
        <v>4</v>
      </c>
      <c r="AY111" s="3">
        <f t="shared" si="50"/>
        <v>5</v>
      </c>
      <c r="AZ111" s="3">
        <f t="shared" si="51"/>
        <v>1</v>
      </c>
      <c r="BA111" s="3">
        <f>IF(ISERROR(LEN(VLOOKUP(A111,Seqs!A:E,2,FALSE))-AL111),"-",LEN(VLOOKUP(A111,Seqs!A:E,2,FALSE))-AL111)</f>
        <v>79</v>
      </c>
      <c r="BB111" s="16">
        <f t="shared" si="52"/>
        <v>28</v>
      </c>
      <c r="BC111" s="9">
        <f t="shared" si="53"/>
        <v>20</v>
      </c>
      <c r="BD111" s="3">
        <f t="shared" si="54"/>
        <v>28</v>
      </c>
      <c r="BE111" s="3">
        <f t="shared" si="55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3"/>
        <v>50</v>
      </c>
      <c r="I112" s="3">
        <f t="shared" si="73"/>
        <v>51</v>
      </c>
      <c r="J112" s="3">
        <v>68</v>
      </c>
      <c r="K112" s="3">
        <f>VLOOKUP($A112,'SegEnds_NonXtal_BW#'!$A:$Z,8,FALSE)+VLOOKUP($A112,A:AL,10,FALSE)-50</f>
        <v>84</v>
      </c>
      <c r="L112" s="3">
        <f t="shared" si="69"/>
        <v>87</v>
      </c>
      <c r="M112" s="3">
        <v>88</v>
      </c>
      <c r="N112" s="3">
        <f t="shared" si="70"/>
        <v>90</v>
      </c>
      <c r="O112" s="3">
        <f t="shared" si="71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3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5"/>
        <v>174</v>
      </c>
      <c r="AA112" s="3">
        <f>IF(ISERROR(VLOOKUP($A112,'SegEnds_NonXtal_BW#'!$A:$Z,19,FALSE)+VLOOKUP($A112,A:AL,28,FALSE)-50),"-",(VLOOKUP($A112,'SegEnds_NonXtal_BW#'!$A:$Z,19,FALSE)+VLOOKUP($A112,A:AL,28,FALSE)-50))</f>
        <v>177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72"/>
        <v>1</v>
      </c>
      <c r="AO112" s="3" t="str">
        <f>IF(ISERROR(MATCH(A112,'SegEnds_Xtal_Prot#'!B:B, 0)), "NoXtal", "Xtal")</f>
        <v>NoXtal</v>
      </c>
      <c r="AP112" s="3">
        <f t="shared" si="41"/>
        <v>2</v>
      </c>
      <c r="AQ112" s="3">
        <f t="shared" si="42"/>
        <v>1</v>
      </c>
      <c r="AR112" s="3">
        <f t="shared" si="43"/>
        <v>3</v>
      </c>
      <c r="AS112" s="3">
        <f t="shared" si="44"/>
        <v>1</v>
      </c>
      <c r="AT112" s="3">
        <f t="shared" si="45"/>
        <v>1</v>
      </c>
      <c r="AU112" s="3">
        <f t="shared" si="46"/>
        <v>1</v>
      </c>
      <c r="AV112" s="3">
        <f t="shared" si="47"/>
        <v>11</v>
      </c>
      <c r="AW112" s="3">
        <f t="shared" si="48"/>
        <v>3</v>
      </c>
      <c r="AX112" s="3">
        <f t="shared" si="49"/>
        <v>6</v>
      </c>
      <c r="AY112" s="3">
        <f t="shared" si="50"/>
        <v>5</v>
      </c>
      <c r="AZ112" s="3">
        <f t="shared" si="51"/>
        <v>1</v>
      </c>
      <c r="BA112" s="3">
        <f>IF(ISERROR(LEN(VLOOKUP(A112,Seqs!A:E,2,FALSE))-AL112),"-",LEN(VLOOKUP(A112,Seqs!A:E,2,FALSE))-AL112)</f>
        <v>61</v>
      </c>
      <c r="BB112" s="16">
        <f t="shared" si="52"/>
        <v>33</v>
      </c>
      <c r="BC112" s="9">
        <f t="shared" si="53"/>
        <v>20</v>
      </c>
      <c r="BD112" s="3">
        <f t="shared" si="54"/>
        <v>33</v>
      </c>
      <c r="BE112" s="3">
        <f t="shared" si="55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3"/>
        <v>86</v>
      </c>
      <c r="I113" s="3">
        <f t="shared" si="73"/>
        <v>87</v>
      </c>
      <c r="J113" s="3">
        <v>100</v>
      </c>
      <c r="K113" s="3">
        <f>VLOOKUP($A113,'SegEnds_NonXtal_BW#'!$A:$Z,8,FALSE)+VLOOKUP($A113,A:AL,10,FALSE)-50</f>
        <v>117</v>
      </c>
      <c r="L113" s="3">
        <f t="shared" si="69"/>
        <v>119</v>
      </c>
      <c r="M113" s="3">
        <v>120</v>
      </c>
      <c r="N113" s="3">
        <f t="shared" si="70"/>
        <v>122</v>
      </c>
      <c r="O113" s="3">
        <f t="shared" si="71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3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5"/>
        <v>207</v>
      </c>
      <c r="AA113" s="3">
        <f>IF(ISERROR(VLOOKUP($A113,'SegEnds_NonXtal_BW#'!$A:$Z,19,FALSE)+VLOOKUP($A113,A:AL,28,FALSE)-50),"-",(VLOOKUP($A113,'SegEnds_NonXtal_BW#'!$A:$Z,19,FALSE)+VLOOKUP($A113,A:AL,28,FALSE)-50))</f>
        <v>212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365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72"/>
        <v>1</v>
      </c>
      <c r="AO113" s="3" t="str">
        <f>IF(ISERROR(MATCH(A113,'SegEnds_Xtal_Prot#'!B:B, 0)), "NoXtal", "Xtal")</f>
        <v>NoXtal</v>
      </c>
      <c r="AP113" s="3">
        <f t="shared" si="41"/>
        <v>1</v>
      </c>
      <c r="AQ113" s="3">
        <f t="shared" si="42"/>
        <v>1</v>
      </c>
      <c r="AR113" s="3">
        <f t="shared" si="43"/>
        <v>2</v>
      </c>
      <c r="AS113" s="3">
        <f t="shared" si="44"/>
        <v>1</v>
      </c>
      <c r="AT113" s="3">
        <f t="shared" si="45"/>
        <v>1</v>
      </c>
      <c r="AU113" s="3">
        <f t="shared" si="46"/>
        <v>1</v>
      </c>
      <c r="AV113" s="3">
        <f t="shared" si="47"/>
        <v>12</v>
      </c>
      <c r="AW113" s="3">
        <f t="shared" si="48"/>
        <v>5</v>
      </c>
      <c r="AX113" s="3">
        <f t="shared" si="49"/>
        <v>66</v>
      </c>
      <c r="AY113" s="3">
        <f t="shared" si="50"/>
        <v>6</v>
      </c>
      <c r="AZ113" s="3">
        <f t="shared" si="51"/>
        <v>1</v>
      </c>
      <c r="BA113" s="3">
        <f>IF(ISERROR(LEN(VLOOKUP(A113,Seqs!A:E,2,FALSE))-AL113),"-",LEN(VLOOKUP(A113,Seqs!A:E,2,FALSE))-AL113)</f>
        <v>42</v>
      </c>
      <c r="BB113" s="16">
        <f t="shared" si="52"/>
        <v>28</v>
      </c>
      <c r="BC113" s="9">
        <f t="shared" si="53"/>
        <v>20</v>
      </c>
      <c r="BD113" s="3">
        <f t="shared" si="54"/>
        <v>28</v>
      </c>
      <c r="BE113" s="3">
        <f t="shared" si="55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3"/>
        <v>75</v>
      </c>
      <c r="I114" s="3">
        <f t="shared" si="73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9"/>
        <v>108</v>
      </c>
      <c r="M114" s="3">
        <v>109</v>
      </c>
      <c r="N114" s="3">
        <f t="shared" si="70"/>
        <v>111</v>
      </c>
      <c r="O114" s="3">
        <f t="shared" si="71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3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5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72"/>
        <v>1</v>
      </c>
      <c r="AO114" s="3" t="str">
        <f>IF(ISERROR(MATCH(A114,'SegEnds_Xtal_Prot#'!B:B, 0)), "NoXtal", "Xtal")</f>
        <v>NoXtal</v>
      </c>
      <c r="AP114" s="3">
        <f t="shared" si="41"/>
        <v>1</v>
      </c>
      <c r="AQ114" s="3">
        <f t="shared" si="42"/>
        <v>1</v>
      </c>
      <c r="AR114" s="3">
        <f t="shared" si="43"/>
        <v>2</v>
      </c>
      <c r="AS114" s="3">
        <f t="shared" si="44"/>
        <v>1</v>
      </c>
      <c r="AT114" s="3">
        <f t="shared" si="45"/>
        <v>1</v>
      </c>
      <c r="AU114" s="3">
        <f t="shared" si="46"/>
        <v>1</v>
      </c>
      <c r="AV114" s="3">
        <f t="shared" si="47"/>
        <v>16</v>
      </c>
      <c r="AW114" s="3">
        <f t="shared" si="48"/>
        <v>6</v>
      </c>
      <c r="AX114" s="3">
        <f t="shared" si="49"/>
        <v>6</v>
      </c>
      <c r="AY114" s="3">
        <f t="shared" si="50"/>
        <v>9</v>
      </c>
      <c r="AZ114" s="3">
        <f t="shared" si="51"/>
        <v>1</v>
      </c>
      <c r="BA114" s="3">
        <f>IF(ISERROR(LEN(VLOOKUP(A114,Seqs!A:E,2,FALSE))-AL114),"-",LEN(VLOOKUP(A114,Seqs!A:E,2,FALSE))-AL114)</f>
        <v>28</v>
      </c>
      <c r="BB114" s="16">
        <f t="shared" si="52"/>
        <v>28</v>
      </c>
      <c r="BC114" s="9">
        <f t="shared" si="53"/>
        <v>20</v>
      </c>
      <c r="BD114" s="3">
        <f t="shared" si="54"/>
        <v>28</v>
      </c>
      <c r="BE114" s="3">
        <f t="shared" si="55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ccr5_human</v>
      </c>
      <c r="C115" s="3">
        <f>VLOOKUP($A115,'SegEnds_NonXtal_BW#'!$A:$Z,3,FALSE)+D115-50</f>
        <v>23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3"/>
        <v>63</v>
      </c>
      <c r="I115" s="3">
        <f t="shared" si="73"/>
        <v>64</v>
      </c>
      <c r="J115" s="3">
        <v>77</v>
      </c>
      <c r="K115" s="3">
        <f>VLOOKUP($A115,'SegEnds_NonXtal_BW#'!$A:$Z,8,FALSE)+VLOOKUP($A115,A:AL,10,FALSE)-50</f>
        <v>93</v>
      </c>
      <c r="L115" s="3">
        <f t="shared" si="69"/>
        <v>96</v>
      </c>
      <c r="M115" s="3">
        <v>97</v>
      </c>
      <c r="N115" s="3">
        <f t="shared" si="70"/>
        <v>99</v>
      </c>
      <c r="O115" s="3">
        <f t="shared" si="71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3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170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5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470</v>
      </c>
      <c r="AM115" s="28" t="str">
        <f>VLOOKUP(A115,Classification!A:B,2,FALSE)</f>
        <v>A</v>
      </c>
      <c r="AN115" s="28" t="b">
        <f t="shared" si="72"/>
        <v>1</v>
      </c>
      <c r="AO115" s="3" t="str">
        <f>IF(ISERROR(MATCH(A115,'SegEnds_Xtal_Prot#'!B:B, 0)), "NoXtal", "Xtal")</f>
        <v>NoXtal</v>
      </c>
      <c r="AP115" s="3">
        <f t="shared" si="41"/>
        <v>1</v>
      </c>
      <c r="AQ115" s="3">
        <f t="shared" si="42"/>
        <v>1</v>
      </c>
      <c r="AR115" s="3">
        <f t="shared" si="43"/>
        <v>3</v>
      </c>
      <c r="AS115" s="3">
        <f t="shared" si="44"/>
        <v>1</v>
      </c>
      <c r="AT115" s="3">
        <f t="shared" si="45"/>
        <v>1</v>
      </c>
      <c r="AU115" s="3">
        <f t="shared" si="46"/>
        <v>1</v>
      </c>
      <c r="AV115" s="3">
        <f t="shared" si="47"/>
        <v>12</v>
      </c>
      <c r="AW115" s="3">
        <f t="shared" si="48"/>
        <v>5</v>
      </c>
      <c r="AX115" s="3">
        <f t="shared" si="49"/>
        <v>159</v>
      </c>
      <c r="AY115" s="3">
        <f t="shared" si="50"/>
        <v>7</v>
      </c>
      <c r="AZ115" s="3">
        <f t="shared" si="51"/>
        <v>1</v>
      </c>
      <c r="BA115" s="3">
        <f>IF(ISERROR(LEN(VLOOKUP(A115,Seqs!A:E,2,FALSE))-AL115),"-",LEN(VLOOKUP(A115,Seqs!A:E,2,FALSE))-AL115)</f>
        <v>38</v>
      </c>
      <c r="BB115" s="16">
        <f t="shared" si="52"/>
        <v>28</v>
      </c>
      <c r="BC115" s="9">
        <f t="shared" si="53"/>
        <v>20</v>
      </c>
      <c r="BD115" s="3">
        <f t="shared" si="54"/>
        <v>28</v>
      </c>
      <c r="BE115" s="3">
        <f t="shared" si="55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5ht2b_human</v>
      </c>
      <c r="C116" s="3">
        <f>VLOOKUP($A116,'SegEnds_NonXtal_BW#'!$A:$Z,3,FALSE)+D116-50</f>
        <v>4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3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144</v>
      </c>
      <c r="X116" s="3">
        <f>Y116</f>
        <v>155</v>
      </c>
      <c r="Y116" s="3">
        <v>155</v>
      </c>
      <c r="Z116" s="3">
        <f t="shared" si="65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294</v>
      </c>
      <c r="AM116" s="28" t="str">
        <f>VLOOKUP(A116,Classification!A:B,2,FALSE)</f>
        <v>A</v>
      </c>
      <c r="AN116" s="28" t="b">
        <f t="shared" si="72"/>
        <v>1</v>
      </c>
      <c r="AO116" s="3" t="str">
        <f>IF(ISERROR(MATCH(A116,'SegEnds_Xtal_Prot#'!B:B, 0)), "NoXtal", "Xtal")</f>
        <v>NoXtal</v>
      </c>
      <c r="AP116" s="3" t="str">
        <f t="shared" si="41"/>
        <v>-</v>
      </c>
      <c r="AQ116" s="3" t="str">
        <f t="shared" si="42"/>
        <v>-</v>
      </c>
      <c r="AR116" s="3" t="str">
        <f t="shared" si="43"/>
        <v>-</v>
      </c>
      <c r="AS116" s="3" t="str">
        <f t="shared" si="44"/>
        <v>-</v>
      </c>
      <c r="AT116" s="3">
        <f t="shared" si="45"/>
        <v>1</v>
      </c>
      <c r="AU116" s="3">
        <f t="shared" si="46"/>
        <v>1</v>
      </c>
      <c r="AV116" s="3">
        <f t="shared" si="47"/>
        <v>11</v>
      </c>
      <c r="AW116" s="3">
        <f t="shared" si="48"/>
        <v>4</v>
      </c>
      <c r="AX116" s="3">
        <f t="shared" si="49"/>
        <v>11</v>
      </c>
      <c r="AY116" s="3">
        <f t="shared" si="50"/>
        <v>6</v>
      </c>
      <c r="AZ116" s="3">
        <f t="shared" si="51"/>
        <v>1</v>
      </c>
      <c r="BA116" s="3">
        <f>IF(ISERROR(LEN(VLOOKUP(A116,Seqs!A:E,2,FALSE))-AL116),"-",LEN(VLOOKUP(A116,Seqs!A:E,2,FALSE))-AL116)</f>
        <v>41</v>
      </c>
      <c r="BB116" s="16">
        <f t="shared" si="52"/>
        <v>29</v>
      </c>
      <c r="BC116" s="9">
        <f t="shared" si="53"/>
        <v>20</v>
      </c>
      <c r="BD116" s="3">
        <f t="shared" si="54"/>
        <v>29</v>
      </c>
      <c r="BE116" s="3">
        <f t="shared" si="55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4">M117-1</f>
        <v>80</v>
      </c>
      <c r="M117" s="3">
        <v>81</v>
      </c>
      <c r="N117" s="3">
        <f t="shared" ref="N117:N122" si="75">M117+2</f>
        <v>83</v>
      </c>
      <c r="O117" s="3">
        <f t="shared" ref="O117:O122" si="76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3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5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72"/>
        <v>1</v>
      </c>
      <c r="AO117" s="3" t="str">
        <f>IF(ISERROR(MATCH(A117,'SegEnds_Xtal_Prot#'!B:B, 0)), "NoXtal", "Xtal")</f>
        <v>NoXtal</v>
      </c>
      <c r="AP117" s="3">
        <f t="shared" si="41"/>
        <v>1</v>
      </c>
      <c r="AQ117" s="3">
        <f t="shared" si="42"/>
        <v>1</v>
      </c>
      <c r="AR117" s="3">
        <f t="shared" si="43"/>
        <v>2</v>
      </c>
      <c r="AS117" s="3">
        <f t="shared" si="44"/>
        <v>1</v>
      </c>
      <c r="AT117" s="3">
        <f t="shared" si="45"/>
        <v>1</v>
      </c>
      <c r="AU117" s="3">
        <f t="shared" si="46"/>
        <v>1</v>
      </c>
      <c r="AV117" s="3">
        <f t="shared" si="47"/>
        <v>14</v>
      </c>
      <c r="AW117" s="3">
        <f t="shared" si="48"/>
        <v>13</v>
      </c>
      <c r="AX117" s="3">
        <f t="shared" si="49"/>
        <v>4</v>
      </c>
      <c r="AY117" s="3">
        <f t="shared" si="50"/>
        <v>7</v>
      </c>
      <c r="AZ117" s="3">
        <f t="shared" si="51"/>
        <v>2</v>
      </c>
      <c r="BA117" s="3">
        <f>IF(ISERROR(LEN(VLOOKUP(A117,Seqs!A:E,2,FALSE))-AL117),"-",LEN(VLOOKUP(A117,Seqs!A:E,2,FALSE))-AL117)</f>
        <v>5</v>
      </c>
      <c r="BB117" s="16">
        <f t="shared" si="52"/>
        <v>28</v>
      </c>
      <c r="BC117" s="9">
        <f t="shared" si="53"/>
        <v>20</v>
      </c>
      <c r="BD117" s="3">
        <f t="shared" si="54"/>
        <v>28</v>
      </c>
      <c r="BE117" s="3">
        <f t="shared" si="55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5ht1b_human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4"/>
        <v>113</v>
      </c>
      <c r="M118" s="3">
        <v>114</v>
      </c>
      <c r="N118" s="3">
        <f t="shared" si="75"/>
        <v>116</v>
      </c>
      <c r="O118" s="3">
        <f t="shared" si="76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3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328</v>
      </c>
      <c r="AM118" s="28" t="str">
        <f>VLOOKUP(A118,Classification!A:B,2,FALSE)</f>
        <v>A</v>
      </c>
      <c r="AN118" s="28" t="b">
        <f t="shared" si="72"/>
        <v>1</v>
      </c>
      <c r="AO118" s="3" t="str">
        <f>IF(ISERROR(MATCH(A118,'SegEnds_Xtal_Prot#'!B:B, 0)), "NoXtal", "Xtal")</f>
        <v>NoXtal</v>
      </c>
      <c r="AP118" s="3">
        <f t="shared" si="41"/>
        <v>1</v>
      </c>
      <c r="AQ118" s="3">
        <f t="shared" si="42"/>
        <v>1</v>
      </c>
      <c r="AR118" s="3">
        <f t="shared" si="43"/>
        <v>1</v>
      </c>
      <c r="AS118" s="3">
        <f t="shared" si="44"/>
        <v>1</v>
      </c>
      <c r="AT118" s="3">
        <f t="shared" si="45"/>
        <v>1</v>
      </c>
      <c r="AU118" s="3">
        <f t="shared" si="46"/>
        <v>1</v>
      </c>
      <c r="AV118" s="3" t="str">
        <f t="shared" si="47"/>
        <v>-</v>
      </c>
      <c r="AW118" s="3" t="str">
        <f t="shared" si="48"/>
        <v>-</v>
      </c>
      <c r="AX118" s="3">
        <f t="shared" si="49"/>
        <v>16</v>
      </c>
      <c r="AY118" s="3">
        <f t="shared" si="50"/>
        <v>8</v>
      </c>
      <c r="AZ118" s="3">
        <f t="shared" si="51"/>
        <v>1</v>
      </c>
      <c r="BA118" s="3">
        <f>IF(ISERROR(LEN(VLOOKUP(A118,Seqs!A:E,2,FALSE))-AL118),"-",LEN(VLOOKUP(A118,Seqs!A:E,2,FALSE))-AL118)</f>
        <v>19</v>
      </c>
      <c r="BB118" s="16">
        <f t="shared" si="52"/>
        <v>29</v>
      </c>
      <c r="BC118" s="9">
        <f t="shared" si="53"/>
        <v>20</v>
      </c>
      <c r="BD118" s="3">
        <f t="shared" si="54"/>
        <v>29</v>
      </c>
      <c r="BE118" s="3">
        <f t="shared" si="55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ntr1_rat</v>
      </c>
      <c r="C119" s="3">
        <f>VLOOKUP($A119,'SegEnds_NonXtal_BW#'!$A:$Z,3,FALSE)+D119-50</f>
        <v>26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4"/>
        <v>96</v>
      </c>
      <c r="M119" s="3">
        <v>97</v>
      </c>
      <c r="N119" s="3">
        <f t="shared" si="75"/>
        <v>99</v>
      </c>
      <c r="O119" s="3">
        <f t="shared" si="76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3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7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310</v>
      </c>
      <c r="AM119" s="28" t="str">
        <f>VLOOKUP(A119,Classification!A:B,2,FALSE)</f>
        <v>A</v>
      </c>
      <c r="AN119" s="28" t="b">
        <f t="shared" si="72"/>
        <v>1</v>
      </c>
      <c r="AO119" s="3" t="str">
        <f>IF(ISERROR(MATCH(A119,'SegEnds_Xtal_Prot#'!B:B, 0)), "NoXtal", "Xtal")</f>
        <v>NoXtal</v>
      </c>
      <c r="AP119" s="3" t="str">
        <f t="shared" si="41"/>
        <v>-</v>
      </c>
      <c r="AQ119" s="3" t="str">
        <f t="shared" si="42"/>
        <v>-</v>
      </c>
      <c r="AR119" s="3">
        <f t="shared" si="43"/>
        <v>2</v>
      </c>
      <c r="AS119" s="3">
        <f t="shared" si="44"/>
        <v>1</v>
      </c>
      <c r="AT119" s="3">
        <f t="shared" si="45"/>
        <v>1</v>
      </c>
      <c r="AU119" s="3">
        <f t="shared" si="46"/>
        <v>1</v>
      </c>
      <c r="AV119" s="3">
        <f t="shared" si="47"/>
        <v>12</v>
      </c>
      <c r="AW119" s="3">
        <f t="shared" si="48"/>
        <v>5</v>
      </c>
      <c r="AX119" s="3">
        <f t="shared" si="49"/>
        <v>4</v>
      </c>
      <c r="AY119" s="3">
        <f t="shared" si="50"/>
        <v>7</v>
      </c>
      <c r="AZ119" s="3">
        <f t="shared" si="51"/>
        <v>1</v>
      </c>
      <c r="BA119" s="3">
        <f>IF(ISERROR(LEN(VLOOKUP(A119,Seqs!A:E,2,FALSE))-AL119),"-",LEN(VLOOKUP(A119,Seqs!A:E,2,FALSE))-AL119)</f>
        <v>160</v>
      </c>
      <c r="BB119" s="16">
        <f t="shared" si="52"/>
        <v>30</v>
      </c>
      <c r="BC119" s="9">
        <f t="shared" si="53"/>
        <v>20</v>
      </c>
      <c r="BD119" s="3">
        <f t="shared" si="54"/>
        <v>30</v>
      </c>
      <c r="BE119" s="3">
        <f t="shared" si="55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ox2r_human</v>
      </c>
      <c r="C120" s="3">
        <f>VLOOKUP($A120,'SegEnds_NonXtal_BW#'!$A:$Z,3,FALSE)+D120-50</f>
        <v>6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8">G120+1</f>
        <v>39</v>
      </c>
      <c r="I120" s="3">
        <f t="shared" si="78"/>
        <v>40</v>
      </c>
      <c r="J120" s="108">
        <v>52</v>
      </c>
      <c r="K120" s="3">
        <f>VLOOKUP($A120,'SegEnds_NonXtal_BW#'!$A:$Z,8,FALSE)+VLOOKUP($A120,A:AL,10,FALSE)-50</f>
        <v>69</v>
      </c>
      <c r="L120" s="3">
        <f t="shared" si="74"/>
        <v>75</v>
      </c>
      <c r="M120" s="3">
        <v>76</v>
      </c>
      <c r="N120" s="3">
        <f t="shared" si="75"/>
        <v>78</v>
      </c>
      <c r="O120" s="3">
        <f t="shared" si="76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3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7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311</v>
      </c>
      <c r="AM120" s="28" t="str">
        <f>VLOOKUP(A120,Classification!A:B,2,FALSE)</f>
        <v>A</v>
      </c>
      <c r="AN120" s="28" t="b">
        <f t="shared" si="72"/>
        <v>1</v>
      </c>
      <c r="AO120" s="3" t="str">
        <f>IF(ISERROR(MATCH(A120,'SegEnds_Xtal_Prot#'!B:B, 0)), "NoXtal", "Xtal")</f>
        <v>NoXtal</v>
      </c>
      <c r="AP120" s="3">
        <f t="shared" si="41"/>
        <v>1</v>
      </c>
      <c r="AQ120" s="3">
        <f t="shared" si="42"/>
        <v>1</v>
      </c>
      <c r="AR120" s="3">
        <f t="shared" si="43"/>
        <v>6</v>
      </c>
      <c r="AS120" s="3">
        <f t="shared" si="44"/>
        <v>1</v>
      </c>
      <c r="AT120" s="3">
        <f t="shared" si="45"/>
        <v>1</v>
      </c>
      <c r="AU120" s="3">
        <f t="shared" si="46"/>
        <v>1</v>
      </c>
      <c r="AV120" s="3">
        <f t="shared" si="47"/>
        <v>13</v>
      </c>
      <c r="AW120" s="3">
        <f t="shared" si="48"/>
        <v>6</v>
      </c>
      <c r="AX120" s="3">
        <f t="shared" si="49"/>
        <v>24</v>
      </c>
      <c r="AY120" s="3">
        <f t="shared" si="50"/>
        <v>5</v>
      </c>
      <c r="AZ120" s="3">
        <f t="shared" si="51"/>
        <v>1</v>
      </c>
      <c r="BA120" s="3">
        <f>IF(ISERROR(LEN(VLOOKUP(A120,Seqs!A:E,2,FALSE))-AL120),"-",LEN(VLOOKUP(A120,Seqs!A:E,2,FALSE))-AL120)</f>
        <v>298</v>
      </c>
      <c r="BB120" s="16">
        <f t="shared" si="52"/>
        <v>27</v>
      </c>
      <c r="BC120" s="9">
        <f t="shared" si="53"/>
        <v>20</v>
      </c>
      <c r="BD120" s="3">
        <f t="shared" si="54"/>
        <v>27</v>
      </c>
      <c r="BE120" s="3">
        <f t="shared" si="55"/>
        <v>76</v>
      </c>
    </row>
    <row r="121" spans="1:60" s="9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24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8"/>
        <v>59</v>
      </c>
      <c r="I121" s="3">
        <f t="shared" si="78"/>
        <v>60</v>
      </c>
      <c r="J121" s="3">
        <v>73</v>
      </c>
      <c r="K121" s="3">
        <f>VLOOKUP($A121,'SegEnds_NonXtal_BW#'!$A:$Z,8,FALSE)+VLOOKUP($A121,A:AL,10,FALSE)-50</f>
        <v>90</v>
      </c>
      <c r="L121" s="3">
        <f t="shared" si="74"/>
        <v>92</v>
      </c>
      <c r="M121" s="3">
        <v>93</v>
      </c>
      <c r="N121" s="3">
        <f t="shared" si="75"/>
        <v>95</v>
      </c>
      <c r="O121" s="3">
        <f t="shared" si="76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3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7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72"/>
        <v>1</v>
      </c>
      <c r="AO121" s="3" t="str">
        <f>IF(ISERROR(MATCH(A121,'SegEnds_Xtal_Prot#'!B:B, 0)), "NoXtal", "Xtal")</f>
        <v>NoXtal</v>
      </c>
      <c r="AP121" s="3">
        <f t="shared" si="41"/>
        <v>1</v>
      </c>
      <c r="AQ121" s="3">
        <f t="shared" si="42"/>
        <v>1</v>
      </c>
      <c r="AR121" s="3">
        <f t="shared" si="43"/>
        <v>2</v>
      </c>
      <c r="AS121" s="3">
        <f t="shared" si="44"/>
        <v>1</v>
      </c>
      <c r="AT121" s="3">
        <f t="shared" si="45"/>
        <v>1</v>
      </c>
      <c r="AU121" s="3">
        <f t="shared" si="46"/>
        <v>1</v>
      </c>
      <c r="AV121" s="3">
        <f t="shared" si="47"/>
        <v>13</v>
      </c>
      <c r="AW121" s="3">
        <f t="shared" si="48"/>
        <v>5</v>
      </c>
      <c r="AX121" s="3">
        <f t="shared" si="49"/>
        <v>33</v>
      </c>
      <c r="AY121" s="3">
        <f t="shared" si="50"/>
        <v>6</v>
      </c>
      <c r="AZ121" s="3">
        <f t="shared" si="51"/>
        <v>1</v>
      </c>
      <c r="BA121" s="3">
        <f>IF(ISERROR(LEN(VLOOKUP(A121,Seqs!A:E,2,FALSE))-AL121),"-",LEN(VLOOKUP(A121,Seqs!A:E,2,FALSE))-AL121)</f>
        <v>190</v>
      </c>
      <c r="BB121" s="16">
        <f t="shared" si="52"/>
        <v>28</v>
      </c>
      <c r="BC121" s="9">
        <f t="shared" si="53"/>
        <v>20</v>
      </c>
      <c r="BD121" s="3">
        <f t="shared" si="54"/>
        <v>28</v>
      </c>
      <c r="BE121" s="3">
        <f t="shared" si="55"/>
        <v>85</v>
      </c>
      <c r="BF121" s="3"/>
      <c r="BG121" s="3"/>
      <c r="BH121" s="3"/>
    </row>
    <row r="122" spans="1:60" s="3" customFormat="1" x14ac:dyDescent="0.2">
      <c r="A122" s="3" t="s">
        <v>228</v>
      </c>
      <c r="B122" s="3" t="str">
        <f>LOWER(VLOOKUP(A122,Xtal_Templ!A:B,2,FALSE))</f>
        <v>ox2r_human</v>
      </c>
      <c r="C122" s="3">
        <f>VLOOKUP($A122,'SegEnds_NonXtal_BW#'!$A:$Z,3,FALSE)+D122-50</f>
        <v>12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8"/>
        <v>45</v>
      </c>
      <c r="I122" s="3">
        <f t="shared" si="78"/>
        <v>46</v>
      </c>
      <c r="J122" s="108">
        <v>58</v>
      </c>
      <c r="K122" s="3">
        <f>VLOOKUP($A122,'SegEnds_NonXtal_BW#'!$A:$Z,8,FALSE)+VLOOKUP($A122,A:AL,10,FALSE)-50</f>
        <v>75</v>
      </c>
      <c r="L122" s="3">
        <f t="shared" si="74"/>
        <v>82</v>
      </c>
      <c r="M122" s="3">
        <v>83</v>
      </c>
      <c r="N122" s="3">
        <f t="shared" si="75"/>
        <v>85</v>
      </c>
      <c r="O122" s="3">
        <f t="shared" si="76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3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7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72"/>
        <v>1</v>
      </c>
      <c r="AO122" s="3" t="str">
        <f>IF(ISERROR(MATCH(A122,'SegEnds_Xtal_Prot#'!B:B, 0)), "NoXtal", "Xtal")</f>
        <v>NoXtal</v>
      </c>
      <c r="AP122" s="3">
        <f t="shared" si="41"/>
        <v>1</v>
      </c>
      <c r="AQ122" s="3">
        <f t="shared" si="42"/>
        <v>1</v>
      </c>
      <c r="AR122" s="3">
        <f t="shared" si="43"/>
        <v>7</v>
      </c>
      <c r="AS122" s="3">
        <f t="shared" si="44"/>
        <v>1</v>
      </c>
      <c r="AT122" s="3">
        <f t="shared" si="45"/>
        <v>1</v>
      </c>
      <c r="AU122" s="3">
        <f t="shared" si="46"/>
        <v>1</v>
      </c>
      <c r="AV122" s="3">
        <f t="shared" si="47"/>
        <v>12</v>
      </c>
      <c r="AW122" s="3">
        <f t="shared" si="48"/>
        <v>6</v>
      </c>
      <c r="AX122" s="3">
        <f t="shared" si="49"/>
        <v>46</v>
      </c>
      <c r="AY122" s="3">
        <f t="shared" si="50"/>
        <v>5</v>
      </c>
      <c r="AZ122" s="3">
        <f t="shared" si="51"/>
        <v>1</v>
      </c>
      <c r="BA122" s="3">
        <f>IF(ISERROR(LEN(VLOOKUP(A122,Seqs!A:E,2,FALSE))-AL122),"-",LEN(VLOOKUP(A122,Seqs!A:E,2,FALSE))-AL122)</f>
        <v>250</v>
      </c>
      <c r="BB122" s="16">
        <f t="shared" si="52"/>
        <v>27</v>
      </c>
      <c r="BC122" s="9">
        <f t="shared" si="53"/>
        <v>20</v>
      </c>
      <c r="BD122" s="3">
        <f t="shared" si="54"/>
        <v>27</v>
      </c>
      <c r="BE122" s="3">
        <f t="shared" si="55"/>
        <v>96</v>
      </c>
    </row>
    <row r="123" spans="1:60" s="3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3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7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72"/>
        <v>1</v>
      </c>
      <c r="AO123" s="3" t="str">
        <f>IF(ISERROR(MATCH(A123,'SegEnds_Xtal_Prot#'!B:B, 0)), "NoXtal", "Xtal")</f>
        <v>NoXtal</v>
      </c>
      <c r="AP123" s="3" t="str">
        <f t="shared" si="41"/>
        <v>-</v>
      </c>
      <c r="AQ123" s="3" t="str">
        <f t="shared" si="42"/>
        <v>-</v>
      </c>
      <c r="AR123" s="3" t="str">
        <f t="shared" si="43"/>
        <v>-</v>
      </c>
      <c r="AS123" s="3" t="str">
        <f t="shared" si="44"/>
        <v>-</v>
      </c>
      <c r="AT123" s="3">
        <f t="shared" si="45"/>
        <v>1</v>
      </c>
      <c r="AU123" s="3">
        <f t="shared" si="46"/>
        <v>1</v>
      </c>
      <c r="AV123" s="3">
        <f t="shared" si="47"/>
        <v>12</v>
      </c>
      <c r="AW123" s="3">
        <f t="shared" si="48"/>
        <v>4</v>
      </c>
      <c r="AX123" s="3">
        <f t="shared" si="49"/>
        <v>6</v>
      </c>
      <c r="AY123" s="3">
        <f t="shared" si="50"/>
        <v>4</v>
      </c>
      <c r="AZ123" s="3">
        <f t="shared" si="51"/>
        <v>1</v>
      </c>
      <c r="BA123" s="3">
        <f>IF(ISERROR(LEN(VLOOKUP(A123,Seqs!A:E,2,FALSE))-AL123),"-",LEN(VLOOKUP(A123,Seqs!A:E,2,FALSE))-AL123)</f>
        <v>20</v>
      </c>
      <c r="BB123" s="16">
        <f t="shared" si="52"/>
        <v>28</v>
      </c>
      <c r="BC123" s="9">
        <f t="shared" si="53"/>
        <v>20</v>
      </c>
      <c r="BD123" s="3">
        <f t="shared" si="54"/>
        <v>28</v>
      </c>
      <c r="BE123" s="3">
        <f t="shared" si="55"/>
        <v>47</v>
      </c>
      <c r="BF123" s="3">
        <f>AH123-AE123</f>
        <v>44</v>
      </c>
    </row>
    <row r="124" spans="1:60" s="3" customFormat="1" x14ac:dyDescent="0.2">
      <c r="A124" s="3" t="s">
        <v>230</v>
      </c>
      <c r="B124" s="3" t="str">
        <f>LOWER(VLOOKUP(A124,Xtal_Templ!A:B,2,FALSE))</f>
        <v>ox1r_human</v>
      </c>
      <c r="C124" s="3">
        <f>VLOOKUP($A124,'SegEnds_NonXtal_BW#'!$A:$Z,3,FALSE)+D124-50</f>
        <v>22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9">G124+1</f>
        <v>54</v>
      </c>
      <c r="I124" s="3">
        <f t="shared" si="79"/>
        <v>55</v>
      </c>
      <c r="J124" s="3">
        <v>68</v>
      </c>
      <c r="K124" s="3">
        <f>VLOOKUP($A124,'SegEnds_NonXtal_BW#'!$A:$Z,8,FALSE)+VLOOKUP($A124,A:AL,10,FALSE)-50</f>
        <v>85</v>
      </c>
      <c r="L124" s="3">
        <f t="shared" ref="L124:L132" si="80">M124-1</f>
        <v>88</v>
      </c>
      <c r="M124" s="3">
        <v>89</v>
      </c>
      <c r="N124" s="3">
        <f t="shared" ref="N124:N132" si="81">M124+2</f>
        <v>91</v>
      </c>
      <c r="O124" s="3">
        <f t="shared" ref="O124:O132" si="82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3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162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7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355</v>
      </c>
      <c r="AM124" s="28" t="str">
        <f>VLOOKUP(A124,Classification!A:B,2,FALSE)</f>
        <v>A</v>
      </c>
      <c r="AN124" s="28" t="b">
        <f t="shared" si="72"/>
        <v>1</v>
      </c>
      <c r="AO124" s="3" t="str">
        <f>IF(ISERROR(MATCH(A124,'SegEnds_Xtal_Prot#'!B:B, 0)), "NoXtal", "Xtal")</f>
        <v>NoXtal</v>
      </c>
      <c r="AP124" s="3">
        <f t="shared" si="41"/>
        <v>1</v>
      </c>
      <c r="AQ124" s="3">
        <f t="shared" si="42"/>
        <v>1</v>
      </c>
      <c r="AR124" s="3">
        <f t="shared" si="43"/>
        <v>3</v>
      </c>
      <c r="AS124" s="3">
        <f t="shared" si="44"/>
        <v>1</v>
      </c>
      <c r="AT124" s="3">
        <f t="shared" si="45"/>
        <v>1</v>
      </c>
      <c r="AU124" s="3">
        <f t="shared" si="46"/>
        <v>1</v>
      </c>
      <c r="AV124" s="3">
        <f t="shared" si="47"/>
        <v>12</v>
      </c>
      <c r="AW124" s="3">
        <f t="shared" si="48"/>
        <v>44</v>
      </c>
      <c r="AX124" s="3">
        <f t="shared" si="49"/>
        <v>13</v>
      </c>
      <c r="AY124" s="3">
        <f t="shared" si="50"/>
        <v>6</v>
      </c>
      <c r="AZ124" s="3">
        <f t="shared" si="51"/>
        <v>1</v>
      </c>
      <c r="BA124" s="3">
        <f>IF(ISERROR(LEN(VLOOKUP(A124,Seqs!A:E,2,FALSE))-AL124),"-",LEN(VLOOKUP(A124,Seqs!A:E,2,FALSE))-AL124)</f>
        <v>18</v>
      </c>
      <c r="BB124" s="16">
        <f t="shared" si="52"/>
        <v>28</v>
      </c>
      <c r="BC124" s="9">
        <f t="shared" si="53"/>
        <v>20</v>
      </c>
      <c r="BD124" s="3">
        <f t="shared" si="54"/>
        <v>28</v>
      </c>
      <c r="BE124" s="3">
        <f t="shared" si="55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9"/>
        <v>85</v>
      </c>
      <c r="I125" s="3">
        <f t="shared" si="79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80"/>
        <v>118</v>
      </c>
      <c r="M125" s="3">
        <v>119</v>
      </c>
      <c r="N125" s="3">
        <f t="shared" si="81"/>
        <v>121</v>
      </c>
      <c r="O125" s="3">
        <f t="shared" si="82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3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7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72"/>
        <v>1</v>
      </c>
      <c r="AO125" s="3" t="str">
        <f>IF(ISERROR(MATCH(A125,'SegEnds_Xtal_Prot#'!B:B, 0)), "NoXtal", "Xtal")</f>
        <v>NoXtal</v>
      </c>
      <c r="AP125" s="3">
        <f t="shared" si="41"/>
        <v>1</v>
      </c>
      <c r="AQ125" s="3">
        <f t="shared" si="42"/>
        <v>1</v>
      </c>
      <c r="AR125" s="3">
        <f t="shared" si="43"/>
        <v>2</v>
      </c>
      <c r="AS125" s="3">
        <f t="shared" si="44"/>
        <v>1</v>
      </c>
      <c r="AT125" s="3">
        <f t="shared" si="45"/>
        <v>1</v>
      </c>
      <c r="AU125" s="3">
        <f t="shared" si="46"/>
        <v>1</v>
      </c>
      <c r="AV125" s="3">
        <f t="shared" si="47"/>
        <v>10</v>
      </c>
      <c r="AW125" s="3">
        <f t="shared" si="48"/>
        <v>6</v>
      </c>
      <c r="AX125" s="3">
        <f t="shared" si="49"/>
        <v>5</v>
      </c>
      <c r="AY125" s="3">
        <f t="shared" si="50"/>
        <v>4</v>
      </c>
      <c r="AZ125" s="3">
        <f t="shared" si="51"/>
        <v>1</v>
      </c>
      <c r="BA125" s="3">
        <f>IF(ISERROR(LEN(VLOOKUP(A125,Seqs!A:E,2,FALSE))-AL125),"-",LEN(VLOOKUP(A125,Seqs!A:E,2,FALSE))-AL125)</f>
        <v>66</v>
      </c>
      <c r="BB125" s="16">
        <f t="shared" si="52"/>
        <v>28</v>
      </c>
      <c r="BC125" s="9">
        <f t="shared" si="53"/>
        <v>20</v>
      </c>
      <c r="BD125" s="3">
        <f t="shared" si="54"/>
        <v>28</v>
      </c>
      <c r="BE125" s="3">
        <f t="shared" si="55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oprk_human</v>
      </c>
      <c r="C126" s="3">
        <f>VLOOKUP($A126,'SegEnds_NonXtal_BW#'!$A:$Z,3,FALSE)+D126-50</f>
        <v>29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9"/>
        <v>63</v>
      </c>
      <c r="I126" s="3">
        <f t="shared" si="79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80"/>
        <v>96</v>
      </c>
      <c r="M126" s="3">
        <v>97</v>
      </c>
      <c r="N126" s="3">
        <f t="shared" si="81"/>
        <v>99</v>
      </c>
      <c r="O126" s="3">
        <f t="shared" si="82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3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7"/>
        <v>183</v>
      </c>
      <c r="AA126" s="3">
        <f>IF(ISERROR(VLOOKUP($A126,'SegEnds_NonXtal_BW#'!$A:$Z,19,FALSE)+VLOOKUP($A126,A:AL,28,FALSE)-50),"-",(VLOOKUP($A126,'SegEnds_NonXtal_BW#'!$A:$Z,19,FALSE)+VLOOKUP($A126,A:AL,28,FALSE)-50))</f>
        <v>189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72"/>
        <v>1</v>
      </c>
      <c r="AO126" s="3" t="str">
        <f>IF(ISERROR(MATCH(A126,'SegEnds_Xtal_Prot#'!B:B, 0)), "NoXtal", "Xtal")</f>
        <v>NoXtal</v>
      </c>
      <c r="AP126" s="3">
        <f t="shared" si="41"/>
        <v>1</v>
      </c>
      <c r="AQ126" s="3">
        <f t="shared" si="42"/>
        <v>1</v>
      </c>
      <c r="AR126" s="3">
        <f t="shared" si="43"/>
        <v>3</v>
      </c>
      <c r="AS126" s="3">
        <f t="shared" si="44"/>
        <v>1</v>
      </c>
      <c r="AT126" s="3">
        <f t="shared" si="45"/>
        <v>1</v>
      </c>
      <c r="AU126" s="3">
        <f t="shared" si="46"/>
        <v>1</v>
      </c>
      <c r="AV126" s="3">
        <f t="shared" si="47"/>
        <v>11</v>
      </c>
      <c r="AW126" s="3">
        <f t="shared" si="48"/>
        <v>6</v>
      </c>
      <c r="AX126" s="3">
        <f t="shared" si="49"/>
        <v>6</v>
      </c>
      <c r="AY126" s="3">
        <f t="shared" si="50"/>
        <v>6</v>
      </c>
      <c r="AZ126" s="3">
        <f t="shared" si="51"/>
        <v>1</v>
      </c>
      <c r="BA126" s="3">
        <f>IF(ISERROR(LEN(VLOOKUP(A126,Seqs!A:E,2,FALSE))-AL126),"-",LEN(VLOOKUP(A126,Seqs!A:E,2,FALSE))-AL126)</f>
        <v>37</v>
      </c>
      <c r="BB126" s="16">
        <f t="shared" si="52"/>
        <v>28</v>
      </c>
      <c r="BC126" s="9">
        <f t="shared" si="53"/>
        <v>20</v>
      </c>
      <c r="BD126" s="3">
        <f t="shared" si="54"/>
        <v>28</v>
      </c>
      <c r="BE126" s="3">
        <f t="shared" si="55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9"/>
        <v>91</v>
      </c>
      <c r="I127" s="3">
        <f t="shared" si="79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80"/>
        <v>123</v>
      </c>
      <c r="M127" s="3">
        <v>124</v>
      </c>
      <c r="N127" s="3">
        <f t="shared" si="81"/>
        <v>126</v>
      </c>
      <c r="O127" s="3">
        <f t="shared" si="82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3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7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72"/>
        <v>1</v>
      </c>
      <c r="AO127" s="3" t="str">
        <f>IF(ISERROR(MATCH(A127,'SegEnds_Xtal_Prot#'!B:B, 0)), "NoXtal", "Xtal")</f>
        <v>NoXtal</v>
      </c>
      <c r="AP127" s="3">
        <f t="shared" si="41"/>
        <v>1</v>
      </c>
      <c r="AQ127" s="3">
        <f t="shared" si="42"/>
        <v>1</v>
      </c>
      <c r="AR127" s="3">
        <f t="shared" si="43"/>
        <v>2</v>
      </c>
      <c r="AS127" s="3">
        <f t="shared" si="44"/>
        <v>1</v>
      </c>
      <c r="AT127" s="3">
        <f t="shared" si="45"/>
        <v>1</v>
      </c>
      <c r="AU127" s="3">
        <f t="shared" si="46"/>
        <v>1</v>
      </c>
      <c r="AV127" s="3">
        <f t="shared" si="47"/>
        <v>9</v>
      </c>
      <c r="AW127" s="3">
        <f t="shared" si="48"/>
        <v>3</v>
      </c>
      <c r="AX127" s="3">
        <f t="shared" si="49"/>
        <v>4</v>
      </c>
      <c r="AY127" s="3">
        <f t="shared" si="50"/>
        <v>7</v>
      </c>
      <c r="AZ127" s="3">
        <f t="shared" si="51"/>
        <v>1</v>
      </c>
      <c r="BA127" s="3">
        <f>IF(ISERROR(LEN(VLOOKUP(A127,Seqs!A:E,2,FALSE))-AL127),"-",LEN(VLOOKUP(A127,Seqs!A:E,2,FALSE))-AL127)</f>
        <v>35</v>
      </c>
      <c r="BB127" s="16">
        <f t="shared" si="52"/>
        <v>28</v>
      </c>
      <c r="BC127" s="9">
        <f t="shared" si="53"/>
        <v>20</v>
      </c>
      <c r="BD127" s="3">
        <f t="shared" si="54"/>
        <v>28</v>
      </c>
      <c r="BE127" s="3">
        <f t="shared" si="55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36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80"/>
        <v>102</v>
      </c>
      <c r="M128" s="3">
        <v>103</v>
      </c>
      <c r="N128" s="3">
        <f t="shared" si="81"/>
        <v>105</v>
      </c>
      <c r="O128" s="3">
        <f t="shared" si="82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3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7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72"/>
        <v>1</v>
      </c>
      <c r="AO128" s="3" t="str">
        <f>IF(ISERROR(MATCH(A128,'SegEnds_Xtal_Prot#'!B:B, 0)), "NoXtal", "Xtal")</f>
        <v>NoXtal</v>
      </c>
      <c r="AP128" s="3" t="str">
        <f t="shared" si="41"/>
        <v>-</v>
      </c>
      <c r="AQ128" s="3" t="str">
        <f t="shared" si="42"/>
        <v>-</v>
      </c>
      <c r="AR128" s="3">
        <f t="shared" si="43"/>
        <v>3</v>
      </c>
      <c r="AS128" s="3">
        <f t="shared" si="44"/>
        <v>1</v>
      </c>
      <c r="AT128" s="3">
        <f t="shared" si="45"/>
        <v>1</v>
      </c>
      <c r="AU128" s="3">
        <f t="shared" si="46"/>
        <v>1</v>
      </c>
      <c r="AV128" s="3">
        <f t="shared" si="47"/>
        <v>11</v>
      </c>
      <c r="AW128" s="3">
        <f t="shared" si="48"/>
        <v>13</v>
      </c>
      <c r="AX128" s="3">
        <f t="shared" si="49"/>
        <v>5</v>
      </c>
      <c r="AY128" s="3">
        <f t="shared" si="50"/>
        <v>7</v>
      </c>
      <c r="AZ128" s="3">
        <f t="shared" si="51"/>
        <v>1</v>
      </c>
      <c r="BA128" s="3">
        <f>IF(ISERROR(LEN(VLOOKUP(A128,Seqs!A:E,2,FALSE))-AL128),"-",LEN(VLOOKUP(A128,Seqs!A:E,2,FALSE))-AL128)</f>
        <v>33</v>
      </c>
      <c r="BB128" s="16">
        <f t="shared" si="52"/>
        <v>27</v>
      </c>
      <c r="BC128" s="9">
        <f t="shared" si="53"/>
        <v>20</v>
      </c>
      <c r="BD128" s="3">
        <f t="shared" si="54"/>
        <v>27</v>
      </c>
      <c r="BE128" s="3">
        <f t="shared" si="55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80"/>
        <v>104</v>
      </c>
      <c r="M129" s="3">
        <v>105</v>
      </c>
      <c r="N129" s="3">
        <f t="shared" si="81"/>
        <v>107</v>
      </c>
      <c r="O129" s="3">
        <f t="shared" si="82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3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231</v>
      </c>
      <c r="AD129" s="3">
        <f>IF(ISERROR(VLOOKUP($A129,'SegEnds_NonXtal_BW#'!$A:$Z,21,FALSE)+VLOOKUP($A129,A:AL,31,FALSE)-50),"-",(VLOOKUP($A129,'SegEnds_NonXtal_BW#'!$A:$Z,21,FALSE)+VLOOKUP($A129,A:AL,31,FALSE)-50))</f>
        <v>240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72"/>
        <v>1</v>
      </c>
      <c r="AO129" s="3" t="str">
        <f>IF(ISERROR(MATCH(A129,'SegEnds_Xtal_Prot#'!B:B, 0)), "NoXtal", "Xtal")</f>
        <v>NoXtal</v>
      </c>
      <c r="AP129" s="3" t="str">
        <f t="shared" si="41"/>
        <v>-</v>
      </c>
      <c r="AQ129" s="3" t="str">
        <f t="shared" si="42"/>
        <v>-</v>
      </c>
      <c r="AR129" s="3">
        <f t="shared" si="43"/>
        <v>2</v>
      </c>
      <c r="AS129" s="3">
        <f t="shared" si="44"/>
        <v>1</v>
      </c>
      <c r="AT129" s="3">
        <f t="shared" si="45"/>
        <v>1</v>
      </c>
      <c r="AU129" s="3">
        <f t="shared" si="46"/>
        <v>1</v>
      </c>
      <c r="AV129" s="3" t="str">
        <f t="shared" si="47"/>
        <v>-</v>
      </c>
      <c r="AW129" s="3" t="str">
        <f t="shared" si="48"/>
        <v>-</v>
      </c>
      <c r="AX129" s="3">
        <f t="shared" si="49"/>
        <v>9</v>
      </c>
      <c r="AY129" s="3">
        <f t="shared" si="50"/>
        <v>5</v>
      </c>
      <c r="AZ129" s="3">
        <f t="shared" si="51"/>
        <v>1</v>
      </c>
      <c r="BA129" s="3">
        <f>IF(ISERROR(LEN(VLOOKUP(A129,Seqs!A:E,2,FALSE))-AL129),"-",LEN(VLOOKUP(A129,Seqs!A:E,2,FALSE))-AL129)</f>
        <v>17</v>
      </c>
      <c r="BB129" s="16">
        <f t="shared" si="52"/>
        <v>28</v>
      </c>
      <c r="BC129" s="9">
        <f t="shared" si="53"/>
        <v>20</v>
      </c>
      <c r="BD129" s="3">
        <f t="shared" si="54"/>
        <v>28</v>
      </c>
      <c r="BE129" s="3">
        <f t="shared" si="55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31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80"/>
        <v>98</v>
      </c>
      <c r="M130" s="3">
        <v>99</v>
      </c>
      <c r="N130" s="3">
        <f t="shared" si="81"/>
        <v>101</v>
      </c>
      <c r="O130" s="3">
        <f t="shared" si="82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3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72"/>
        <v>1</v>
      </c>
      <c r="AO130" s="3" t="str">
        <f>IF(ISERROR(MATCH(A130,'SegEnds_Xtal_Prot#'!B:B, 0)), "NoXtal", "Xtal")</f>
        <v>NoXtal</v>
      </c>
      <c r="AP130" s="3" t="str">
        <f t="shared" ref="AP130:AP193" si="83">IF(ISERROR(F130-E130),"-",F130-E130)</f>
        <v>-</v>
      </c>
      <c r="AQ130" s="3" t="str">
        <f t="shared" ref="AQ130:AQ193" si="84">IF(ISERROR(I130-H130),"-",I130-H130)</f>
        <v>-</v>
      </c>
      <c r="AR130" s="3">
        <f t="shared" ref="AR130:AR193" si="85">IF(ISERROR(L130-K130),"-",L130-K130)</f>
        <v>3</v>
      </c>
      <c r="AS130" s="3">
        <f t="shared" ref="AS130:AS193" si="86">IF(ISERROR(O130-N130),"-",O130-N130)</f>
        <v>1</v>
      </c>
      <c r="AT130" s="3">
        <f t="shared" ref="AT130:AT193" si="87">IF(ISERROR(R130-Q130),"-",R130-Q130)</f>
        <v>1</v>
      </c>
      <c r="AU130" s="3">
        <f t="shared" ref="AU130:AU193" si="88">IF(ISERROR(U130-T130),"-",U130-T130)</f>
        <v>1</v>
      </c>
      <c r="AV130" s="3">
        <f t="shared" ref="AV130:AV193" si="89">IF(ISERROR(X130-W130),"-",X130-W130)</f>
        <v>11</v>
      </c>
      <c r="AW130" s="3">
        <f t="shared" ref="AW130:AW193" si="90">IF(ISERROR(AA130-Z130),"-",AA130-Z130)</f>
        <v>6</v>
      </c>
      <c r="AX130" s="3">
        <f t="shared" ref="AX130:AX193" si="91">IF(ISERROR(AD130-AC130),"-",AD130-AC130)</f>
        <v>5</v>
      </c>
      <c r="AY130" s="3">
        <f t="shared" ref="AY130:AY193" si="92">IF(ISERROR(AG130-AF130),"-",AG130-AF130)</f>
        <v>6</v>
      </c>
      <c r="AZ130" s="3">
        <f t="shared" ref="AZ130:AZ193" si="93">IF(ISERROR(AJ130-AI130),"-",AJ130-AI130)</f>
        <v>1</v>
      </c>
      <c r="BA130" s="3">
        <f>IF(ISERROR(LEN(VLOOKUP(A130,Seqs!A:E,2,FALSE))-AL130),"-",LEN(VLOOKUP(A130,Seqs!A:E,2,FALSE))-AL130)</f>
        <v>40</v>
      </c>
      <c r="BB130" s="16">
        <f t="shared" ref="BB130:BB193" si="94">J130-D130</f>
        <v>28</v>
      </c>
      <c r="BC130" s="9">
        <f t="shared" ref="BC130:BC193" si="95">IF(ISERROR(V130-S130),"-",V130-S130)</f>
        <v>20</v>
      </c>
      <c r="BD130" s="3">
        <f t="shared" ref="BD130:BD193" si="96">J130-D130</f>
        <v>28</v>
      </c>
      <c r="BE130" s="3">
        <f t="shared" ref="BE130:BE193" si="97">AE130-AB130</f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80"/>
        <v>124</v>
      </c>
      <c r="M131" s="3">
        <v>125</v>
      </c>
      <c r="N131" s="3">
        <f t="shared" si="81"/>
        <v>127</v>
      </c>
      <c r="O131" s="3">
        <f t="shared" si="82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3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72"/>
        <v>1</v>
      </c>
      <c r="AO131" s="3" t="str">
        <f>IF(ISERROR(MATCH(A131,'SegEnds_Xtal_Prot#'!B:B, 0)), "NoXtal", "Xtal")</f>
        <v>NoXtal</v>
      </c>
      <c r="AP131" s="3" t="str">
        <f t="shared" si="83"/>
        <v>-</v>
      </c>
      <c r="AQ131" s="3" t="str">
        <f t="shared" si="84"/>
        <v>-</v>
      </c>
      <c r="AR131" s="3">
        <f t="shared" si="85"/>
        <v>2</v>
      </c>
      <c r="AS131" s="3">
        <f t="shared" si="86"/>
        <v>1</v>
      </c>
      <c r="AT131" s="3">
        <f t="shared" si="87"/>
        <v>1</v>
      </c>
      <c r="AU131" s="3">
        <f t="shared" si="88"/>
        <v>1</v>
      </c>
      <c r="AV131" s="3">
        <f t="shared" si="89"/>
        <v>11</v>
      </c>
      <c r="AW131" s="3">
        <f t="shared" si="90"/>
        <v>1</v>
      </c>
      <c r="AX131" s="3">
        <f t="shared" si="91"/>
        <v>5</v>
      </c>
      <c r="AY131" s="3">
        <f t="shared" si="92"/>
        <v>4</v>
      </c>
      <c r="AZ131" s="3">
        <f t="shared" si="93"/>
        <v>1</v>
      </c>
      <c r="BA131" s="3">
        <f>IF(ISERROR(LEN(VLOOKUP(A131,Seqs!A:E,2,FALSE))-AL131),"-",LEN(VLOOKUP(A131,Seqs!A:E,2,FALSE))-AL131)</f>
        <v>24</v>
      </c>
      <c r="BB131" s="16">
        <f t="shared" si="94"/>
        <v>28</v>
      </c>
      <c r="BC131" s="9">
        <f t="shared" si="95"/>
        <v>20</v>
      </c>
      <c r="BD131" s="3">
        <f t="shared" si="96"/>
        <v>28</v>
      </c>
      <c r="BE131" s="3">
        <f t="shared" si="97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80"/>
        <v>86</v>
      </c>
      <c r="M132" s="3">
        <v>87</v>
      </c>
      <c r="N132" s="3">
        <f t="shared" si="81"/>
        <v>89</v>
      </c>
      <c r="O132" s="3">
        <f t="shared" si="82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3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180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72"/>
        <v>1</v>
      </c>
      <c r="AO132" s="3" t="str">
        <f>IF(ISERROR(MATCH(A132,'SegEnds_Xtal_Prot#'!B:B, 0)), "NoXtal", "Xtal")</f>
        <v>NoXtal</v>
      </c>
      <c r="AP132" s="3" t="str">
        <f t="shared" si="83"/>
        <v>-</v>
      </c>
      <c r="AQ132" s="3" t="str">
        <f t="shared" si="84"/>
        <v>-</v>
      </c>
      <c r="AR132" s="3">
        <f t="shared" si="85"/>
        <v>2</v>
      </c>
      <c r="AS132" s="3">
        <f t="shared" si="86"/>
        <v>1</v>
      </c>
      <c r="AT132" s="3">
        <f t="shared" si="87"/>
        <v>1</v>
      </c>
      <c r="AU132" s="3">
        <f t="shared" si="88"/>
        <v>1</v>
      </c>
      <c r="AV132" s="3">
        <f t="shared" si="89"/>
        <v>12</v>
      </c>
      <c r="AW132" s="3">
        <f t="shared" si="90"/>
        <v>6</v>
      </c>
      <c r="AX132" s="3">
        <f t="shared" si="91"/>
        <v>4</v>
      </c>
      <c r="AY132" s="3">
        <f t="shared" si="92"/>
        <v>6</v>
      </c>
      <c r="AZ132" s="3">
        <f t="shared" si="93"/>
        <v>1</v>
      </c>
      <c r="BA132" s="3">
        <f>IF(ISERROR(LEN(VLOOKUP(A132,Seqs!A:E,2,FALSE))-AL132),"-",LEN(VLOOKUP(A132,Seqs!A:E,2,FALSE))-AL132)</f>
        <v>29</v>
      </c>
      <c r="BB132" s="16">
        <f t="shared" si="94"/>
        <v>28</v>
      </c>
      <c r="BC132" s="9">
        <f t="shared" si="95"/>
        <v>20</v>
      </c>
      <c r="BD132" s="3">
        <f t="shared" si="96"/>
        <v>28</v>
      </c>
      <c r="BE132" s="3">
        <f t="shared" si="97"/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8">G133-2</f>
        <v>82</v>
      </c>
      <c r="G133" s="3">
        <v>84</v>
      </c>
      <c r="H133" s="3">
        <f t="shared" ref="H133:I138" si="99">G133+1</f>
        <v>85</v>
      </c>
      <c r="I133" s="3">
        <f t="shared" si="99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3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>AND(IF(Y133="-",IF(AA133-W133&gt;3,TRUE,FALSE),TRUE),IF(M133="-",IF(O133-K133&gt;3,TRUE,FALSE),TRU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3"/>
        <v>1</v>
      </c>
      <c r="AQ133" s="3">
        <f t="shared" si="84"/>
        <v>1</v>
      </c>
      <c r="AR133" s="3" t="str">
        <f t="shared" si="85"/>
        <v>-</v>
      </c>
      <c r="AS133" s="3" t="str">
        <f t="shared" si="86"/>
        <v>-</v>
      </c>
      <c r="AT133" s="3">
        <f t="shared" si="87"/>
        <v>1</v>
      </c>
      <c r="AU133" s="3">
        <f t="shared" si="88"/>
        <v>1</v>
      </c>
      <c r="AV133" s="3" t="str">
        <f t="shared" si="89"/>
        <v>-</v>
      </c>
      <c r="AW133" s="3" t="str">
        <f t="shared" si="90"/>
        <v>-</v>
      </c>
      <c r="AX133" s="3">
        <f t="shared" si="91"/>
        <v>4</v>
      </c>
      <c r="AY133" s="3">
        <f t="shared" si="92"/>
        <v>5</v>
      </c>
      <c r="AZ133" s="3">
        <f t="shared" si="93"/>
        <v>1</v>
      </c>
      <c r="BA133" s="3">
        <f>IF(ISERROR(LEN(VLOOKUP(A133,Seqs!A:E,2,FALSE))-AL133),"-",LEN(VLOOKUP(A133,Seqs!A:E,2,FALSE))-AL133)</f>
        <v>45</v>
      </c>
      <c r="BB133" s="16">
        <f t="shared" si="94"/>
        <v>28</v>
      </c>
      <c r="BC133" s="9">
        <f t="shared" si="95"/>
        <v>20</v>
      </c>
      <c r="BD133" s="3">
        <f t="shared" si="96"/>
        <v>28</v>
      </c>
      <c r="BE133" s="3">
        <f t="shared" si="97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5ht2b_human</v>
      </c>
      <c r="C134" s="3">
        <f>VLOOKUP($A134,'SegEnds_NonXtal_BW#'!$A:$Z,3,FALSE)+D134-50</f>
        <v>28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8"/>
        <v>57</v>
      </c>
      <c r="G134" s="3">
        <v>59</v>
      </c>
      <c r="H134" s="3">
        <f t="shared" si="99"/>
        <v>60</v>
      </c>
      <c r="I134" s="3">
        <f t="shared" si="99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3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168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319</v>
      </c>
      <c r="AM134" s="28" t="str">
        <f>VLOOKUP(A134,Classification!A:B,2,FALSE)</f>
        <v>A</v>
      </c>
      <c r="AN134" s="28" t="b">
        <f t="shared" ref="AN134:AN197" si="100">AND(IF(Y134="-",IF(AA134-W134&gt;3,TRUE,FALSE),TRUE),IF(M134="-",IF(O134-K134&gt;3,TRUE,FALSE),TRUE),C134&lt;E134,OR(E134&lt;F134,F134="-"),OR(F134&lt;H134,F134="-"),OR(H134&lt;I134,H134="-"),I134&lt;K134,OR(K134&lt;L134,L134="-"),OR(L134&lt;N134,L134="-"),OR(N134&lt;O134,N134="-"),O134&lt;Q134,OR(Q134&lt;R134,R134="-"),OR(R134&lt;T134,R134="-"),OR(T134&lt;U134,T134="-"),U134&lt;W134,OR(W134&lt;X134,X134="-"),OR(X134&lt;Z134,X134="-"),OR(Z134&lt;AA134,Z134="-"),AA134&lt;AC134,AC134&lt;AD134,AD134&lt;AF134,AF134&lt;AG134,AG134&lt;AI134,OR(AI134&lt;AJ134,AJ134="-"),OR(AJ134&lt;AL134,AJ134="-"))</f>
        <v>1</v>
      </c>
      <c r="AO134" s="3" t="str">
        <f>IF(ISERROR(MATCH(A134,'SegEnds_Xtal_Prot#'!B:B, 0)), "NoXtal", "Xtal")</f>
        <v>NoXtal</v>
      </c>
      <c r="AP134" s="3">
        <f t="shared" si="83"/>
        <v>1</v>
      </c>
      <c r="AQ134" s="3">
        <f t="shared" si="84"/>
        <v>1</v>
      </c>
      <c r="AR134" s="3" t="str">
        <f t="shared" si="85"/>
        <v>-</v>
      </c>
      <c r="AS134" s="3" t="str">
        <f t="shared" si="86"/>
        <v>-</v>
      </c>
      <c r="AT134" s="3">
        <f t="shared" si="87"/>
        <v>1</v>
      </c>
      <c r="AU134" s="3">
        <f t="shared" si="88"/>
        <v>1</v>
      </c>
      <c r="AV134" s="3">
        <f t="shared" si="89"/>
        <v>13</v>
      </c>
      <c r="AW134" s="3">
        <f t="shared" si="90"/>
        <v>4</v>
      </c>
      <c r="AX134" s="3">
        <f t="shared" si="91"/>
        <v>12</v>
      </c>
      <c r="AY134" s="3">
        <f t="shared" si="92"/>
        <v>5</v>
      </c>
      <c r="AZ134" s="3">
        <f t="shared" si="93"/>
        <v>1</v>
      </c>
      <c r="BA134" s="3">
        <f>IF(ISERROR(LEN(VLOOKUP(A134,Seqs!A:E,2,FALSE))-AL134),"-",LEN(VLOOKUP(A134,Seqs!A:E,2,FALSE))-AL134)</f>
        <v>30</v>
      </c>
      <c r="BB134" s="16">
        <f t="shared" si="94"/>
        <v>29</v>
      </c>
      <c r="BC134" s="9">
        <f t="shared" si="95"/>
        <v>20</v>
      </c>
      <c r="BD134" s="3">
        <f t="shared" si="96"/>
        <v>29</v>
      </c>
      <c r="BE134" s="3">
        <f t="shared" si="97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37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8"/>
        <v>68</v>
      </c>
      <c r="G135" s="3">
        <v>70</v>
      </c>
      <c r="H135" s="3">
        <f t="shared" si="99"/>
        <v>71</v>
      </c>
      <c r="I135" s="3">
        <f t="shared" si="99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3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100"/>
        <v>1</v>
      </c>
      <c r="AO135" s="3" t="str">
        <f>IF(ISERROR(MATCH(A135,'SegEnds_Xtal_Prot#'!B:B, 0)), "NoXtal", "Xtal")</f>
        <v>NoXtal</v>
      </c>
      <c r="AP135" s="3">
        <f t="shared" si="83"/>
        <v>1</v>
      </c>
      <c r="AQ135" s="3">
        <f t="shared" si="84"/>
        <v>1</v>
      </c>
      <c r="AR135" s="3">
        <f t="shared" si="85"/>
        <v>3</v>
      </c>
      <c r="AS135" s="3">
        <f t="shared" si="86"/>
        <v>1</v>
      </c>
      <c r="AT135" s="3">
        <f t="shared" si="87"/>
        <v>1</v>
      </c>
      <c r="AU135" s="3">
        <f t="shared" si="88"/>
        <v>1</v>
      </c>
      <c r="AV135" s="3">
        <f t="shared" si="89"/>
        <v>13</v>
      </c>
      <c r="AW135" s="3">
        <f t="shared" si="90"/>
        <v>5</v>
      </c>
      <c r="AX135" s="3">
        <f t="shared" si="91"/>
        <v>6</v>
      </c>
      <c r="AY135" s="3">
        <f t="shared" si="92"/>
        <v>5</v>
      </c>
      <c r="AZ135" s="3">
        <f t="shared" si="93"/>
        <v>1</v>
      </c>
      <c r="BA135" s="3">
        <f>IF(ISERROR(LEN(VLOOKUP(A135,Seqs!A:E,2,FALSE))-AL135),"-",LEN(VLOOKUP(A135,Seqs!A:E,2,FALSE))-AL135)</f>
        <v>36</v>
      </c>
      <c r="BB135" s="16">
        <f t="shared" si="94"/>
        <v>28</v>
      </c>
      <c r="BC135" s="9">
        <f t="shared" si="95"/>
        <v>20</v>
      </c>
      <c r="BD135" s="3">
        <f t="shared" si="96"/>
        <v>28</v>
      </c>
      <c r="BE135" s="3">
        <f t="shared" si="97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ox2r_human</v>
      </c>
      <c r="C136" s="3">
        <f>VLOOKUP($A136,'SegEnds_NonXtal_BW#'!$A:$Z,3,FALSE)+D136-50</f>
        <v>4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8"/>
        <v>34</v>
      </c>
      <c r="G136" s="3">
        <v>36</v>
      </c>
      <c r="H136" s="3">
        <f t="shared" si="99"/>
        <v>37</v>
      </c>
      <c r="I136" s="3">
        <f t="shared" si="99"/>
        <v>38</v>
      </c>
      <c r="J136" s="3">
        <v>52</v>
      </c>
      <c r="K136" s="3">
        <f>VLOOKUP($A136,'SegEnds_NonXtal_BW#'!$A:$Z,8,FALSE)+VLOOKUP($A136,A:AL,10,FALSE)-50</f>
        <v>69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3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145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309</v>
      </c>
      <c r="AM136" s="28" t="str">
        <f>VLOOKUP(A136,Classification!A:B,2,FALSE)</f>
        <v>A</v>
      </c>
      <c r="AN136" s="28" t="b">
        <f t="shared" si="100"/>
        <v>1</v>
      </c>
      <c r="AO136" s="3" t="str">
        <f>IF(ISERROR(MATCH(A136,'SegEnds_Xtal_Prot#'!B:B, 0)), "NoXtal", "Xtal")</f>
        <v>NoXtal</v>
      </c>
      <c r="AP136" s="3">
        <f t="shared" si="83"/>
        <v>1</v>
      </c>
      <c r="AQ136" s="3">
        <f t="shared" si="84"/>
        <v>1</v>
      </c>
      <c r="AR136" s="3" t="str">
        <f t="shared" si="85"/>
        <v>-</v>
      </c>
      <c r="AS136" s="3" t="str">
        <f t="shared" si="86"/>
        <v>-</v>
      </c>
      <c r="AT136" s="3">
        <f t="shared" si="87"/>
        <v>1</v>
      </c>
      <c r="AU136" s="3">
        <f t="shared" si="88"/>
        <v>1</v>
      </c>
      <c r="AV136" s="3">
        <f t="shared" si="89"/>
        <v>14</v>
      </c>
      <c r="AW136" s="3">
        <f t="shared" si="90"/>
        <v>8</v>
      </c>
      <c r="AX136" s="3">
        <f t="shared" si="91"/>
        <v>20</v>
      </c>
      <c r="AY136" s="3">
        <f t="shared" si="92"/>
        <v>5</v>
      </c>
      <c r="AZ136" s="3">
        <f t="shared" si="93"/>
        <v>1</v>
      </c>
      <c r="BA136" s="3">
        <f>IF(ISERROR(LEN(VLOOKUP(A136,Seqs!A:E,2,FALSE))-AL136),"-",LEN(VLOOKUP(A136,Seqs!A:E,2,FALSE))-AL136)</f>
        <v>28</v>
      </c>
      <c r="BB136" s="16">
        <f t="shared" si="94"/>
        <v>29</v>
      </c>
      <c r="BC136" s="9">
        <f t="shared" si="95"/>
        <v>20</v>
      </c>
      <c r="BD136" s="3">
        <f t="shared" si="96"/>
        <v>29</v>
      </c>
      <c r="BE136" s="3">
        <f t="shared" si="97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s1pr1_human</v>
      </c>
      <c r="C137" s="3">
        <f>VLOOKUP($A137,'SegEnds_NonXtal_BW#'!$A:$Z,3,FALSE)+D137-50</f>
        <v>37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8"/>
        <v>69</v>
      </c>
      <c r="G137" s="3">
        <v>71</v>
      </c>
      <c r="H137" s="3">
        <f t="shared" si="99"/>
        <v>72</v>
      </c>
      <c r="I137" s="3">
        <f t="shared" si="99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3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227</v>
      </c>
      <c r="AD137" s="3">
        <f>IF(ISERROR(VLOOKUP($A137,'SegEnds_NonXtal_BW#'!$A:$Z,21,FALSE)+VLOOKUP($A137,A:AL,31,FALSE)-50),"-",(VLOOKUP($A137,'SegEnds_NonXtal_BW#'!$A:$Z,21,FALSE)+VLOOKUP($A137,A:AL,31,FALSE)-50))</f>
        <v>236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100"/>
        <v>1</v>
      </c>
      <c r="AO137" s="3" t="str">
        <f>IF(ISERROR(MATCH(A137,'SegEnds_Xtal_Prot#'!B:B, 0)), "NoXtal", "Xtal")</f>
        <v>NoXtal</v>
      </c>
      <c r="AP137" s="3">
        <f t="shared" si="83"/>
        <v>1</v>
      </c>
      <c r="AQ137" s="3">
        <f t="shared" si="84"/>
        <v>1</v>
      </c>
      <c r="AR137" s="3">
        <f t="shared" si="85"/>
        <v>2</v>
      </c>
      <c r="AS137" s="3">
        <f t="shared" si="86"/>
        <v>1</v>
      </c>
      <c r="AT137" s="3">
        <f t="shared" si="87"/>
        <v>1</v>
      </c>
      <c r="AU137" s="3">
        <f t="shared" si="88"/>
        <v>1</v>
      </c>
      <c r="AV137" s="3" t="str">
        <f t="shared" si="89"/>
        <v>-</v>
      </c>
      <c r="AW137" s="3" t="str">
        <f t="shared" si="90"/>
        <v>-</v>
      </c>
      <c r="AX137" s="3">
        <f t="shared" si="91"/>
        <v>9</v>
      </c>
      <c r="AY137" s="3">
        <f t="shared" si="92"/>
        <v>5</v>
      </c>
      <c r="AZ137" s="3">
        <f t="shared" si="93"/>
        <v>1</v>
      </c>
      <c r="BA137" s="3">
        <f>IF(ISERROR(LEN(VLOOKUP(A137,Seqs!A:E,2,FALSE))-AL137),"-",LEN(VLOOKUP(A137,Seqs!A:E,2,FALSE))-AL137)</f>
        <v>17</v>
      </c>
      <c r="BB137" s="16">
        <f t="shared" si="94"/>
        <v>28</v>
      </c>
      <c r="BC137" s="9">
        <f t="shared" si="95"/>
        <v>20</v>
      </c>
      <c r="BD137" s="3">
        <f t="shared" si="96"/>
        <v>28</v>
      </c>
      <c r="BE137" s="3">
        <f t="shared" si="97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8"/>
        <v>43</v>
      </c>
      <c r="G138" s="3">
        <v>45</v>
      </c>
      <c r="H138" s="3">
        <f t="shared" si="99"/>
        <v>46</v>
      </c>
      <c r="I138" s="3">
        <f t="shared" si="99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3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101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100"/>
        <v>1</v>
      </c>
      <c r="AO138" s="3" t="str">
        <f>IF(ISERROR(MATCH(A138,'SegEnds_Xtal_Prot#'!B:B, 0)), "NoXtal", "Xtal")</f>
        <v>NoXtal</v>
      </c>
      <c r="AP138" s="3">
        <f t="shared" si="83"/>
        <v>1</v>
      </c>
      <c r="AQ138" s="3">
        <f t="shared" si="84"/>
        <v>1</v>
      </c>
      <c r="AR138" s="3">
        <f t="shared" si="85"/>
        <v>3</v>
      </c>
      <c r="AS138" s="3">
        <f t="shared" si="86"/>
        <v>1</v>
      </c>
      <c r="AT138" s="3">
        <f t="shared" si="87"/>
        <v>1</v>
      </c>
      <c r="AU138" s="3">
        <f t="shared" si="88"/>
        <v>1</v>
      </c>
      <c r="AV138" s="3">
        <f t="shared" si="89"/>
        <v>9</v>
      </c>
      <c r="AW138" s="3">
        <f t="shared" si="90"/>
        <v>6</v>
      </c>
      <c r="AX138" s="3">
        <f t="shared" si="91"/>
        <v>4</v>
      </c>
      <c r="AY138" s="3">
        <f t="shared" si="92"/>
        <v>9</v>
      </c>
      <c r="AZ138" s="3">
        <f t="shared" si="93"/>
        <v>1</v>
      </c>
      <c r="BA138" s="3">
        <f>IF(ISERROR(LEN(VLOOKUP(A138,Seqs!A:E,2,FALSE))-AL138),"-",LEN(VLOOKUP(A138,Seqs!A:E,2,FALSE))-AL138)</f>
        <v>20</v>
      </c>
      <c r="BB138" s="16">
        <f t="shared" si="94"/>
        <v>28</v>
      </c>
      <c r="BC138" s="9">
        <f t="shared" si="95"/>
        <v>20</v>
      </c>
      <c r="BD138" s="3">
        <f t="shared" si="96"/>
        <v>28</v>
      </c>
      <c r="BE138" s="3">
        <f t="shared" si="97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oprk_human</v>
      </c>
      <c r="C139" s="3">
        <f>VLOOKUP($A139,'SegEnds_NonXtal_BW#'!$A:$Z,3,FALSE)+D139-50</f>
        <v>41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3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101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332</v>
      </c>
      <c r="AM139" s="28" t="str">
        <f>VLOOKUP(A139,Classification!A:B,2,FALSE)</f>
        <v>A</v>
      </c>
      <c r="AN139" s="28" t="b">
        <f t="shared" si="100"/>
        <v>1</v>
      </c>
      <c r="AO139" s="3" t="str">
        <f>IF(ISERROR(MATCH(A139,'SegEnds_Xtal_Prot#'!B:B, 0)), "NoXtal", "Xtal")</f>
        <v>NoXtal</v>
      </c>
      <c r="AP139" s="3" t="str">
        <f t="shared" si="83"/>
        <v>-</v>
      </c>
      <c r="AQ139" s="3" t="str">
        <f t="shared" si="84"/>
        <v>-</v>
      </c>
      <c r="AR139" s="3">
        <f t="shared" si="85"/>
        <v>2</v>
      </c>
      <c r="AS139" s="3">
        <f t="shared" si="86"/>
        <v>1</v>
      </c>
      <c r="AT139" s="3">
        <f t="shared" si="87"/>
        <v>1</v>
      </c>
      <c r="AU139" s="3">
        <f t="shared" si="88"/>
        <v>1</v>
      </c>
      <c r="AV139" s="3">
        <f t="shared" si="89"/>
        <v>11</v>
      </c>
      <c r="AW139" s="3">
        <f t="shared" si="90"/>
        <v>16</v>
      </c>
      <c r="AX139" s="3">
        <f t="shared" si="91"/>
        <v>5</v>
      </c>
      <c r="AY139" s="3">
        <f t="shared" si="92"/>
        <v>9</v>
      </c>
      <c r="AZ139" s="3">
        <f t="shared" si="93"/>
        <v>1</v>
      </c>
      <c r="BA139" s="3">
        <f>IF(ISERROR(LEN(VLOOKUP(A139,Seqs!A:E,2,FALSE))-AL139),"-",LEN(VLOOKUP(A139,Seqs!A:E,2,FALSE))-AL139)</f>
        <v>24</v>
      </c>
      <c r="BB139" s="16">
        <f t="shared" si="94"/>
        <v>27</v>
      </c>
      <c r="BC139" s="9">
        <f t="shared" si="95"/>
        <v>20</v>
      </c>
      <c r="BD139" s="3">
        <f t="shared" si="96"/>
        <v>27</v>
      </c>
      <c r="BE139" s="3">
        <f t="shared" si="97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27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3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101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100"/>
        <v>1</v>
      </c>
      <c r="AO140" s="3" t="str">
        <f>IF(ISERROR(MATCH(A140,'SegEnds_Xtal_Prot#'!B:B, 0)), "NoXtal", "Xtal")</f>
        <v>NoXtal</v>
      </c>
      <c r="AP140" s="3" t="str">
        <f t="shared" si="83"/>
        <v>-</v>
      </c>
      <c r="AQ140" s="3" t="str">
        <f t="shared" si="84"/>
        <v>-</v>
      </c>
      <c r="AR140" s="3">
        <f t="shared" si="85"/>
        <v>3</v>
      </c>
      <c r="AS140" s="3">
        <f t="shared" si="86"/>
        <v>1</v>
      </c>
      <c r="AT140" s="3">
        <f t="shared" si="87"/>
        <v>1</v>
      </c>
      <c r="AU140" s="3">
        <f t="shared" si="88"/>
        <v>1</v>
      </c>
      <c r="AV140" s="3">
        <f t="shared" si="89"/>
        <v>12</v>
      </c>
      <c r="AW140" s="3">
        <f t="shared" si="90"/>
        <v>20</v>
      </c>
      <c r="AX140" s="3">
        <f t="shared" si="91"/>
        <v>5</v>
      </c>
      <c r="AY140" s="3">
        <f t="shared" si="92"/>
        <v>6</v>
      </c>
      <c r="AZ140" s="3">
        <f t="shared" si="93"/>
        <v>1</v>
      </c>
      <c r="BA140" s="3">
        <f>IF(ISERROR(LEN(VLOOKUP(A140,Seqs!A:E,2,FALSE))-AL140),"-",LEN(VLOOKUP(A140,Seqs!A:E,2,FALSE))-AL140)</f>
        <v>16</v>
      </c>
      <c r="BB140" s="16">
        <f t="shared" si="94"/>
        <v>27</v>
      </c>
      <c r="BC140" s="9">
        <f t="shared" si="95"/>
        <v>20</v>
      </c>
      <c r="BD140" s="3">
        <f t="shared" si="96"/>
        <v>27</v>
      </c>
      <c r="BE140" s="3">
        <f t="shared" si="97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par1_human</v>
      </c>
      <c r="C141" s="3">
        <f>VLOOKUP($A141,'SegEnds_NonXtal_BW#'!$A:$Z,3,FALSE)+D141-50</f>
        <v>51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82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116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3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101"/>
        <v>206</v>
      </c>
      <c r="AA141" s="3">
        <f>IF(ISERROR(VLOOKUP($A141,'SegEnds_NonXtal_BW#'!$A:$Z,19,FALSE)+VLOOKUP($A141,A:AL,28,FALSE)-50),"-",(VLOOKUP($A141,'SegEnds_NonXtal_BW#'!$A:$Z,19,FALSE)+VLOOKUP($A141,A:AL,28,FALSE)-50))</f>
        <v>212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330</v>
      </c>
      <c r="AJ141" s="3">
        <f>IF(ISERROR(VLOOKUP($A141,'SegEnds_NonXtal_BW#'!$A:$Z,25,FALSE)+VLOOKUP($A141,A:AL,37,FALSE)-50),"-",(VLOOKUP($A141,'SegEnds_NonXtal_BW#'!$A:$Z,25,FALSE)+VLOOKUP($A141,A:AL,37,FALSE)-50))</f>
        <v>331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345</v>
      </c>
      <c r="AM141" s="28" t="str">
        <f>VLOOKUP(A141,Classification!A:B,2,FALSE)</f>
        <v>A</v>
      </c>
      <c r="AN141" s="28" t="b">
        <f t="shared" si="100"/>
        <v>1</v>
      </c>
      <c r="AO141" s="3" t="str">
        <f>IF(ISERROR(MATCH(A141,'SegEnds_Xtal_Prot#'!B:B, 0)), "NoXtal", "Xtal")</f>
        <v>NoXtal</v>
      </c>
      <c r="AP141" s="3" t="str">
        <f t="shared" si="83"/>
        <v>-</v>
      </c>
      <c r="AQ141" s="3" t="str">
        <f t="shared" si="84"/>
        <v>-</v>
      </c>
      <c r="AR141" s="3">
        <f t="shared" si="85"/>
        <v>3</v>
      </c>
      <c r="AS141" s="3">
        <f t="shared" si="86"/>
        <v>1</v>
      </c>
      <c r="AT141" s="3">
        <f t="shared" si="87"/>
        <v>1</v>
      </c>
      <c r="AU141" s="3">
        <f t="shared" si="88"/>
        <v>1</v>
      </c>
      <c r="AV141" s="3">
        <f t="shared" si="89"/>
        <v>12</v>
      </c>
      <c r="AW141" s="3">
        <f t="shared" si="90"/>
        <v>6</v>
      </c>
      <c r="AX141" s="3">
        <f t="shared" si="91"/>
        <v>6</v>
      </c>
      <c r="AY141" s="3">
        <f t="shared" si="92"/>
        <v>6</v>
      </c>
      <c r="AZ141" s="3">
        <f t="shared" si="93"/>
        <v>1</v>
      </c>
      <c r="BA141" s="3">
        <f>IF(ISERROR(LEN(VLOOKUP(A141,Seqs!A:E,2,FALSE))-AL141),"-",LEN(VLOOKUP(A141,Seqs!A:E,2,FALSE))-AL141)</f>
        <v>36</v>
      </c>
      <c r="BB141" s="16">
        <f t="shared" si="94"/>
        <v>28</v>
      </c>
      <c r="BC141" s="9">
        <f t="shared" si="95"/>
        <v>20</v>
      </c>
      <c r="BD141" s="3">
        <f t="shared" si="96"/>
        <v>28</v>
      </c>
      <c r="BE141" s="3">
        <f t="shared" si="97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3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101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100"/>
        <v>1</v>
      </c>
      <c r="AO142" s="3" t="str">
        <f>IF(ISERROR(MATCH(A142,'SegEnds_Xtal_Prot#'!B:B, 0)), "NoXtal", "Xtal")</f>
        <v>NoXtal</v>
      </c>
      <c r="AP142" s="3">
        <f t="shared" si="83"/>
        <v>1</v>
      </c>
      <c r="AQ142" s="3">
        <f t="shared" si="84"/>
        <v>1</v>
      </c>
      <c r="AR142" s="3" t="str">
        <f t="shared" si="85"/>
        <v>-</v>
      </c>
      <c r="AS142" s="3" t="str">
        <f t="shared" si="86"/>
        <v>-</v>
      </c>
      <c r="AT142" s="3">
        <f t="shared" si="87"/>
        <v>1</v>
      </c>
      <c r="AU142" s="3">
        <f t="shared" si="88"/>
        <v>1</v>
      </c>
      <c r="AV142" s="3">
        <f t="shared" si="89"/>
        <v>7</v>
      </c>
      <c r="AW142" s="3">
        <f t="shared" si="90"/>
        <v>4</v>
      </c>
      <c r="AX142" s="3">
        <f t="shared" si="91"/>
        <v>5</v>
      </c>
      <c r="AY142" s="3">
        <f t="shared" si="92"/>
        <v>8</v>
      </c>
      <c r="AZ142" s="3">
        <f t="shared" si="93"/>
        <v>1</v>
      </c>
      <c r="BA142" s="3">
        <f>IF(ISERROR(LEN(VLOOKUP(A142,Seqs!A:E,2,FALSE))-AL142),"-",LEN(VLOOKUP(A142,Seqs!A:E,2,FALSE))-AL142)</f>
        <v>18</v>
      </c>
      <c r="BB142" s="16">
        <f t="shared" si="94"/>
        <v>28</v>
      </c>
      <c r="BC142" s="9">
        <f t="shared" si="95"/>
        <v>20</v>
      </c>
      <c r="BD142" s="3">
        <f t="shared" si="96"/>
        <v>28</v>
      </c>
      <c r="BE142" s="3">
        <f t="shared" si="97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3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101"/>
        <v>421</v>
      </c>
      <c r="AA143" s="3">
        <f>IF(ISERROR(VLOOKUP($A143,'SegEnds_NonXtal_BW#'!$A:$Z,19,FALSE)+VLOOKUP($A143,A:AL,28,FALSE)-50),"-",(VLOOKUP($A143,'SegEnds_NonXtal_BW#'!$A:$Z,19,FALSE)+VLOOKUP($A143,A:AL,28,FALSE)-50))</f>
        <v>433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524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100"/>
        <v>1</v>
      </c>
      <c r="AO143" s="3" t="str">
        <f>IF(ISERROR(MATCH(A143,'SegEnds_Xtal_Prot#'!B:B, 0)), "NoXtal", "Xtal")</f>
        <v>NoXtal</v>
      </c>
      <c r="AP143" s="3">
        <f t="shared" si="83"/>
        <v>1</v>
      </c>
      <c r="AQ143" s="3">
        <f t="shared" si="84"/>
        <v>1</v>
      </c>
      <c r="AR143" s="3">
        <f t="shared" si="85"/>
        <v>2</v>
      </c>
      <c r="AS143" s="3">
        <f t="shared" si="86"/>
        <v>1</v>
      </c>
      <c r="AT143" s="3">
        <f t="shared" si="87"/>
        <v>2</v>
      </c>
      <c r="AU143" s="3">
        <f t="shared" si="88"/>
        <v>1</v>
      </c>
      <c r="AV143" s="3">
        <f t="shared" si="89"/>
        <v>18</v>
      </c>
      <c r="AW143" s="3">
        <f t="shared" si="90"/>
        <v>12</v>
      </c>
      <c r="AX143" s="3">
        <f t="shared" si="91"/>
        <v>5</v>
      </c>
      <c r="AY143" s="3">
        <f t="shared" si="92"/>
        <v>6</v>
      </c>
      <c r="AZ143" s="3">
        <f t="shared" si="93"/>
        <v>1</v>
      </c>
      <c r="BA143" s="3">
        <f>IF(ISERROR(LEN(VLOOKUP(A143,Seqs!A:E,2,FALSE))-AL143),"-",LEN(VLOOKUP(A143,Seqs!A:E,2,FALSE))-AL143)</f>
        <v>47</v>
      </c>
      <c r="BB143" s="16">
        <f t="shared" si="94"/>
        <v>28</v>
      </c>
      <c r="BC143" s="9">
        <f t="shared" si="95"/>
        <v>20</v>
      </c>
      <c r="BD143" s="3">
        <f t="shared" si="96"/>
        <v>28</v>
      </c>
      <c r="BE143" s="3">
        <f t="shared" si="97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3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101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100"/>
        <v>1</v>
      </c>
      <c r="AO144" s="3" t="str">
        <f>IF(ISERROR(MATCH(A144,'SegEnds_Xtal_Prot#'!B:B, 0)), "NoXtal", "Xtal")</f>
        <v>NoXtal</v>
      </c>
      <c r="AP144" s="3" t="str">
        <f t="shared" si="83"/>
        <v>-</v>
      </c>
      <c r="AQ144" s="3" t="str">
        <f t="shared" si="84"/>
        <v>-</v>
      </c>
      <c r="AR144" s="3" t="str">
        <f t="shared" si="85"/>
        <v>-</v>
      </c>
      <c r="AS144" s="3" t="str">
        <f t="shared" si="86"/>
        <v>-</v>
      </c>
      <c r="AT144" s="3">
        <f t="shared" si="87"/>
        <v>1</v>
      </c>
      <c r="AU144" s="3">
        <f t="shared" si="88"/>
        <v>1</v>
      </c>
      <c r="AV144" s="3">
        <f t="shared" si="89"/>
        <v>36</v>
      </c>
      <c r="AW144" s="3">
        <f t="shared" si="90"/>
        <v>4</v>
      </c>
      <c r="AX144" s="3">
        <f t="shared" si="91"/>
        <v>15</v>
      </c>
      <c r="AY144" s="3">
        <f t="shared" si="92"/>
        <v>6</v>
      </c>
      <c r="AZ144" s="3">
        <f t="shared" si="93"/>
        <v>1</v>
      </c>
      <c r="BA144" s="3">
        <f>IF(ISERROR(LEN(VLOOKUP(A144,Seqs!A:E,2,FALSE))-AL144),"-",LEN(VLOOKUP(A144,Seqs!A:E,2,FALSE))-AL144)</f>
        <v>94</v>
      </c>
      <c r="BB144" s="16">
        <f t="shared" si="94"/>
        <v>31</v>
      </c>
      <c r="BC144" s="9">
        <f t="shared" si="95"/>
        <v>20</v>
      </c>
      <c r="BD144" s="3">
        <f t="shared" si="96"/>
        <v>31</v>
      </c>
      <c r="BE144" s="3">
        <f t="shared" si="97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par2_human</v>
      </c>
      <c r="C145" s="3">
        <f>VLOOKUP($A145,'SegEnds_NonXtal_BW#'!$A:$Z,3,FALSE)+D145-50</f>
        <v>13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45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79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3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154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101"/>
        <v>170</v>
      </c>
      <c r="AA145" s="3">
        <f>IF(ISERROR(VLOOKUP($A145,'SegEnds_NonXtal_BW#'!$A:$Z,19,FALSE)+VLOOKUP($A145,A:AL,28,FALSE)-50),"-",(VLOOKUP($A145,'SegEnds_NonXtal_BW#'!$A:$Z,19,FALSE)+VLOOKUP($A145,A:AL,28,FALSE)-50))</f>
        <v>174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289</v>
      </c>
      <c r="AJ145" s="3">
        <f>IF(ISERROR(VLOOKUP($A145,'SegEnds_NonXtal_BW#'!$A:$Z,25,FALSE)+VLOOKUP($A145,A:AL,37,FALSE)-50),"-",(VLOOKUP($A145,'SegEnds_NonXtal_BW#'!$A:$Z,25,FALSE)+VLOOKUP($A145,A:AL,37,FALSE)-50))</f>
        <v>290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304</v>
      </c>
      <c r="AM145" s="28" t="str">
        <f>VLOOKUP(A145,Classification!A:B,2,FALSE)</f>
        <v>A</v>
      </c>
      <c r="AN145" s="28" t="b">
        <f t="shared" si="100"/>
        <v>1</v>
      </c>
      <c r="AO145" s="3" t="str">
        <f>IF(ISERROR(MATCH(A145,'SegEnds_Xtal_Prot#'!B:B, 0)), "NoXtal", "Xtal")</f>
        <v>NoXtal</v>
      </c>
      <c r="AP145" s="3" t="str">
        <f t="shared" si="83"/>
        <v>-</v>
      </c>
      <c r="AQ145" s="3" t="str">
        <f t="shared" si="84"/>
        <v>-</v>
      </c>
      <c r="AR145" s="3">
        <f t="shared" si="85"/>
        <v>3</v>
      </c>
      <c r="AS145" s="3">
        <f t="shared" si="86"/>
        <v>1</v>
      </c>
      <c r="AT145" s="3">
        <f t="shared" si="87"/>
        <v>1</v>
      </c>
      <c r="AU145" s="3">
        <f t="shared" si="88"/>
        <v>1</v>
      </c>
      <c r="AV145" s="3">
        <f t="shared" si="89"/>
        <v>14</v>
      </c>
      <c r="AW145" s="3">
        <f t="shared" si="90"/>
        <v>4</v>
      </c>
      <c r="AX145" s="3">
        <f t="shared" si="91"/>
        <v>5</v>
      </c>
      <c r="AY145" s="3">
        <f t="shared" si="92"/>
        <v>4</v>
      </c>
      <c r="AZ145" s="3">
        <f t="shared" si="93"/>
        <v>1</v>
      </c>
      <c r="BA145" s="3">
        <f>IF(ISERROR(LEN(VLOOKUP(A145,Seqs!A:E,2,FALSE))-AL145),"-",LEN(VLOOKUP(A145,Seqs!A:E,2,FALSE))-AL145)</f>
        <v>58</v>
      </c>
      <c r="BB145" s="16">
        <f t="shared" si="94"/>
        <v>28</v>
      </c>
      <c r="BC145" s="9">
        <f t="shared" si="95"/>
        <v>20</v>
      </c>
      <c r="BD145" s="3">
        <f t="shared" si="96"/>
        <v>28</v>
      </c>
      <c r="BE145" s="3">
        <f t="shared" si="97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3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101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100"/>
        <v>1</v>
      </c>
      <c r="AO146" s="3" t="str">
        <f>IF(ISERROR(MATCH(A146,'SegEnds_Xtal_Prot#'!B:B, 0)), "NoXtal", "Xtal")</f>
        <v>NoXtal</v>
      </c>
      <c r="AP146" s="3" t="str">
        <f t="shared" si="83"/>
        <v>-</v>
      </c>
      <c r="AQ146" s="3" t="str">
        <f t="shared" si="84"/>
        <v>-</v>
      </c>
      <c r="AR146" s="3">
        <f t="shared" si="85"/>
        <v>3</v>
      </c>
      <c r="AS146" s="3">
        <f t="shared" si="86"/>
        <v>1</v>
      </c>
      <c r="AT146" s="3">
        <f t="shared" si="87"/>
        <v>1</v>
      </c>
      <c r="AU146" s="3">
        <f t="shared" si="88"/>
        <v>1</v>
      </c>
      <c r="AV146" s="3">
        <f t="shared" si="89"/>
        <v>16</v>
      </c>
      <c r="AW146" s="3">
        <f t="shared" si="90"/>
        <v>7</v>
      </c>
      <c r="AX146" s="3">
        <f t="shared" si="91"/>
        <v>4</v>
      </c>
      <c r="AY146" s="3">
        <f t="shared" si="92"/>
        <v>5</v>
      </c>
      <c r="AZ146" s="3">
        <f t="shared" si="93"/>
        <v>1</v>
      </c>
      <c r="BA146" s="3">
        <f>IF(ISERROR(LEN(VLOOKUP(A146,Seqs!A:E,2,FALSE))-AL146),"-",LEN(VLOOKUP(A146,Seqs!A:E,2,FALSE))-AL146)</f>
        <v>52</v>
      </c>
      <c r="BB146" s="16">
        <f t="shared" si="94"/>
        <v>29</v>
      </c>
      <c r="BC146" s="9">
        <f t="shared" si="95"/>
        <v>20</v>
      </c>
      <c r="BD146" s="3">
        <f t="shared" si="96"/>
        <v>29</v>
      </c>
      <c r="BE146" s="3">
        <f t="shared" si="97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5ht2b_human</v>
      </c>
      <c r="C147" s="3">
        <f>VLOOKUP($A147,'SegEnds_NonXtal_BW#'!$A:$Z,3,FALSE)+D147-50</f>
        <v>40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3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180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101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332</v>
      </c>
      <c r="AM147" s="28" t="str">
        <f>VLOOKUP(A147,Classification!A:B,2,FALSE)</f>
        <v>A</v>
      </c>
      <c r="AN147" s="28" t="b">
        <f t="shared" si="100"/>
        <v>1</v>
      </c>
      <c r="AO147" s="3" t="str">
        <f>IF(ISERROR(MATCH(A147,'SegEnds_Xtal_Prot#'!B:B, 0)), "NoXtal", "Xtal")</f>
        <v>NoXtal</v>
      </c>
      <c r="AP147" s="3">
        <f t="shared" si="83"/>
        <v>1</v>
      </c>
      <c r="AQ147" s="3">
        <f t="shared" si="84"/>
        <v>1</v>
      </c>
      <c r="AR147" s="3" t="str">
        <f t="shared" si="85"/>
        <v>-</v>
      </c>
      <c r="AS147" s="3" t="str">
        <f t="shared" si="86"/>
        <v>-</v>
      </c>
      <c r="AT147" s="3">
        <f t="shared" si="87"/>
        <v>1</v>
      </c>
      <c r="AU147" s="3">
        <f t="shared" si="88"/>
        <v>1</v>
      </c>
      <c r="AV147" s="3">
        <f t="shared" si="89"/>
        <v>13</v>
      </c>
      <c r="AW147" s="3">
        <f t="shared" si="90"/>
        <v>4</v>
      </c>
      <c r="AX147" s="3">
        <f t="shared" si="91"/>
        <v>13</v>
      </c>
      <c r="AY147" s="3">
        <f t="shared" si="92"/>
        <v>5</v>
      </c>
      <c r="AZ147" s="3">
        <f t="shared" si="93"/>
        <v>1</v>
      </c>
      <c r="BA147" s="3">
        <f>IF(ISERROR(LEN(VLOOKUP(A147,Seqs!A:E,2,FALSE))-AL147),"-",LEN(VLOOKUP(A147,Seqs!A:E,2,FALSE))-AL147)</f>
        <v>29</v>
      </c>
      <c r="BB147" s="16">
        <f t="shared" si="94"/>
        <v>29</v>
      </c>
      <c r="BC147" s="9">
        <f t="shared" si="95"/>
        <v>20</v>
      </c>
      <c r="BD147" s="3">
        <f t="shared" si="96"/>
        <v>29</v>
      </c>
      <c r="BE147" s="3">
        <f t="shared" si="97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3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101"/>
        <v>170</v>
      </c>
      <c r="AA148" s="3">
        <f>IF(ISERROR(VLOOKUP($A148,'SegEnds_NonXtal_BW#'!$A:$Z,19,FALSE)+VLOOKUP($A148,A:AL,28,FALSE)-50),"-",(VLOOKUP($A148,'SegEnds_NonXtal_BW#'!$A:$Z,19,FALSE)+VLOOKUP($A148,A:AL,28,FALSE)-50))</f>
        <v>174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100"/>
        <v>1</v>
      </c>
      <c r="AO148" s="3" t="str">
        <f>IF(ISERROR(MATCH(A148,'SegEnds_Xtal_Prot#'!B:B, 0)), "NoXtal", "Xtal")</f>
        <v>NoXtal</v>
      </c>
      <c r="AP148" s="3" t="str">
        <f t="shared" si="83"/>
        <v>-</v>
      </c>
      <c r="AQ148" s="3" t="str">
        <f t="shared" si="84"/>
        <v>-</v>
      </c>
      <c r="AR148" s="3" t="str">
        <f t="shared" si="85"/>
        <v>-</v>
      </c>
      <c r="AS148" s="3" t="str">
        <f t="shared" si="86"/>
        <v>-</v>
      </c>
      <c r="AT148" s="3">
        <f t="shared" si="87"/>
        <v>1</v>
      </c>
      <c r="AU148" s="3">
        <f t="shared" si="88"/>
        <v>1</v>
      </c>
      <c r="AV148" s="3">
        <f t="shared" si="89"/>
        <v>8</v>
      </c>
      <c r="AW148" s="3">
        <f t="shared" si="90"/>
        <v>4</v>
      </c>
      <c r="AX148" s="3">
        <f t="shared" si="91"/>
        <v>4</v>
      </c>
      <c r="AY148" s="3">
        <f t="shared" si="92"/>
        <v>4</v>
      </c>
      <c r="AZ148" s="3">
        <f t="shared" si="93"/>
        <v>1</v>
      </c>
      <c r="BA148" s="3">
        <f>IF(ISERROR(LEN(VLOOKUP(A148,Seqs!A:E,2,FALSE))-AL148),"-",LEN(VLOOKUP(A148,Seqs!A:E,2,FALSE))-AL148)</f>
        <v>15</v>
      </c>
      <c r="BB148" s="16">
        <f t="shared" si="94"/>
        <v>32</v>
      </c>
      <c r="BC148" s="9">
        <f t="shared" si="95"/>
        <v>20</v>
      </c>
      <c r="BD148" s="3">
        <f t="shared" si="96"/>
        <v>32</v>
      </c>
      <c r="BE148" s="3">
        <f t="shared" si="97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3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259</v>
      </c>
      <c r="AD149" s="3">
        <f>IF(ISERROR(VLOOKUP($A149,'SegEnds_NonXtal_BW#'!$A:$Z,21,FALSE)+VLOOKUP($A149,A:AL,31,FALSE)-50),"-",(VLOOKUP($A149,'SegEnds_NonXtal_BW#'!$A:$Z,21,FALSE)+VLOOKUP($A149,A:AL,31,FALSE)-50))</f>
        <v>268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100"/>
        <v>1</v>
      </c>
      <c r="AO149" s="3" t="str">
        <f>IF(ISERROR(MATCH(A149,'SegEnds_Xtal_Prot#'!B:B, 0)), "NoXtal", "Xtal")</f>
        <v>NoXtal</v>
      </c>
      <c r="AP149" s="3">
        <f t="shared" si="83"/>
        <v>1</v>
      </c>
      <c r="AQ149" s="3">
        <f t="shared" si="84"/>
        <v>1</v>
      </c>
      <c r="AR149" s="3">
        <f t="shared" si="85"/>
        <v>2</v>
      </c>
      <c r="AS149" s="3">
        <f t="shared" si="86"/>
        <v>1</v>
      </c>
      <c r="AT149" s="3">
        <f t="shared" si="87"/>
        <v>1</v>
      </c>
      <c r="AU149" s="3">
        <f t="shared" si="88"/>
        <v>1</v>
      </c>
      <c r="AV149" s="3" t="str">
        <f t="shared" si="89"/>
        <v>-</v>
      </c>
      <c r="AW149" s="3" t="str">
        <f t="shared" si="90"/>
        <v>-</v>
      </c>
      <c r="AX149" s="3">
        <f t="shared" si="91"/>
        <v>9</v>
      </c>
      <c r="AY149" s="3">
        <f t="shared" si="92"/>
        <v>5</v>
      </c>
      <c r="AZ149" s="3">
        <f t="shared" si="93"/>
        <v>1</v>
      </c>
      <c r="BA149" s="3">
        <f>IF(ISERROR(LEN(VLOOKUP(A149,Seqs!A:E,2,FALSE))-AL149),"-",LEN(VLOOKUP(A149,Seqs!A:E,2,FALSE))-AL149)</f>
        <v>17</v>
      </c>
      <c r="BB149" s="16">
        <f t="shared" si="94"/>
        <v>28</v>
      </c>
      <c r="BC149" s="9">
        <f t="shared" si="95"/>
        <v>20</v>
      </c>
      <c r="BD149" s="3">
        <f t="shared" si="96"/>
        <v>28</v>
      </c>
      <c r="BE149" s="3">
        <f t="shared" si="97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103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3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100"/>
        <v>1</v>
      </c>
      <c r="AO150" s="3" t="str">
        <f>IF(ISERROR(MATCH(A150,'SegEnds_Xtal_Prot#'!B:B, 0)), "NoXtal", "Xtal")</f>
        <v>NoXtal</v>
      </c>
      <c r="AP150" s="3" t="str">
        <f t="shared" si="83"/>
        <v>-</v>
      </c>
      <c r="AQ150" s="3" t="str">
        <f t="shared" si="84"/>
        <v>-</v>
      </c>
      <c r="AR150" s="3">
        <f t="shared" si="85"/>
        <v>3</v>
      </c>
      <c r="AS150" s="3">
        <f t="shared" si="86"/>
        <v>1</v>
      </c>
      <c r="AT150" s="3">
        <f t="shared" si="87"/>
        <v>1</v>
      </c>
      <c r="AU150" s="3">
        <f t="shared" si="88"/>
        <v>1</v>
      </c>
      <c r="AV150" s="3">
        <f t="shared" si="89"/>
        <v>14</v>
      </c>
      <c r="AW150" s="3">
        <f t="shared" si="90"/>
        <v>8</v>
      </c>
      <c r="AX150" s="3">
        <f t="shared" si="91"/>
        <v>30</v>
      </c>
      <c r="AY150" s="3">
        <f t="shared" si="92"/>
        <v>6</v>
      </c>
      <c r="AZ150" s="3">
        <f t="shared" si="93"/>
        <v>1</v>
      </c>
      <c r="BA150" s="3">
        <f>IF(ISERROR(LEN(VLOOKUP(A150,Seqs!A:E,2,FALSE))-AL150),"-",LEN(VLOOKUP(A150,Seqs!A:E,2,FALSE))-AL150)</f>
        <v>95</v>
      </c>
      <c r="BB150" s="16">
        <f t="shared" si="94"/>
        <v>26</v>
      </c>
      <c r="BC150" s="9">
        <f t="shared" si="95"/>
        <v>20</v>
      </c>
      <c r="BD150" s="3">
        <f t="shared" si="96"/>
        <v>26</v>
      </c>
      <c r="BE150" s="3">
        <f t="shared" si="97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ox1r_human</v>
      </c>
      <c r="C151" s="3">
        <f>VLOOKUP($A151,'SegEnds_NonXtal_BW#'!$A:$Z,3,FALSE)+D151-50</f>
        <v>5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69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3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145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166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309</v>
      </c>
      <c r="AM151" s="28" t="str">
        <f>VLOOKUP(A151,Classification!A:B,2,FALSE)</f>
        <v>A</v>
      </c>
      <c r="AN151" s="28" t="b">
        <f t="shared" si="100"/>
        <v>1</v>
      </c>
      <c r="AO151" s="3" t="str">
        <f>IF(ISERROR(MATCH(A151,'SegEnds_Xtal_Prot#'!B:B, 0)), "NoXtal", "Xtal")</f>
        <v>NoXtal</v>
      </c>
      <c r="AP151" s="3">
        <f t="shared" si="83"/>
        <v>1</v>
      </c>
      <c r="AQ151" s="3">
        <f t="shared" si="84"/>
        <v>1</v>
      </c>
      <c r="AR151" s="3" t="str">
        <f t="shared" si="85"/>
        <v>-</v>
      </c>
      <c r="AS151" s="3" t="str">
        <f t="shared" si="86"/>
        <v>-</v>
      </c>
      <c r="AT151" s="3">
        <f t="shared" si="87"/>
        <v>1</v>
      </c>
      <c r="AU151" s="3">
        <f t="shared" si="88"/>
        <v>1</v>
      </c>
      <c r="AV151" s="3">
        <f t="shared" si="89"/>
        <v>11</v>
      </c>
      <c r="AW151" s="3">
        <f t="shared" si="90"/>
        <v>8</v>
      </c>
      <c r="AX151" s="3">
        <f t="shared" si="91"/>
        <v>20</v>
      </c>
      <c r="AY151" s="3">
        <f t="shared" si="92"/>
        <v>5</v>
      </c>
      <c r="AZ151" s="3">
        <f t="shared" si="93"/>
        <v>1</v>
      </c>
      <c r="BA151" s="3">
        <f>IF(ISERROR(LEN(VLOOKUP(A151,Seqs!A:E,2,FALSE))-AL151),"-",LEN(VLOOKUP(A151,Seqs!A:E,2,FALSE))-AL151)</f>
        <v>54</v>
      </c>
      <c r="BB151" s="16">
        <f t="shared" si="94"/>
        <v>29</v>
      </c>
      <c r="BC151" s="9">
        <f t="shared" si="95"/>
        <v>20</v>
      </c>
      <c r="BD151" s="3">
        <f t="shared" si="96"/>
        <v>29</v>
      </c>
      <c r="BE151" s="3">
        <f t="shared" si="97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3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100"/>
        <v>1</v>
      </c>
      <c r="AO152" s="3" t="str">
        <f>IF(ISERROR(MATCH(A152,'SegEnds_Xtal_Prot#'!B:B, 0)), "NoXtal", "Xtal")</f>
        <v>NoXtal</v>
      </c>
      <c r="AP152" s="3" t="str">
        <f t="shared" si="83"/>
        <v>-</v>
      </c>
      <c r="AQ152" s="3" t="str">
        <f t="shared" si="84"/>
        <v>-</v>
      </c>
      <c r="AR152" s="3">
        <f t="shared" si="85"/>
        <v>2</v>
      </c>
      <c r="AS152" s="3">
        <f t="shared" si="86"/>
        <v>1</v>
      </c>
      <c r="AT152" s="3">
        <f t="shared" si="87"/>
        <v>17</v>
      </c>
      <c r="AU152" s="3">
        <f t="shared" si="88"/>
        <v>1</v>
      </c>
      <c r="AV152" s="3" t="str">
        <f t="shared" si="89"/>
        <v>-</v>
      </c>
      <c r="AW152" s="3" t="str">
        <f t="shared" si="90"/>
        <v>-</v>
      </c>
      <c r="AX152" s="3">
        <f t="shared" si="91"/>
        <v>6</v>
      </c>
      <c r="AY152" s="3">
        <f t="shared" si="92"/>
        <v>9</v>
      </c>
      <c r="AZ152" s="3">
        <f t="shared" si="93"/>
        <v>1</v>
      </c>
      <c r="BA152" s="3">
        <f>IF(ISERROR(LEN(VLOOKUP(A152,Seqs!A:E,2,FALSE))-AL152),"-",LEN(VLOOKUP(A152,Seqs!A:E,2,FALSE))-AL152)</f>
        <v>11</v>
      </c>
      <c r="BB152" s="16">
        <f t="shared" si="94"/>
        <v>28</v>
      </c>
      <c r="BC152" s="9">
        <f t="shared" si="95"/>
        <v>20</v>
      </c>
      <c r="BD152" s="3">
        <f t="shared" si="96"/>
        <v>28</v>
      </c>
      <c r="BE152" s="3">
        <f t="shared" si="97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ednrb_human</v>
      </c>
      <c r="C153" s="3">
        <f>VLOOKUP($A153,'SegEnds_NonXtal_BW#'!$A:$Z,3,FALSE)+D153-50</f>
        <v>10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83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3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159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214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100"/>
        <v>1</v>
      </c>
      <c r="AO153" s="3" t="str">
        <f>IF(ISERROR(MATCH(A153,'SegEnds_Xtal_Prot#'!B:B, 0)), "NoXtal", "Xtal")</f>
        <v>NoXtal</v>
      </c>
      <c r="AP153" s="3">
        <f t="shared" si="83"/>
        <v>1</v>
      </c>
      <c r="AQ153" s="3">
        <f t="shared" si="84"/>
        <v>1</v>
      </c>
      <c r="AR153" s="3" t="str">
        <f t="shared" si="85"/>
        <v>-</v>
      </c>
      <c r="AS153" s="3" t="str">
        <f t="shared" si="86"/>
        <v>-</v>
      </c>
      <c r="AT153" s="3">
        <f t="shared" si="87"/>
        <v>1</v>
      </c>
      <c r="AU153" s="3">
        <f t="shared" si="88"/>
        <v>1</v>
      </c>
      <c r="AV153" s="3">
        <f t="shared" si="89"/>
        <v>9</v>
      </c>
      <c r="AW153" s="3">
        <f t="shared" si="90"/>
        <v>44</v>
      </c>
      <c r="AX153" s="3">
        <f t="shared" si="91"/>
        <v>49</v>
      </c>
      <c r="AY153" s="3">
        <f t="shared" si="92"/>
        <v>5</v>
      </c>
      <c r="AZ153" s="3">
        <f t="shared" si="93"/>
        <v>1</v>
      </c>
      <c r="BA153" s="3">
        <f>IF(ISERROR(LEN(VLOOKUP(A153,Seqs!A:E,2,FALSE))-AL153),"-",LEN(VLOOKUP(A153,Seqs!A:E,2,FALSE))-AL153)</f>
        <v>9</v>
      </c>
      <c r="BB153" s="16">
        <f t="shared" si="94"/>
        <v>28</v>
      </c>
      <c r="BC153" s="9">
        <f t="shared" si="95"/>
        <v>20</v>
      </c>
      <c r="BD153" s="3">
        <f t="shared" si="96"/>
        <v>28</v>
      </c>
      <c r="BE153" s="3">
        <f t="shared" si="97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ox1r_human</v>
      </c>
      <c r="C154" s="3">
        <f>VLOOKUP($A154,'SegEnds_NonXtal_BW#'!$A:$Z,3,FALSE)+D154-50</f>
        <v>20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83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3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160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354</v>
      </c>
      <c r="AM154" s="28" t="str">
        <f>VLOOKUP(A154,Classification!A:B,2,FALSE)</f>
        <v>A</v>
      </c>
      <c r="AN154" s="28" t="b">
        <f t="shared" si="100"/>
        <v>1</v>
      </c>
      <c r="AO154" s="3" t="str">
        <f>IF(ISERROR(MATCH(A154,'SegEnds_Xtal_Prot#'!B:B, 0)), "NoXtal", "Xtal")</f>
        <v>NoXtal</v>
      </c>
      <c r="AP154" s="3">
        <f t="shared" si="83"/>
        <v>1</v>
      </c>
      <c r="AQ154" s="3">
        <f t="shared" si="84"/>
        <v>1</v>
      </c>
      <c r="AR154" s="3">
        <f t="shared" si="85"/>
        <v>3</v>
      </c>
      <c r="AS154" s="3">
        <f t="shared" si="86"/>
        <v>1</v>
      </c>
      <c r="AT154" s="3">
        <f t="shared" si="87"/>
        <v>1</v>
      </c>
      <c r="AU154" s="3">
        <f t="shared" si="88"/>
        <v>1</v>
      </c>
      <c r="AV154" s="3">
        <f t="shared" si="89"/>
        <v>12</v>
      </c>
      <c r="AW154" s="3">
        <f t="shared" si="90"/>
        <v>44</v>
      </c>
      <c r="AX154" s="3">
        <f t="shared" si="91"/>
        <v>15</v>
      </c>
      <c r="AY154" s="3">
        <f t="shared" si="92"/>
        <v>6</v>
      </c>
      <c r="AZ154" s="3">
        <f t="shared" si="93"/>
        <v>1</v>
      </c>
      <c r="BA154" s="3">
        <f>IF(ISERROR(LEN(VLOOKUP(A154,Seqs!A:E,2,FALSE))-AL154),"-",LEN(VLOOKUP(A154,Seqs!A:E,2,FALSE))-AL154)</f>
        <v>16</v>
      </c>
      <c r="BB154" s="16">
        <f t="shared" si="94"/>
        <v>28</v>
      </c>
      <c r="BC154" s="9">
        <f t="shared" si="95"/>
        <v>20</v>
      </c>
      <c r="BD154" s="3">
        <f t="shared" si="96"/>
        <v>28</v>
      </c>
      <c r="BE154" s="3">
        <f t="shared" si="97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3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100"/>
        <v>1</v>
      </c>
      <c r="AO155" s="3" t="str">
        <f>IF(ISERROR(MATCH(A155,'SegEnds_Xtal_Prot#'!B:B, 0)), "NoXtal", "Xtal")</f>
        <v>NoXtal</v>
      </c>
      <c r="AP155" s="3" t="str">
        <f t="shared" si="83"/>
        <v>-</v>
      </c>
      <c r="AQ155" s="3" t="str">
        <f t="shared" si="84"/>
        <v>-</v>
      </c>
      <c r="AR155" s="3">
        <f t="shared" si="85"/>
        <v>3</v>
      </c>
      <c r="AS155" s="3">
        <f t="shared" si="86"/>
        <v>1</v>
      </c>
      <c r="AT155" s="3">
        <f t="shared" si="87"/>
        <v>1</v>
      </c>
      <c r="AU155" s="3">
        <f t="shared" si="88"/>
        <v>1</v>
      </c>
      <c r="AV155" s="3">
        <f t="shared" si="89"/>
        <v>12</v>
      </c>
      <c r="AW155" s="3">
        <f t="shared" si="90"/>
        <v>4</v>
      </c>
      <c r="AX155" s="3">
        <f t="shared" si="91"/>
        <v>5</v>
      </c>
      <c r="AY155" s="3">
        <f t="shared" si="92"/>
        <v>4</v>
      </c>
      <c r="AZ155" s="3">
        <f t="shared" si="93"/>
        <v>1</v>
      </c>
      <c r="BA155" s="3">
        <f>IF(ISERROR(LEN(VLOOKUP(A155,Seqs!A:E,2,FALSE))-AL155),"-",LEN(VLOOKUP(A155,Seqs!A:E,2,FALSE))-AL155)</f>
        <v>30</v>
      </c>
      <c r="BB155" s="16">
        <f t="shared" si="94"/>
        <v>27</v>
      </c>
      <c r="BC155" s="9">
        <f t="shared" si="95"/>
        <v>20</v>
      </c>
      <c r="BD155" s="3">
        <f t="shared" si="96"/>
        <v>27</v>
      </c>
      <c r="BE155" s="3">
        <f t="shared" si="97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3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100"/>
        <v>1</v>
      </c>
      <c r="AO156" s="3" t="str">
        <f>IF(ISERROR(MATCH(A156,'SegEnds_Xtal_Prot#'!B:B, 0)), "NoXtal", "Xtal")</f>
        <v>NoXtal</v>
      </c>
      <c r="AP156" s="3">
        <f t="shared" si="83"/>
        <v>1</v>
      </c>
      <c r="AQ156" s="3">
        <f t="shared" si="84"/>
        <v>1</v>
      </c>
      <c r="AR156" s="3" t="str">
        <f t="shared" si="85"/>
        <v>-</v>
      </c>
      <c r="AS156" s="3" t="str">
        <f t="shared" si="86"/>
        <v>-</v>
      </c>
      <c r="AT156" s="3">
        <f t="shared" si="87"/>
        <v>2</v>
      </c>
      <c r="AU156" s="3">
        <f t="shared" si="88"/>
        <v>1</v>
      </c>
      <c r="AV156" s="3" t="str">
        <f t="shared" si="89"/>
        <v>-</v>
      </c>
      <c r="AW156" s="3" t="str">
        <f t="shared" si="90"/>
        <v>-</v>
      </c>
      <c r="AX156" s="3">
        <f t="shared" si="91"/>
        <v>8</v>
      </c>
      <c r="AY156" s="3">
        <f t="shared" si="92"/>
        <v>5</v>
      </c>
      <c r="AZ156" s="3">
        <f t="shared" si="93"/>
        <v>1</v>
      </c>
      <c r="BA156" s="3">
        <f>IF(ISERROR(LEN(VLOOKUP(A156,Seqs!A:E,2,FALSE))-AL156),"-",LEN(VLOOKUP(A156,Seqs!A:E,2,FALSE))-AL156)</f>
        <v>33</v>
      </c>
      <c r="BB156" s="16">
        <f t="shared" si="94"/>
        <v>28</v>
      </c>
      <c r="BC156" s="9">
        <f t="shared" si="95"/>
        <v>20</v>
      </c>
      <c r="BD156" s="3">
        <f t="shared" si="96"/>
        <v>28</v>
      </c>
      <c r="BE156" s="3">
        <f t="shared" si="97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2">M157-1</f>
        <v>105</v>
      </c>
      <c r="M157" s="3">
        <v>106</v>
      </c>
      <c r="N157" s="3">
        <f t="shared" ref="N157:N163" si="103">M157+2</f>
        <v>108</v>
      </c>
      <c r="O157" s="3">
        <f t="shared" ref="O157:O163" si="104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3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5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201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244</v>
      </c>
      <c r="AD157" s="3">
        <f>IF(ISERROR(VLOOKUP($A157,'SegEnds_NonXtal_BW#'!$A:$Z,21,FALSE)+VLOOKUP($A157,A:AL,31,FALSE)-50),"-",(VLOOKUP($A157,'SegEnds_NonXtal_BW#'!$A:$Z,21,FALSE)+VLOOKUP($A157,A:AL,31,FALSE)-50))</f>
        <v>253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100"/>
        <v>1</v>
      </c>
      <c r="AO157" s="3" t="str">
        <f>IF(ISERROR(MATCH(A157,'SegEnds_Xtal_Prot#'!B:B, 0)), "NoXtal", "Xtal")</f>
        <v>NoXtal</v>
      </c>
      <c r="AP157" s="3">
        <f t="shared" si="83"/>
        <v>1</v>
      </c>
      <c r="AQ157" s="3">
        <f t="shared" si="84"/>
        <v>1</v>
      </c>
      <c r="AR157" s="3">
        <f t="shared" si="85"/>
        <v>2</v>
      </c>
      <c r="AS157" s="3">
        <f t="shared" si="86"/>
        <v>1</v>
      </c>
      <c r="AT157" s="3">
        <f t="shared" si="87"/>
        <v>1</v>
      </c>
      <c r="AU157" s="3">
        <f t="shared" si="88"/>
        <v>1</v>
      </c>
      <c r="AV157" s="3">
        <f t="shared" si="89"/>
        <v>17</v>
      </c>
      <c r="AW157" s="3">
        <f t="shared" si="90"/>
        <v>3</v>
      </c>
      <c r="AX157" s="3">
        <f t="shared" si="91"/>
        <v>9</v>
      </c>
      <c r="AY157" s="3">
        <f t="shared" si="92"/>
        <v>7</v>
      </c>
      <c r="AZ157" s="3">
        <f t="shared" si="93"/>
        <v>1</v>
      </c>
      <c r="BA157" s="3">
        <f>IF(ISERROR(LEN(VLOOKUP(A157,Seqs!A:E,2,FALSE))-AL157),"-",LEN(VLOOKUP(A157,Seqs!A:E,2,FALSE))-AL157)</f>
        <v>45</v>
      </c>
      <c r="BB157" s="16">
        <f t="shared" si="94"/>
        <v>28</v>
      </c>
      <c r="BC157" s="9">
        <f t="shared" si="95"/>
        <v>20</v>
      </c>
      <c r="BD157" s="3">
        <f t="shared" si="96"/>
        <v>28</v>
      </c>
      <c r="BE157" s="3">
        <f t="shared" si="97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2"/>
        <v>80</v>
      </c>
      <c r="M158" s="3">
        <v>81</v>
      </c>
      <c r="N158" s="3">
        <f t="shared" si="103"/>
        <v>83</v>
      </c>
      <c r="O158" s="3">
        <f t="shared" si="104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3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5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100"/>
        <v>1</v>
      </c>
      <c r="AO158" s="3" t="str">
        <f>IF(ISERROR(MATCH(A158,'SegEnds_Xtal_Prot#'!B:B, 0)), "NoXtal", "Xtal")</f>
        <v>NoXtal</v>
      </c>
      <c r="AP158" s="3" t="str">
        <f t="shared" si="83"/>
        <v>-</v>
      </c>
      <c r="AQ158" s="3" t="str">
        <f t="shared" si="84"/>
        <v>-</v>
      </c>
      <c r="AR158" s="3">
        <f t="shared" si="85"/>
        <v>3</v>
      </c>
      <c r="AS158" s="3">
        <f t="shared" si="86"/>
        <v>1</v>
      </c>
      <c r="AT158" s="3">
        <f t="shared" si="87"/>
        <v>1</v>
      </c>
      <c r="AU158" s="3">
        <f t="shared" si="88"/>
        <v>1</v>
      </c>
      <c r="AV158" s="3">
        <f t="shared" si="89"/>
        <v>11</v>
      </c>
      <c r="AW158" s="3">
        <f t="shared" si="90"/>
        <v>3</v>
      </c>
      <c r="AX158" s="3">
        <f t="shared" si="91"/>
        <v>6</v>
      </c>
      <c r="AY158" s="3">
        <f t="shared" si="92"/>
        <v>7</v>
      </c>
      <c r="AZ158" s="3">
        <f t="shared" si="93"/>
        <v>1</v>
      </c>
      <c r="BA158" s="3">
        <f>IF(ISERROR(LEN(VLOOKUP(A158,Seqs!A:E,2,FALSE))-AL158),"-",LEN(VLOOKUP(A158,Seqs!A:E,2,FALSE))-AL158)</f>
        <v>52</v>
      </c>
      <c r="BB158" s="16">
        <f t="shared" si="94"/>
        <v>28</v>
      </c>
      <c r="BC158" s="9">
        <f t="shared" si="95"/>
        <v>20</v>
      </c>
      <c r="BD158" s="3">
        <f t="shared" si="96"/>
        <v>28</v>
      </c>
      <c r="BE158" s="3">
        <f t="shared" si="97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89</v>
      </c>
      <c r="L159" s="3">
        <f t="shared" si="102"/>
        <v>92</v>
      </c>
      <c r="M159" s="3">
        <v>93</v>
      </c>
      <c r="N159" s="3">
        <f t="shared" si="103"/>
        <v>95</v>
      </c>
      <c r="O159" s="3">
        <f t="shared" si="104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3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5"/>
        <v>179</v>
      </c>
      <c r="AA159" s="3">
        <f>IF(ISERROR(VLOOKUP($A159,'SegEnds_NonXtal_BW#'!$A:$Z,19,FALSE)+VLOOKUP($A159,A:AL,28,FALSE)-50),"-",(VLOOKUP($A159,'SegEnds_NonXtal_BW#'!$A:$Z,19,FALSE)+VLOOKUP($A159,A:AL,28,FALSE)-50))</f>
        <v>181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100"/>
        <v>1</v>
      </c>
      <c r="AO159" s="3" t="str">
        <f>IF(ISERROR(MATCH(A159,'SegEnds_Xtal_Prot#'!B:B, 0)), "NoXtal", "Xtal")</f>
        <v>NoXtal</v>
      </c>
      <c r="AP159" s="3" t="str">
        <f t="shared" si="83"/>
        <v>-</v>
      </c>
      <c r="AQ159" s="3" t="str">
        <f t="shared" si="84"/>
        <v>-</v>
      </c>
      <c r="AR159" s="3">
        <f t="shared" si="85"/>
        <v>3</v>
      </c>
      <c r="AS159" s="3">
        <f t="shared" si="86"/>
        <v>1</v>
      </c>
      <c r="AT159" s="3">
        <f t="shared" si="87"/>
        <v>1</v>
      </c>
      <c r="AU159" s="3">
        <f t="shared" si="88"/>
        <v>1</v>
      </c>
      <c r="AV159" s="3">
        <f t="shared" si="89"/>
        <v>11</v>
      </c>
      <c r="AW159" s="3">
        <f t="shared" si="90"/>
        <v>2</v>
      </c>
      <c r="AX159" s="3">
        <f t="shared" si="91"/>
        <v>5</v>
      </c>
      <c r="AY159" s="3">
        <f t="shared" si="92"/>
        <v>5</v>
      </c>
      <c r="AZ159" s="3">
        <f t="shared" si="93"/>
        <v>1</v>
      </c>
      <c r="BA159" s="3">
        <f>IF(ISERROR(LEN(VLOOKUP(A159,Seqs!A:E,2,FALSE))-AL159),"-",LEN(VLOOKUP(A159,Seqs!A:E,2,FALSE))-AL159)</f>
        <v>53</v>
      </c>
      <c r="BB159" s="16">
        <f t="shared" si="94"/>
        <v>28</v>
      </c>
      <c r="BC159" s="9">
        <f t="shared" si="95"/>
        <v>20</v>
      </c>
      <c r="BD159" s="3">
        <f t="shared" si="96"/>
        <v>28</v>
      </c>
      <c r="BE159" s="3">
        <f t="shared" si="97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2"/>
        <v>92</v>
      </c>
      <c r="M160" s="3">
        <v>93</v>
      </c>
      <c r="N160" s="3">
        <f t="shared" si="103"/>
        <v>95</v>
      </c>
      <c r="O160" s="3">
        <f t="shared" si="104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3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5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100"/>
        <v>1</v>
      </c>
      <c r="AO160" s="3" t="str">
        <f>IF(ISERROR(MATCH(A160,'SegEnds_Xtal_Prot#'!B:B, 0)), "NoXtal", "Xtal")</f>
        <v>NoXtal</v>
      </c>
      <c r="AP160" s="3" t="str">
        <f t="shared" si="83"/>
        <v>-</v>
      </c>
      <c r="AQ160" s="3" t="str">
        <f t="shared" si="84"/>
        <v>-</v>
      </c>
      <c r="AR160" s="3">
        <f t="shared" si="85"/>
        <v>3</v>
      </c>
      <c r="AS160" s="3">
        <f t="shared" si="86"/>
        <v>1</v>
      </c>
      <c r="AT160" s="3">
        <f t="shared" si="87"/>
        <v>1</v>
      </c>
      <c r="AU160" s="3">
        <f t="shared" si="88"/>
        <v>1</v>
      </c>
      <c r="AV160" s="3">
        <f t="shared" si="89"/>
        <v>11</v>
      </c>
      <c r="AW160" s="3">
        <f t="shared" si="90"/>
        <v>3</v>
      </c>
      <c r="AX160" s="3">
        <f t="shared" si="91"/>
        <v>5</v>
      </c>
      <c r="AY160" s="3">
        <f t="shared" si="92"/>
        <v>5</v>
      </c>
      <c r="AZ160" s="3">
        <f t="shared" si="93"/>
        <v>1</v>
      </c>
      <c r="BA160" s="3">
        <f>IF(ISERROR(LEN(VLOOKUP(A160,Seqs!A:E,2,FALSE))-AL160),"-",LEN(VLOOKUP(A160,Seqs!A:E,2,FALSE))-AL160)</f>
        <v>77</v>
      </c>
      <c r="BB160" s="16">
        <f t="shared" si="94"/>
        <v>28</v>
      </c>
      <c r="BC160" s="9">
        <f t="shared" si="95"/>
        <v>20</v>
      </c>
      <c r="BD160" s="3">
        <f t="shared" si="96"/>
        <v>28</v>
      </c>
      <c r="BE160" s="3">
        <f t="shared" si="97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6">G161+1</f>
        <v>59</v>
      </c>
      <c r="I161" s="3">
        <f t="shared" si="106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2"/>
        <v>92</v>
      </c>
      <c r="M161" s="3">
        <v>93</v>
      </c>
      <c r="N161" s="3">
        <f t="shared" si="103"/>
        <v>95</v>
      </c>
      <c r="O161" s="3">
        <f t="shared" si="104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3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5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100"/>
        <v>1</v>
      </c>
      <c r="AO161" s="3" t="str">
        <f>IF(ISERROR(MATCH(A161,'SegEnds_Xtal_Prot#'!B:B, 0)), "NoXtal", "Xtal")</f>
        <v>Xtal</v>
      </c>
      <c r="AP161" s="3">
        <f t="shared" si="83"/>
        <v>1</v>
      </c>
      <c r="AQ161" s="3">
        <f t="shared" si="84"/>
        <v>1</v>
      </c>
      <c r="AR161" s="3">
        <f t="shared" si="85"/>
        <v>2</v>
      </c>
      <c r="AS161" s="3">
        <f t="shared" si="86"/>
        <v>1</v>
      </c>
      <c r="AT161" s="3">
        <f t="shared" si="87"/>
        <v>1</v>
      </c>
      <c r="AU161" s="3">
        <f t="shared" si="88"/>
        <v>1</v>
      </c>
      <c r="AV161" s="3">
        <f t="shared" si="89"/>
        <v>16</v>
      </c>
      <c r="AW161" s="3">
        <f t="shared" si="90"/>
        <v>5</v>
      </c>
      <c r="AX161" s="3">
        <f t="shared" si="91"/>
        <v>176</v>
      </c>
      <c r="AY161" s="3">
        <f t="shared" si="92"/>
        <v>5</v>
      </c>
      <c r="AZ161" s="3">
        <f t="shared" si="93"/>
        <v>1</v>
      </c>
      <c r="BA161" s="3">
        <f>IF(ISERROR(LEN(VLOOKUP(A161,Seqs!A:E,2,FALSE))-AL161),"-",LEN(VLOOKUP(A161,Seqs!A:E,2,FALSE))-AL161)</f>
        <v>3</v>
      </c>
      <c r="BB161" s="16">
        <f t="shared" si="94"/>
        <v>28</v>
      </c>
      <c r="BC161" s="9">
        <f t="shared" si="95"/>
        <v>20</v>
      </c>
      <c r="BD161" s="3">
        <f t="shared" si="96"/>
        <v>28</v>
      </c>
      <c r="BE161" s="3">
        <f t="shared" si="97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6"/>
        <v>50</v>
      </c>
      <c r="I162" s="3">
        <f t="shared" si="106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2"/>
        <v>83</v>
      </c>
      <c r="M162" s="3">
        <v>84</v>
      </c>
      <c r="N162" s="3">
        <f t="shared" si="103"/>
        <v>86</v>
      </c>
      <c r="O162" s="3">
        <f t="shared" si="104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3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5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100"/>
        <v>1</v>
      </c>
      <c r="AO162" s="3" t="str">
        <f>IF(ISERROR(MATCH(A162,'SegEnds_Xtal_Prot#'!B:B, 0)), "NoXtal", "Xtal")</f>
        <v>NoXtal</v>
      </c>
      <c r="AP162" s="3">
        <f t="shared" si="83"/>
        <v>1</v>
      </c>
      <c r="AQ162" s="3">
        <f t="shared" si="84"/>
        <v>1</v>
      </c>
      <c r="AR162" s="3">
        <f t="shared" si="85"/>
        <v>2</v>
      </c>
      <c r="AS162" s="3">
        <f t="shared" si="86"/>
        <v>1</v>
      </c>
      <c r="AT162" s="3">
        <f t="shared" si="87"/>
        <v>1</v>
      </c>
      <c r="AU162" s="3">
        <f t="shared" si="88"/>
        <v>1</v>
      </c>
      <c r="AV162" s="3">
        <f t="shared" si="89"/>
        <v>17</v>
      </c>
      <c r="AW162" s="3">
        <f t="shared" si="90"/>
        <v>3</v>
      </c>
      <c r="AX162" s="3">
        <f t="shared" si="91"/>
        <v>4</v>
      </c>
      <c r="AY162" s="3">
        <f t="shared" si="92"/>
        <v>6</v>
      </c>
      <c r="AZ162" s="3">
        <f t="shared" si="93"/>
        <v>1</v>
      </c>
      <c r="BA162" s="3">
        <f>IF(ISERROR(LEN(VLOOKUP(A162,Seqs!A:E,2,FALSE))-AL162),"-",LEN(VLOOKUP(A162,Seqs!A:E,2,FALSE))-AL162)</f>
        <v>55</v>
      </c>
      <c r="BB162" s="16">
        <f t="shared" si="94"/>
        <v>28</v>
      </c>
      <c r="BC162" s="9">
        <f t="shared" si="95"/>
        <v>20</v>
      </c>
      <c r="BD162" s="3">
        <f t="shared" si="96"/>
        <v>28</v>
      </c>
      <c r="BE162" s="3">
        <f t="shared" si="97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6"/>
        <v>74</v>
      </c>
      <c r="I163" s="3">
        <f t="shared" si="106"/>
        <v>75</v>
      </c>
      <c r="J163" s="3">
        <v>88</v>
      </c>
      <c r="K163" s="3">
        <f>VLOOKUP($A163,'SegEnds_NonXtal_BW#'!$A:$Z,8,FALSE)+VLOOKUP($A163,A:AL,10,FALSE)-50</f>
        <v>104</v>
      </c>
      <c r="L163" s="3">
        <f t="shared" si="102"/>
        <v>107</v>
      </c>
      <c r="M163" s="3">
        <v>108</v>
      </c>
      <c r="N163" s="3">
        <f t="shared" si="103"/>
        <v>110</v>
      </c>
      <c r="O163" s="3">
        <f t="shared" si="104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3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5"/>
        <v>193</v>
      </c>
      <c r="AA163" s="3">
        <f>IF(ISERROR(VLOOKUP($A163,'SegEnds_NonXtal_BW#'!$A:$Z,19,FALSE)+VLOOKUP($A163,A:AL,28,FALSE)-50),"-",(VLOOKUP($A163,'SegEnds_NonXtal_BW#'!$A:$Z,19,FALSE)+VLOOKUP($A163,A:AL,28,FALSE)-50))</f>
        <v>197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100"/>
        <v>1</v>
      </c>
      <c r="AO163" s="3" t="str">
        <f>IF(ISERROR(MATCH(A163,'SegEnds_Xtal_Prot#'!B:B, 0)), "NoXtal", "Xtal")</f>
        <v>NoXtal</v>
      </c>
      <c r="AP163" s="3">
        <f t="shared" si="83"/>
        <v>1</v>
      </c>
      <c r="AQ163" s="3">
        <f t="shared" si="84"/>
        <v>1</v>
      </c>
      <c r="AR163" s="3">
        <f t="shared" si="85"/>
        <v>3</v>
      </c>
      <c r="AS163" s="3">
        <f t="shared" si="86"/>
        <v>1</v>
      </c>
      <c r="AT163" s="3">
        <f t="shared" si="87"/>
        <v>1</v>
      </c>
      <c r="AU163" s="3">
        <f t="shared" si="88"/>
        <v>1</v>
      </c>
      <c r="AV163" s="3">
        <f t="shared" si="89"/>
        <v>10</v>
      </c>
      <c r="AW163" s="3">
        <f t="shared" si="90"/>
        <v>4</v>
      </c>
      <c r="AX163" s="3">
        <f t="shared" si="91"/>
        <v>9</v>
      </c>
      <c r="AY163" s="3">
        <f t="shared" si="92"/>
        <v>9</v>
      </c>
      <c r="AZ163" s="3">
        <f t="shared" si="93"/>
        <v>1</v>
      </c>
      <c r="BA163" s="3">
        <f>IF(ISERROR(LEN(VLOOKUP(A163,Seqs!A:E,2,FALSE))-AL163),"-",LEN(VLOOKUP(A163,Seqs!A:E,2,FALSE))-AL163)</f>
        <v>59</v>
      </c>
      <c r="BB163" s="16">
        <f t="shared" si="94"/>
        <v>28</v>
      </c>
      <c r="BC163" s="9">
        <f t="shared" si="95"/>
        <v>20</v>
      </c>
      <c r="BD163" s="3">
        <f t="shared" si="96"/>
        <v>28</v>
      </c>
      <c r="BE163" s="3">
        <f t="shared" si="97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536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3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5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100"/>
        <v>1</v>
      </c>
      <c r="AO164" s="3" t="str">
        <f>IF(ISERROR(MATCH(A164,'SegEnds_Xtal_Prot#'!B:B, 0)), "NoXtal", "Xtal")</f>
        <v>NoXtal</v>
      </c>
      <c r="AP164" s="3" t="str">
        <f t="shared" si="83"/>
        <v>-</v>
      </c>
      <c r="AQ164" s="3" t="str">
        <f t="shared" si="84"/>
        <v>-</v>
      </c>
      <c r="AR164" s="3" t="str">
        <f t="shared" si="85"/>
        <v>-</v>
      </c>
      <c r="AS164" s="3" t="str">
        <f t="shared" si="86"/>
        <v>-</v>
      </c>
      <c r="AT164" s="3">
        <f t="shared" si="87"/>
        <v>1</v>
      </c>
      <c r="AU164" s="3">
        <f t="shared" si="88"/>
        <v>1</v>
      </c>
      <c r="AV164" s="3">
        <f t="shared" si="89"/>
        <v>9</v>
      </c>
      <c r="AW164" s="3">
        <f t="shared" si="90"/>
        <v>6</v>
      </c>
      <c r="AX164" s="3">
        <f t="shared" si="91"/>
        <v>6</v>
      </c>
      <c r="AY164" s="3">
        <f t="shared" si="92"/>
        <v>6</v>
      </c>
      <c r="AZ164" s="3">
        <f t="shared" si="93"/>
        <v>1</v>
      </c>
      <c r="BA164" s="3">
        <f>IF(ISERROR(LEN(VLOOKUP(A164,Seqs!A:E,2,FALSE))-AL164),"-",LEN(VLOOKUP(A164,Seqs!A:E,2,FALSE))-AL164)</f>
        <v>132</v>
      </c>
      <c r="BB164" s="16">
        <f t="shared" si="94"/>
        <v>28</v>
      </c>
      <c r="BC164" s="9">
        <f t="shared" si="95"/>
        <v>20</v>
      </c>
      <c r="BD164" s="3">
        <f t="shared" si="96"/>
        <v>28</v>
      </c>
      <c r="BE164" s="3">
        <f t="shared" si="97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3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5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100"/>
        <v>1</v>
      </c>
      <c r="AO165" s="3" t="str">
        <f>IF(ISERROR(MATCH(A165,'SegEnds_Xtal_Prot#'!B:B, 0)), "NoXtal", "Xtal")</f>
        <v>NoXtal</v>
      </c>
      <c r="AP165" s="3" t="str">
        <f t="shared" si="83"/>
        <v>-</v>
      </c>
      <c r="AQ165" s="3" t="str">
        <f t="shared" si="84"/>
        <v>-</v>
      </c>
      <c r="AR165" s="3" t="str">
        <f t="shared" si="85"/>
        <v>-</v>
      </c>
      <c r="AS165" s="3" t="str">
        <f t="shared" si="86"/>
        <v>-</v>
      </c>
      <c r="AT165" s="3">
        <f t="shared" si="87"/>
        <v>1</v>
      </c>
      <c r="AU165" s="3">
        <f t="shared" si="88"/>
        <v>1</v>
      </c>
      <c r="AV165" s="3">
        <f t="shared" si="89"/>
        <v>10</v>
      </c>
      <c r="AW165" s="3">
        <f t="shared" si="90"/>
        <v>6</v>
      </c>
      <c r="AX165" s="3">
        <f t="shared" si="91"/>
        <v>6</v>
      </c>
      <c r="AY165" s="3">
        <f t="shared" si="92"/>
        <v>6</v>
      </c>
      <c r="AZ165" s="3">
        <f t="shared" si="93"/>
        <v>1</v>
      </c>
      <c r="BA165" s="3">
        <f>IF(ISERROR(LEN(VLOOKUP(A165,Seqs!A:E,2,FALSE))-AL165),"-",LEN(VLOOKUP(A165,Seqs!A:E,2,FALSE))-AL165)</f>
        <v>61</v>
      </c>
      <c r="BB165" s="16">
        <f t="shared" si="94"/>
        <v>28</v>
      </c>
      <c r="BC165" s="9">
        <f t="shared" si="95"/>
        <v>20</v>
      </c>
      <c r="BD165" s="3">
        <f t="shared" si="96"/>
        <v>28</v>
      </c>
      <c r="BE165" s="3">
        <f t="shared" si="97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3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5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829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100"/>
        <v>1</v>
      </c>
      <c r="AO166" s="3" t="str">
        <f>IF(ISERROR(MATCH(A166,'SegEnds_Xtal_Prot#'!B:B, 0)), "NoXtal", "Xtal")</f>
        <v>NoXtal</v>
      </c>
      <c r="AP166" s="3" t="str">
        <f t="shared" si="83"/>
        <v>-</v>
      </c>
      <c r="AQ166" s="3" t="str">
        <f t="shared" si="84"/>
        <v>-</v>
      </c>
      <c r="AR166" s="3" t="str">
        <f t="shared" si="85"/>
        <v>-</v>
      </c>
      <c r="AS166" s="3" t="str">
        <f t="shared" si="86"/>
        <v>-</v>
      </c>
      <c r="AT166" s="3">
        <f t="shared" si="87"/>
        <v>1</v>
      </c>
      <c r="AU166" s="3">
        <f t="shared" si="88"/>
        <v>1</v>
      </c>
      <c r="AV166" s="3">
        <f t="shared" si="89"/>
        <v>9</v>
      </c>
      <c r="AW166" s="3">
        <f t="shared" si="90"/>
        <v>9</v>
      </c>
      <c r="AX166" s="3">
        <f t="shared" si="91"/>
        <v>6</v>
      </c>
      <c r="AY166" s="3">
        <f t="shared" si="92"/>
        <v>6</v>
      </c>
      <c r="AZ166" s="3">
        <f t="shared" si="93"/>
        <v>2</v>
      </c>
      <c r="BA166" s="3">
        <f>IF(ISERROR(LEN(VLOOKUP(A166,Seqs!A:E,2,FALSE))-AL166),"-",LEN(VLOOKUP(A166,Seqs!A:E,2,FALSE))-AL166)</f>
        <v>124</v>
      </c>
      <c r="BB166" s="16">
        <f t="shared" si="94"/>
        <v>29</v>
      </c>
      <c r="BC166" s="9">
        <f t="shared" si="95"/>
        <v>20</v>
      </c>
      <c r="BD166" s="3">
        <f t="shared" si="96"/>
        <v>29</v>
      </c>
      <c r="BE166" s="3">
        <f t="shared" si="97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7">G167-2</f>
        <v>68</v>
      </c>
      <c r="G167" s="3">
        <v>70</v>
      </c>
      <c r="H167" s="3">
        <f t="shared" ref="H167:I172" si="108">G167+1</f>
        <v>71</v>
      </c>
      <c r="I167" s="3">
        <f t="shared" si="108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9">M167-1</f>
        <v>103</v>
      </c>
      <c r="M167" s="3">
        <v>104</v>
      </c>
      <c r="N167" s="3">
        <f t="shared" ref="N167:N172" si="110">M167+2</f>
        <v>106</v>
      </c>
      <c r="O167" s="3">
        <f t="shared" ref="O167:O172" si="111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3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5"/>
        <v>190</v>
      </c>
      <c r="AA167" s="3">
        <f>IF(ISERROR(VLOOKUP($A167,'SegEnds_NonXtal_BW#'!$A:$Z,19,FALSE)+VLOOKUP($A167,A:AL,28,FALSE)-50),"-",(VLOOKUP($A167,'SegEnds_NonXtal_BW#'!$A:$Z,19,FALSE)+VLOOKUP($A167,A:AL,28,FALSE)-50))</f>
        <v>197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100"/>
        <v>1</v>
      </c>
      <c r="AO167" s="3" t="str">
        <f>IF(ISERROR(MATCH(A167,'SegEnds_Xtal_Prot#'!B:B, 0)), "NoXtal", "Xtal")</f>
        <v>NoXtal</v>
      </c>
      <c r="AP167" s="3">
        <f t="shared" si="83"/>
        <v>1</v>
      </c>
      <c r="AQ167" s="3">
        <f t="shared" si="84"/>
        <v>1</v>
      </c>
      <c r="AR167" s="3">
        <f t="shared" si="85"/>
        <v>2</v>
      </c>
      <c r="AS167" s="3">
        <f t="shared" si="86"/>
        <v>1</v>
      </c>
      <c r="AT167" s="3">
        <f t="shared" si="87"/>
        <v>1</v>
      </c>
      <c r="AU167" s="3">
        <f t="shared" si="88"/>
        <v>1</v>
      </c>
      <c r="AV167" s="3">
        <f t="shared" si="89"/>
        <v>11</v>
      </c>
      <c r="AW167" s="3">
        <f t="shared" si="90"/>
        <v>7</v>
      </c>
      <c r="AX167" s="3">
        <f t="shared" si="91"/>
        <v>4</v>
      </c>
      <c r="AY167" s="3">
        <f t="shared" si="92"/>
        <v>4</v>
      </c>
      <c r="AZ167" s="3">
        <f t="shared" si="93"/>
        <v>1</v>
      </c>
      <c r="BA167" s="3">
        <f>IF(ISERROR(LEN(VLOOKUP(A167,Seqs!A:E,2,FALSE))-AL167),"-",LEN(VLOOKUP(A167,Seqs!A:E,2,FALSE))-AL167)</f>
        <v>43</v>
      </c>
      <c r="BB167" s="16">
        <f t="shared" si="94"/>
        <v>28</v>
      </c>
      <c r="BC167" s="9">
        <f t="shared" si="95"/>
        <v>20</v>
      </c>
      <c r="BD167" s="3">
        <f t="shared" si="96"/>
        <v>28</v>
      </c>
      <c r="BE167" s="3">
        <f t="shared" si="97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7"/>
        <v>51</v>
      </c>
      <c r="G168" s="3">
        <v>53</v>
      </c>
      <c r="H168" s="3">
        <f t="shared" si="108"/>
        <v>54</v>
      </c>
      <c r="I168" s="3">
        <f t="shared" si="108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9"/>
        <v>86</v>
      </c>
      <c r="M168" s="3">
        <v>87</v>
      </c>
      <c r="N168" s="3">
        <f t="shared" si="110"/>
        <v>89</v>
      </c>
      <c r="O168" s="3">
        <f t="shared" si="111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3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5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100"/>
        <v>1</v>
      </c>
      <c r="AO168" s="3" t="str">
        <f>IF(ISERROR(MATCH(A168,'SegEnds_Xtal_Prot#'!B:B, 0)), "NoXtal", "Xtal")</f>
        <v>NoXtal</v>
      </c>
      <c r="AP168" s="3">
        <f t="shared" si="83"/>
        <v>1</v>
      </c>
      <c r="AQ168" s="3">
        <f t="shared" si="84"/>
        <v>1</v>
      </c>
      <c r="AR168" s="3">
        <f t="shared" si="85"/>
        <v>2</v>
      </c>
      <c r="AS168" s="3">
        <f t="shared" si="86"/>
        <v>1</v>
      </c>
      <c r="AT168" s="3">
        <f t="shared" si="87"/>
        <v>1</v>
      </c>
      <c r="AU168" s="3">
        <f t="shared" si="88"/>
        <v>1</v>
      </c>
      <c r="AV168" s="3">
        <f t="shared" si="89"/>
        <v>17</v>
      </c>
      <c r="AW168" s="3">
        <f t="shared" si="90"/>
        <v>7</v>
      </c>
      <c r="AX168" s="3">
        <f t="shared" si="91"/>
        <v>5</v>
      </c>
      <c r="AY168" s="3">
        <f t="shared" si="92"/>
        <v>5</v>
      </c>
      <c r="AZ168" s="3">
        <f t="shared" si="93"/>
        <v>1</v>
      </c>
      <c r="BA168" s="3">
        <f>IF(ISERROR(LEN(VLOOKUP(A168,Seqs!A:E,2,FALSE))-AL168),"-",LEN(VLOOKUP(A168,Seqs!A:E,2,FALSE))-AL168)</f>
        <v>57</v>
      </c>
      <c r="BB168" s="16">
        <f t="shared" si="94"/>
        <v>28</v>
      </c>
      <c r="BC168" s="9">
        <f t="shared" si="95"/>
        <v>20</v>
      </c>
      <c r="BD168" s="3">
        <f t="shared" si="96"/>
        <v>28</v>
      </c>
      <c r="BE168" s="3">
        <f t="shared" si="97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agtr1_human</v>
      </c>
      <c r="C169" s="3">
        <f>VLOOKUP($A169,'SegEnds_NonXtal_BW#'!$A:$Z,3,FALSE)+D169-50</f>
        <v>15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7"/>
        <v>46</v>
      </c>
      <c r="G169" s="3">
        <v>48</v>
      </c>
      <c r="H169" s="3">
        <f t="shared" si="108"/>
        <v>49</v>
      </c>
      <c r="I169" s="3">
        <f t="shared" si="108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9"/>
        <v>81</v>
      </c>
      <c r="M169" s="3">
        <v>82</v>
      </c>
      <c r="N169" s="3">
        <f t="shared" si="110"/>
        <v>84</v>
      </c>
      <c r="O169" s="3">
        <f t="shared" si="111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3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155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5"/>
        <v>170</v>
      </c>
      <c r="AA169" s="3">
        <f>IF(ISERROR(VLOOKUP($A169,'SegEnds_NonXtal_BW#'!$A:$Z,19,FALSE)+VLOOKUP($A169,A:AL,28,FALSE)-50),"-",(VLOOKUP($A169,'SegEnds_NonXtal_BW#'!$A:$Z,19,FALSE)+VLOOKUP($A169,A:AL,28,FALSE)-50))</f>
        <v>180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294</v>
      </c>
      <c r="AJ169" s="3">
        <f>IF(ISERROR(VLOOKUP($A169,'SegEnds_NonXtal_BW#'!$A:$Z,25,FALSE)+VLOOKUP($A169,A:AL,37,FALSE)-50),"-",(VLOOKUP($A169,'SegEnds_NonXtal_BW#'!$A:$Z,25,FALSE)+VLOOKUP($A169,A:AL,37,FALSE)-50))</f>
        <v>295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309</v>
      </c>
      <c r="AM169" s="28" t="str">
        <f>VLOOKUP(A169,Classification!A:B,2,FALSE)</f>
        <v>A</v>
      </c>
      <c r="AN169" s="28" t="b">
        <f t="shared" si="100"/>
        <v>1</v>
      </c>
      <c r="AO169" s="3" t="str">
        <f>IF(ISERROR(MATCH(A169,'SegEnds_Xtal_Prot#'!B:B, 0)), "NoXtal", "Xtal")</f>
        <v>NoXtal</v>
      </c>
      <c r="AP169" s="3">
        <f t="shared" si="83"/>
        <v>1</v>
      </c>
      <c r="AQ169" s="3">
        <f t="shared" si="84"/>
        <v>1</v>
      </c>
      <c r="AR169" s="3">
        <f t="shared" si="85"/>
        <v>2</v>
      </c>
      <c r="AS169" s="3">
        <f t="shared" si="86"/>
        <v>1</v>
      </c>
      <c r="AT169" s="3">
        <f t="shared" si="87"/>
        <v>1</v>
      </c>
      <c r="AU169" s="3">
        <f t="shared" si="88"/>
        <v>1</v>
      </c>
      <c r="AV169" s="3">
        <f t="shared" si="89"/>
        <v>13</v>
      </c>
      <c r="AW169" s="3">
        <f t="shared" si="90"/>
        <v>10</v>
      </c>
      <c r="AX169" s="3">
        <f t="shared" si="91"/>
        <v>4</v>
      </c>
      <c r="AY169" s="3">
        <f t="shared" si="92"/>
        <v>4</v>
      </c>
      <c r="AZ169" s="3">
        <f t="shared" si="93"/>
        <v>1</v>
      </c>
      <c r="BA169" s="3">
        <f>IF(ISERROR(LEN(VLOOKUP(A169,Seqs!A:E,2,FALSE))-AL169),"-",LEN(VLOOKUP(A169,Seqs!A:E,2,FALSE))-AL169)</f>
        <v>35</v>
      </c>
      <c r="BB169" s="16">
        <f t="shared" si="94"/>
        <v>28</v>
      </c>
      <c r="BC169" s="9">
        <f t="shared" si="95"/>
        <v>20</v>
      </c>
      <c r="BD169" s="3">
        <f t="shared" si="96"/>
        <v>28</v>
      </c>
      <c r="BE169" s="3">
        <f t="shared" si="97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7"/>
        <v>389</v>
      </c>
      <c r="G170" s="3">
        <v>391</v>
      </c>
      <c r="H170" s="3">
        <f t="shared" si="108"/>
        <v>392</v>
      </c>
      <c r="I170" s="3">
        <f t="shared" si="108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9"/>
        <v>432</v>
      </c>
      <c r="M170" s="3">
        <v>433</v>
      </c>
      <c r="N170" s="3">
        <f t="shared" si="110"/>
        <v>435</v>
      </c>
      <c r="O170" s="3">
        <f t="shared" si="111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3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5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100"/>
        <v>1</v>
      </c>
      <c r="AO170" s="3" t="str">
        <f>IF(ISERROR(MATCH(A170,'SegEnds_Xtal_Prot#'!B:B, 0)), "NoXtal", "Xtal")</f>
        <v>NoXtal</v>
      </c>
      <c r="AP170" s="3">
        <f t="shared" si="83"/>
        <v>2</v>
      </c>
      <c r="AQ170" s="3">
        <f t="shared" si="84"/>
        <v>1</v>
      </c>
      <c r="AR170" s="3">
        <f t="shared" si="85"/>
        <v>10</v>
      </c>
      <c r="AS170" s="3">
        <f t="shared" si="86"/>
        <v>1</v>
      </c>
      <c r="AT170" s="3">
        <f t="shared" si="87"/>
        <v>1</v>
      </c>
      <c r="AU170" s="3">
        <f t="shared" si="88"/>
        <v>1</v>
      </c>
      <c r="AV170" s="3">
        <f t="shared" si="89"/>
        <v>11</v>
      </c>
      <c r="AW170" s="3">
        <f t="shared" si="90"/>
        <v>7</v>
      </c>
      <c r="AX170" s="3">
        <f t="shared" si="91"/>
        <v>5</v>
      </c>
      <c r="AY170" s="3">
        <f t="shared" si="92"/>
        <v>6</v>
      </c>
      <c r="AZ170" s="3">
        <f t="shared" si="93"/>
        <v>1</v>
      </c>
      <c r="BA170" s="3">
        <f>IF(ISERROR(LEN(VLOOKUP(A170,Seqs!A:E,2,FALSE))-AL170),"-",LEN(VLOOKUP(A170,Seqs!A:E,2,FALSE))-AL170)</f>
        <v>60</v>
      </c>
      <c r="BB170" s="16">
        <f t="shared" si="94"/>
        <v>28</v>
      </c>
      <c r="BC170" s="9">
        <f t="shared" si="95"/>
        <v>20</v>
      </c>
      <c r="BD170" s="3">
        <f t="shared" si="96"/>
        <v>28</v>
      </c>
      <c r="BE170" s="3">
        <f t="shared" si="97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agtr1_human</v>
      </c>
      <c r="C171" s="3">
        <f>VLOOKUP($A171,'SegEnds_NonXtal_BW#'!$A:$Z,3,FALSE)+D171-50</f>
        <v>16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7"/>
        <v>47</v>
      </c>
      <c r="G171" s="3">
        <v>49</v>
      </c>
      <c r="H171" s="3">
        <f t="shared" si="108"/>
        <v>50</v>
      </c>
      <c r="I171" s="3">
        <f t="shared" si="108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9"/>
        <v>82</v>
      </c>
      <c r="M171" s="3">
        <v>83</v>
      </c>
      <c r="N171" s="3">
        <f t="shared" si="110"/>
        <v>85</v>
      </c>
      <c r="O171" s="3">
        <f t="shared" si="111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3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5"/>
        <v>170</v>
      </c>
      <c r="AA171" s="3">
        <f>IF(ISERROR(VLOOKUP($A171,'SegEnds_NonXtal_BW#'!$A:$Z,19,FALSE)+VLOOKUP($A171,A:AL,28,FALSE)-50),"-",(VLOOKUP($A171,'SegEnds_NonXtal_BW#'!$A:$Z,19,FALSE)+VLOOKUP($A171,A:AL,28,FALSE)-50))</f>
        <v>177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303</v>
      </c>
      <c r="AM171" s="28" t="str">
        <f>VLOOKUP(A171,Classification!A:B,2,FALSE)</f>
        <v>A</v>
      </c>
      <c r="AN171" s="28" t="b">
        <f t="shared" si="100"/>
        <v>1</v>
      </c>
      <c r="AO171" s="3" t="str">
        <f>IF(ISERROR(MATCH(A171,'SegEnds_Xtal_Prot#'!B:B, 0)), "NoXtal", "Xtal")</f>
        <v>NoXtal</v>
      </c>
      <c r="AP171" s="3">
        <f t="shared" si="83"/>
        <v>1</v>
      </c>
      <c r="AQ171" s="3">
        <f t="shared" si="84"/>
        <v>1</v>
      </c>
      <c r="AR171" s="3">
        <f t="shared" si="85"/>
        <v>2</v>
      </c>
      <c r="AS171" s="3">
        <f t="shared" si="86"/>
        <v>1</v>
      </c>
      <c r="AT171" s="3">
        <f t="shared" si="87"/>
        <v>1</v>
      </c>
      <c r="AU171" s="3">
        <f t="shared" si="88"/>
        <v>1</v>
      </c>
      <c r="AV171" s="3">
        <f t="shared" si="89"/>
        <v>12</v>
      </c>
      <c r="AW171" s="3">
        <f t="shared" si="90"/>
        <v>7</v>
      </c>
      <c r="AX171" s="3">
        <f t="shared" si="91"/>
        <v>5</v>
      </c>
      <c r="AY171" s="3">
        <f t="shared" si="92"/>
        <v>6</v>
      </c>
      <c r="AZ171" s="3">
        <f t="shared" si="93"/>
        <v>1</v>
      </c>
      <c r="BA171" s="3">
        <f>IF(ISERROR(LEN(VLOOKUP(A171,Seqs!A:E,2,FALSE))-AL171),"-",LEN(VLOOKUP(A171,Seqs!A:E,2,FALSE))-AL171)</f>
        <v>49</v>
      </c>
      <c r="BB171" s="16">
        <f t="shared" si="94"/>
        <v>28</v>
      </c>
      <c r="BC171" s="9">
        <f t="shared" si="95"/>
        <v>20</v>
      </c>
      <c r="BD171" s="3">
        <f t="shared" si="96"/>
        <v>28</v>
      </c>
      <c r="BE171" s="3">
        <f t="shared" si="97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ntr1_rat</v>
      </c>
      <c r="C172" s="3">
        <f>VLOOKUP($A172,'SegEnds_NonXtal_BW#'!$A:$Z,3,FALSE)+D172-50</f>
        <v>48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7"/>
        <v>80</v>
      </c>
      <c r="G172" s="3">
        <v>82</v>
      </c>
      <c r="H172" s="3">
        <f t="shared" si="108"/>
        <v>83</v>
      </c>
      <c r="I172" s="3">
        <f t="shared" si="108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9"/>
        <v>117</v>
      </c>
      <c r="M172" s="3">
        <v>118</v>
      </c>
      <c r="N172" s="3">
        <f t="shared" si="110"/>
        <v>120</v>
      </c>
      <c r="O172" s="3">
        <f t="shared" si="111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3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5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334</v>
      </c>
      <c r="AM172" s="28" t="str">
        <f>VLOOKUP(A172,Classification!A:B,2,FALSE)</f>
        <v>A</v>
      </c>
      <c r="AN172" s="28" t="b">
        <f t="shared" si="100"/>
        <v>1</v>
      </c>
      <c r="AO172" s="3" t="str">
        <f>IF(ISERROR(MATCH(A172,'SegEnds_Xtal_Prot#'!B:B, 0)), "NoXtal", "Xtal")</f>
        <v>NoXtal</v>
      </c>
      <c r="AP172" s="3">
        <f t="shared" si="83"/>
        <v>1</v>
      </c>
      <c r="AQ172" s="3">
        <f t="shared" si="84"/>
        <v>1</v>
      </c>
      <c r="AR172" s="3">
        <f t="shared" si="85"/>
        <v>2</v>
      </c>
      <c r="AS172" s="3">
        <f t="shared" si="86"/>
        <v>1</v>
      </c>
      <c r="AT172" s="3">
        <f t="shared" si="87"/>
        <v>1</v>
      </c>
      <c r="AU172" s="3">
        <f t="shared" si="88"/>
        <v>1</v>
      </c>
      <c r="AV172" s="3">
        <f t="shared" si="89"/>
        <v>11</v>
      </c>
      <c r="AW172" s="3">
        <f t="shared" si="90"/>
        <v>5</v>
      </c>
      <c r="AX172" s="3">
        <f t="shared" si="91"/>
        <v>5</v>
      </c>
      <c r="AY172" s="3">
        <f t="shared" si="92"/>
        <v>6</v>
      </c>
      <c r="AZ172" s="3">
        <f t="shared" si="93"/>
        <v>1</v>
      </c>
      <c r="BA172" s="3">
        <f>IF(ISERROR(LEN(VLOOKUP(A172,Seqs!A:E,2,FALSE))-AL172),"-",LEN(VLOOKUP(A172,Seqs!A:E,2,FALSE))-AL172)</f>
        <v>55</v>
      </c>
      <c r="BB172" s="16">
        <f t="shared" si="94"/>
        <v>30</v>
      </c>
      <c r="BC172" s="9">
        <f t="shared" si="95"/>
        <v>20</v>
      </c>
      <c r="BD172" s="3">
        <f t="shared" si="96"/>
        <v>30</v>
      </c>
      <c r="BE172" s="3">
        <f t="shared" si="97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30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3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100"/>
        <v>1</v>
      </c>
      <c r="AO173" s="3" t="str">
        <f>IF(ISERROR(MATCH(A173,'SegEnds_Xtal_Prot#'!B:B, 0)), "NoXtal", "Xtal")</f>
        <v>NoXtal</v>
      </c>
      <c r="AP173" s="3" t="str">
        <f t="shared" si="83"/>
        <v>-</v>
      </c>
      <c r="AQ173" s="3" t="str">
        <f t="shared" si="84"/>
        <v>-</v>
      </c>
      <c r="AR173" s="3" t="str">
        <f t="shared" si="85"/>
        <v>-</v>
      </c>
      <c r="AS173" s="3" t="str">
        <f t="shared" si="86"/>
        <v>-</v>
      </c>
      <c r="AT173" s="3">
        <f t="shared" si="87"/>
        <v>1</v>
      </c>
      <c r="AU173" s="3">
        <f t="shared" si="88"/>
        <v>1</v>
      </c>
      <c r="AV173" s="3" t="str">
        <f t="shared" si="89"/>
        <v>-</v>
      </c>
      <c r="AW173" s="3" t="str">
        <f t="shared" si="90"/>
        <v>-</v>
      </c>
      <c r="AX173" s="3">
        <f t="shared" si="91"/>
        <v>4</v>
      </c>
      <c r="AY173" s="3">
        <f t="shared" si="92"/>
        <v>5</v>
      </c>
      <c r="AZ173" s="3">
        <f t="shared" si="93"/>
        <v>1</v>
      </c>
      <c r="BA173" s="3">
        <f>IF(ISERROR(LEN(VLOOKUP(A173,Seqs!A:E,2,FALSE))-AL173),"-",LEN(VLOOKUP(A173,Seqs!A:E,2,FALSE))-AL173)</f>
        <v>27</v>
      </c>
      <c r="BB173" s="16">
        <f t="shared" si="94"/>
        <v>27</v>
      </c>
      <c r="BC173" s="9">
        <f t="shared" si="95"/>
        <v>20</v>
      </c>
      <c r="BD173" s="3">
        <f t="shared" si="96"/>
        <v>27</v>
      </c>
      <c r="BE173" s="3">
        <f t="shared" si="97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3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100"/>
        <v>1</v>
      </c>
      <c r="AO174" s="3" t="str">
        <f>IF(ISERROR(MATCH(A174,'SegEnds_Xtal_Prot#'!B:B, 0)), "NoXtal", "Xtal")</f>
        <v>NoXtal</v>
      </c>
      <c r="AP174" s="3" t="str">
        <f t="shared" si="83"/>
        <v>-</v>
      </c>
      <c r="AQ174" s="3" t="str">
        <f t="shared" si="84"/>
        <v>-</v>
      </c>
      <c r="AR174" s="3" t="str">
        <f t="shared" si="85"/>
        <v>-</v>
      </c>
      <c r="AS174" s="3" t="str">
        <f t="shared" si="86"/>
        <v>-</v>
      </c>
      <c r="AT174" s="3">
        <f t="shared" si="87"/>
        <v>1</v>
      </c>
      <c r="AU174" s="3">
        <f t="shared" si="88"/>
        <v>1</v>
      </c>
      <c r="AV174" s="3" t="str">
        <f t="shared" si="89"/>
        <v>-</v>
      </c>
      <c r="AW174" s="3" t="str">
        <f t="shared" si="90"/>
        <v>-</v>
      </c>
      <c r="AX174" s="3">
        <f t="shared" si="91"/>
        <v>4</v>
      </c>
      <c r="AY174" s="3">
        <f t="shared" si="92"/>
        <v>5</v>
      </c>
      <c r="AZ174" s="3">
        <f t="shared" si="93"/>
        <v>1</v>
      </c>
      <c r="BA174" s="3">
        <f>IF(ISERROR(LEN(VLOOKUP(A174,Seqs!A:E,2,FALSE))-AL174),"-",LEN(VLOOKUP(A174,Seqs!A:E,2,FALSE))-AL174)</f>
        <v>40</v>
      </c>
      <c r="BB174" s="16">
        <f t="shared" si="94"/>
        <v>26</v>
      </c>
      <c r="BC174" s="9">
        <f t="shared" si="95"/>
        <v>20</v>
      </c>
      <c r="BD174" s="3">
        <f t="shared" si="96"/>
        <v>26</v>
      </c>
      <c r="BE174" s="3">
        <f t="shared" si="97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2">G175+1</f>
        <v>70</v>
      </c>
      <c r="I175" s="3">
        <f t="shared" si="112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3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274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100"/>
        <v>1</v>
      </c>
      <c r="AO175" s="3" t="str">
        <f>IF(ISERROR(MATCH(A175,'SegEnds_Xtal_Prot#'!B:B, 0)), "NoXtal", "Xtal")</f>
        <v>NoXtal</v>
      </c>
      <c r="AP175" s="3">
        <f t="shared" si="83"/>
        <v>1</v>
      </c>
      <c r="AQ175" s="3">
        <f t="shared" si="84"/>
        <v>1</v>
      </c>
      <c r="AR175" s="3" t="str">
        <f t="shared" si="85"/>
        <v>-</v>
      </c>
      <c r="AS175" s="3" t="str">
        <f t="shared" si="86"/>
        <v>-</v>
      </c>
      <c r="AT175" s="3">
        <f t="shared" si="87"/>
        <v>1</v>
      </c>
      <c r="AU175" s="3">
        <f t="shared" si="88"/>
        <v>1</v>
      </c>
      <c r="AV175" s="3" t="str">
        <f t="shared" si="89"/>
        <v>-</v>
      </c>
      <c r="AW175" s="3" t="str">
        <f t="shared" si="90"/>
        <v>-</v>
      </c>
      <c r="AX175" s="3">
        <f t="shared" si="91"/>
        <v>7</v>
      </c>
      <c r="AY175" s="3">
        <f t="shared" si="92"/>
        <v>6</v>
      </c>
      <c r="AZ175" s="3">
        <f t="shared" si="93"/>
        <v>1</v>
      </c>
      <c r="BA175" s="3">
        <f>IF(ISERROR(LEN(VLOOKUP(A175,Seqs!A:E,2,FALSE))-AL175),"-",LEN(VLOOKUP(A175,Seqs!A:E,2,FALSE))-AL175)</f>
        <v>8</v>
      </c>
      <c r="BB175" s="16">
        <f t="shared" si="94"/>
        <v>28</v>
      </c>
      <c r="BC175" s="9">
        <f t="shared" si="95"/>
        <v>20</v>
      </c>
      <c r="BD175" s="3">
        <f t="shared" si="96"/>
        <v>28</v>
      </c>
      <c r="BE175" s="3">
        <f t="shared" si="97"/>
        <v>48</v>
      </c>
      <c r="BF175" s="3">
        <f t="shared" ref="BF175:BF181" si="113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2"/>
        <v>76</v>
      </c>
      <c r="I176" s="3">
        <f t="shared" si="112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3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277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100"/>
        <v>1</v>
      </c>
      <c r="AO176" s="3" t="str">
        <f>IF(ISERROR(MATCH(A176,'SegEnds_Xtal_Prot#'!B:B, 0)), "NoXtal", "Xtal")</f>
        <v>NoXtal</v>
      </c>
      <c r="AP176" s="3">
        <f t="shared" si="83"/>
        <v>1</v>
      </c>
      <c r="AQ176" s="3">
        <f t="shared" si="84"/>
        <v>1</v>
      </c>
      <c r="AR176" s="3" t="str">
        <f t="shared" si="85"/>
        <v>-</v>
      </c>
      <c r="AS176" s="3" t="str">
        <f t="shared" si="86"/>
        <v>-</v>
      </c>
      <c r="AT176" s="3">
        <f t="shared" si="87"/>
        <v>1</v>
      </c>
      <c r="AU176" s="3">
        <f t="shared" si="88"/>
        <v>1</v>
      </c>
      <c r="AV176" s="3" t="str">
        <f t="shared" si="89"/>
        <v>-</v>
      </c>
      <c r="AW176" s="3" t="str">
        <f t="shared" si="90"/>
        <v>-</v>
      </c>
      <c r="AX176" s="3">
        <f t="shared" si="91"/>
        <v>6</v>
      </c>
      <c r="AY176" s="3">
        <f t="shared" si="92"/>
        <v>6</v>
      </c>
      <c r="AZ176" s="3">
        <f t="shared" si="93"/>
        <v>1</v>
      </c>
      <c r="BA176" s="3">
        <f>IF(ISERROR(LEN(VLOOKUP(A176,Seqs!A:E,2,FALSE))-AL176),"-",LEN(VLOOKUP(A176,Seqs!A:E,2,FALSE))-AL176)</f>
        <v>14</v>
      </c>
      <c r="BB176" s="16">
        <f t="shared" si="94"/>
        <v>28</v>
      </c>
      <c r="BC176" s="9">
        <f t="shared" si="95"/>
        <v>20</v>
      </c>
      <c r="BD176" s="3">
        <f t="shared" si="96"/>
        <v>28</v>
      </c>
      <c r="BE176" s="3">
        <f t="shared" si="97"/>
        <v>46</v>
      </c>
      <c r="BF176" s="3">
        <f t="shared" si="113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2"/>
        <v>68</v>
      </c>
      <c r="I177" s="3">
        <f t="shared" si="112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3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270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100"/>
        <v>1</v>
      </c>
      <c r="AO177" s="3" t="str">
        <f>IF(ISERROR(MATCH(A177,'SegEnds_Xtal_Prot#'!B:B, 0)), "NoXtal", "Xtal")</f>
        <v>NoXtal</v>
      </c>
      <c r="AP177" s="3">
        <f t="shared" si="83"/>
        <v>1</v>
      </c>
      <c r="AQ177" s="3">
        <f t="shared" si="84"/>
        <v>1</v>
      </c>
      <c r="AR177" s="3" t="str">
        <f t="shared" si="85"/>
        <v>-</v>
      </c>
      <c r="AS177" s="3" t="str">
        <f t="shared" si="86"/>
        <v>-</v>
      </c>
      <c r="AT177" s="3">
        <f t="shared" si="87"/>
        <v>1</v>
      </c>
      <c r="AU177" s="3">
        <f t="shared" si="88"/>
        <v>1</v>
      </c>
      <c r="AV177" s="3" t="str">
        <f t="shared" si="89"/>
        <v>-</v>
      </c>
      <c r="AW177" s="3" t="str">
        <f t="shared" si="90"/>
        <v>-</v>
      </c>
      <c r="AX177" s="3">
        <f t="shared" si="91"/>
        <v>6</v>
      </c>
      <c r="AY177" s="3">
        <f t="shared" si="92"/>
        <v>6</v>
      </c>
      <c r="AZ177" s="3">
        <f t="shared" si="93"/>
        <v>1</v>
      </c>
      <c r="BA177" s="3">
        <f>IF(ISERROR(LEN(VLOOKUP(A177,Seqs!A:E,2,FALSE))-AL177),"-",LEN(VLOOKUP(A177,Seqs!A:E,2,FALSE))-AL177)</f>
        <v>14</v>
      </c>
      <c r="BB177" s="16">
        <f t="shared" si="94"/>
        <v>28</v>
      </c>
      <c r="BC177" s="9">
        <f t="shared" si="95"/>
        <v>20</v>
      </c>
      <c r="BD177" s="3">
        <f t="shared" si="96"/>
        <v>28</v>
      </c>
      <c r="BE177" s="3">
        <f t="shared" si="97"/>
        <v>46</v>
      </c>
      <c r="BF177" s="3">
        <f t="shared" si="113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2"/>
        <v>141</v>
      </c>
      <c r="I178" s="3">
        <f t="shared" si="112"/>
        <v>142</v>
      </c>
      <c r="J178" s="3">
        <v>158</v>
      </c>
      <c r="K178" s="3">
        <f>VLOOKUP($A178,'SegEnds_NonXtal_BW#'!$A:$Z,8,FALSE)+VLOOKUP($A178,A:AL,10,FALSE)-50</f>
        <v>174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3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270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100"/>
        <v>1</v>
      </c>
      <c r="AO178" s="3" t="str">
        <f>IF(ISERROR(MATCH(A178,'SegEnds_Xtal_Prot#'!B:B, 0)), "NoXtal", "Xtal")</f>
        <v>NoXtal</v>
      </c>
      <c r="AP178" s="3">
        <f t="shared" si="83"/>
        <v>1</v>
      </c>
      <c r="AQ178" s="3">
        <f t="shared" si="84"/>
        <v>1</v>
      </c>
      <c r="AR178" s="3">
        <f t="shared" si="85"/>
        <v>3</v>
      </c>
      <c r="AS178" s="3">
        <f t="shared" si="86"/>
        <v>1</v>
      </c>
      <c r="AT178" s="3">
        <f t="shared" si="87"/>
        <v>1</v>
      </c>
      <c r="AU178" s="3">
        <f t="shared" si="88"/>
        <v>1</v>
      </c>
      <c r="AV178" s="3">
        <f t="shared" si="89"/>
        <v>12</v>
      </c>
      <c r="AW178" s="3">
        <f t="shared" si="90"/>
        <v>5</v>
      </c>
      <c r="AX178" s="3">
        <f t="shared" si="91"/>
        <v>6</v>
      </c>
      <c r="AY178" s="3">
        <f t="shared" si="92"/>
        <v>7</v>
      </c>
      <c r="AZ178" s="3">
        <f t="shared" si="93"/>
        <v>1</v>
      </c>
      <c r="BA178" s="3">
        <f>IF(ISERROR(LEN(VLOOKUP(A178,Seqs!A:E,2,FALSE))-AL178),"-",LEN(VLOOKUP(A178,Seqs!A:E,2,FALSE))-AL178)</f>
        <v>26</v>
      </c>
      <c r="BB178" s="16">
        <f t="shared" si="94"/>
        <v>31</v>
      </c>
      <c r="BC178" s="9">
        <f t="shared" si="95"/>
        <v>20</v>
      </c>
      <c r="BD178" s="3">
        <f t="shared" si="96"/>
        <v>31</v>
      </c>
      <c r="BE178" s="3">
        <f t="shared" si="97"/>
        <v>51</v>
      </c>
      <c r="BF178" s="3">
        <f t="shared" si="113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3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231</v>
      </c>
      <c r="AD179" s="3">
        <f>IF(ISERROR(VLOOKUP($A179,'SegEnds_NonXtal_BW#'!$A:$Z,21,FALSE)+VLOOKUP($A179,A:AL,31,FALSE)-50),"-",(VLOOKUP($A179,'SegEnds_NonXtal_BW#'!$A:$Z,21,FALSE)+VLOOKUP($A179,A:AL,31,FALSE)-50))</f>
        <v>240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100"/>
        <v>1</v>
      </c>
      <c r="AO179" s="3" t="str">
        <f>IF(ISERROR(MATCH(A179,'SegEnds_Xtal_Prot#'!B:B, 0)), "NoXtal", "Xtal")</f>
        <v>NoXtal</v>
      </c>
      <c r="AP179" s="3" t="str">
        <f t="shared" si="83"/>
        <v>-</v>
      </c>
      <c r="AQ179" s="3" t="str">
        <f t="shared" si="84"/>
        <v>-</v>
      </c>
      <c r="AR179" s="3">
        <f t="shared" si="85"/>
        <v>3</v>
      </c>
      <c r="AS179" s="3">
        <f t="shared" si="86"/>
        <v>1</v>
      </c>
      <c r="AT179" s="3">
        <f t="shared" si="87"/>
        <v>1</v>
      </c>
      <c r="AU179" s="3">
        <f t="shared" si="88"/>
        <v>1</v>
      </c>
      <c r="AV179" s="3">
        <f t="shared" si="89"/>
        <v>12</v>
      </c>
      <c r="AW179" s="3">
        <f t="shared" si="90"/>
        <v>4</v>
      </c>
      <c r="AX179" s="3">
        <f t="shared" si="91"/>
        <v>9</v>
      </c>
      <c r="AY179" s="3">
        <f t="shared" si="92"/>
        <v>7</v>
      </c>
      <c r="AZ179" s="3">
        <f t="shared" si="93"/>
        <v>1</v>
      </c>
      <c r="BA179" s="3">
        <f>IF(ISERROR(LEN(VLOOKUP(A179,Seqs!A:E,2,FALSE))-AL179),"-",LEN(VLOOKUP(A179,Seqs!A:E,2,FALSE))-AL179)</f>
        <v>17</v>
      </c>
      <c r="BB179" s="16">
        <f t="shared" si="94"/>
        <v>27</v>
      </c>
      <c r="BC179" s="9">
        <f t="shared" si="95"/>
        <v>20</v>
      </c>
      <c r="BD179" s="3">
        <f t="shared" si="96"/>
        <v>27</v>
      </c>
      <c r="BE179" s="3">
        <f t="shared" si="97"/>
        <v>57</v>
      </c>
      <c r="BF179" s="3">
        <f t="shared" si="113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25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3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100"/>
        <v>1</v>
      </c>
      <c r="AO180" s="3" t="str">
        <f>IF(ISERROR(MATCH(A180,'SegEnds_Xtal_Prot#'!B:B, 0)), "NoXtal", "Xtal")</f>
        <v>NoXtal</v>
      </c>
      <c r="AP180" s="3" t="str">
        <f t="shared" si="83"/>
        <v>-</v>
      </c>
      <c r="AQ180" s="3" t="str">
        <f t="shared" si="84"/>
        <v>-</v>
      </c>
      <c r="AR180" s="3" t="str">
        <f t="shared" si="85"/>
        <v>-</v>
      </c>
      <c r="AS180" s="3" t="str">
        <f t="shared" si="86"/>
        <v>-</v>
      </c>
      <c r="AT180" s="3">
        <f t="shared" si="87"/>
        <v>1</v>
      </c>
      <c r="AU180" s="3">
        <f t="shared" si="88"/>
        <v>1</v>
      </c>
      <c r="AV180" s="3" t="str">
        <f t="shared" si="89"/>
        <v>-</v>
      </c>
      <c r="AW180" s="3" t="str">
        <f t="shared" si="90"/>
        <v>-</v>
      </c>
      <c r="AX180" s="3">
        <f t="shared" si="91"/>
        <v>4</v>
      </c>
      <c r="AY180" s="3">
        <f t="shared" si="92"/>
        <v>7</v>
      </c>
      <c r="AZ180" s="3">
        <f t="shared" si="93"/>
        <v>1</v>
      </c>
      <c r="BA180" s="3">
        <f>IF(ISERROR(LEN(VLOOKUP(A180,Seqs!A:E,2,FALSE))-AL180),"-",LEN(VLOOKUP(A180,Seqs!A:E,2,FALSE))-AL180)</f>
        <v>27</v>
      </c>
      <c r="BB180" s="16">
        <f t="shared" si="94"/>
        <v>27</v>
      </c>
      <c r="BC180" s="9">
        <f t="shared" si="95"/>
        <v>20</v>
      </c>
      <c r="BD180" s="3">
        <f t="shared" si="96"/>
        <v>27</v>
      </c>
      <c r="BE180" s="3">
        <f t="shared" si="97"/>
        <v>44</v>
      </c>
      <c r="BF180" s="3">
        <f t="shared" si="113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3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100"/>
        <v>1</v>
      </c>
      <c r="AO181" s="3" t="str">
        <f>IF(ISERROR(MATCH(A181,'SegEnds_Xtal_Prot#'!B:B, 0)), "NoXtal", "Xtal")</f>
        <v>NoXtal</v>
      </c>
      <c r="AP181" s="3" t="str">
        <f t="shared" si="83"/>
        <v>-</v>
      </c>
      <c r="AQ181" s="3" t="str">
        <f t="shared" si="84"/>
        <v>-</v>
      </c>
      <c r="AR181" s="3" t="str">
        <f t="shared" si="85"/>
        <v>-</v>
      </c>
      <c r="AS181" s="3" t="str">
        <f t="shared" si="86"/>
        <v>-</v>
      </c>
      <c r="AT181" s="3">
        <f t="shared" si="87"/>
        <v>1</v>
      </c>
      <c r="AU181" s="3">
        <f t="shared" si="88"/>
        <v>1</v>
      </c>
      <c r="AV181" s="3" t="str">
        <f t="shared" si="89"/>
        <v>-</v>
      </c>
      <c r="AW181" s="3" t="str">
        <f t="shared" si="90"/>
        <v>-</v>
      </c>
      <c r="AX181" s="3">
        <f t="shared" si="91"/>
        <v>4</v>
      </c>
      <c r="AY181" s="3">
        <f t="shared" si="92"/>
        <v>5</v>
      </c>
      <c r="AZ181" s="3">
        <f t="shared" si="93"/>
        <v>1</v>
      </c>
      <c r="BA181" s="3">
        <f>IF(ISERROR(LEN(VLOOKUP(A181,Seqs!A:E,2,FALSE))-AL181),"-",LEN(VLOOKUP(A181,Seqs!A:E,2,FALSE))-AL181)</f>
        <v>27</v>
      </c>
      <c r="BB181" s="16">
        <f t="shared" si="94"/>
        <v>27</v>
      </c>
      <c r="BC181" s="9">
        <f t="shared" si="95"/>
        <v>20</v>
      </c>
      <c r="BD181" s="3">
        <f t="shared" si="96"/>
        <v>27</v>
      </c>
      <c r="BE181" s="3">
        <f t="shared" si="97"/>
        <v>42</v>
      </c>
      <c r="BF181" s="3">
        <f t="shared" si="113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agtr1_human</v>
      </c>
      <c r="C182" s="3">
        <f>VLOOKUP($A182,'SegEnds_NonXtal_BW#'!$A:$Z,3,FALSE)+D182-50</f>
        <v>42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105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3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195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309</v>
      </c>
      <c r="AM182" s="28" t="str">
        <f>VLOOKUP(A182,Classification!A:B,2,FALSE)</f>
        <v>A</v>
      </c>
      <c r="AN182" s="28" t="b">
        <f t="shared" si="100"/>
        <v>1</v>
      </c>
      <c r="AO182" s="3" t="str">
        <f>IF(ISERROR(MATCH(A182,'SegEnds_Xtal_Prot#'!B:B, 0)), "NoXtal", "Xtal")</f>
        <v>NoXtal</v>
      </c>
      <c r="AP182" s="3" t="str">
        <f t="shared" si="83"/>
        <v>-</v>
      </c>
      <c r="AQ182" s="3" t="str">
        <f t="shared" si="84"/>
        <v>-</v>
      </c>
      <c r="AR182" s="3" t="str">
        <f t="shared" si="85"/>
        <v>-</v>
      </c>
      <c r="AS182" s="3" t="str">
        <f t="shared" si="86"/>
        <v>-</v>
      </c>
      <c r="AT182" s="3">
        <f t="shared" si="87"/>
        <v>1</v>
      </c>
      <c r="AU182" s="3">
        <f t="shared" si="88"/>
        <v>1</v>
      </c>
      <c r="AV182" s="3" t="str">
        <f t="shared" si="89"/>
        <v>-</v>
      </c>
      <c r="AW182" s="3" t="str">
        <f t="shared" si="90"/>
        <v>-</v>
      </c>
      <c r="AX182" s="3">
        <f t="shared" si="91"/>
        <v>5</v>
      </c>
      <c r="AY182" s="3">
        <f t="shared" si="92"/>
        <v>5</v>
      </c>
      <c r="AZ182" s="3">
        <f t="shared" si="93"/>
        <v>1</v>
      </c>
      <c r="BA182" s="3">
        <f>IF(ISERROR(LEN(VLOOKUP(A182,Seqs!A:E,2,FALSE))-AL182),"-",LEN(VLOOKUP(A182,Seqs!A:E,2,FALSE))-AL182)</f>
        <v>34</v>
      </c>
      <c r="BB182" s="16">
        <f t="shared" si="94"/>
        <v>27</v>
      </c>
      <c r="BC182" s="9">
        <f t="shared" si="95"/>
        <v>20</v>
      </c>
      <c r="BD182" s="3">
        <f t="shared" si="96"/>
        <v>27</v>
      </c>
      <c r="BE182" s="3">
        <f t="shared" si="97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agtr1_human</v>
      </c>
      <c r="C183" s="3">
        <f>VLOOKUP($A183,'SegEnds_NonXtal_BW#'!$A:$Z,3,FALSE)+D183-50</f>
        <v>10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79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3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156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268</v>
      </c>
      <c r="AM183" s="28" t="str">
        <f>VLOOKUP(A183,Classification!A:B,2,FALSE)</f>
        <v>A</v>
      </c>
      <c r="AN183" s="28" t="b">
        <f t="shared" si="100"/>
        <v>1</v>
      </c>
      <c r="AO183" s="3" t="str">
        <f>IF(ISERROR(MATCH(A183,'SegEnds_Xtal_Prot#'!B:B, 0)), "NoXtal", "Xtal")</f>
        <v>NoXtal</v>
      </c>
      <c r="AP183" s="3" t="str">
        <f t="shared" si="83"/>
        <v>-</v>
      </c>
      <c r="AQ183" s="3" t="str">
        <f t="shared" si="84"/>
        <v>-</v>
      </c>
      <c r="AR183" s="3" t="str">
        <f t="shared" si="85"/>
        <v>-</v>
      </c>
      <c r="AS183" s="3" t="str">
        <f t="shared" si="86"/>
        <v>-</v>
      </c>
      <c r="AT183" s="3">
        <f t="shared" si="87"/>
        <v>1</v>
      </c>
      <c r="AU183" s="3">
        <f t="shared" si="88"/>
        <v>1</v>
      </c>
      <c r="AV183" s="3" t="str">
        <f t="shared" si="89"/>
        <v>-</v>
      </c>
      <c r="AW183" s="3" t="str">
        <f t="shared" si="90"/>
        <v>-</v>
      </c>
      <c r="AX183" s="3">
        <f t="shared" si="91"/>
        <v>4</v>
      </c>
      <c r="AY183" s="3">
        <f t="shared" si="92"/>
        <v>5</v>
      </c>
      <c r="AZ183" s="3">
        <f t="shared" si="93"/>
        <v>1</v>
      </c>
      <c r="BA183" s="3">
        <f>IF(ISERROR(LEN(VLOOKUP(A183,Seqs!A:E,2,FALSE))-AL183),"-",LEN(VLOOKUP(A183,Seqs!A:E,2,FALSE))-AL183)</f>
        <v>21</v>
      </c>
      <c r="BB183" s="16">
        <f t="shared" si="94"/>
        <v>27</v>
      </c>
      <c r="BC183" s="9">
        <f t="shared" si="95"/>
        <v>20</v>
      </c>
      <c r="BD183" s="3">
        <f t="shared" si="96"/>
        <v>27</v>
      </c>
      <c r="BE183" s="3">
        <f t="shared" si="97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25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3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247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100"/>
        <v>1</v>
      </c>
      <c r="AO184" s="3" t="str">
        <f>IF(ISERROR(MATCH(A184,'SegEnds_Xtal_Prot#'!B:B, 0)), "NoXtal", "Xtal")</f>
        <v>NoXtal</v>
      </c>
      <c r="AP184" s="3" t="str">
        <f t="shared" si="83"/>
        <v>-</v>
      </c>
      <c r="AQ184" s="3" t="str">
        <f t="shared" si="84"/>
        <v>-</v>
      </c>
      <c r="AR184" s="3" t="str">
        <f t="shared" si="85"/>
        <v>-</v>
      </c>
      <c r="AS184" s="3" t="str">
        <f t="shared" si="86"/>
        <v>-</v>
      </c>
      <c r="AT184" s="3">
        <f t="shared" si="87"/>
        <v>1</v>
      </c>
      <c r="AU184" s="3">
        <f t="shared" si="88"/>
        <v>1</v>
      </c>
      <c r="AV184" s="3" t="str">
        <f t="shared" si="89"/>
        <v>-</v>
      </c>
      <c r="AW184" s="3" t="str">
        <f t="shared" si="90"/>
        <v>-</v>
      </c>
      <c r="AX184" s="3">
        <f t="shared" si="91"/>
        <v>4</v>
      </c>
      <c r="AY184" s="3">
        <f t="shared" si="92"/>
        <v>5</v>
      </c>
      <c r="AZ184" s="3">
        <f t="shared" si="93"/>
        <v>1</v>
      </c>
      <c r="BA184" s="3">
        <f>IF(ISERROR(LEN(VLOOKUP(A184,Seqs!A:E,2,FALSE))-AL184),"-",LEN(VLOOKUP(A184,Seqs!A:E,2,FALSE))-AL184)</f>
        <v>32</v>
      </c>
      <c r="BB184" s="16">
        <f t="shared" si="94"/>
        <v>27</v>
      </c>
      <c r="BC184" s="9">
        <f t="shared" si="95"/>
        <v>20</v>
      </c>
      <c r="BD184" s="3">
        <f t="shared" si="96"/>
        <v>27</v>
      </c>
      <c r="BE184" s="3">
        <f t="shared" si="97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agtr1_human</v>
      </c>
      <c r="C185" s="3">
        <f>VLOOKUP($A185,'SegEnds_NonXtal_BW#'!$A:$Z,3,FALSE)+D185-50</f>
        <v>28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91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3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180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254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297</v>
      </c>
      <c r="AM185" s="28" t="str">
        <f>VLOOKUP(A185,Classification!A:B,2,FALSE)</f>
        <v>A</v>
      </c>
      <c r="AN185" s="28" t="b">
        <f t="shared" si="100"/>
        <v>1</v>
      </c>
      <c r="AO185" s="3" t="str">
        <f>IF(ISERROR(MATCH(A185,'SegEnds_Xtal_Prot#'!B:B, 0)), "NoXtal", "Xtal")</f>
        <v>NoXtal</v>
      </c>
      <c r="AP185" s="3" t="str">
        <f t="shared" si="83"/>
        <v>-</v>
      </c>
      <c r="AQ185" s="3" t="str">
        <f t="shared" si="84"/>
        <v>-</v>
      </c>
      <c r="AR185" s="3" t="str">
        <f t="shared" si="85"/>
        <v>-</v>
      </c>
      <c r="AS185" s="3" t="str">
        <f t="shared" si="86"/>
        <v>-</v>
      </c>
      <c r="AT185" s="3">
        <f t="shared" si="87"/>
        <v>1</v>
      </c>
      <c r="AU185" s="3">
        <f t="shared" si="88"/>
        <v>1</v>
      </c>
      <c r="AV185" s="3" t="str">
        <f t="shared" si="89"/>
        <v>-</v>
      </c>
      <c r="AW185" s="3" t="str">
        <f t="shared" si="90"/>
        <v>-</v>
      </c>
      <c r="AX185" s="3">
        <f t="shared" si="91"/>
        <v>4</v>
      </c>
      <c r="AY185" s="3">
        <f t="shared" si="92"/>
        <v>5</v>
      </c>
      <c r="AZ185" s="3">
        <f t="shared" si="93"/>
        <v>1</v>
      </c>
      <c r="BA185" s="3">
        <f>IF(ISERROR(LEN(VLOOKUP(A185,Seqs!A:E,2,FALSE))-AL185),"-",LEN(VLOOKUP(A185,Seqs!A:E,2,FALSE))-AL185)</f>
        <v>33</v>
      </c>
      <c r="BB185" s="16">
        <f t="shared" si="94"/>
        <v>27</v>
      </c>
      <c r="BC185" s="9">
        <f t="shared" si="95"/>
        <v>20</v>
      </c>
      <c r="BD185" s="3">
        <f t="shared" si="96"/>
        <v>27</v>
      </c>
      <c r="BE185" s="3">
        <f t="shared" si="97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agtr1_human</v>
      </c>
      <c r="C186" s="3">
        <f>VLOOKUP($A186,'SegEnds_NonXtal_BW#'!$A:$Z,3,FALSE)+D186-50</f>
        <v>25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3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173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247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290</v>
      </c>
      <c r="AM186" s="28" t="str">
        <f>VLOOKUP(A186,Classification!A:B,2,FALSE)</f>
        <v>A</v>
      </c>
      <c r="AN186" s="28" t="b">
        <f t="shared" si="100"/>
        <v>1</v>
      </c>
      <c r="AO186" s="3" t="str">
        <f>IF(ISERROR(MATCH(A186,'SegEnds_Xtal_Prot#'!B:B, 0)), "NoXtal", "Xtal")</f>
        <v>NoXtal</v>
      </c>
      <c r="AP186" s="3" t="str">
        <f t="shared" si="83"/>
        <v>-</v>
      </c>
      <c r="AQ186" s="3" t="str">
        <f t="shared" si="84"/>
        <v>-</v>
      </c>
      <c r="AR186" s="3" t="str">
        <f t="shared" si="85"/>
        <v>-</v>
      </c>
      <c r="AS186" s="3" t="str">
        <f t="shared" si="86"/>
        <v>-</v>
      </c>
      <c r="AT186" s="3">
        <f t="shared" si="87"/>
        <v>1</v>
      </c>
      <c r="AU186" s="3">
        <f t="shared" si="88"/>
        <v>1</v>
      </c>
      <c r="AV186" s="3" t="str">
        <f t="shared" si="89"/>
        <v>-</v>
      </c>
      <c r="AW186" s="3" t="str">
        <f t="shared" si="90"/>
        <v>-</v>
      </c>
      <c r="AX186" s="3">
        <f t="shared" si="91"/>
        <v>4</v>
      </c>
      <c r="AY186" s="3">
        <f t="shared" si="92"/>
        <v>5</v>
      </c>
      <c r="AZ186" s="3">
        <f t="shared" si="93"/>
        <v>1</v>
      </c>
      <c r="BA186" s="3">
        <f>IF(ISERROR(LEN(VLOOKUP(A186,Seqs!A:E,2,FALSE))-AL186),"-",LEN(VLOOKUP(A186,Seqs!A:E,2,FALSE))-AL186)</f>
        <v>32</v>
      </c>
      <c r="BB186" s="16">
        <f t="shared" si="94"/>
        <v>27</v>
      </c>
      <c r="BC186" s="9">
        <f t="shared" si="95"/>
        <v>20</v>
      </c>
      <c r="BD186" s="3">
        <f t="shared" si="96"/>
        <v>27</v>
      </c>
      <c r="BE186" s="3">
        <f t="shared" si="97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oprm_mouse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3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247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288</v>
      </c>
      <c r="AM187" s="28" t="str">
        <f>VLOOKUP(A187,Classification!A:B,2,FALSE)</f>
        <v>A</v>
      </c>
      <c r="AN187" s="28" t="b">
        <f t="shared" si="100"/>
        <v>1</v>
      </c>
      <c r="AO187" s="3" t="str">
        <f>IF(ISERROR(MATCH(A187,'SegEnds_Xtal_Prot#'!B:B, 0)), "NoXtal", "Xtal")</f>
        <v>NoXtal</v>
      </c>
      <c r="AP187" s="3" t="str">
        <f t="shared" si="83"/>
        <v>-</v>
      </c>
      <c r="AQ187" s="3" t="str">
        <f t="shared" si="84"/>
        <v>-</v>
      </c>
      <c r="AR187" s="3" t="str">
        <f t="shared" si="85"/>
        <v>-</v>
      </c>
      <c r="AS187" s="3" t="str">
        <f t="shared" si="86"/>
        <v>-</v>
      </c>
      <c r="AT187" s="3">
        <f t="shared" si="87"/>
        <v>1</v>
      </c>
      <c r="AU187" s="3">
        <f t="shared" si="88"/>
        <v>1</v>
      </c>
      <c r="AV187" s="3" t="str">
        <f t="shared" si="89"/>
        <v>-</v>
      </c>
      <c r="AW187" s="3" t="str">
        <f t="shared" si="90"/>
        <v>-</v>
      </c>
      <c r="AX187" s="3">
        <f t="shared" si="91"/>
        <v>4</v>
      </c>
      <c r="AY187" s="3">
        <f t="shared" si="92"/>
        <v>5</v>
      </c>
      <c r="AZ187" s="3">
        <f t="shared" si="93"/>
        <v>1</v>
      </c>
      <c r="BA187" s="3">
        <f>IF(ISERROR(LEN(VLOOKUP(A187,Seqs!A:E,2,FALSE))-AL187),"-",LEN(VLOOKUP(A187,Seqs!A:E,2,FALSE))-AL187)</f>
        <v>34</v>
      </c>
      <c r="BB187" s="16">
        <f t="shared" si="94"/>
        <v>27</v>
      </c>
      <c r="BC187" s="9">
        <f t="shared" si="95"/>
        <v>20</v>
      </c>
      <c r="BD187" s="3">
        <f t="shared" si="96"/>
        <v>27</v>
      </c>
      <c r="BE187" s="3">
        <f t="shared" si="97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4">G188-2</f>
        <v>67</v>
      </c>
      <c r="G188" s="3">
        <v>69</v>
      </c>
      <c r="H188" s="3">
        <f t="shared" ref="H188:I197" si="115">G188+1</f>
        <v>70</v>
      </c>
      <c r="I188" s="3">
        <f t="shared" si="115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3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273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100"/>
        <v>1</v>
      </c>
      <c r="AO188" s="3" t="str">
        <f>IF(ISERROR(MATCH(A188,'SegEnds_Xtal_Prot#'!B:B, 0)), "NoXtal", "Xtal")</f>
        <v>NoXtal</v>
      </c>
      <c r="AP188" s="3">
        <f t="shared" si="83"/>
        <v>1</v>
      </c>
      <c r="AQ188" s="3">
        <f t="shared" si="84"/>
        <v>1</v>
      </c>
      <c r="AR188" s="3" t="str">
        <f t="shared" si="85"/>
        <v>-</v>
      </c>
      <c r="AS188" s="3" t="str">
        <f t="shared" si="86"/>
        <v>-</v>
      </c>
      <c r="AT188" s="3">
        <f t="shared" si="87"/>
        <v>1</v>
      </c>
      <c r="AU188" s="3">
        <f t="shared" si="88"/>
        <v>1</v>
      </c>
      <c r="AV188" s="3" t="str">
        <f t="shared" si="89"/>
        <v>-</v>
      </c>
      <c r="AW188" s="3" t="str">
        <f t="shared" si="90"/>
        <v>-</v>
      </c>
      <c r="AX188" s="3">
        <f t="shared" si="91"/>
        <v>7</v>
      </c>
      <c r="AY188" s="3">
        <f t="shared" si="92"/>
        <v>6</v>
      </c>
      <c r="AZ188" s="3">
        <f t="shared" si="93"/>
        <v>1</v>
      </c>
      <c r="BA188" s="3">
        <f>IF(ISERROR(LEN(VLOOKUP(A188,Seqs!A:E,2,FALSE))-AL188),"-",LEN(VLOOKUP(A188,Seqs!A:E,2,FALSE))-AL188)</f>
        <v>3</v>
      </c>
      <c r="BB188" s="16">
        <f t="shared" si="94"/>
        <v>28</v>
      </c>
      <c r="BC188" s="9">
        <f t="shared" si="95"/>
        <v>20</v>
      </c>
      <c r="BD188" s="3">
        <f t="shared" si="96"/>
        <v>28</v>
      </c>
      <c r="BE188" s="3">
        <f t="shared" si="97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4"/>
        <v>67</v>
      </c>
      <c r="G189" s="3">
        <v>69</v>
      </c>
      <c r="H189" s="3">
        <f t="shared" si="115"/>
        <v>70</v>
      </c>
      <c r="I189" s="3">
        <f t="shared" si="115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6">M189-1</f>
        <v>103</v>
      </c>
      <c r="M189" s="3">
        <v>104</v>
      </c>
      <c r="N189" s="3">
        <f t="shared" ref="N189:N196" si="117">M189+2</f>
        <v>106</v>
      </c>
      <c r="O189" s="3">
        <f t="shared" ref="O189:O214" si="118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3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9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330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100"/>
        <v>1</v>
      </c>
      <c r="AO189" s="3" t="str">
        <f>IF(ISERROR(MATCH(A189,'SegEnds_Xtal_Prot#'!B:B, 0)), "NoXtal", "Xtal")</f>
        <v>NoXtal</v>
      </c>
      <c r="AP189" s="3">
        <f t="shared" si="83"/>
        <v>1</v>
      </c>
      <c r="AQ189" s="3">
        <f t="shared" si="84"/>
        <v>1</v>
      </c>
      <c r="AR189" s="3">
        <f t="shared" si="85"/>
        <v>2</v>
      </c>
      <c r="AS189" s="3">
        <f t="shared" si="86"/>
        <v>1</v>
      </c>
      <c r="AT189" s="3">
        <f t="shared" si="87"/>
        <v>1</v>
      </c>
      <c r="AU189" s="3">
        <f t="shared" si="88"/>
        <v>1</v>
      </c>
      <c r="AV189" s="3">
        <f t="shared" si="89"/>
        <v>58</v>
      </c>
      <c r="AW189" s="3">
        <f t="shared" si="90"/>
        <v>4</v>
      </c>
      <c r="AX189" s="3">
        <f t="shared" si="91"/>
        <v>6</v>
      </c>
      <c r="AY189" s="3">
        <f t="shared" si="92"/>
        <v>6</v>
      </c>
      <c r="AZ189" s="3">
        <f t="shared" si="93"/>
        <v>1</v>
      </c>
      <c r="BA189" s="3">
        <f>IF(ISERROR(LEN(VLOOKUP(A189,Seqs!A:E,2,FALSE))-AL189),"-",LEN(VLOOKUP(A189,Seqs!A:E,2,FALSE))-AL189)</f>
        <v>42</v>
      </c>
      <c r="BB189" s="16">
        <f t="shared" si="94"/>
        <v>28</v>
      </c>
      <c r="BC189" s="9">
        <f t="shared" si="95"/>
        <v>20</v>
      </c>
      <c r="BD189" s="3">
        <f t="shared" si="96"/>
        <v>28</v>
      </c>
      <c r="BE189" s="3">
        <f t="shared" si="97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ox2r_human</v>
      </c>
      <c r="C190" s="3">
        <f>VLOOKUP($A190,'SegEnds_NonXtal_BW#'!$A:$Z,3,FALSE)+D190-50</f>
        <v>26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4"/>
        <v>56</v>
      </c>
      <c r="G190" s="3">
        <v>58</v>
      </c>
      <c r="H190" s="3">
        <f t="shared" si="115"/>
        <v>59</v>
      </c>
      <c r="I190" s="3">
        <f t="shared" si="115"/>
        <v>60</v>
      </c>
      <c r="J190" s="3">
        <v>73</v>
      </c>
      <c r="K190" s="3">
        <f>VLOOKUP($A190,'SegEnds_NonXtal_BW#'!$A:$Z,8,FALSE)+VLOOKUP($A190,A:AL,10,FALSE)-50</f>
        <v>90</v>
      </c>
      <c r="L190" s="3">
        <f t="shared" si="116"/>
        <v>92</v>
      </c>
      <c r="M190" s="3">
        <v>93</v>
      </c>
      <c r="N190" s="3">
        <f t="shared" si="117"/>
        <v>95</v>
      </c>
      <c r="O190" s="3">
        <f t="shared" si="118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3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9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100"/>
        <v>1</v>
      </c>
      <c r="AO190" s="3" t="str">
        <f>IF(ISERROR(MATCH(A190,'SegEnds_Xtal_Prot#'!B:B, 0)), "NoXtal", "Xtal")</f>
        <v>NoXtal</v>
      </c>
      <c r="AP190" s="3">
        <f t="shared" si="83"/>
        <v>1</v>
      </c>
      <c r="AQ190" s="3">
        <f t="shared" si="84"/>
        <v>1</v>
      </c>
      <c r="AR190" s="3">
        <f t="shared" si="85"/>
        <v>2</v>
      </c>
      <c r="AS190" s="3">
        <f t="shared" si="86"/>
        <v>1</v>
      </c>
      <c r="AT190" s="3">
        <f t="shared" si="87"/>
        <v>1</v>
      </c>
      <c r="AU190" s="3">
        <f t="shared" si="88"/>
        <v>1</v>
      </c>
      <c r="AV190" s="3">
        <f t="shared" si="89"/>
        <v>11</v>
      </c>
      <c r="AW190" s="3">
        <f t="shared" si="90"/>
        <v>5</v>
      </c>
      <c r="AX190" s="3">
        <f t="shared" si="91"/>
        <v>6</v>
      </c>
      <c r="AY190" s="3">
        <f t="shared" si="92"/>
        <v>6</v>
      </c>
      <c r="AZ190" s="3">
        <f t="shared" si="93"/>
        <v>1</v>
      </c>
      <c r="BA190" s="3">
        <f>IF(ISERROR(LEN(VLOOKUP(A190,Seqs!A:E,2,FALSE))-AL190),"-",LEN(VLOOKUP(A190,Seqs!A:E,2,FALSE))-AL190)</f>
        <v>40</v>
      </c>
      <c r="BB190" s="16">
        <f t="shared" si="94"/>
        <v>28</v>
      </c>
      <c r="BC190" s="9">
        <f t="shared" si="95"/>
        <v>20</v>
      </c>
      <c r="BD190" s="3">
        <f t="shared" si="96"/>
        <v>28</v>
      </c>
      <c r="BE190" s="3">
        <f t="shared" si="97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4"/>
        <v>69</v>
      </c>
      <c r="G191" s="3">
        <v>71</v>
      </c>
      <c r="H191" s="3">
        <f t="shared" si="115"/>
        <v>72</v>
      </c>
      <c r="I191" s="3">
        <f t="shared" si="115"/>
        <v>73</v>
      </c>
      <c r="J191" s="3">
        <v>86</v>
      </c>
      <c r="K191" s="3">
        <f>VLOOKUP($A191,'SegEnds_NonXtal_BW#'!$A:$Z,8,FALSE)+VLOOKUP($A191,A:AL,10,FALSE)-50</f>
        <v>103</v>
      </c>
      <c r="L191" s="3">
        <f t="shared" si="116"/>
        <v>105</v>
      </c>
      <c r="M191" s="3">
        <v>106</v>
      </c>
      <c r="N191" s="3">
        <f t="shared" si="117"/>
        <v>108</v>
      </c>
      <c r="O191" s="3">
        <f t="shared" si="118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3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9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283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100"/>
        <v>1</v>
      </c>
      <c r="AO191" s="3" t="str">
        <f>IF(ISERROR(MATCH(A191,'SegEnds_Xtal_Prot#'!B:B, 0)), "NoXtal", "Xtal")</f>
        <v>NoXtal</v>
      </c>
      <c r="AP191" s="3">
        <f t="shared" si="83"/>
        <v>1</v>
      </c>
      <c r="AQ191" s="3">
        <f t="shared" si="84"/>
        <v>1</v>
      </c>
      <c r="AR191" s="3">
        <f t="shared" si="85"/>
        <v>2</v>
      </c>
      <c r="AS191" s="3">
        <f t="shared" si="86"/>
        <v>1</v>
      </c>
      <c r="AT191" s="3">
        <f t="shared" si="87"/>
        <v>1</v>
      </c>
      <c r="AU191" s="3">
        <f t="shared" si="88"/>
        <v>1</v>
      </c>
      <c r="AV191" s="3">
        <f t="shared" si="89"/>
        <v>11</v>
      </c>
      <c r="AW191" s="3">
        <f t="shared" si="90"/>
        <v>5</v>
      </c>
      <c r="AX191" s="3">
        <f t="shared" si="91"/>
        <v>6</v>
      </c>
      <c r="AY191" s="3">
        <f t="shared" si="92"/>
        <v>6</v>
      </c>
      <c r="AZ191" s="3">
        <f t="shared" si="93"/>
        <v>1</v>
      </c>
      <c r="BA191" s="3">
        <f>IF(ISERROR(LEN(VLOOKUP(A191,Seqs!A:E,2,FALSE))-AL191),"-",LEN(VLOOKUP(A191,Seqs!A:E,2,FALSE))-AL191)</f>
        <v>39</v>
      </c>
      <c r="BB191" s="16">
        <f t="shared" si="94"/>
        <v>28</v>
      </c>
      <c r="BC191" s="9">
        <f t="shared" si="95"/>
        <v>20</v>
      </c>
      <c r="BD191" s="3">
        <f t="shared" si="96"/>
        <v>28</v>
      </c>
      <c r="BE191" s="3">
        <f t="shared" si="97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4"/>
        <v>57</v>
      </c>
      <c r="G192" s="3">
        <v>59</v>
      </c>
      <c r="H192" s="3">
        <f t="shared" si="115"/>
        <v>60</v>
      </c>
      <c r="I192" s="3">
        <f t="shared" si="115"/>
        <v>61</v>
      </c>
      <c r="J192" s="3">
        <v>74</v>
      </c>
      <c r="K192" s="3">
        <f>VLOOKUP($A192,'SegEnds_NonXtal_BW#'!$A:$Z,8,FALSE)+VLOOKUP($A192,A:AL,10,FALSE)-50</f>
        <v>91</v>
      </c>
      <c r="L192" s="3">
        <f t="shared" si="116"/>
        <v>93</v>
      </c>
      <c r="M192" s="3">
        <v>94</v>
      </c>
      <c r="N192" s="3">
        <f t="shared" si="117"/>
        <v>96</v>
      </c>
      <c r="O192" s="3">
        <f t="shared" si="118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3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9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269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100"/>
        <v>1</v>
      </c>
      <c r="AO192" s="3" t="str">
        <f>IF(ISERROR(MATCH(A192,'SegEnds_Xtal_Prot#'!B:B, 0)), "NoXtal", "Xtal")</f>
        <v>NoXtal</v>
      </c>
      <c r="AP192" s="3">
        <f t="shared" si="83"/>
        <v>1</v>
      </c>
      <c r="AQ192" s="3">
        <f t="shared" si="84"/>
        <v>1</v>
      </c>
      <c r="AR192" s="3">
        <f t="shared" si="85"/>
        <v>2</v>
      </c>
      <c r="AS192" s="3">
        <f t="shared" si="86"/>
        <v>1</v>
      </c>
      <c r="AT192" s="3">
        <f t="shared" si="87"/>
        <v>1</v>
      </c>
      <c r="AU192" s="3">
        <f t="shared" si="88"/>
        <v>1</v>
      </c>
      <c r="AV192" s="3">
        <f t="shared" si="89"/>
        <v>11</v>
      </c>
      <c r="AW192" s="3">
        <f t="shared" si="90"/>
        <v>5</v>
      </c>
      <c r="AX192" s="3">
        <f t="shared" si="91"/>
        <v>4</v>
      </c>
      <c r="AY192" s="3">
        <f t="shared" si="92"/>
        <v>6</v>
      </c>
      <c r="AZ192" s="3">
        <f t="shared" si="93"/>
        <v>1</v>
      </c>
      <c r="BA192" s="3">
        <f>IF(ISERROR(LEN(VLOOKUP(A192,Seqs!A:E,2,FALSE))-AL192),"-",LEN(VLOOKUP(A192,Seqs!A:E,2,FALSE))-AL192)</f>
        <v>308</v>
      </c>
      <c r="BB192" s="16">
        <f t="shared" si="94"/>
        <v>28</v>
      </c>
      <c r="BC192" s="9">
        <f t="shared" si="95"/>
        <v>20</v>
      </c>
      <c r="BD192" s="3">
        <f t="shared" si="96"/>
        <v>28</v>
      </c>
      <c r="BE192" s="3">
        <f t="shared" si="97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4"/>
        <v>72</v>
      </c>
      <c r="G193" s="3">
        <v>74</v>
      </c>
      <c r="H193" s="3">
        <f t="shared" si="115"/>
        <v>75</v>
      </c>
      <c r="I193" s="3">
        <f t="shared" si="115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6"/>
        <v>108</v>
      </c>
      <c r="M193" s="3">
        <v>109</v>
      </c>
      <c r="N193" s="3">
        <f t="shared" si="117"/>
        <v>111</v>
      </c>
      <c r="O193" s="3">
        <f t="shared" si="118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3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9"/>
        <v>200</v>
      </c>
      <c r="AA193" s="3">
        <f>IF(ISERROR(VLOOKUP($A193,'SegEnds_NonXtal_BW#'!$A:$Z,19,FALSE)+VLOOKUP($A193,A:AL,28,FALSE)-50),"-",(VLOOKUP($A193,'SegEnds_NonXtal_BW#'!$A:$Z,19,FALSE)+VLOOKUP($A193,A:AL,28,FALSE)-50))</f>
        <v>203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246</v>
      </c>
      <c r="AD193" s="3">
        <f>IF(ISERROR(VLOOKUP($A193,'SegEnds_NonXtal_BW#'!$A:$Z,21,FALSE)+VLOOKUP($A193,A:AL,31,FALSE)-50),"-",(VLOOKUP($A193,'SegEnds_NonXtal_BW#'!$A:$Z,21,FALSE)+VLOOKUP($A193,A:AL,31,FALSE)-50))</f>
        <v>255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100"/>
        <v>1</v>
      </c>
      <c r="AO193" s="3" t="str">
        <f>IF(ISERROR(MATCH(A193,'SegEnds_Xtal_Prot#'!B:B, 0)), "NoXtal", "Xtal")</f>
        <v>NoXtal</v>
      </c>
      <c r="AP193" s="3">
        <f t="shared" si="83"/>
        <v>1</v>
      </c>
      <c r="AQ193" s="3">
        <f t="shared" si="84"/>
        <v>1</v>
      </c>
      <c r="AR193" s="3">
        <f t="shared" si="85"/>
        <v>2</v>
      </c>
      <c r="AS193" s="3">
        <f t="shared" si="86"/>
        <v>1</v>
      </c>
      <c r="AT193" s="3">
        <f t="shared" si="87"/>
        <v>1</v>
      </c>
      <c r="AU193" s="3">
        <f t="shared" si="88"/>
        <v>1</v>
      </c>
      <c r="AV193" s="3">
        <f t="shared" si="89"/>
        <v>16</v>
      </c>
      <c r="AW193" s="3">
        <f t="shared" si="90"/>
        <v>3</v>
      </c>
      <c r="AX193" s="3">
        <f t="shared" si="91"/>
        <v>9</v>
      </c>
      <c r="AY193" s="3">
        <f t="shared" si="92"/>
        <v>7</v>
      </c>
      <c r="AZ193" s="3">
        <f t="shared" si="93"/>
        <v>1</v>
      </c>
      <c r="BA193" s="3">
        <f>IF(ISERROR(LEN(VLOOKUP(A193,Seqs!A:E,2,FALSE))-AL193),"-",LEN(VLOOKUP(A193,Seqs!A:E,2,FALSE))-AL193)</f>
        <v>49</v>
      </c>
      <c r="BB193" s="16">
        <f t="shared" si="94"/>
        <v>28</v>
      </c>
      <c r="BC193" s="9">
        <f t="shared" si="95"/>
        <v>20</v>
      </c>
      <c r="BD193" s="3">
        <f t="shared" si="96"/>
        <v>28</v>
      </c>
      <c r="BE193" s="3">
        <f t="shared" si="97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4"/>
        <v>89</v>
      </c>
      <c r="G194" s="3">
        <v>91</v>
      </c>
      <c r="H194" s="3">
        <f t="shared" si="115"/>
        <v>92</v>
      </c>
      <c r="I194" s="3">
        <f t="shared" si="115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6"/>
        <v>124</v>
      </c>
      <c r="M194" s="3">
        <v>125</v>
      </c>
      <c r="N194" s="3">
        <f t="shared" si="117"/>
        <v>127</v>
      </c>
      <c r="O194" s="3">
        <f t="shared" si="118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3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9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100"/>
        <v>1</v>
      </c>
      <c r="AO194" s="3" t="str">
        <f>IF(ISERROR(MATCH(A194,'SegEnds_Xtal_Prot#'!B:B, 0)), "NoXtal", "Xtal")</f>
        <v>NoXtal</v>
      </c>
      <c r="AP194" s="3">
        <f t="shared" ref="AP194:AP257" si="120">IF(ISERROR(F194-E194),"-",F194-E194)</f>
        <v>1</v>
      </c>
      <c r="AQ194" s="3">
        <f t="shared" ref="AQ194:AQ257" si="121">IF(ISERROR(I194-H194),"-",I194-H194)</f>
        <v>1</v>
      </c>
      <c r="AR194" s="3">
        <f t="shared" ref="AR194:AR257" si="122">IF(ISERROR(L194-K194),"-",L194-K194)</f>
        <v>2</v>
      </c>
      <c r="AS194" s="3">
        <f t="shared" ref="AS194:AS257" si="123">IF(ISERROR(O194-N194),"-",O194-N194)</f>
        <v>1</v>
      </c>
      <c r="AT194" s="3">
        <f t="shared" ref="AT194:AT257" si="124">IF(ISERROR(R194-Q194),"-",R194-Q194)</f>
        <v>1</v>
      </c>
      <c r="AU194" s="3">
        <f t="shared" ref="AU194:AU257" si="125">IF(ISERROR(U194-T194),"-",U194-T194)</f>
        <v>1</v>
      </c>
      <c r="AV194" s="3">
        <f t="shared" ref="AV194:AV257" si="126">IF(ISERROR(X194-W194),"-",X194-W194)</f>
        <v>19</v>
      </c>
      <c r="AW194" s="3">
        <f t="shared" ref="AW194:AW257" si="127">IF(ISERROR(AA194-Z194),"-",AA194-Z194)</f>
        <v>4</v>
      </c>
      <c r="AX194" s="3">
        <f t="shared" ref="AX194:AX257" si="128">IF(ISERROR(AD194-AC194),"-",AD194-AC194)</f>
        <v>17</v>
      </c>
      <c r="AY194" s="3">
        <f t="shared" ref="AY194:AY257" si="129">IF(ISERROR(AG194-AF194),"-",AG194-AF194)</f>
        <v>8</v>
      </c>
      <c r="AZ194" s="3">
        <f t="shared" ref="AZ194:AZ257" si="130">IF(ISERROR(AJ194-AI194),"-",AJ194-AI194)</f>
        <v>1</v>
      </c>
      <c r="BA194" s="3">
        <f>IF(ISERROR(LEN(VLOOKUP(A194,Seqs!A:E,2,FALSE))-AL194),"-",LEN(VLOOKUP(A194,Seqs!A:E,2,FALSE))-AL194)</f>
        <v>55</v>
      </c>
      <c r="BB194" s="16">
        <f t="shared" ref="BB194:BB257" si="131">J194-D194</f>
        <v>28</v>
      </c>
      <c r="BC194" s="9">
        <f t="shared" ref="BC194:BC257" si="132">IF(ISERROR(V194-S194),"-",V194-S194)</f>
        <v>20</v>
      </c>
      <c r="BD194" s="3">
        <f t="shared" ref="BD194:BD257" si="133">J194-D194</f>
        <v>28</v>
      </c>
      <c r="BE194" s="3">
        <f t="shared" ref="BE194:BE257" si="134">AE194-AB194</f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4"/>
        <v>74</v>
      </c>
      <c r="G195" s="3">
        <v>76</v>
      </c>
      <c r="H195" s="3">
        <f t="shared" si="115"/>
        <v>77</v>
      </c>
      <c r="I195" s="3">
        <f t="shared" si="115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6"/>
        <v>109</v>
      </c>
      <c r="M195" s="3">
        <v>110</v>
      </c>
      <c r="N195" s="3">
        <f t="shared" si="117"/>
        <v>112</v>
      </c>
      <c r="O195" s="3">
        <f t="shared" si="118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3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9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100"/>
        <v>1</v>
      </c>
      <c r="AO195" s="3" t="str">
        <f>IF(ISERROR(MATCH(A195,'SegEnds_Xtal_Prot#'!B:B, 0)), "NoXtal", "Xtal")</f>
        <v>NoXtal</v>
      </c>
      <c r="AP195" s="3">
        <f t="shared" si="120"/>
        <v>1</v>
      </c>
      <c r="AQ195" s="3">
        <f t="shared" si="121"/>
        <v>1</v>
      </c>
      <c r="AR195" s="3">
        <f t="shared" si="122"/>
        <v>2</v>
      </c>
      <c r="AS195" s="3">
        <f t="shared" si="123"/>
        <v>1</v>
      </c>
      <c r="AT195" s="3">
        <f t="shared" si="124"/>
        <v>1</v>
      </c>
      <c r="AU195" s="3">
        <f t="shared" si="125"/>
        <v>1</v>
      </c>
      <c r="AV195" s="3">
        <f t="shared" si="126"/>
        <v>19</v>
      </c>
      <c r="AW195" s="3">
        <f t="shared" si="127"/>
        <v>4</v>
      </c>
      <c r="AX195" s="3">
        <f t="shared" si="128"/>
        <v>4</v>
      </c>
      <c r="AY195" s="3">
        <f t="shared" si="129"/>
        <v>8</v>
      </c>
      <c r="AZ195" s="3">
        <f t="shared" si="130"/>
        <v>1</v>
      </c>
      <c r="BA195" s="3">
        <f>IF(ISERROR(LEN(VLOOKUP(A195,Seqs!A:E,2,FALSE))-AL195),"-",LEN(VLOOKUP(A195,Seqs!A:E,2,FALSE))-AL195)</f>
        <v>73</v>
      </c>
      <c r="BB195" s="16">
        <f t="shared" si="131"/>
        <v>28</v>
      </c>
      <c r="BC195" s="9">
        <f t="shared" si="132"/>
        <v>20</v>
      </c>
      <c r="BD195" s="3">
        <f t="shared" si="133"/>
        <v>28</v>
      </c>
      <c r="BE195" s="3">
        <f t="shared" si="134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4"/>
        <v>92</v>
      </c>
      <c r="G196" s="3">
        <v>94</v>
      </c>
      <c r="H196" s="3">
        <f t="shared" si="115"/>
        <v>95</v>
      </c>
      <c r="I196" s="3">
        <f t="shared" si="115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6"/>
        <v>133</v>
      </c>
      <c r="M196" s="3">
        <v>134</v>
      </c>
      <c r="N196" s="3">
        <f t="shared" si="117"/>
        <v>136</v>
      </c>
      <c r="O196" s="3">
        <f t="shared" si="118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3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9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100"/>
        <v>1</v>
      </c>
      <c r="AO196" s="3" t="str">
        <f>IF(ISERROR(MATCH(A196,'SegEnds_Xtal_Prot#'!B:B, 0)), "NoXtal", "Xtal")</f>
        <v>NoXtal</v>
      </c>
      <c r="AP196" s="3">
        <f t="shared" si="120"/>
        <v>1</v>
      </c>
      <c r="AQ196" s="3">
        <f t="shared" si="121"/>
        <v>1</v>
      </c>
      <c r="AR196" s="3">
        <f t="shared" si="122"/>
        <v>3</v>
      </c>
      <c r="AS196" s="3">
        <f t="shared" si="123"/>
        <v>1</v>
      </c>
      <c r="AT196" s="3">
        <f t="shared" si="124"/>
        <v>1</v>
      </c>
      <c r="AU196" s="3">
        <f t="shared" si="125"/>
        <v>1</v>
      </c>
      <c r="AV196" s="3">
        <f t="shared" si="126"/>
        <v>17</v>
      </c>
      <c r="AW196" s="3">
        <f t="shared" si="127"/>
        <v>4</v>
      </c>
      <c r="AX196" s="3">
        <f t="shared" si="128"/>
        <v>18</v>
      </c>
      <c r="AY196" s="3">
        <f t="shared" si="129"/>
        <v>6</v>
      </c>
      <c r="AZ196" s="3">
        <f t="shared" si="130"/>
        <v>1</v>
      </c>
      <c r="BA196" s="3">
        <f>IF(ISERROR(LEN(VLOOKUP(A196,Seqs!A:E,2,FALSE))-AL196),"-",LEN(VLOOKUP(A196,Seqs!A:E,2,FALSE))-AL196)</f>
        <v>39</v>
      </c>
      <c r="BB196" s="16">
        <f t="shared" si="131"/>
        <v>31</v>
      </c>
      <c r="BC196" s="9">
        <f t="shared" si="132"/>
        <v>20</v>
      </c>
      <c r="BD196" s="3">
        <f t="shared" si="133"/>
        <v>31</v>
      </c>
      <c r="BE196" s="3">
        <f t="shared" si="134"/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4"/>
        <v>93</v>
      </c>
      <c r="G197" s="3">
        <v>95</v>
      </c>
      <c r="H197" s="3">
        <f t="shared" si="115"/>
        <v>96</v>
      </c>
      <c r="I197" s="3">
        <f t="shared" si="115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8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3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9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si="100"/>
        <v>1</v>
      </c>
      <c r="AO197" s="3" t="str">
        <f>IF(ISERROR(MATCH(A197,'SegEnds_Xtal_Prot#'!B:B, 0)), "NoXtal", "Xtal")</f>
        <v>Xtal</v>
      </c>
      <c r="AP197" s="3">
        <f t="shared" si="120"/>
        <v>1</v>
      </c>
      <c r="AQ197" s="3">
        <f t="shared" si="121"/>
        <v>1</v>
      </c>
      <c r="AR197" s="3">
        <f t="shared" si="122"/>
        <v>3</v>
      </c>
      <c r="AS197" s="3">
        <f t="shared" si="123"/>
        <v>1</v>
      </c>
      <c r="AT197" s="3">
        <f t="shared" si="124"/>
        <v>1</v>
      </c>
      <c r="AU197" s="3">
        <f t="shared" si="125"/>
        <v>1</v>
      </c>
      <c r="AV197" s="3">
        <f t="shared" si="126"/>
        <v>17</v>
      </c>
      <c r="AW197" s="3">
        <f t="shared" si="127"/>
        <v>4</v>
      </c>
      <c r="AX197" s="3">
        <f t="shared" si="128"/>
        <v>22</v>
      </c>
      <c r="AY197" s="3">
        <f t="shared" si="129"/>
        <v>6</v>
      </c>
      <c r="AZ197" s="3">
        <f t="shared" si="130"/>
        <v>1</v>
      </c>
      <c r="BA197" s="3">
        <f>IF(ISERROR(LEN(VLOOKUP(A197,Seqs!A:E,2,FALSE))-AL197),"-",LEN(VLOOKUP(A197,Seqs!A:E,2,FALSE))-AL197)</f>
        <v>40</v>
      </c>
      <c r="BB197" s="16">
        <f t="shared" si="131"/>
        <v>31</v>
      </c>
      <c r="BC197" s="9">
        <f t="shared" si="132"/>
        <v>20</v>
      </c>
      <c r="BD197" s="3">
        <f t="shared" si="133"/>
        <v>31</v>
      </c>
      <c r="BE197" s="3">
        <f t="shared" si="134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8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3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9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ref="AN198:AN261" si="135">AND(IF(Y198="-",IF(AA198-W198&gt;3,TRUE,FALSE),TRUE),IF(M198="-",IF(O198-K198&gt;3,TRUE,FALSE),TRUE),C198&lt;E198,OR(E198&lt;F198,F198="-"),OR(F198&lt;H198,F198="-"),OR(H198&lt;I198,H198="-"),I198&lt;K198,OR(K198&lt;L198,L198="-"),OR(L198&lt;N198,L198="-"),OR(N198&lt;O198,N198="-"),O198&lt;Q198,OR(Q198&lt;R198,R198="-"),OR(R198&lt;T198,R198="-"),OR(T198&lt;U198,T198="-"),U198&lt;W198,OR(W198&lt;X198,X198="-"),OR(X198&lt;Z198,X198="-"),OR(Z198&lt;AA198,Z198="-"),AA198&lt;AC198,AC198&lt;AD198,AD198&lt;AF198,AF198&lt;AG198,AG198&lt;AI198,OR(AI198&lt;AJ198,AJ198="-"),OR(AJ198&lt;AL198,AJ198="-"))</f>
        <v>1</v>
      </c>
      <c r="AO198" s="3" t="str">
        <f>IF(ISERROR(MATCH(A198,'SegEnds_Xtal_Prot#'!B:B, 0)), "NoXtal", "Xtal")</f>
        <v>NoXtal</v>
      </c>
      <c r="AP198" s="3" t="str">
        <f t="shared" si="120"/>
        <v>-</v>
      </c>
      <c r="AQ198" s="3" t="str">
        <f t="shared" si="121"/>
        <v>-</v>
      </c>
      <c r="AR198" s="3">
        <f t="shared" si="122"/>
        <v>3</v>
      </c>
      <c r="AS198" s="3">
        <f t="shared" si="123"/>
        <v>1</v>
      </c>
      <c r="AT198" s="3">
        <f t="shared" si="124"/>
        <v>1</v>
      </c>
      <c r="AU198" s="3">
        <f t="shared" si="125"/>
        <v>1</v>
      </c>
      <c r="AV198" s="3">
        <f t="shared" si="126"/>
        <v>20</v>
      </c>
      <c r="AW198" s="3">
        <f t="shared" si="127"/>
        <v>4</v>
      </c>
      <c r="AX198" s="3">
        <f t="shared" si="128"/>
        <v>44</v>
      </c>
      <c r="AY198" s="3">
        <f t="shared" si="129"/>
        <v>6</v>
      </c>
      <c r="AZ198" s="3">
        <f t="shared" si="130"/>
        <v>1</v>
      </c>
      <c r="BA198" s="3">
        <f>IF(ISERROR(LEN(VLOOKUP(A198,Seqs!A:E,2,FALSE))-AL198),"-",LEN(VLOOKUP(A198,Seqs!A:E,2,FALSE))-AL198)</f>
        <v>37</v>
      </c>
      <c r="BB198" s="16">
        <f t="shared" si="131"/>
        <v>29</v>
      </c>
      <c r="BC198" s="9">
        <f t="shared" si="132"/>
        <v>20</v>
      </c>
      <c r="BD198" s="3">
        <f t="shared" si="133"/>
        <v>29</v>
      </c>
      <c r="BE198" s="3">
        <f t="shared" si="134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agtr1_human</v>
      </c>
      <c r="C199" s="3">
        <f>VLOOKUP($A199,'SegEnds_NonXtal_BW#'!$A:$Z,3,FALSE)+D199-50</f>
        <v>19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8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3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9"/>
        <v>174</v>
      </c>
      <c r="AA199" s="3">
        <f>IF(ISERROR(VLOOKUP($A199,'SegEnds_NonXtal_BW#'!$A:$Z,19,FALSE)+VLOOKUP($A199,A:AL,28,FALSE)-50),"-",(VLOOKUP($A199,'SegEnds_NonXtal_BW#'!$A:$Z,19,FALSE)+VLOOKUP($A199,A:AL,28,FALSE)-50))</f>
        <v>181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5"/>
        <v>1</v>
      </c>
      <c r="AO199" s="3" t="str">
        <f>IF(ISERROR(MATCH(A199,'SegEnds_Xtal_Prot#'!B:B, 0)), "NoXtal", "Xtal")</f>
        <v>NoXtal</v>
      </c>
      <c r="AP199" s="3">
        <f t="shared" si="120"/>
        <v>1</v>
      </c>
      <c r="AQ199" s="3">
        <f t="shared" si="121"/>
        <v>1</v>
      </c>
      <c r="AR199" s="3">
        <f t="shared" si="122"/>
        <v>3</v>
      </c>
      <c r="AS199" s="3">
        <f t="shared" si="123"/>
        <v>1</v>
      </c>
      <c r="AT199" s="3">
        <f t="shared" si="124"/>
        <v>1</v>
      </c>
      <c r="AU199" s="3">
        <f t="shared" si="125"/>
        <v>1</v>
      </c>
      <c r="AV199" s="3">
        <f t="shared" si="126"/>
        <v>12</v>
      </c>
      <c r="AW199" s="3">
        <f t="shared" si="127"/>
        <v>7</v>
      </c>
      <c r="AX199" s="3">
        <f t="shared" si="128"/>
        <v>5</v>
      </c>
      <c r="AY199" s="3">
        <f t="shared" si="129"/>
        <v>7</v>
      </c>
      <c r="AZ199" s="3">
        <f t="shared" si="130"/>
        <v>1</v>
      </c>
      <c r="BA199" s="3">
        <f>IF(ISERROR(LEN(VLOOKUP(A199,Seqs!A:E,2,FALSE))-AL199),"-",LEN(VLOOKUP(A199,Seqs!A:E,2,FALSE))-AL199)</f>
        <v>61</v>
      </c>
      <c r="BB199" s="16">
        <f t="shared" si="131"/>
        <v>28</v>
      </c>
      <c r="BC199" s="9">
        <f t="shared" si="132"/>
        <v>20</v>
      </c>
      <c r="BD199" s="3">
        <f t="shared" si="133"/>
        <v>28</v>
      </c>
      <c r="BE199" s="3">
        <f t="shared" si="134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6">G200-2</f>
        <v>99</v>
      </c>
      <c r="G200" s="3">
        <v>101</v>
      </c>
      <c r="H200" s="3">
        <f t="shared" ref="H200:I208" si="137">G200+1</f>
        <v>102</v>
      </c>
      <c r="I200" s="3">
        <f t="shared" si="137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8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3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9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5"/>
        <v>1</v>
      </c>
      <c r="AO200" s="3" t="str">
        <f>IF(ISERROR(MATCH(A200,'SegEnds_Xtal_Prot#'!B:B, 0)), "NoXtal", "Xtal")</f>
        <v>NoXtal</v>
      </c>
      <c r="AP200" s="3">
        <f t="shared" si="120"/>
        <v>1</v>
      </c>
      <c r="AQ200" s="3">
        <f t="shared" si="121"/>
        <v>1</v>
      </c>
      <c r="AR200" s="3">
        <f t="shared" si="122"/>
        <v>1</v>
      </c>
      <c r="AS200" s="3">
        <f t="shared" si="123"/>
        <v>1</v>
      </c>
      <c r="AT200" s="3">
        <f t="shared" si="124"/>
        <v>1</v>
      </c>
      <c r="AU200" s="3">
        <f t="shared" si="125"/>
        <v>1</v>
      </c>
      <c r="AV200" s="3">
        <f t="shared" si="126"/>
        <v>14</v>
      </c>
      <c r="AW200" s="3">
        <f t="shared" si="127"/>
        <v>8</v>
      </c>
      <c r="AX200" s="3">
        <f t="shared" si="128"/>
        <v>11</v>
      </c>
      <c r="AY200" s="3">
        <f t="shared" si="129"/>
        <v>6</v>
      </c>
      <c r="AZ200" s="3">
        <f t="shared" si="130"/>
        <v>1</v>
      </c>
      <c r="BA200" s="3">
        <f>IF(ISERROR(LEN(VLOOKUP(A200,Seqs!A:E,2,FALSE))-AL200),"-",LEN(VLOOKUP(A200,Seqs!A:E,2,FALSE))-AL200)</f>
        <v>112</v>
      </c>
      <c r="BB200" s="16">
        <f t="shared" si="131"/>
        <v>28</v>
      </c>
      <c r="BC200" s="9">
        <f t="shared" si="132"/>
        <v>20</v>
      </c>
      <c r="BD200" s="3">
        <f t="shared" si="133"/>
        <v>28</v>
      </c>
      <c r="BE200" s="3">
        <f t="shared" si="134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6"/>
        <v>78</v>
      </c>
      <c r="G201" s="3">
        <v>80</v>
      </c>
      <c r="H201" s="3">
        <f t="shared" si="137"/>
        <v>81</v>
      </c>
      <c r="I201" s="3">
        <f t="shared" si="137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8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3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9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5"/>
        <v>1</v>
      </c>
      <c r="AO201" s="3" t="str">
        <f>IF(ISERROR(MATCH(A201,'SegEnds_Xtal_Prot#'!B:B, 0)), "NoXtal", "Xtal")</f>
        <v>Xtal</v>
      </c>
      <c r="AP201" s="3">
        <f t="shared" si="120"/>
        <v>1</v>
      </c>
      <c r="AQ201" s="3">
        <f t="shared" si="121"/>
        <v>1</v>
      </c>
      <c r="AR201" s="3">
        <f t="shared" si="122"/>
        <v>2</v>
      </c>
      <c r="AS201" s="3">
        <f t="shared" si="123"/>
        <v>1</v>
      </c>
      <c r="AT201" s="3">
        <f t="shared" si="124"/>
        <v>1</v>
      </c>
      <c r="AU201" s="3">
        <f t="shared" si="125"/>
        <v>1</v>
      </c>
      <c r="AV201" s="3">
        <f t="shared" si="126"/>
        <v>11</v>
      </c>
      <c r="AW201" s="3">
        <f t="shared" si="127"/>
        <v>6</v>
      </c>
      <c r="AX201" s="3">
        <f t="shared" si="128"/>
        <v>6</v>
      </c>
      <c r="AY201" s="3">
        <f t="shared" si="129"/>
        <v>6</v>
      </c>
      <c r="AZ201" s="3">
        <f t="shared" si="130"/>
        <v>1</v>
      </c>
      <c r="BA201" s="3">
        <f>IF(ISERROR(LEN(VLOOKUP(A201,Seqs!A:E,2,FALSE))-AL201),"-",LEN(VLOOKUP(A201,Seqs!A:E,2,FALSE))-AL201)</f>
        <v>37</v>
      </c>
      <c r="BB201" s="16">
        <f t="shared" si="131"/>
        <v>28</v>
      </c>
      <c r="BC201" s="9">
        <f t="shared" si="132"/>
        <v>20</v>
      </c>
      <c r="BD201" s="3">
        <f t="shared" si="133"/>
        <v>28</v>
      </c>
      <c r="BE201" s="3">
        <f t="shared" si="134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oprd_human</v>
      </c>
      <c r="C202" s="3">
        <f>VLOOKUP($A202,'SegEnds_NonXtal_BW#'!$A:$Z,3,FALSE)+D202-50</f>
        <v>39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6"/>
        <v>78</v>
      </c>
      <c r="G202" s="3">
        <v>80</v>
      </c>
      <c r="H202" s="3">
        <f t="shared" si="137"/>
        <v>81</v>
      </c>
      <c r="I202" s="3">
        <f t="shared" si="137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8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3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9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5"/>
        <v>1</v>
      </c>
      <c r="AO202" s="3" t="str">
        <f>IF(ISERROR(MATCH(A202,'SegEnds_Xtal_Prot#'!B:B, 0)), "NoXtal", "Xtal")</f>
        <v>Xtal</v>
      </c>
      <c r="AP202" s="3">
        <f t="shared" si="120"/>
        <v>1</v>
      </c>
      <c r="AQ202" s="3">
        <f t="shared" si="121"/>
        <v>1</v>
      </c>
      <c r="AR202" s="3">
        <f t="shared" si="122"/>
        <v>2</v>
      </c>
      <c r="AS202" s="3">
        <f t="shared" si="123"/>
        <v>1</v>
      </c>
      <c r="AT202" s="3">
        <f t="shared" si="124"/>
        <v>1</v>
      </c>
      <c r="AU202" s="3">
        <f t="shared" si="125"/>
        <v>1</v>
      </c>
      <c r="AV202" s="3">
        <f t="shared" si="126"/>
        <v>11</v>
      </c>
      <c r="AW202" s="3">
        <f t="shared" si="127"/>
        <v>6</v>
      </c>
      <c r="AX202" s="3">
        <f t="shared" si="128"/>
        <v>6</v>
      </c>
      <c r="AY202" s="3">
        <f t="shared" si="129"/>
        <v>6</v>
      </c>
      <c r="AZ202" s="3">
        <f t="shared" si="130"/>
        <v>1</v>
      </c>
      <c r="BA202" s="3">
        <f>IF(ISERROR(LEN(VLOOKUP(A202,Seqs!A:E,2,FALSE))-AL202),"-",LEN(VLOOKUP(A202,Seqs!A:E,2,FALSE))-AL202)</f>
        <v>37</v>
      </c>
      <c r="BB202" s="16">
        <f t="shared" si="131"/>
        <v>28</v>
      </c>
      <c r="BC202" s="9">
        <f t="shared" si="132"/>
        <v>20</v>
      </c>
      <c r="BD202" s="3">
        <f t="shared" si="133"/>
        <v>28</v>
      </c>
      <c r="BE202" s="3">
        <f t="shared" si="134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6"/>
        <v>88</v>
      </c>
      <c r="G203" s="3">
        <v>90</v>
      </c>
      <c r="H203" s="3">
        <f t="shared" si="137"/>
        <v>91</v>
      </c>
      <c r="I203" s="3">
        <f t="shared" si="137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8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3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9"/>
        <v>212</v>
      </c>
      <c r="AA203" s="3">
        <f>IF(ISERROR(VLOOKUP($A203,'SegEnds_NonXtal_BW#'!$A:$Z,19,FALSE)+VLOOKUP($A203,A:AL,28,FALSE)-50),"-",(VLOOKUP($A203,'SegEnds_NonXtal_BW#'!$A:$Z,19,FALSE)+VLOOKUP($A203,A:AL,28,FALSE)-50))</f>
        <v>219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5"/>
        <v>1</v>
      </c>
      <c r="AO203" s="3" t="str">
        <f>IF(ISERROR(MATCH(A203,'SegEnds_Xtal_Prot#'!B:B, 0)), "NoXtal", "Xtal")</f>
        <v>Xtal</v>
      </c>
      <c r="AP203" s="3">
        <f t="shared" si="120"/>
        <v>1</v>
      </c>
      <c r="AQ203" s="3">
        <f t="shared" si="121"/>
        <v>1</v>
      </c>
      <c r="AR203" s="3">
        <f t="shared" si="122"/>
        <v>2</v>
      </c>
      <c r="AS203" s="3">
        <f t="shared" si="123"/>
        <v>1</v>
      </c>
      <c r="AT203" s="3">
        <f t="shared" si="124"/>
        <v>1</v>
      </c>
      <c r="AU203" s="3">
        <f t="shared" si="125"/>
        <v>1</v>
      </c>
      <c r="AV203" s="3">
        <f t="shared" si="126"/>
        <v>13</v>
      </c>
      <c r="AW203" s="3">
        <f t="shared" si="127"/>
        <v>7</v>
      </c>
      <c r="AX203" s="3">
        <f t="shared" si="128"/>
        <v>6</v>
      </c>
      <c r="AY203" s="3">
        <f t="shared" si="129"/>
        <v>5</v>
      </c>
      <c r="AZ203" s="3">
        <f t="shared" si="130"/>
        <v>1</v>
      </c>
      <c r="BA203" s="3">
        <f>IF(ISERROR(LEN(VLOOKUP(A203,Seqs!A:E,2,FALSE))-AL203),"-",LEN(VLOOKUP(A203,Seqs!A:E,2,FALSE))-AL203)</f>
        <v>34</v>
      </c>
      <c r="BB203" s="16">
        <f t="shared" si="131"/>
        <v>28</v>
      </c>
      <c r="BC203" s="9">
        <f t="shared" si="132"/>
        <v>20</v>
      </c>
      <c r="BD203" s="3">
        <f t="shared" si="133"/>
        <v>28</v>
      </c>
      <c r="BE203" s="3">
        <f t="shared" si="134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6"/>
        <v>99</v>
      </c>
      <c r="G204" s="3">
        <v>101</v>
      </c>
      <c r="H204" s="3">
        <f t="shared" si="137"/>
        <v>102</v>
      </c>
      <c r="I204" s="3">
        <f t="shared" si="137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8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3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9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5"/>
        <v>1</v>
      </c>
      <c r="AO204" s="3" t="str">
        <f>IF(ISERROR(MATCH(A204,'SegEnds_Xtal_Prot#'!B:B, 0)), "NoXtal", "Xtal")</f>
        <v>NoXtal</v>
      </c>
      <c r="AP204" s="3">
        <f t="shared" si="120"/>
        <v>1</v>
      </c>
      <c r="AQ204" s="3">
        <f t="shared" si="121"/>
        <v>1</v>
      </c>
      <c r="AR204" s="3">
        <f t="shared" si="122"/>
        <v>2</v>
      </c>
      <c r="AS204" s="3">
        <f t="shared" si="123"/>
        <v>1</v>
      </c>
      <c r="AT204" s="3">
        <f t="shared" si="124"/>
        <v>1</v>
      </c>
      <c r="AU204" s="3">
        <f t="shared" si="125"/>
        <v>1</v>
      </c>
      <c r="AV204" s="3">
        <f t="shared" si="126"/>
        <v>11</v>
      </c>
      <c r="AW204" s="3">
        <f t="shared" si="127"/>
        <v>6</v>
      </c>
      <c r="AX204" s="3">
        <f t="shared" si="128"/>
        <v>6</v>
      </c>
      <c r="AY204" s="3">
        <f t="shared" si="129"/>
        <v>5</v>
      </c>
      <c r="AZ204" s="3">
        <f t="shared" si="130"/>
        <v>1</v>
      </c>
      <c r="BA204" s="3">
        <f>IF(ISERROR(LEN(VLOOKUP(A204,Seqs!A:E,2,FALSE))-AL204),"-",LEN(VLOOKUP(A204,Seqs!A:E,2,FALSE))-AL204)</f>
        <v>46</v>
      </c>
      <c r="BB204" s="16">
        <f t="shared" si="131"/>
        <v>28</v>
      </c>
      <c r="BC204" s="9">
        <f t="shared" si="132"/>
        <v>20</v>
      </c>
      <c r="BD204" s="3">
        <f t="shared" si="133"/>
        <v>28</v>
      </c>
      <c r="BE204" s="3">
        <f t="shared" si="134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6"/>
        <v>97</v>
      </c>
      <c r="G205" s="3">
        <v>99</v>
      </c>
      <c r="H205" s="3">
        <f t="shared" si="137"/>
        <v>100</v>
      </c>
      <c r="I205" s="3">
        <f t="shared" si="137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8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3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9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5"/>
        <v>1</v>
      </c>
      <c r="AO205" s="3" t="str">
        <f>IF(ISERROR(MATCH(A205,'SegEnds_Xtal_Prot#'!B:B, 0)), "NoXtal", "Xtal")</f>
        <v>Xtal</v>
      </c>
      <c r="AP205" s="3">
        <f t="shared" si="120"/>
        <v>1</v>
      </c>
      <c r="AQ205" s="3">
        <f t="shared" si="121"/>
        <v>1</v>
      </c>
      <c r="AR205" s="3">
        <f t="shared" si="122"/>
        <v>2</v>
      </c>
      <c r="AS205" s="3">
        <f t="shared" si="123"/>
        <v>1</v>
      </c>
      <c r="AT205" s="3">
        <f t="shared" si="124"/>
        <v>1</v>
      </c>
      <c r="AU205" s="3">
        <f t="shared" si="125"/>
        <v>1</v>
      </c>
      <c r="AV205" s="3">
        <f t="shared" si="126"/>
        <v>11</v>
      </c>
      <c r="AW205" s="3">
        <f t="shared" si="127"/>
        <v>6</v>
      </c>
      <c r="AX205" s="3">
        <f t="shared" si="128"/>
        <v>6</v>
      </c>
      <c r="AY205" s="3">
        <f t="shared" si="129"/>
        <v>5</v>
      </c>
      <c r="AZ205" s="3">
        <f t="shared" si="130"/>
        <v>1</v>
      </c>
      <c r="BA205" s="3">
        <f>IF(ISERROR(LEN(VLOOKUP(A205,Seqs!A:E,2,FALSE))-AL205),"-",LEN(VLOOKUP(A205,Seqs!A:E,2,FALSE))-AL205)</f>
        <v>46</v>
      </c>
      <c r="BB205" s="16">
        <f t="shared" si="131"/>
        <v>28</v>
      </c>
      <c r="BC205" s="9">
        <f t="shared" si="132"/>
        <v>20</v>
      </c>
      <c r="BD205" s="3">
        <f t="shared" si="133"/>
        <v>28</v>
      </c>
      <c r="BE205" s="3">
        <f t="shared" si="134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6"/>
        <v>80</v>
      </c>
      <c r="G206" s="3">
        <v>82</v>
      </c>
      <c r="H206" s="3">
        <f t="shared" si="137"/>
        <v>83</v>
      </c>
      <c r="I206" s="3">
        <f t="shared" si="137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8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3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9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5"/>
        <v>1</v>
      </c>
      <c r="AO206" s="3" t="str">
        <f>IF(ISERROR(MATCH(A206,'SegEnds_Xtal_Prot#'!B:B, 0)), "NoXtal", "Xtal")</f>
        <v>Xtal</v>
      </c>
      <c r="AP206" s="3">
        <f t="shared" si="120"/>
        <v>1</v>
      </c>
      <c r="AQ206" s="3">
        <f t="shared" si="121"/>
        <v>1</v>
      </c>
      <c r="AR206" s="3">
        <f t="shared" si="122"/>
        <v>2</v>
      </c>
      <c r="AS206" s="3">
        <f t="shared" si="123"/>
        <v>1</v>
      </c>
      <c r="AT206" s="3">
        <f t="shared" si="124"/>
        <v>1</v>
      </c>
      <c r="AU206" s="3">
        <f t="shared" si="125"/>
        <v>1</v>
      </c>
      <c r="AV206" s="3">
        <f t="shared" si="126"/>
        <v>11</v>
      </c>
      <c r="AW206" s="3">
        <f t="shared" si="127"/>
        <v>6</v>
      </c>
      <c r="AX206" s="3">
        <f t="shared" si="128"/>
        <v>6</v>
      </c>
      <c r="AY206" s="3">
        <f t="shared" si="129"/>
        <v>5</v>
      </c>
      <c r="AZ206" s="3">
        <f t="shared" si="130"/>
        <v>1</v>
      </c>
      <c r="BA206" s="3">
        <f>IF(ISERROR(LEN(VLOOKUP(A206,Seqs!A:E,2,FALSE))-AL206),"-",LEN(VLOOKUP(A206,Seqs!A:E,2,FALSE))-AL206)</f>
        <v>35</v>
      </c>
      <c r="BB206" s="16">
        <f t="shared" si="131"/>
        <v>28</v>
      </c>
      <c r="BC206" s="9">
        <f t="shared" si="132"/>
        <v>20</v>
      </c>
      <c r="BD206" s="3">
        <f t="shared" si="133"/>
        <v>28</v>
      </c>
      <c r="BE206" s="3">
        <f t="shared" si="134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6"/>
        <v>63</v>
      </c>
      <c r="G207" s="3">
        <v>65</v>
      </c>
      <c r="H207" s="3">
        <f t="shared" si="137"/>
        <v>66</v>
      </c>
      <c r="I207" s="3">
        <f t="shared" si="137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8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3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9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5"/>
        <v>1</v>
      </c>
      <c r="AO207" s="3" t="str">
        <f>IF(ISERROR(MATCH(A207,'SegEnds_Xtal_Prot#'!B:B, 0)), "NoXtal", "Xtal")</f>
        <v>Xtal</v>
      </c>
      <c r="AP207" s="3">
        <f t="shared" si="120"/>
        <v>1</v>
      </c>
      <c r="AQ207" s="3">
        <f t="shared" si="121"/>
        <v>1</v>
      </c>
      <c r="AR207" s="3">
        <f t="shared" si="122"/>
        <v>1</v>
      </c>
      <c r="AS207" s="3">
        <f t="shared" si="123"/>
        <v>1</v>
      </c>
      <c r="AT207" s="3">
        <f t="shared" si="124"/>
        <v>1</v>
      </c>
      <c r="AU207" s="3">
        <f t="shared" si="125"/>
        <v>1</v>
      </c>
      <c r="AV207" s="3">
        <f t="shared" si="126"/>
        <v>14</v>
      </c>
      <c r="AW207" s="3">
        <f t="shared" si="127"/>
        <v>6</v>
      </c>
      <c r="AX207" s="3">
        <f t="shared" si="128"/>
        <v>5</v>
      </c>
      <c r="AY207" s="3">
        <f t="shared" si="129"/>
        <v>6</v>
      </c>
      <c r="AZ207" s="3">
        <f t="shared" si="130"/>
        <v>1</v>
      </c>
      <c r="BA207" s="3">
        <f>IF(ISERROR(LEN(VLOOKUP(A207,Seqs!A:E,2,FALSE))-AL207),"-",LEN(VLOOKUP(A207,Seqs!A:E,2,FALSE))-AL207)</f>
        <v>118</v>
      </c>
      <c r="BB207" s="16">
        <f t="shared" si="131"/>
        <v>28</v>
      </c>
      <c r="BC207" s="9">
        <f t="shared" si="132"/>
        <v>20</v>
      </c>
      <c r="BD207" s="3">
        <f t="shared" si="133"/>
        <v>28</v>
      </c>
      <c r="BE207" s="3">
        <f t="shared" si="134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oprk_human</v>
      </c>
      <c r="C208" s="3">
        <f>VLOOKUP($A208,'SegEnds_NonXtal_BW#'!$A:$Z,3,FALSE)+D208-50</f>
        <v>90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6"/>
        <v>121</v>
      </c>
      <c r="G208" s="3">
        <v>123</v>
      </c>
      <c r="H208" s="3">
        <f t="shared" si="137"/>
        <v>124</v>
      </c>
      <c r="I208" s="3">
        <f t="shared" si="137"/>
        <v>125</v>
      </c>
      <c r="J208" s="3">
        <v>138</v>
      </c>
      <c r="K208" s="3">
        <f>VLOOKUP($A208,'SegEnds_NonXtal_BW#'!$A:$Z,8,FALSE)+VLOOKUP($A208,A:AL,10,FALSE)-50</f>
        <v>154</v>
      </c>
      <c r="L208" s="3">
        <f t="shared" ref="L208:L214" si="138">M208-1</f>
        <v>157</v>
      </c>
      <c r="M208" s="3">
        <v>158</v>
      </c>
      <c r="N208" s="3">
        <f t="shared" ref="N208:N214" si="139">M208+2</f>
        <v>160</v>
      </c>
      <c r="O208" s="3">
        <f t="shared" si="118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3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9"/>
        <v>239</v>
      </c>
      <c r="AA208" s="3">
        <f>IF(ISERROR(VLOOKUP($A208,'SegEnds_NonXtal_BW#'!$A:$Z,19,FALSE)+VLOOKUP($A208,A:AL,28,FALSE)-50),"-",(VLOOKUP($A208,'SegEnds_NonXtal_BW#'!$A:$Z,19,FALSE)+VLOOKUP($A208,A:AL,28,FALSE)-50))</f>
        <v>245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371</v>
      </c>
      <c r="AM208" s="28" t="str">
        <f>VLOOKUP(A208,Classification!A:B,2,FALSE)</f>
        <v>A</v>
      </c>
      <c r="AN208" s="28" t="b">
        <f t="shared" si="135"/>
        <v>1</v>
      </c>
      <c r="AO208" s="3" t="str">
        <f>IF(ISERROR(MATCH(A208,'SegEnds_Xtal_Prot#'!B:B, 0)), "NoXtal", "Xtal")</f>
        <v>NoXtal</v>
      </c>
      <c r="AP208" s="3">
        <f t="shared" si="120"/>
        <v>1</v>
      </c>
      <c r="AQ208" s="3">
        <f t="shared" si="121"/>
        <v>1</v>
      </c>
      <c r="AR208" s="3">
        <f t="shared" si="122"/>
        <v>3</v>
      </c>
      <c r="AS208" s="3">
        <f t="shared" si="123"/>
        <v>1</v>
      </c>
      <c r="AT208" s="3">
        <f t="shared" si="124"/>
        <v>1</v>
      </c>
      <c r="AU208" s="3">
        <f t="shared" si="125"/>
        <v>1</v>
      </c>
      <c r="AV208" s="3">
        <f t="shared" si="126"/>
        <v>6</v>
      </c>
      <c r="AW208" s="3">
        <f t="shared" si="127"/>
        <v>6</v>
      </c>
      <c r="AX208" s="3">
        <f t="shared" si="128"/>
        <v>5</v>
      </c>
      <c r="AY208" s="3">
        <f t="shared" si="129"/>
        <v>9</v>
      </c>
      <c r="AZ208" s="3">
        <f t="shared" si="130"/>
        <v>1</v>
      </c>
      <c r="BA208" s="3">
        <f>IF(ISERROR(LEN(VLOOKUP(A208,Seqs!A:E,2,FALSE))-AL208),"-",LEN(VLOOKUP(A208,Seqs!A:E,2,FALSE))-AL208)</f>
        <v>52</v>
      </c>
      <c r="BB208" s="16">
        <f t="shared" si="131"/>
        <v>28</v>
      </c>
      <c r="BC208" s="9">
        <f t="shared" si="132"/>
        <v>20</v>
      </c>
      <c r="BD208" s="3">
        <f t="shared" si="133"/>
        <v>28</v>
      </c>
      <c r="BE208" s="3">
        <f t="shared" si="134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8"/>
        <v>98</v>
      </c>
      <c r="M209" s="3">
        <v>99</v>
      </c>
      <c r="N209" s="3">
        <f t="shared" si="139"/>
        <v>101</v>
      </c>
      <c r="O209" s="3">
        <f t="shared" si="118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3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9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5"/>
        <v>1</v>
      </c>
      <c r="AO209" s="3" t="str">
        <f>IF(ISERROR(MATCH(A209,'SegEnds_Xtal_Prot#'!B:B, 0)), "NoXtal", "Xtal")</f>
        <v>NoXtal</v>
      </c>
      <c r="AP209" s="3" t="str">
        <f t="shared" si="120"/>
        <v>-</v>
      </c>
      <c r="AQ209" s="3" t="str">
        <f t="shared" si="121"/>
        <v>-</v>
      </c>
      <c r="AR209" s="3">
        <f t="shared" si="122"/>
        <v>3</v>
      </c>
      <c r="AS209" s="3">
        <f t="shared" si="123"/>
        <v>1</v>
      </c>
      <c r="AT209" s="3">
        <f t="shared" si="124"/>
        <v>1</v>
      </c>
      <c r="AU209" s="3">
        <f t="shared" si="125"/>
        <v>1</v>
      </c>
      <c r="AV209" s="3">
        <f t="shared" si="126"/>
        <v>11</v>
      </c>
      <c r="AW209" s="3">
        <f t="shared" si="127"/>
        <v>7</v>
      </c>
      <c r="AX209" s="3">
        <f t="shared" si="128"/>
        <v>5</v>
      </c>
      <c r="AY209" s="3">
        <f t="shared" si="129"/>
        <v>6</v>
      </c>
      <c r="AZ209" s="3">
        <f t="shared" si="130"/>
        <v>1</v>
      </c>
      <c r="BA209" s="3">
        <f>IF(ISERROR(LEN(VLOOKUP(A209,Seqs!A:E,2,FALSE))-AL209),"-",LEN(VLOOKUP(A209,Seqs!A:E,2,FALSE))-AL209)</f>
        <v>19</v>
      </c>
      <c r="BB209" s="16">
        <f t="shared" si="131"/>
        <v>28</v>
      </c>
      <c r="BC209" s="9">
        <f t="shared" si="132"/>
        <v>20</v>
      </c>
      <c r="BD209" s="3">
        <f t="shared" si="133"/>
        <v>28</v>
      </c>
      <c r="BE209" s="3">
        <f t="shared" si="134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8"/>
        <v>116</v>
      </c>
      <c r="M210" s="3">
        <v>117</v>
      </c>
      <c r="N210" s="3">
        <f t="shared" si="139"/>
        <v>119</v>
      </c>
      <c r="O210" s="3">
        <f t="shared" si="118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3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9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5"/>
        <v>1</v>
      </c>
      <c r="AO210" s="3" t="str">
        <f>IF(ISERROR(MATCH(A210,'SegEnds_Xtal_Prot#'!B:B, 0)), "NoXtal", "Xtal")</f>
        <v>Xtal</v>
      </c>
      <c r="AP210" s="3" t="str">
        <f t="shared" si="120"/>
        <v>-</v>
      </c>
      <c r="AQ210" s="3" t="str">
        <f t="shared" si="121"/>
        <v>-</v>
      </c>
      <c r="AR210" s="3">
        <f t="shared" si="122"/>
        <v>3</v>
      </c>
      <c r="AS210" s="3">
        <f t="shared" si="123"/>
        <v>1</v>
      </c>
      <c r="AT210" s="3">
        <f t="shared" si="124"/>
        <v>1</v>
      </c>
      <c r="AU210" s="3">
        <f t="shared" si="125"/>
        <v>1</v>
      </c>
      <c r="AV210" s="3">
        <f t="shared" si="126"/>
        <v>12</v>
      </c>
      <c r="AW210" s="3">
        <f t="shared" si="127"/>
        <v>7</v>
      </c>
      <c r="AX210" s="3">
        <f t="shared" si="128"/>
        <v>6</v>
      </c>
      <c r="AY210" s="3">
        <f t="shared" si="129"/>
        <v>6</v>
      </c>
      <c r="AZ210" s="3">
        <f t="shared" si="130"/>
        <v>1</v>
      </c>
      <c r="BA210" s="3">
        <f>IF(ISERROR(LEN(VLOOKUP(A210,Seqs!A:E,2,FALSE))-AL210),"-",LEN(VLOOKUP(A210,Seqs!A:E,2,FALSE))-AL210)</f>
        <v>33</v>
      </c>
      <c r="BB210" s="16">
        <f t="shared" si="131"/>
        <v>28</v>
      </c>
      <c r="BC210" s="9">
        <f t="shared" si="132"/>
        <v>20</v>
      </c>
      <c r="BD210" s="3">
        <f t="shared" si="133"/>
        <v>28</v>
      </c>
      <c r="BE210" s="3">
        <f t="shared" si="134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8"/>
        <v>98</v>
      </c>
      <c r="M211" s="3">
        <v>99</v>
      </c>
      <c r="N211" s="3">
        <f t="shared" si="139"/>
        <v>101</v>
      </c>
      <c r="O211" s="3">
        <f t="shared" si="118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3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9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5"/>
        <v>1</v>
      </c>
      <c r="AO211" s="3" t="str">
        <f>IF(ISERROR(MATCH(A211,'SegEnds_Xtal_Prot#'!B:B, 0)), "NoXtal", "Xtal")</f>
        <v>NoXtal</v>
      </c>
      <c r="AP211" s="3" t="str">
        <f t="shared" si="120"/>
        <v>-</v>
      </c>
      <c r="AQ211" s="3" t="str">
        <f t="shared" si="121"/>
        <v>-</v>
      </c>
      <c r="AR211" s="3">
        <f t="shared" si="122"/>
        <v>3</v>
      </c>
      <c r="AS211" s="3">
        <f t="shared" si="123"/>
        <v>1</v>
      </c>
      <c r="AT211" s="3">
        <f t="shared" si="124"/>
        <v>1</v>
      </c>
      <c r="AU211" s="3">
        <f t="shared" si="125"/>
        <v>1</v>
      </c>
      <c r="AV211" s="3">
        <f t="shared" si="126"/>
        <v>11</v>
      </c>
      <c r="AW211" s="3">
        <f t="shared" si="127"/>
        <v>7</v>
      </c>
      <c r="AX211" s="3">
        <f t="shared" si="128"/>
        <v>7</v>
      </c>
      <c r="AY211" s="3">
        <f t="shared" si="129"/>
        <v>6</v>
      </c>
      <c r="AZ211" s="3">
        <f t="shared" si="130"/>
        <v>1</v>
      </c>
      <c r="BA211" s="3">
        <f>IF(ISERROR(LEN(VLOOKUP(A211,Seqs!A:E,2,FALSE))-AL211),"-",LEN(VLOOKUP(A211,Seqs!A:E,2,FALSE))-AL211)</f>
        <v>55</v>
      </c>
      <c r="BB211" s="16">
        <f t="shared" si="131"/>
        <v>28</v>
      </c>
      <c r="BC211" s="9">
        <f t="shared" si="132"/>
        <v>20</v>
      </c>
      <c r="BD211" s="3">
        <f t="shared" si="133"/>
        <v>28</v>
      </c>
      <c r="BE211" s="3">
        <f t="shared" si="134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8"/>
        <v>100</v>
      </c>
      <c r="M212" s="3">
        <v>101</v>
      </c>
      <c r="N212" s="3">
        <f t="shared" si="139"/>
        <v>103</v>
      </c>
      <c r="O212" s="3">
        <f t="shared" si="118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3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9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5"/>
        <v>1</v>
      </c>
      <c r="AO212" s="3" t="str">
        <f>IF(ISERROR(MATCH(A212,'SegEnds_Xtal_Prot#'!B:B, 0)), "NoXtal", "Xtal")</f>
        <v>NoXtal</v>
      </c>
      <c r="AP212" s="3" t="str">
        <f t="shared" si="120"/>
        <v>-</v>
      </c>
      <c r="AQ212" s="3" t="str">
        <f t="shared" si="121"/>
        <v>-</v>
      </c>
      <c r="AR212" s="3">
        <f t="shared" si="122"/>
        <v>3</v>
      </c>
      <c r="AS212" s="3">
        <f t="shared" si="123"/>
        <v>1</v>
      </c>
      <c r="AT212" s="3">
        <f t="shared" si="124"/>
        <v>1</v>
      </c>
      <c r="AU212" s="3">
        <f t="shared" si="125"/>
        <v>1</v>
      </c>
      <c r="AV212" s="3">
        <f t="shared" si="126"/>
        <v>11</v>
      </c>
      <c r="AW212" s="3">
        <f t="shared" si="127"/>
        <v>7</v>
      </c>
      <c r="AX212" s="3">
        <f t="shared" si="128"/>
        <v>4</v>
      </c>
      <c r="AY212" s="3">
        <f t="shared" si="129"/>
        <v>6</v>
      </c>
      <c r="AZ212" s="3">
        <f t="shared" si="130"/>
        <v>1</v>
      </c>
      <c r="BA212" s="3">
        <f>IF(ISERROR(LEN(VLOOKUP(A212,Seqs!A:E,2,FALSE))-AL212),"-",LEN(VLOOKUP(A212,Seqs!A:E,2,FALSE))-AL212)</f>
        <v>43</v>
      </c>
      <c r="BB212" s="16">
        <f t="shared" si="131"/>
        <v>28</v>
      </c>
      <c r="BC212" s="9">
        <f t="shared" si="132"/>
        <v>20</v>
      </c>
      <c r="BD212" s="3">
        <f t="shared" si="133"/>
        <v>28</v>
      </c>
      <c r="BE212" s="3">
        <f t="shared" si="134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par1_human</v>
      </c>
      <c r="C213" s="3">
        <f>VLOOKUP($A213,'SegEnds_NonXtal_BW#'!$A:$Z,3,FALSE)+D213-50</f>
        <v>20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8"/>
        <v>88</v>
      </c>
      <c r="M213" s="3">
        <v>89</v>
      </c>
      <c r="N213" s="3">
        <f t="shared" si="139"/>
        <v>91</v>
      </c>
      <c r="O213" s="3">
        <f t="shared" si="118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3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161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9"/>
        <v>177</v>
      </c>
      <c r="AA213" s="3">
        <f>IF(ISERROR(VLOOKUP($A213,'SegEnds_NonXtal_BW#'!$A:$Z,19,FALSE)+VLOOKUP($A213,A:AL,28,FALSE)-50),"-",(VLOOKUP($A213,'SegEnds_NonXtal_BW#'!$A:$Z,19,FALSE)+VLOOKUP($A213,A:AL,28,FALSE)-50))</f>
        <v>187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268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5"/>
        <v>1</v>
      </c>
      <c r="AO213" s="3" t="str">
        <f>IF(ISERROR(MATCH(A213,'SegEnds_Xtal_Prot#'!B:B, 0)), "NoXtal", "Xtal")</f>
        <v>NoXtal</v>
      </c>
      <c r="AP213" s="3" t="str">
        <f t="shared" si="120"/>
        <v>-</v>
      </c>
      <c r="AQ213" s="3" t="str">
        <f t="shared" si="121"/>
        <v>-</v>
      </c>
      <c r="AR213" s="3">
        <f t="shared" si="122"/>
        <v>3</v>
      </c>
      <c r="AS213" s="3">
        <f t="shared" si="123"/>
        <v>1</v>
      </c>
      <c r="AT213" s="3">
        <f t="shared" si="124"/>
        <v>1</v>
      </c>
      <c r="AU213" s="3">
        <f t="shared" si="125"/>
        <v>1</v>
      </c>
      <c r="AV213" s="3">
        <f t="shared" si="126"/>
        <v>14</v>
      </c>
      <c r="AW213" s="3">
        <f t="shared" si="127"/>
        <v>10</v>
      </c>
      <c r="AX213" s="3">
        <f t="shared" si="128"/>
        <v>6</v>
      </c>
      <c r="AY213" s="3">
        <f t="shared" si="129"/>
        <v>5</v>
      </c>
      <c r="AZ213" s="3">
        <f t="shared" si="130"/>
        <v>1</v>
      </c>
      <c r="BA213" s="3">
        <f>IF(ISERROR(LEN(VLOOKUP(A213,Seqs!A:E,2,FALSE))-AL213),"-",LEN(VLOOKUP(A213,Seqs!A:E,2,FALSE))-AL213)</f>
        <v>48</v>
      </c>
      <c r="BB213" s="16">
        <f t="shared" si="131"/>
        <v>28</v>
      </c>
      <c r="BC213" s="9">
        <f t="shared" si="132"/>
        <v>20</v>
      </c>
      <c r="BD213" s="3">
        <f t="shared" si="133"/>
        <v>28</v>
      </c>
      <c r="BE213" s="3">
        <f t="shared" si="134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8"/>
        <v>94</v>
      </c>
      <c r="M214" s="3">
        <v>95</v>
      </c>
      <c r="N214" s="3">
        <f t="shared" si="139"/>
        <v>97</v>
      </c>
      <c r="O214" s="3">
        <f t="shared" si="118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3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9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5"/>
        <v>1</v>
      </c>
      <c r="AO214" s="3" t="str">
        <f>IF(ISERROR(MATCH(A214,'SegEnds_Xtal_Prot#'!B:B, 0)), "NoXtal", "Xtal")</f>
        <v>NoXtal</v>
      </c>
      <c r="AP214" s="3" t="str">
        <f t="shared" si="120"/>
        <v>-</v>
      </c>
      <c r="AQ214" s="3" t="str">
        <f t="shared" si="121"/>
        <v>-</v>
      </c>
      <c r="AR214" s="3">
        <f t="shared" si="122"/>
        <v>3</v>
      </c>
      <c r="AS214" s="3">
        <f t="shared" si="123"/>
        <v>1</v>
      </c>
      <c r="AT214" s="3">
        <f t="shared" si="124"/>
        <v>1</v>
      </c>
      <c r="AU214" s="3">
        <f t="shared" si="125"/>
        <v>1</v>
      </c>
      <c r="AV214" s="3">
        <f t="shared" si="126"/>
        <v>23</v>
      </c>
      <c r="AW214" s="3">
        <f t="shared" si="127"/>
        <v>6</v>
      </c>
      <c r="AX214" s="3">
        <f t="shared" si="128"/>
        <v>5</v>
      </c>
      <c r="AY214" s="3">
        <f t="shared" si="129"/>
        <v>15</v>
      </c>
      <c r="AZ214" s="3">
        <f t="shared" si="130"/>
        <v>1</v>
      </c>
      <c r="BA214" s="3">
        <f>IF(ISERROR(LEN(VLOOKUP(A214,Seqs!A:E,2,FALSE))-AL214),"-",LEN(VLOOKUP(A214,Seqs!A:E,2,FALSE))-AL214)</f>
        <v>37</v>
      </c>
      <c r="BB214" s="16">
        <f t="shared" si="131"/>
        <v>29</v>
      </c>
      <c r="BC214" s="9">
        <f t="shared" si="132"/>
        <v>20</v>
      </c>
      <c r="BD214" s="3">
        <f t="shared" si="133"/>
        <v>29</v>
      </c>
      <c r="BE214" s="3">
        <f t="shared" si="134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3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9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5"/>
        <v>1</v>
      </c>
      <c r="AO215" s="3" t="str">
        <f>IF(ISERROR(MATCH(A215,'SegEnds_Xtal_Prot#'!B:B, 0)), "NoXtal", "Xtal")</f>
        <v>Xtal</v>
      </c>
      <c r="AP215" s="3" t="str">
        <f t="shared" si="120"/>
        <v>-</v>
      </c>
      <c r="AQ215" s="3" t="str">
        <f t="shared" si="121"/>
        <v>-</v>
      </c>
      <c r="AR215" s="3" t="str">
        <f t="shared" si="122"/>
        <v>-</v>
      </c>
      <c r="AS215" s="3" t="str">
        <f t="shared" si="123"/>
        <v>-</v>
      </c>
      <c r="AT215" s="3">
        <f t="shared" si="124"/>
        <v>1</v>
      </c>
      <c r="AU215" s="3">
        <f t="shared" si="125"/>
        <v>1</v>
      </c>
      <c r="AV215" s="3">
        <f t="shared" si="126"/>
        <v>12</v>
      </c>
      <c r="AW215" s="3">
        <f t="shared" si="127"/>
        <v>4</v>
      </c>
      <c r="AX215" s="3">
        <f t="shared" si="128"/>
        <v>7</v>
      </c>
      <c r="AY215" s="3">
        <f t="shared" si="129"/>
        <v>4</v>
      </c>
      <c r="AZ215" s="3">
        <f t="shared" si="130"/>
        <v>1</v>
      </c>
      <c r="BA215" s="3">
        <f>IF(ISERROR(LEN(VLOOKUP(A215,Seqs!A:E,2,FALSE))-AL215),"-",LEN(VLOOKUP(A215,Seqs!A:E,2,FALSE))-AL215)</f>
        <v>30</v>
      </c>
      <c r="BB215" s="16">
        <f t="shared" si="131"/>
        <v>27</v>
      </c>
      <c r="BC215" s="9">
        <f t="shared" si="132"/>
        <v>20</v>
      </c>
      <c r="BD215" s="3">
        <f t="shared" si="133"/>
        <v>27</v>
      </c>
      <c r="BE215" s="3">
        <f t="shared" si="134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3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9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5"/>
        <v>1</v>
      </c>
      <c r="AO216" s="3" t="str">
        <f>IF(ISERROR(MATCH(A216,'SegEnds_Xtal_Prot#'!B:B, 0)), "NoXtal", "Xtal")</f>
        <v>NoXtal</v>
      </c>
      <c r="AP216" s="3" t="str">
        <f t="shared" si="120"/>
        <v>-</v>
      </c>
      <c r="AQ216" s="3" t="str">
        <f t="shared" si="121"/>
        <v>-</v>
      </c>
      <c r="AR216" s="3" t="str">
        <f t="shared" si="122"/>
        <v>-</v>
      </c>
      <c r="AS216" s="3" t="str">
        <f t="shared" si="123"/>
        <v>-</v>
      </c>
      <c r="AT216" s="3">
        <f t="shared" si="124"/>
        <v>1</v>
      </c>
      <c r="AU216" s="3">
        <f t="shared" si="125"/>
        <v>1</v>
      </c>
      <c r="AV216" s="3">
        <f t="shared" si="126"/>
        <v>12</v>
      </c>
      <c r="AW216" s="3">
        <f t="shared" si="127"/>
        <v>4</v>
      </c>
      <c r="AX216" s="3">
        <f t="shared" si="128"/>
        <v>7</v>
      </c>
      <c r="AY216" s="3">
        <f t="shared" si="129"/>
        <v>4</v>
      </c>
      <c r="AZ216" s="3">
        <f t="shared" si="130"/>
        <v>1</v>
      </c>
      <c r="BA216" s="3">
        <f>IF(ISERROR(LEN(VLOOKUP(A216,Seqs!A:E,2,FALSE))-AL216),"-",LEN(VLOOKUP(A216,Seqs!A:E,2,FALSE))-AL216)</f>
        <v>23</v>
      </c>
      <c r="BB216" s="16">
        <f t="shared" si="131"/>
        <v>27</v>
      </c>
      <c r="BC216" s="9">
        <f t="shared" si="132"/>
        <v>20</v>
      </c>
      <c r="BD216" s="3">
        <f t="shared" si="133"/>
        <v>27</v>
      </c>
      <c r="BE216" s="3">
        <f t="shared" si="134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3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9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5"/>
        <v>1</v>
      </c>
      <c r="AO217" s="3" t="str">
        <f>IF(ISERROR(MATCH(A217,'SegEnds_Xtal_Prot#'!B:B, 0)), "NoXtal", "Xtal")</f>
        <v>NoXtal</v>
      </c>
      <c r="AP217" s="3" t="str">
        <f t="shared" si="120"/>
        <v>-</v>
      </c>
      <c r="AQ217" s="3" t="str">
        <f t="shared" si="121"/>
        <v>-</v>
      </c>
      <c r="AR217" s="3" t="str">
        <f t="shared" si="122"/>
        <v>-</v>
      </c>
      <c r="AS217" s="3" t="str">
        <f t="shared" si="123"/>
        <v>-</v>
      </c>
      <c r="AT217" s="3">
        <f t="shared" si="124"/>
        <v>1</v>
      </c>
      <c r="AU217" s="3">
        <f t="shared" si="125"/>
        <v>1</v>
      </c>
      <c r="AV217" s="3">
        <f t="shared" si="126"/>
        <v>12</v>
      </c>
      <c r="AW217" s="3">
        <f t="shared" si="127"/>
        <v>4</v>
      </c>
      <c r="AX217" s="3">
        <f t="shared" si="128"/>
        <v>7</v>
      </c>
      <c r="AY217" s="3">
        <f t="shared" si="129"/>
        <v>4</v>
      </c>
      <c r="AZ217" s="3">
        <f t="shared" si="130"/>
        <v>1</v>
      </c>
      <c r="BA217" s="3">
        <f>IF(ISERROR(LEN(VLOOKUP(A217,Seqs!A:E,2,FALSE))-AL217),"-",LEN(VLOOKUP(A217,Seqs!A:E,2,FALSE))-AL217)</f>
        <v>29</v>
      </c>
      <c r="BB217" s="16">
        <f t="shared" si="131"/>
        <v>27</v>
      </c>
      <c r="BC217" s="9">
        <f t="shared" si="132"/>
        <v>20</v>
      </c>
      <c r="BD217" s="3">
        <f t="shared" si="133"/>
        <v>27</v>
      </c>
      <c r="BE217" s="3">
        <f t="shared" si="134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3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9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5"/>
        <v>1</v>
      </c>
      <c r="AO218" s="3" t="str">
        <f>IF(ISERROR(MATCH(A218,'SegEnds_Xtal_Prot#'!B:B, 0)), "NoXtal", "Xtal")</f>
        <v>Xtal</v>
      </c>
      <c r="AP218" s="3">
        <f t="shared" si="120"/>
        <v>1</v>
      </c>
      <c r="AQ218" s="3">
        <f t="shared" si="121"/>
        <v>1</v>
      </c>
      <c r="AR218" s="3">
        <f t="shared" si="122"/>
        <v>3</v>
      </c>
      <c r="AS218" s="3">
        <f t="shared" si="123"/>
        <v>1</v>
      </c>
      <c r="AT218" s="3">
        <f t="shared" si="124"/>
        <v>1</v>
      </c>
      <c r="AU218" s="3">
        <f t="shared" si="125"/>
        <v>1</v>
      </c>
      <c r="AV218" s="3">
        <f t="shared" si="126"/>
        <v>14</v>
      </c>
      <c r="AW218" s="3">
        <f t="shared" si="127"/>
        <v>8</v>
      </c>
      <c r="AX218" s="3">
        <f t="shared" si="128"/>
        <v>5</v>
      </c>
      <c r="AY218" s="3">
        <f t="shared" si="129"/>
        <v>6</v>
      </c>
      <c r="AZ218" s="3">
        <f t="shared" si="130"/>
        <v>1</v>
      </c>
      <c r="BA218" s="3">
        <f>IF(ISERROR(LEN(VLOOKUP(A218,Seqs!A:E,2,FALSE))-AL218),"-",LEN(VLOOKUP(A218,Seqs!A:E,2,FALSE))-AL218)</f>
        <v>36</v>
      </c>
      <c r="BB218" s="16">
        <f t="shared" si="131"/>
        <v>28</v>
      </c>
      <c r="BC218" s="9">
        <f t="shared" si="132"/>
        <v>20</v>
      </c>
      <c r="BD218" s="3">
        <f t="shared" si="133"/>
        <v>28</v>
      </c>
      <c r="BE218" s="3">
        <f t="shared" si="134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3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9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333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5"/>
        <v>1</v>
      </c>
      <c r="AO219" s="3" t="str">
        <f>IF(ISERROR(MATCH(A219,'SegEnds_Xtal_Prot#'!B:B, 0)), "NoXtal", "Xtal")</f>
        <v>NoXtal</v>
      </c>
      <c r="AP219" s="3" t="str">
        <f t="shared" si="120"/>
        <v>-</v>
      </c>
      <c r="AQ219" s="3" t="str">
        <f t="shared" si="121"/>
        <v>-</v>
      </c>
      <c r="AR219" s="3">
        <f t="shared" si="122"/>
        <v>3</v>
      </c>
      <c r="AS219" s="3">
        <f t="shared" si="123"/>
        <v>1</v>
      </c>
      <c r="AT219" s="3">
        <f t="shared" si="124"/>
        <v>1</v>
      </c>
      <c r="AU219" s="3">
        <f t="shared" si="125"/>
        <v>1</v>
      </c>
      <c r="AV219" s="3">
        <f t="shared" si="126"/>
        <v>22</v>
      </c>
      <c r="AW219" s="3">
        <f t="shared" si="127"/>
        <v>5</v>
      </c>
      <c r="AX219" s="3">
        <f t="shared" si="128"/>
        <v>4</v>
      </c>
      <c r="AY219" s="3">
        <f t="shared" si="129"/>
        <v>5</v>
      </c>
      <c r="AZ219" s="3" t="str">
        <f t="shared" si="130"/>
        <v>-</v>
      </c>
      <c r="BA219" s="3" t="str">
        <f>IF(ISERROR(LEN(VLOOKUP(A219,Seqs!A:E,2,FALSE))-AL219),"-",LEN(VLOOKUP(A219,Seqs!A:E,2,FALSE))-AL219)</f>
        <v>-</v>
      </c>
      <c r="BB219" s="16">
        <f t="shared" si="131"/>
        <v>27</v>
      </c>
      <c r="BC219" s="9">
        <f t="shared" si="132"/>
        <v>20</v>
      </c>
      <c r="BD219" s="3">
        <f t="shared" si="133"/>
        <v>27</v>
      </c>
      <c r="BE219" s="3">
        <f t="shared" si="134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3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9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315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5"/>
        <v>1</v>
      </c>
      <c r="AO220" s="3" t="str">
        <f>IF(ISERROR(MATCH(A220,'SegEnds_Xtal_Prot#'!B:B, 0)), "NoXtal", "Xtal")</f>
        <v>NoXtal</v>
      </c>
      <c r="AP220" s="3" t="str">
        <f t="shared" si="120"/>
        <v>-</v>
      </c>
      <c r="AQ220" s="3" t="str">
        <f t="shared" si="121"/>
        <v>-</v>
      </c>
      <c r="AR220" s="3">
        <f t="shared" si="122"/>
        <v>3</v>
      </c>
      <c r="AS220" s="3">
        <f t="shared" si="123"/>
        <v>1</v>
      </c>
      <c r="AT220" s="3">
        <f t="shared" si="124"/>
        <v>1</v>
      </c>
      <c r="AU220" s="3">
        <f t="shared" si="125"/>
        <v>1</v>
      </c>
      <c r="AV220" s="3">
        <f t="shared" si="126"/>
        <v>15</v>
      </c>
      <c r="AW220" s="3">
        <f t="shared" si="127"/>
        <v>7</v>
      </c>
      <c r="AX220" s="3">
        <f t="shared" si="128"/>
        <v>4</v>
      </c>
      <c r="AY220" s="3">
        <f t="shared" si="129"/>
        <v>5</v>
      </c>
      <c r="AZ220" s="3">
        <f t="shared" si="130"/>
        <v>1</v>
      </c>
      <c r="BA220" s="3">
        <f>IF(ISERROR(LEN(VLOOKUP(A220,Seqs!A:E,2,FALSE))-AL220),"-",LEN(VLOOKUP(A220,Seqs!A:E,2,FALSE))-AL220)</f>
        <v>27</v>
      </c>
      <c r="BB220" s="16">
        <f t="shared" si="131"/>
        <v>27</v>
      </c>
      <c r="BC220" s="9">
        <f t="shared" si="132"/>
        <v>20</v>
      </c>
      <c r="BD220" s="3">
        <f t="shared" si="133"/>
        <v>27</v>
      </c>
      <c r="BE220" s="3">
        <f t="shared" si="134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ntr1_rat</v>
      </c>
      <c r="C221" s="3">
        <f>VLOOKUP($A221,'SegEnds_NonXtal_BW#'!$A:$Z,3,FALSE)+D221-50</f>
        <v>13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44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90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3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171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9"/>
        <v>185</v>
      </c>
      <c r="AA221" s="3">
        <f>IF(ISERROR(VLOOKUP($A221,'SegEnds_NonXtal_BW#'!$A:$Z,19,FALSE)+VLOOKUP($A221,A:AL,28,FALSE)-50),"-",(VLOOKUP($A221,'SegEnds_NonXtal_BW#'!$A:$Z,19,FALSE)+VLOOKUP($A221,A:AL,28,FALSE)-50))</f>
        <v>194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338</v>
      </c>
      <c r="AM221" s="28" t="str">
        <f>VLOOKUP(A221,Classification!A:B,2,FALSE)</f>
        <v>A</v>
      </c>
      <c r="AN221" s="28" t="b">
        <f t="shared" si="135"/>
        <v>1</v>
      </c>
      <c r="AO221" s="3" t="str">
        <f>IF(ISERROR(MATCH(A221,'SegEnds_Xtal_Prot#'!B:B, 0)), "NoXtal", "Xtal")</f>
        <v>NoXtal</v>
      </c>
      <c r="AP221" s="3" t="str">
        <f t="shared" si="120"/>
        <v>-</v>
      </c>
      <c r="AQ221" s="3" t="str">
        <f t="shared" si="121"/>
        <v>-</v>
      </c>
      <c r="AR221" s="3" t="str">
        <f t="shared" si="122"/>
        <v>-</v>
      </c>
      <c r="AS221" s="3" t="str">
        <f t="shared" si="123"/>
        <v>-</v>
      </c>
      <c r="AT221" s="3">
        <f t="shared" si="124"/>
        <v>1</v>
      </c>
      <c r="AU221" s="3">
        <f t="shared" si="125"/>
        <v>1</v>
      </c>
      <c r="AV221" s="3">
        <f t="shared" si="126"/>
        <v>12</v>
      </c>
      <c r="AW221" s="3">
        <f t="shared" si="127"/>
        <v>9</v>
      </c>
      <c r="AX221" s="3">
        <f t="shared" si="128"/>
        <v>16</v>
      </c>
      <c r="AY221" s="3">
        <f t="shared" si="129"/>
        <v>7</v>
      </c>
      <c r="AZ221" s="3">
        <f t="shared" si="130"/>
        <v>1</v>
      </c>
      <c r="BA221" s="3">
        <f>IF(ISERROR(LEN(VLOOKUP(A221,Seqs!A:E,2,FALSE))-AL221),"-",LEN(VLOOKUP(A221,Seqs!A:E,2,FALSE))-AL221)</f>
        <v>21</v>
      </c>
      <c r="BB221" s="16">
        <f t="shared" si="131"/>
        <v>38</v>
      </c>
      <c r="BC221" s="9">
        <f t="shared" si="132"/>
        <v>20</v>
      </c>
      <c r="BD221" s="3">
        <f t="shared" si="133"/>
        <v>38</v>
      </c>
      <c r="BE221" s="3">
        <f t="shared" si="134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agtr2_human</v>
      </c>
      <c r="C222" s="3">
        <f>VLOOKUP($A222,'SegEnds_NonXtal_BW#'!$A:$Z,3,FALSE)+D222-50</f>
        <v>33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93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3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9"/>
        <v>184</v>
      </c>
      <c r="AA222" s="3">
        <f>IF(ISERROR(VLOOKUP($A222,'SegEnds_NonXtal_BW#'!$A:$Z,19,FALSE)+VLOOKUP($A222,A:AL,28,FALSE)-50),"-",(VLOOKUP($A222,'SegEnds_NonXtal_BW#'!$A:$Z,19,FALSE)+VLOOKUP($A222,A:AL,28,FALSE)-50))</f>
        <v>198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279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322</v>
      </c>
      <c r="AM222" s="28" t="str">
        <f>VLOOKUP(A222,Classification!A:B,2,FALSE)</f>
        <v>A</v>
      </c>
      <c r="AN222" s="28" t="b">
        <f t="shared" si="135"/>
        <v>1</v>
      </c>
      <c r="AO222" s="3" t="str">
        <f>IF(ISERROR(MATCH(A222,'SegEnds_Xtal_Prot#'!B:B, 0)), "NoXtal", "Xtal")</f>
        <v>NoXtal</v>
      </c>
      <c r="AP222" s="3" t="str">
        <f t="shared" si="120"/>
        <v>-</v>
      </c>
      <c r="AQ222" s="3" t="str">
        <f t="shared" si="121"/>
        <v>-</v>
      </c>
      <c r="AR222" s="3">
        <f t="shared" si="122"/>
        <v>3</v>
      </c>
      <c r="AS222" s="3">
        <f t="shared" si="123"/>
        <v>1</v>
      </c>
      <c r="AT222" s="3">
        <f t="shared" si="124"/>
        <v>1</v>
      </c>
      <c r="AU222" s="3">
        <f t="shared" si="125"/>
        <v>1</v>
      </c>
      <c r="AV222" s="3">
        <f t="shared" si="126"/>
        <v>12</v>
      </c>
      <c r="AW222" s="3">
        <f t="shared" si="127"/>
        <v>14</v>
      </c>
      <c r="AX222" s="3">
        <f t="shared" si="128"/>
        <v>5</v>
      </c>
      <c r="AY222" s="3">
        <f t="shared" si="129"/>
        <v>7</v>
      </c>
      <c r="AZ222" s="3">
        <f t="shared" si="130"/>
        <v>1</v>
      </c>
      <c r="BA222" s="3">
        <f>IF(ISERROR(LEN(VLOOKUP(A222,Seqs!A:E,2,FALSE))-AL222),"-",LEN(VLOOKUP(A222,Seqs!A:E,2,FALSE))-AL222)</f>
        <v>73</v>
      </c>
      <c r="BB222" s="16">
        <f t="shared" si="131"/>
        <v>27</v>
      </c>
      <c r="BC222" s="9">
        <f t="shared" si="132"/>
        <v>20</v>
      </c>
      <c r="BD222" s="3">
        <f t="shared" si="133"/>
        <v>27</v>
      </c>
      <c r="BE222" s="3">
        <f t="shared" si="134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cnr1_human</v>
      </c>
      <c r="C223" s="3">
        <f>VLOOKUP($A223,'SegEnds_NonXtal_BW#'!$A:$Z,3,FALSE)+D223-50</f>
        <v>28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60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3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9"/>
        <v>190</v>
      </c>
      <c r="AA223" s="3">
        <f>IF(ISERROR(VLOOKUP($A223,'SegEnds_NonXtal_BW#'!$A:$Z,19,FALSE)+VLOOKUP($A223,A:AL,28,FALSE)-50),"-",(VLOOKUP($A223,'SegEnds_NonXtal_BW#'!$A:$Z,19,FALSE)+VLOOKUP($A223,A:AL,28,FALSE)-50))</f>
        <v>202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367</v>
      </c>
      <c r="AM223" s="28" t="str">
        <f>VLOOKUP(A223,Classification!A:B,2,FALSE)</f>
        <v>A</v>
      </c>
      <c r="AN223" s="28" t="b">
        <f t="shared" si="135"/>
        <v>1</v>
      </c>
      <c r="AO223" s="3" t="str">
        <f>IF(ISERROR(MATCH(A223,'SegEnds_Xtal_Prot#'!B:B, 0)), "NoXtal", "Xtal")</f>
        <v>NoXtal</v>
      </c>
      <c r="AP223" s="3">
        <f t="shared" si="120"/>
        <v>2</v>
      </c>
      <c r="AQ223" s="3">
        <f t="shared" si="121"/>
        <v>1</v>
      </c>
      <c r="AR223" s="3">
        <f t="shared" si="122"/>
        <v>3</v>
      </c>
      <c r="AS223" s="3">
        <f t="shared" si="123"/>
        <v>1</v>
      </c>
      <c r="AT223" s="3">
        <f t="shared" si="124"/>
        <v>1</v>
      </c>
      <c r="AU223" s="3">
        <f t="shared" si="125"/>
        <v>1</v>
      </c>
      <c r="AV223" s="3">
        <f t="shared" si="126"/>
        <v>13</v>
      </c>
      <c r="AW223" s="3">
        <f t="shared" si="127"/>
        <v>12</v>
      </c>
      <c r="AX223" s="3">
        <f t="shared" si="128"/>
        <v>46</v>
      </c>
      <c r="AY223" s="3">
        <f t="shared" si="129"/>
        <v>6</v>
      </c>
      <c r="AZ223" s="3">
        <f t="shared" si="130"/>
        <v>1</v>
      </c>
      <c r="BA223" s="3">
        <f>IF(ISERROR(LEN(VLOOKUP(A223,Seqs!A:E,2,FALSE))-AL223),"-",LEN(VLOOKUP(A223,Seqs!A:E,2,FALSE))-AL223)</f>
        <v>35</v>
      </c>
      <c r="BB223" s="16">
        <f t="shared" si="131"/>
        <v>34</v>
      </c>
      <c r="BC223" s="9">
        <f t="shared" si="132"/>
        <v>20</v>
      </c>
      <c r="BD223" s="3">
        <f t="shared" si="133"/>
        <v>34</v>
      </c>
      <c r="BE223" s="3">
        <f t="shared" si="134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ntr1_rat</v>
      </c>
      <c r="C224" s="3">
        <f>VLOOKUP($A224,'SegEnds_NonXtal_BW#'!$A:$Z,3,FALSE)+D224-50</f>
        <v>18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49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96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3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175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9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330</v>
      </c>
      <c r="AM224" s="28" t="str">
        <f>VLOOKUP(A224,Classification!A:B,2,FALSE)</f>
        <v>A</v>
      </c>
      <c r="AN224" s="28" t="b">
        <f t="shared" si="135"/>
        <v>1</v>
      </c>
      <c r="AO224" s="3" t="str">
        <f>IF(ISERROR(MATCH(A224,'SegEnds_Xtal_Prot#'!B:B, 0)), "NoXtal", "Xtal")</f>
        <v>NoXtal</v>
      </c>
      <c r="AP224" s="3">
        <f t="shared" si="120"/>
        <v>7</v>
      </c>
      <c r="AQ224" s="3">
        <f t="shared" si="121"/>
        <v>1</v>
      </c>
      <c r="AR224" s="3" t="str">
        <f t="shared" si="122"/>
        <v>-</v>
      </c>
      <c r="AS224" s="3" t="str">
        <f t="shared" si="123"/>
        <v>-</v>
      </c>
      <c r="AT224" s="3">
        <f t="shared" si="124"/>
        <v>1</v>
      </c>
      <c r="AU224" s="3">
        <f t="shared" si="125"/>
        <v>1</v>
      </c>
      <c r="AV224" s="3">
        <f t="shared" si="126"/>
        <v>12</v>
      </c>
      <c r="AW224" s="3">
        <f t="shared" si="127"/>
        <v>5</v>
      </c>
      <c r="AX224" s="3">
        <f t="shared" si="128"/>
        <v>18</v>
      </c>
      <c r="AY224" s="3">
        <f t="shared" si="129"/>
        <v>5</v>
      </c>
      <c r="AZ224" s="3">
        <f t="shared" si="130"/>
        <v>1</v>
      </c>
      <c r="BA224" s="3">
        <f>IF(ISERROR(LEN(VLOOKUP(A224,Seqs!A:E,2,FALSE))-AL224),"-",LEN(VLOOKUP(A224,Seqs!A:E,2,FALSE))-AL224)</f>
        <v>28</v>
      </c>
      <c r="BB224" s="16">
        <f t="shared" si="131"/>
        <v>39</v>
      </c>
      <c r="BC224" s="9">
        <f t="shared" si="132"/>
        <v>20</v>
      </c>
      <c r="BD224" s="3">
        <f t="shared" si="133"/>
        <v>39</v>
      </c>
      <c r="BE224" s="3">
        <f t="shared" si="134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s1pr1_human</v>
      </c>
      <c r="C225" s="3">
        <f>VLOOKUP($A225,'SegEnds_NonXtal_BW#'!$A:$Z,3,FALSE)+D225-50</f>
        <v>45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76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112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3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9"/>
        <v>210</v>
      </c>
      <c r="AA225" s="3">
        <f>IF(ISERROR(VLOOKUP($A225,'SegEnds_NonXtal_BW#'!$A:$Z,19,FALSE)+VLOOKUP($A225,A:AL,28,FALSE)-50),"-",(VLOOKUP($A225,'SegEnds_NonXtal_BW#'!$A:$Z,19,FALSE)+VLOOKUP($A225,A:AL,28,FALSE)-50))</f>
        <v>229</v>
      </c>
      <c r="AB225" s="3">
        <v>243</v>
      </c>
      <c r="AC225" s="3">
        <f>IF(ISERROR((VLOOKUP($A225,'SegEnds_NonXtal_BW#'!$A:$Z,20,FALSE)+VLOOKUP($A225,A:AL,28,FALSE)-50)),"-",(VLOOKUP($A225,'SegEnds_NonXtal_BW#'!$A:$Z,20,FALSE)+VLOOKUP($A225,A:AL,28,FALSE)-50))</f>
        <v>265</v>
      </c>
      <c r="AD225" s="3">
        <f>IF(ISERROR(VLOOKUP($A225,'SegEnds_NonXtal_BW#'!$A:$Z,21,FALSE)+VLOOKUP($A225,A:AL,31,FALSE)-50),"-",(VLOOKUP($A225,'SegEnds_NonXtal_BW#'!$A:$Z,21,FALSE)+VLOOKUP($A225,A:AL,31,FALSE)-50))</f>
        <v>271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349</v>
      </c>
      <c r="AJ225" s="3">
        <f>IF(ISERROR(VLOOKUP($A225,'SegEnds_NonXtal_BW#'!$A:$Z,25,FALSE)+VLOOKUP($A225,A:AL,37,FALSE)-50),"-",(VLOOKUP($A225,'SegEnds_NonXtal_BW#'!$A:$Z,25,FALSE)+VLOOKUP($A225,A:AL,37,FALSE)-50))</f>
        <v>350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362</v>
      </c>
      <c r="AM225" s="28" t="str">
        <f>VLOOKUP(A225,Classification!A:B,2,FALSE)</f>
        <v>A</v>
      </c>
      <c r="AN225" s="28" t="b">
        <f t="shared" si="135"/>
        <v>1</v>
      </c>
      <c r="AO225" s="3" t="str">
        <f>IF(ISERROR(MATCH(A225,'SegEnds_Xtal_Prot#'!B:B, 0)), "NoXtal", "Xtal")</f>
        <v>NoXtal</v>
      </c>
      <c r="AP225" s="3" t="str">
        <f t="shared" si="120"/>
        <v>-</v>
      </c>
      <c r="AQ225" s="3" t="str">
        <f t="shared" si="121"/>
        <v>-</v>
      </c>
      <c r="AR225" s="3">
        <f t="shared" si="122"/>
        <v>7</v>
      </c>
      <c r="AS225" s="3">
        <f t="shared" si="123"/>
        <v>1</v>
      </c>
      <c r="AT225" s="3">
        <f t="shared" si="124"/>
        <v>1</v>
      </c>
      <c r="AU225" s="3">
        <f t="shared" si="125"/>
        <v>1</v>
      </c>
      <c r="AV225" s="3">
        <f t="shared" si="126"/>
        <v>13</v>
      </c>
      <c r="AW225" s="3">
        <f t="shared" si="127"/>
        <v>19</v>
      </c>
      <c r="AX225" s="3">
        <f t="shared" si="128"/>
        <v>6</v>
      </c>
      <c r="AY225" s="3">
        <f t="shared" si="129"/>
        <v>6</v>
      </c>
      <c r="AZ225" s="3">
        <f t="shared" si="130"/>
        <v>1</v>
      </c>
      <c r="BA225" s="3">
        <f>IF(ISERROR(LEN(VLOOKUP(A225,Seqs!A:E,2,FALSE))-AL225),"-",LEN(VLOOKUP(A225,Seqs!A:E,2,FALSE))-AL225)</f>
        <v>28</v>
      </c>
      <c r="BB225" s="16">
        <f t="shared" si="131"/>
        <v>33</v>
      </c>
      <c r="BC225" s="9">
        <f t="shared" si="132"/>
        <v>20</v>
      </c>
      <c r="BD225" s="3">
        <f t="shared" si="133"/>
        <v>33</v>
      </c>
      <c r="BE225" s="3">
        <f t="shared" si="134"/>
        <v>54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par2_human</v>
      </c>
      <c r="C226" s="3">
        <f>VLOOKUP($A226,'SegEnds_NonXtal_BW#'!$A:$Z,3,FALSE)+D226-50</f>
        <v>13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45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81</v>
      </c>
      <c r="L226" s="3" t="str">
        <f>IF(ISERROR(VLOOKUP($A226,'SegEnds_NonXtal_BW#'!$A:$Z,9,FALSE)+VLOOKUP($A226,A:AL,13,FALSE)-50),"-",(VLOOKUP($A226,'SegEnds_NonXtal_BW#'!$A:$Z,9,FALSE)+VLOOKUP($A226,A:AL,13,FALSE)-50))</f>
        <v>-</v>
      </c>
      <c r="M226" s="3" t="s">
        <v>23</v>
      </c>
      <c r="N226" s="3" t="str">
        <f>IF(ISERROR(VLOOKUP($A226,'SegEnds_NonXtal_BW#'!$A:$Z,10,FALSE)+VLOOKUP($A226,A:AL,13,FALSE)-50),"-",(VLOOKUP($A226,'SegEnds_NonXtal_BW#'!$A:$Z,10,FALSE)+VLOOKUP($A226,A:AL,13,FALSE)-50))</f>
        <v>-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3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156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197</v>
      </c>
      <c r="AC226" s="3">
        <f>IF(ISERROR((VLOOKUP($A226,'SegEnds_NonXtal_BW#'!$A:$Z,20,FALSE)+VLOOKUP($A226,A:AL,28,FALSE)-50)),"-",(VLOOKUP($A226,'SegEnds_NonXtal_BW#'!$A:$Z,20,FALSE)+VLOOKUP($A226,A:AL,28,FALSE)-50))</f>
        <v>223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304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347</v>
      </c>
      <c r="AM226" s="28" t="str">
        <f>VLOOKUP(A226,Classification!A:B,2,FALSE)</f>
        <v>A</v>
      </c>
      <c r="AN226" s="28" t="b">
        <f t="shared" si="135"/>
        <v>1</v>
      </c>
      <c r="AO226" s="3" t="str">
        <f>IF(ISERROR(MATCH(A226,'SegEnds_Xtal_Prot#'!B:B, 0)), "NoXtal", "Xtal")</f>
        <v>NoXtal</v>
      </c>
      <c r="AP226" s="3" t="str">
        <f t="shared" si="120"/>
        <v>-</v>
      </c>
      <c r="AQ226" s="3" t="str">
        <f t="shared" si="121"/>
        <v>-</v>
      </c>
      <c r="AR226" s="3" t="str">
        <f t="shared" si="122"/>
        <v>-</v>
      </c>
      <c r="AS226" s="3" t="str">
        <f t="shared" si="123"/>
        <v>-</v>
      </c>
      <c r="AT226" s="3">
        <f t="shared" si="124"/>
        <v>1</v>
      </c>
      <c r="AU226" s="3">
        <f t="shared" si="125"/>
        <v>1</v>
      </c>
      <c r="AV226" s="3">
        <f t="shared" si="126"/>
        <v>14</v>
      </c>
      <c r="AW226" s="3">
        <f t="shared" si="127"/>
        <v>6</v>
      </c>
      <c r="AX226" s="3">
        <f t="shared" si="128"/>
        <v>38</v>
      </c>
      <c r="AY226" s="3">
        <f t="shared" si="129"/>
        <v>6</v>
      </c>
      <c r="AZ226" s="3">
        <f t="shared" si="130"/>
        <v>1</v>
      </c>
      <c r="BA226" s="3">
        <f>IF(ISERROR(LEN(VLOOKUP(A226,Seqs!A:E,2,FALSE))-AL226),"-",LEN(VLOOKUP(A226,Seqs!A:E,2,FALSE))-AL226)</f>
        <v>141</v>
      </c>
      <c r="BB226" s="16">
        <f t="shared" si="131"/>
        <v>30</v>
      </c>
      <c r="BC226" s="9">
        <f t="shared" si="132"/>
        <v>20</v>
      </c>
      <c r="BD226" s="3">
        <f t="shared" si="133"/>
        <v>30</v>
      </c>
      <c r="BE226" s="3">
        <f t="shared" si="134"/>
        <v>90</v>
      </c>
    </row>
    <row r="227" spans="1:58" s="3" customFormat="1" x14ac:dyDescent="0.2">
      <c r="A227" s="3" t="s">
        <v>365</v>
      </c>
      <c r="B227" s="3" t="str">
        <f>LOWER(VLOOKUP(A227,Xtal_Templ!A:B,2,FALSE))</f>
        <v>lpar1_human</v>
      </c>
      <c r="C227" s="3">
        <f>VLOOKUP($A227,'SegEnds_NonXtal_BW#'!$A:$Z,3,FALSE)+D227-50</f>
        <v>24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54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90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3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40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320</v>
      </c>
      <c r="AM227" s="28" t="str">
        <f>VLOOKUP(A227,Classification!A:B,2,FALSE)</f>
        <v>A</v>
      </c>
      <c r="AN227" s="28" t="b">
        <f t="shared" si="135"/>
        <v>1</v>
      </c>
      <c r="AO227" s="3" t="str">
        <f>IF(ISERROR(MATCH(A227,'SegEnds_Xtal_Prot#'!B:B, 0)), "NoXtal", "Xtal")</f>
        <v>NoXtal</v>
      </c>
      <c r="AP227" s="3">
        <f t="shared" si="120"/>
        <v>2</v>
      </c>
      <c r="AQ227" s="3">
        <f t="shared" si="121"/>
        <v>1</v>
      </c>
      <c r="AR227" s="3">
        <f t="shared" si="122"/>
        <v>7</v>
      </c>
      <c r="AS227" s="3">
        <f t="shared" si="123"/>
        <v>1</v>
      </c>
      <c r="AT227" s="3">
        <f t="shared" si="124"/>
        <v>1</v>
      </c>
      <c r="AU227" s="3">
        <f t="shared" si="125"/>
        <v>1</v>
      </c>
      <c r="AV227" s="3">
        <f t="shared" si="126"/>
        <v>13</v>
      </c>
      <c r="AW227" s="3">
        <f t="shared" si="127"/>
        <v>11</v>
      </c>
      <c r="AX227" s="3">
        <f t="shared" si="128"/>
        <v>7</v>
      </c>
      <c r="AY227" s="3">
        <f t="shared" si="129"/>
        <v>7</v>
      </c>
      <c r="AZ227" s="3">
        <f t="shared" si="130"/>
        <v>1</v>
      </c>
      <c r="BA227" s="3">
        <f>IF(ISERROR(LEN(VLOOKUP(A227,Seqs!A:E,2,FALSE))-AL227),"-",LEN(VLOOKUP(A227,Seqs!A:E,2,FALSE))-AL227)</f>
        <v>39</v>
      </c>
      <c r="BB227" s="16">
        <f t="shared" si="131"/>
        <v>33</v>
      </c>
      <c r="BC227" s="9">
        <f t="shared" si="132"/>
        <v>20</v>
      </c>
      <c r="BD227" s="3">
        <f t="shared" si="133"/>
        <v>33</v>
      </c>
      <c r="BE227" s="3">
        <f t="shared" si="134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agtr2_human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41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3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158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40"/>
        <v>172</v>
      </c>
      <c r="AA228" s="3">
        <f>IF(ISERROR(VLOOKUP($A228,'SegEnds_NonXtal_BW#'!$A:$Z,19,FALSE)+VLOOKUP($A228,A:AL,28,FALSE)-50),"-",(VLOOKUP($A228,'SegEnds_NonXtal_BW#'!$A:$Z,19,FALSE)+VLOOKUP($A228,A:AL,28,FALSE)-50))</f>
        <v>177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219</v>
      </c>
      <c r="AD228" s="3">
        <f>IF(ISERROR(VLOOKUP($A228,'SegEnds_NonXtal_BW#'!$A:$Z,21,FALSE)+VLOOKUP($A228,A:AL,31,FALSE)-50),"-",(VLOOKUP($A228,'SegEnds_NonXtal_BW#'!$A:$Z,21,FALSE)+VLOOKUP($A228,A:AL,31,FALSE)-50))</f>
        <v>228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310</v>
      </c>
      <c r="AM228" s="28" t="str">
        <f>VLOOKUP(A228,Classification!A:B,2,FALSE)</f>
        <v>A</v>
      </c>
      <c r="AN228" s="28" t="b">
        <f t="shared" si="135"/>
        <v>1</v>
      </c>
      <c r="AO228" s="3" t="str">
        <f>IF(ISERROR(MATCH(A228,'SegEnds_Xtal_Prot#'!B:B, 0)), "NoXtal", "Xtal")</f>
        <v>NoXtal</v>
      </c>
      <c r="AP228" s="3" t="str">
        <f t="shared" si="120"/>
        <v>-</v>
      </c>
      <c r="AQ228" s="3" t="str">
        <f t="shared" si="121"/>
        <v>-</v>
      </c>
      <c r="AR228" s="3" t="str">
        <f t="shared" si="122"/>
        <v>-</v>
      </c>
      <c r="AS228" s="3" t="str">
        <f t="shared" si="123"/>
        <v>-</v>
      </c>
      <c r="AT228" s="3">
        <f t="shared" si="124"/>
        <v>1</v>
      </c>
      <c r="AU228" s="3">
        <f t="shared" si="125"/>
        <v>1</v>
      </c>
      <c r="AV228" s="3">
        <f t="shared" si="126"/>
        <v>12</v>
      </c>
      <c r="AW228" s="3">
        <f t="shared" si="127"/>
        <v>5</v>
      </c>
      <c r="AX228" s="3">
        <f t="shared" si="128"/>
        <v>9</v>
      </c>
      <c r="AY228" s="3">
        <f t="shared" si="129"/>
        <v>5</v>
      </c>
      <c r="AZ228" s="3">
        <f t="shared" si="130"/>
        <v>1</v>
      </c>
      <c r="BA228" s="3">
        <f>IF(ISERROR(LEN(VLOOKUP(A228,Seqs!A:E,2,FALSE))-AL228),"-",LEN(VLOOKUP(A228,Seqs!A:E,2,FALSE))-AL228)</f>
        <v>76</v>
      </c>
      <c r="BB228" s="16">
        <f t="shared" si="131"/>
        <v>29</v>
      </c>
      <c r="BC228" s="9">
        <f t="shared" si="132"/>
        <v>20</v>
      </c>
      <c r="BD228" s="3">
        <f t="shared" si="133"/>
        <v>29</v>
      </c>
      <c r="BE228" s="3">
        <f t="shared" si="134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39" si="141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3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40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5"/>
        <v>1</v>
      </c>
      <c r="AO229" s="3" t="str">
        <f>IF(ISERROR(MATCH(A229,'SegEnds_Xtal_Prot#'!B:B, 0)), "NoXtal", "Xtal")</f>
        <v>NoXtal</v>
      </c>
      <c r="AP229" s="3" t="str">
        <f t="shared" si="120"/>
        <v>-</v>
      </c>
      <c r="AQ229" s="3" t="str">
        <f t="shared" si="121"/>
        <v>-</v>
      </c>
      <c r="AR229" s="3">
        <f t="shared" si="122"/>
        <v>3</v>
      </c>
      <c r="AS229" s="3">
        <f t="shared" si="123"/>
        <v>1</v>
      </c>
      <c r="AT229" s="3">
        <f t="shared" si="124"/>
        <v>1</v>
      </c>
      <c r="AU229" s="3">
        <f t="shared" si="125"/>
        <v>1</v>
      </c>
      <c r="AV229" s="3">
        <f t="shared" si="126"/>
        <v>17</v>
      </c>
      <c r="AW229" s="3">
        <f t="shared" si="127"/>
        <v>5</v>
      </c>
      <c r="AX229" s="3">
        <f t="shared" si="128"/>
        <v>5</v>
      </c>
      <c r="AY229" s="3">
        <f t="shared" si="129"/>
        <v>6</v>
      </c>
      <c r="AZ229" s="3">
        <f t="shared" si="130"/>
        <v>1</v>
      </c>
      <c r="BA229" s="3">
        <f>IF(ISERROR(LEN(VLOOKUP(A229,Seqs!A:E,2,FALSE))-AL229),"-",LEN(VLOOKUP(A229,Seqs!A:E,2,FALSE))-AL229)</f>
        <v>31</v>
      </c>
      <c r="BB229" s="16">
        <f t="shared" si="131"/>
        <v>28</v>
      </c>
      <c r="BC229" s="9">
        <f t="shared" si="132"/>
        <v>20</v>
      </c>
      <c r="BD229" s="3">
        <f t="shared" si="133"/>
        <v>28</v>
      </c>
      <c r="BE229" s="3">
        <f t="shared" si="134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p2y12_human</v>
      </c>
      <c r="C230" s="3">
        <f>VLOOKUP($A230,'SegEnds_NonXtal_BW#'!$A:$Z,3,FALSE)+D230-50</f>
        <v>11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43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50</v>
      </c>
      <c r="J230" s="3">
        <v>63</v>
      </c>
      <c r="K230" s="3">
        <f>VLOOKUP($A230,'SegEnds_NonXtal_BW#'!$A:$Z,8,FALSE)+VLOOKUP($A230,A:AL,10,FALSE)-50</f>
        <v>79</v>
      </c>
      <c r="L230" s="3">
        <f>M230-1</f>
        <v>82</v>
      </c>
      <c r="M230" s="3">
        <v>83</v>
      </c>
      <c r="N230" s="3">
        <f>M230+2</f>
        <v>85</v>
      </c>
      <c r="O230" s="3">
        <f t="shared" si="141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3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156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40"/>
        <v>175</v>
      </c>
      <c r="AA230" s="3">
        <f>IF(ISERROR(VLOOKUP($A230,'SegEnds_NonXtal_BW#'!$A:$Z,19,FALSE)+VLOOKUP($A230,A:AL,28,FALSE)-50),"-",(VLOOKUP($A230,'SegEnds_NonXtal_BW#'!$A:$Z,19,FALSE)+VLOOKUP($A230,A:AL,28,FALSE)-50))</f>
        <v>178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258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296</v>
      </c>
      <c r="AJ230" s="3">
        <f>IF(ISERROR(VLOOKUP($A230,'SegEnds_NonXtal_BW#'!$A:$Z,25,FALSE)+VLOOKUP($A230,A:AL,37,FALSE)-50),"-",(VLOOKUP($A230,'SegEnds_NonXtal_BW#'!$A:$Z,25,FALSE)+VLOOKUP($A230,A:AL,37,FALSE)-50))</f>
        <v>297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307</v>
      </c>
      <c r="AM230" s="28" t="str">
        <f>VLOOKUP(A230,Classification!A:B,2,FALSE)</f>
        <v>A</v>
      </c>
      <c r="AN230" s="28" t="b">
        <f t="shared" si="135"/>
        <v>1</v>
      </c>
      <c r="AO230" s="3" t="str">
        <f>IF(ISERROR(MATCH(A230,'SegEnds_Xtal_Prot#'!B:B, 0)), "NoXtal", "Xtal")</f>
        <v>NoXtal</v>
      </c>
      <c r="AP230" s="3" t="str">
        <f t="shared" si="120"/>
        <v>-</v>
      </c>
      <c r="AQ230" s="3" t="str">
        <f t="shared" si="121"/>
        <v>-</v>
      </c>
      <c r="AR230" s="3">
        <f t="shared" si="122"/>
        <v>3</v>
      </c>
      <c r="AS230" s="3">
        <f t="shared" si="123"/>
        <v>1</v>
      </c>
      <c r="AT230" s="3">
        <f t="shared" si="124"/>
        <v>1</v>
      </c>
      <c r="AU230" s="3">
        <f t="shared" si="125"/>
        <v>1</v>
      </c>
      <c r="AV230" s="3">
        <f t="shared" si="126"/>
        <v>17</v>
      </c>
      <c r="AW230" s="3">
        <f t="shared" si="127"/>
        <v>3</v>
      </c>
      <c r="AX230" s="3">
        <f t="shared" si="128"/>
        <v>5</v>
      </c>
      <c r="AY230" s="3">
        <f t="shared" si="129"/>
        <v>6</v>
      </c>
      <c r="AZ230" s="3">
        <f t="shared" si="130"/>
        <v>1</v>
      </c>
      <c r="BA230" s="3">
        <f>IF(ISERROR(LEN(VLOOKUP(A230,Seqs!A:E,2,FALSE))-AL230),"-",LEN(VLOOKUP(A230,Seqs!A:E,2,FALSE))-AL230)</f>
        <v>35</v>
      </c>
      <c r="BB230" s="16">
        <f t="shared" si="131"/>
        <v>30</v>
      </c>
      <c r="BC230" s="9">
        <f t="shared" si="132"/>
        <v>20</v>
      </c>
      <c r="BD230" s="3">
        <f t="shared" si="133"/>
        <v>30</v>
      </c>
      <c r="BE230" s="3">
        <f t="shared" si="134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2">G231-2</f>
        <v>74</v>
      </c>
      <c r="G231" s="3">
        <v>76</v>
      </c>
      <c r="H231" s="3">
        <f t="shared" ref="H231:I238" si="143">G231+1</f>
        <v>77</v>
      </c>
      <c r="I231" s="3">
        <f t="shared" si="143"/>
        <v>78</v>
      </c>
      <c r="J231" s="3">
        <v>91</v>
      </c>
      <c r="K231" s="3">
        <f>VLOOKUP($A231,'SegEnds_NonXtal_BW#'!$A:$Z,8,FALSE)+VLOOKUP($A231,A:AL,10,FALSE)-50</f>
        <v>108</v>
      </c>
      <c r="L231" s="3">
        <f>M231-1</f>
        <v>110</v>
      </c>
      <c r="M231" s="3">
        <v>111</v>
      </c>
      <c r="N231" s="3">
        <f>M231+2</f>
        <v>113</v>
      </c>
      <c r="O231" s="3">
        <f t="shared" si="141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3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40"/>
        <v>203</v>
      </c>
      <c r="AA231" s="3">
        <f>IF(ISERROR(VLOOKUP($A231,'SegEnds_NonXtal_BW#'!$A:$Z,19,FALSE)+VLOOKUP($A231,A:AL,28,FALSE)-50),"-",(VLOOKUP($A231,'SegEnds_NonXtal_BW#'!$A:$Z,19,FALSE)+VLOOKUP($A231,A:AL,28,FALSE)-50))</f>
        <v>208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5"/>
        <v>1</v>
      </c>
      <c r="AO231" s="3" t="str">
        <f>IF(ISERROR(MATCH(A231,'SegEnds_Xtal_Prot#'!B:B, 0)), "NoXtal", "Xtal")</f>
        <v>NoXtal</v>
      </c>
      <c r="AP231" s="3">
        <f t="shared" si="120"/>
        <v>1</v>
      </c>
      <c r="AQ231" s="3">
        <f t="shared" si="121"/>
        <v>1</v>
      </c>
      <c r="AR231" s="3">
        <f t="shared" si="122"/>
        <v>2</v>
      </c>
      <c r="AS231" s="3">
        <f t="shared" si="123"/>
        <v>1</v>
      </c>
      <c r="AT231" s="3">
        <f t="shared" si="124"/>
        <v>1</v>
      </c>
      <c r="AU231" s="3">
        <f t="shared" si="125"/>
        <v>1</v>
      </c>
      <c r="AV231" s="3">
        <f t="shared" si="126"/>
        <v>17</v>
      </c>
      <c r="AW231" s="3">
        <f t="shared" si="127"/>
        <v>5</v>
      </c>
      <c r="AX231" s="3">
        <f t="shared" si="128"/>
        <v>9</v>
      </c>
      <c r="AY231" s="3">
        <f t="shared" si="129"/>
        <v>8</v>
      </c>
      <c r="AZ231" s="3">
        <f t="shared" si="130"/>
        <v>1</v>
      </c>
      <c r="BA231" s="3">
        <f>IF(ISERROR(LEN(VLOOKUP(A231,Seqs!A:E,2,FALSE))-AL231),"-",LEN(VLOOKUP(A231,Seqs!A:E,2,FALSE))-AL231)</f>
        <v>84</v>
      </c>
      <c r="BB231" s="16">
        <f t="shared" si="131"/>
        <v>28</v>
      </c>
      <c r="BC231" s="9">
        <f t="shared" si="132"/>
        <v>20</v>
      </c>
      <c r="BD231" s="3">
        <f t="shared" si="133"/>
        <v>28</v>
      </c>
      <c r="BE231" s="3">
        <f t="shared" si="134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agtr1_human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2"/>
        <v>69</v>
      </c>
      <c r="G232" s="3">
        <v>71</v>
      </c>
      <c r="H232" s="3">
        <f t="shared" si="143"/>
        <v>72</v>
      </c>
      <c r="I232" s="3">
        <f t="shared" si="143"/>
        <v>73</v>
      </c>
      <c r="J232" s="3">
        <v>87</v>
      </c>
      <c r="K232" s="3">
        <f>VLOOKUP($A232,'SegEnds_NonXtal_BW#'!$A:$Z,8,FALSE)+VLOOKUP($A232,A:AL,10,FALSE)-50</f>
        <v>103</v>
      </c>
      <c r="L232" s="3">
        <f>M232-1</f>
        <v>106</v>
      </c>
      <c r="M232" s="3">
        <v>107</v>
      </c>
      <c r="N232" s="3">
        <f>M232+2</f>
        <v>109</v>
      </c>
      <c r="O232" s="3">
        <f t="shared" si="141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3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40"/>
        <v>193</v>
      </c>
      <c r="AA232" s="3">
        <f>IF(ISERROR(VLOOKUP($A232,'SegEnds_NonXtal_BW#'!$A:$Z,19,FALSE)+VLOOKUP($A232,A:AL,28,FALSE)-50),"-",(VLOOKUP($A232,'SegEnds_NonXtal_BW#'!$A:$Z,19,FALSE)+VLOOKUP($A232,A:AL,28,FALSE)-50))</f>
        <v>200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327</v>
      </c>
      <c r="AM232" s="28" t="str">
        <f>VLOOKUP(A232,Classification!A:B,2,FALSE)</f>
        <v>A</v>
      </c>
      <c r="AN232" s="28" t="b">
        <f t="shared" si="135"/>
        <v>1</v>
      </c>
      <c r="AO232" s="3" t="str">
        <f>IF(ISERROR(MATCH(A232,'SegEnds_Xtal_Prot#'!B:B, 0)), "NoXtal", "Xtal")</f>
        <v>NoXtal</v>
      </c>
      <c r="AP232" s="3">
        <f t="shared" si="120"/>
        <v>2</v>
      </c>
      <c r="AQ232" s="3">
        <f t="shared" si="121"/>
        <v>1</v>
      </c>
      <c r="AR232" s="3">
        <f t="shared" si="122"/>
        <v>3</v>
      </c>
      <c r="AS232" s="3">
        <f t="shared" si="123"/>
        <v>1</v>
      </c>
      <c r="AT232" s="3">
        <f t="shared" si="124"/>
        <v>1</v>
      </c>
      <c r="AU232" s="3">
        <f t="shared" si="125"/>
        <v>1</v>
      </c>
      <c r="AV232" s="3">
        <f t="shared" si="126"/>
        <v>11</v>
      </c>
      <c r="AW232" s="3">
        <f t="shared" si="127"/>
        <v>7</v>
      </c>
      <c r="AX232" s="3">
        <f t="shared" si="128"/>
        <v>6</v>
      </c>
      <c r="AY232" s="3">
        <f t="shared" si="129"/>
        <v>5</v>
      </c>
      <c r="AZ232" s="3">
        <f t="shared" si="130"/>
        <v>1</v>
      </c>
      <c r="BA232" s="3">
        <f>IF(ISERROR(LEN(VLOOKUP(A232,Seqs!A:E,2,FALSE))-AL232),"-",LEN(VLOOKUP(A232,Seqs!A:E,2,FALSE))-AL232)</f>
        <v>47</v>
      </c>
      <c r="BB232" s="16">
        <f t="shared" si="131"/>
        <v>30</v>
      </c>
      <c r="BC232" s="9">
        <f t="shared" si="132"/>
        <v>20</v>
      </c>
      <c r="BD232" s="3">
        <f t="shared" si="133"/>
        <v>30</v>
      </c>
      <c r="BE232" s="3">
        <f t="shared" si="134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2"/>
        <v>75</v>
      </c>
      <c r="G233" s="3">
        <v>77</v>
      </c>
      <c r="H233" s="3">
        <f t="shared" si="143"/>
        <v>78</v>
      </c>
      <c r="I233" s="3">
        <f t="shared" si="143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41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3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5"/>
        <v>1</v>
      </c>
      <c r="AO233" s="3" t="str">
        <f>IF(ISERROR(MATCH(A233,'SegEnds_Xtal_Prot#'!B:B, 0)), "NoXtal", "Xtal")</f>
        <v>NoXtal</v>
      </c>
      <c r="AP233" s="3">
        <f t="shared" si="120"/>
        <v>1</v>
      </c>
      <c r="AQ233" s="3">
        <f t="shared" si="121"/>
        <v>1</v>
      </c>
      <c r="AR233" s="3">
        <f t="shared" si="122"/>
        <v>2</v>
      </c>
      <c r="AS233" s="3">
        <f t="shared" si="123"/>
        <v>1</v>
      </c>
      <c r="AT233" s="3">
        <f t="shared" si="124"/>
        <v>1</v>
      </c>
      <c r="AU233" s="3">
        <f t="shared" si="125"/>
        <v>1</v>
      </c>
      <c r="AV233" s="3" t="str">
        <f t="shared" si="126"/>
        <v>-</v>
      </c>
      <c r="AW233" s="3" t="str">
        <f t="shared" si="127"/>
        <v>-</v>
      </c>
      <c r="AX233" s="3">
        <f t="shared" si="128"/>
        <v>6</v>
      </c>
      <c r="AY233" s="3">
        <f t="shared" si="129"/>
        <v>7</v>
      </c>
      <c r="AZ233" s="3">
        <f t="shared" si="130"/>
        <v>1</v>
      </c>
      <c r="BA233" s="3">
        <f>IF(ISERROR(LEN(VLOOKUP(A233,Seqs!A:E,2,FALSE))-AL233),"-",LEN(VLOOKUP(A233,Seqs!A:E,2,FALSE))-AL233)</f>
        <v>61</v>
      </c>
      <c r="BB233" s="16">
        <f t="shared" si="131"/>
        <v>28</v>
      </c>
      <c r="BC233" s="9">
        <f t="shared" si="132"/>
        <v>20</v>
      </c>
      <c r="BD233" s="3">
        <f t="shared" si="133"/>
        <v>28</v>
      </c>
      <c r="BE233" s="3">
        <f t="shared" si="134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2"/>
        <v>87</v>
      </c>
      <c r="G234" s="3">
        <v>89</v>
      </c>
      <c r="H234" s="3">
        <f t="shared" si="143"/>
        <v>90</v>
      </c>
      <c r="I234" s="3">
        <f t="shared" si="143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39" si="144">M234-1</f>
        <v>122</v>
      </c>
      <c r="M234" s="3">
        <v>123</v>
      </c>
      <c r="N234" s="3">
        <f t="shared" ref="N234:N239" si="145">M234+2</f>
        <v>125</v>
      </c>
      <c r="O234" s="3">
        <f t="shared" si="141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3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39" si="146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216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5"/>
        <v>1</v>
      </c>
      <c r="AO234" s="3" t="str">
        <f>IF(ISERROR(MATCH(A234,'SegEnds_Xtal_Prot#'!B:B, 0)), "NoXtal", "Xtal")</f>
        <v>NoXtal</v>
      </c>
      <c r="AP234" s="3">
        <f t="shared" si="120"/>
        <v>1</v>
      </c>
      <c r="AQ234" s="3">
        <f t="shared" si="121"/>
        <v>1</v>
      </c>
      <c r="AR234" s="3">
        <f t="shared" si="122"/>
        <v>2</v>
      </c>
      <c r="AS234" s="3">
        <f t="shared" si="123"/>
        <v>1</v>
      </c>
      <c r="AT234" s="3">
        <f t="shared" si="124"/>
        <v>1</v>
      </c>
      <c r="AU234" s="3">
        <f t="shared" si="125"/>
        <v>1</v>
      </c>
      <c r="AV234" s="3">
        <f t="shared" si="126"/>
        <v>12</v>
      </c>
      <c r="AW234" s="3">
        <f t="shared" si="127"/>
        <v>6</v>
      </c>
      <c r="AX234" s="3">
        <f t="shared" si="128"/>
        <v>6</v>
      </c>
      <c r="AY234" s="3">
        <f t="shared" si="129"/>
        <v>5</v>
      </c>
      <c r="AZ234" s="3">
        <f t="shared" si="130"/>
        <v>1</v>
      </c>
      <c r="BA234" s="3">
        <f>IF(ISERROR(LEN(VLOOKUP(A234,Seqs!A:E,2,FALSE))-AL234),"-",LEN(VLOOKUP(A234,Seqs!A:E,2,FALSE))-AL234)</f>
        <v>52</v>
      </c>
      <c r="BB234" s="16">
        <f t="shared" si="131"/>
        <v>28</v>
      </c>
      <c r="BC234" s="9">
        <f t="shared" si="132"/>
        <v>20</v>
      </c>
      <c r="BD234" s="3">
        <f t="shared" si="133"/>
        <v>28</v>
      </c>
      <c r="BE234" s="3">
        <f t="shared" si="134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2"/>
        <v>72</v>
      </c>
      <c r="G235" s="3">
        <v>74</v>
      </c>
      <c r="H235" s="3">
        <f t="shared" si="143"/>
        <v>75</v>
      </c>
      <c r="I235" s="3">
        <f t="shared" si="143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4"/>
        <v>107</v>
      </c>
      <c r="M235" s="3">
        <v>108</v>
      </c>
      <c r="N235" s="3">
        <f t="shared" si="145"/>
        <v>110</v>
      </c>
      <c r="O235" s="3">
        <f t="shared" si="141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3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6"/>
        <v>195</v>
      </c>
      <c r="AA235" s="3">
        <f>IF(ISERROR(VLOOKUP($A235,'SegEnds_NonXtal_BW#'!$A:$Z,19,FALSE)+VLOOKUP($A235,A:AL,28,FALSE)-50),"-",(VLOOKUP($A235,'SegEnds_NonXtal_BW#'!$A:$Z,19,FALSE)+VLOOKUP($A235,A:AL,28,FALSE)-50))</f>
        <v>201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5"/>
        <v>1</v>
      </c>
      <c r="AO235" s="3" t="str">
        <f>IF(ISERROR(MATCH(A235,'SegEnds_Xtal_Prot#'!B:B, 0)), "NoXtal", "Xtal")</f>
        <v>NoXtal</v>
      </c>
      <c r="AP235" s="3">
        <f t="shared" si="120"/>
        <v>1</v>
      </c>
      <c r="AQ235" s="3">
        <f t="shared" si="121"/>
        <v>1</v>
      </c>
      <c r="AR235" s="3">
        <f t="shared" si="122"/>
        <v>2</v>
      </c>
      <c r="AS235" s="3">
        <f t="shared" si="123"/>
        <v>1</v>
      </c>
      <c r="AT235" s="3">
        <f t="shared" si="124"/>
        <v>1</v>
      </c>
      <c r="AU235" s="3">
        <f t="shared" si="125"/>
        <v>1</v>
      </c>
      <c r="AV235" s="3">
        <f t="shared" si="126"/>
        <v>12</v>
      </c>
      <c r="AW235" s="3">
        <f t="shared" si="127"/>
        <v>6</v>
      </c>
      <c r="AX235" s="3">
        <f t="shared" si="128"/>
        <v>6</v>
      </c>
      <c r="AY235" s="3">
        <f t="shared" si="129"/>
        <v>5</v>
      </c>
      <c r="AZ235" s="3">
        <f t="shared" si="130"/>
        <v>1</v>
      </c>
      <c r="BA235" s="3">
        <f>IF(ISERROR(LEN(VLOOKUP(A235,Seqs!A:E,2,FALSE))-AL235),"-",LEN(VLOOKUP(A235,Seqs!A:E,2,FALSE))-AL235)</f>
        <v>41</v>
      </c>
      <c r="BB235" s="16">
        <f t="shared" si="131"/>
        <v>28</v>
      </c>
      <c r="BC235" s="9">
        <f t="shared" si="132"/>
        <v>20</v>
      </c>
      <c r="BD235" s="3">
        <f t="shared" si="133"/>
        <v>28</v>
      </c>
      <c r="BE235" s="3">
        <f t="shared" si="134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2"/>
        <v>73</v>
      </c>
      <c r="G236" s="3">
        <v>75</v>
      </c>
      <c r="H236" s="3">
        <f t="shared" si="143"/>
        <v>76</v>
      </c>
      <c r="I236" s="3">
        <f t="shared" si="143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4"/>
        <v>108</v>
      </c>
      <c r="M236" s="3">
        <v>109</v>
      </c>
      <c r="N236" s="3">
        <f t="shared" si="145"/>
        <v>111</v>
      </c>
      <c r="O236" s="3">
        <f t="shared" si="141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3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6"/>
        <v>193</v>
      </c>
      <c r="AA236" s="3">
        <f>IF(ISERROR(VLOOKUP($A236,'SegEnds_NonXtal_BW#'!$A:$Z,19,FALSE)+VLOOKUP($A236,A:AL,28,FALSE)-50),"-",(VLOOKUP($A236,'SegEnds_NonXtal_BW#'!$A:$Z,19,FALSE)+VLOOKUP($A236,A:AL,28,FALSE)-50))</f>
        <v>199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5"/>
        <v>1</v>
      </c>
      <c r="AO236" s="3" t="str">
        <f>IF(ISERROR(MATCH(A236,'SegEnds_Xtal_Prot#'!B:B, 0)), "NoXtal", "Xtal")</f>
        <v>NoXtal</v>
      </c>
      <c r="AP236" s="3">
        <f t="shared" si="120"/>
        <v>1</v>
      </c>
      <c r="AQ236" s="3">
        <f t="shared" si="121"/>
        <v>1</v>
      </c>
      <c r="AR236" s="3">
        <f t="shared" si="122"/>
        <v>2</v>
      </c>
      <c r="AS236" s="3">
        <f t="shared" si="123"/>
        <v>1</v>
      </c>
      <c r="AT236" s="3">
        <f t="shared" si="124"/>
        <v>1</v>
      </c>
      <c r="AU236" s="3">
        <f t="shared" si="125"/>
        <v>1</v>
      </c>
      <c r="AV236" s="3">
        <f t="shared" si="126"/>
        <v>9</v>
      </c>
      <c r="AW236" s="3">
        <f t="shared" si="127"/>
        <v>6</v>
      </c>
      <c r="AX236" s="3">
        <f t="shared" si="128"/>
        <v>6</v>
      </c>
      <c r="AY236" s="3">
        <f t="shared" si="129"/>
        <v>5</v>
      </c>
      <c r="AZ236" s="3">
        <f t="shared" si="130"/>
        <v>1</v>
      </c>
      <c r="BA236" s="3">
        <f>IF(ISERROR(LEN(VLOOKUP(A236,Seqs!A:E,2,FALSE))-AL236),"-",LEN(VLOOKUP(A236,Seqs!A:E,2,FALSE))-AL236)</f>
        <v>89</v>
      </c>
      <c r="BB236" s="16">
        <f t="shared" si="131"/>
        <v>28</v>
      </c>
      <c r="BC236" s="9">
        <f t="shared" si="132"/>
        <v>20</v>
      </c>
      <c r="BD236" s="3">
        <f t="shared" si="133"/>
        <v>28</v>
      </c>
      <c r="BE236" s="3">
        <f t="shared" si="134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2"/>
        <v>76</v>
      </c>
      <c r="G237" s="3">
        <v>78</v>
      </c>
      <c r="H237" s="3">
        <f t="shared" si="143"/>
        <v>79</v>
      </c>
      <c r="I237" s="3">
        <f t="shared" si="143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4"/>
        <v>111</v>
      </c>
      <c r="M237" s="3">
        <v>112</v>
      </c>
      <c r="N237" s="3">
        <f t="shared" si="145"/>
        <v>114</v>
      </c>
      <c r="O237" s="3">
        <f t="shared" si="141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3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6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5"/>
        <v>1</v>
      </c>
      <c r="AO237" s="3" t="str">
        <f>IF(ISERROR(MATCH(A237,'SegEnds_Xtal_Prot#'!B:B, 0)), "NoXtal", "Xtal")</f>
        <v>NoXtal</v>
      </c>
      <c r="AP237" s="3">
        <f t="shared" si="120"/>
        <v>1</v>
      </c>
      <c r="AQ237" s="3">
        <f t="shared" si="121"/>
        <v>1</v>
      </c>
      <c r="AR237" s="3">
        <f t="shared" si="122"/>
        <v>2</v>
      </c>
      <c r="AS237" s="3">
        <f t="shared" si="123"/>
        <v>1</v>
      </c>
      <c r="AT237" s="3">
        <f t="shared" si="124"/>
        <v>1</v>
      </c>
      <c r="AU237" s="3">
        <f t="shared" si="125"/>
        <v>1</v>
      </c>
      <c r="AV237" s="3">
        <f t="shared" si="126"/>
        <v>13</v>
      </c>
      <c r="AW237" s="3">
        <f t="shared" si="127"/>
        <v>4</v>
      </c>
      <c r="AX237" s="3">
        <f t="shared" si="128"/>
        <v>6</v>
      </c>
      <c r="AY237" s="3">
        <f t="shared" si="129"/>
        <v>5</v>
      </c>
      <c r="AZ237" s="3">
        <f t="shared" si="130"/>
        <v>1</v>
      </c>
      <c r="BA237" s="3">
        <f>IF(ISERROR(LEN(VLOOKUP(A237,Seqs!A:E,2,FALSE))-AL237),"-",LEN(VLOOKUP(A237,Seqs!A:E,2,FALSE))-AL237)</f>
        <v>60</v>
      </c>
      <c r="BB237" s="16">
        <f t="shared" si="131"/>
        <v>28</v>
      </c>
      <c r="BC237" s="9">
        <f t="shared" si="132"/>
        <v>20</v>
      </c>
      <c r="BD237" s="3">
        <f t="shared" si="133"/>
        <v>28</v>
      </c>
      <c r="BE237" s="3">
        <f t="shared" si="134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2"/>
        <v>69</v>
      </c>
      <c r="G238" s="3">
        <v>71</v>
      </c>
      <c r="H238" s="3">
        <f t="shared" si="143"/>
        <v>72</v>
      </c>
      <c r="I238" s="3">
        <f t="shared" si="143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4"/>
        <v>104</v>
      </c>
      <c r="M238" s="3">
        <v>105</v>
      </c>
      <c r="N238" s="3">
        <f t="shared" si="145"/>
        <v>107</v>
      </c>
      <c r="O238" s="3">
        <f t="shared" si="141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3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6"/>
        <v>188</v>
      </c>
      <c r="AA238" s="3">
        <f>IF(ISERROR(VLOOKUP($A238,'SegEnds_NonXtal_BW#'!$A:$Z,19,FALSE)+VLOOKUP($A238,A:AL,28,FALSE)-50),"-",(VLOOKUP($A238,'SegEnds_NonXtal_BW#'!$A:$Z,19,FALSE)+VLOOKUP($A238,A:AL,28,FALSE)-50))</f>
        <v>194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5"/>
        <v>1</v>
      </c>
      <c r="AO238" s="3" t="str">
        <f>IF(ISERROR(MATCH(A238,'SegEnds_Xtal_Prot#'!B:B, 0)), "NoXtal", "Xtal")</f>
        <v>NoXtal</v>
      </c>
      <c r="AP238" s="3">
        <f t="shared" si="120"/>
        <v>1</v>
      </c>
      <c r="AQ238" s="3">
        <f t="shared" si="121"/>
        <v>1</v>
      </c>
      <c r="AR238" s="3">
        <f t="shared" si="122"/>
        <v>2</v>
      </c>
      <c r="AS238" s="3">
        <f t="shared" si="123"/>
        <v>1</v>
      </c>
      <c r="AT238" s="3">
        <f t="shared" si="124"/>
        <v>1</v>
      </c>
      <c r="AU238" s="3">
        <f t="shared" si="125"/>
        <v>1</v>
      </c>
      <c r="AV238" s="3">
        <f t="shared" si="126"/>
        <v>8</v>
      </c>
      <c r="AW238" s="3">
        <f t="shared" si="127"/>
        <v>6</v>
      </c>
      <c r="AX238" s="3">
        <f t="shared" si="128"/>
        <v>7</v>
      </c>
      <c r="AY238" s="3">
        <f t="shared" si="129"/>
        <v>5</v>
      </c>
      <c r="AZ238" s="3">
        <f t="shared" si="130"/>
        <v>1</v>
      </c>
      <c r="BA238" s="3">
        <f>IF(ISERROR(LEN(VLOOKUP(A238,Seqs!A:E,2,FALSE))-AL238),"-",LEN(VLOOKUP(A238,Seqs!A:E,2,FALSE))-AL238)</f>
        <v>44</v>
      </c>
      <c r="BB238" s="16">
        <f t="shared" si="131"/>
        <v>28</v>
      </c>
      <c r="BC238" s="9">
        <f t="shared" si="132"/>
        <v>20</v>
      </c>
      <c r="BD238" s="3">
        <f t="shared" si="133"/>
        <v>28</v>
      </c>
      <c r="BE238" s="3">
        <f t="shared" si="134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4"/>
        <v>87</v>
      </c>
      <c r="M239" s="3">
        <v>88</v>
      </c>
      <c r="N239" s="3">
        <f t="shared" si="145"/>
        <v>90</v>
      </c>
      <c r="O239" s="3">
        <f t="shared" si="141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3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6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5"/>
        <v>1</v>
      </c>
      <c r="AO239" s="3" t="str">
        <f>IF(ISERROR(MATCH(A239,'SegEnds_Xtal_Prot#'!B:B, 0)), "NoXtal", "Xtal")</f>
        <v>NoXtal</v>
      </c>
      <c r="AP239" s="3" t="str">
        <f t="shared" si="120"/>
        <v>-</v>
      </c>
      <c r="AQ239" s="3" t="str">
        <f t="shared" si="121"/>
        <v>-</v>
      </c>
      <c r="AR239" s="3">
        <f t="shared" si="122"/>
        <v>2</v>
      </c>
      <c r="AS239" s="3">
        <f t="shared" si="123"/>
        <v>1</v>
      </c>
      <c r="AT239" s="3">
        <f t="shared" si="124"/>
        <v>1</v>
      </c>
      <c r="AU239" s="3">
        <f t="shared" si="125"/>
        <v>1</v>
      </c>
      <c r="AV239" s="3">
        <f t="shared" si="126"/>
        <v>11</v>
      </c>
      <c r="AW239" s="3">
        <f t="shared" si="127"/>
        <v>7</v>
      </c>
      <c r="AX239" s="3">
        <f t="shared" si="128"/>
        <v>4</v>
      </c>
      <c r="AY239" s="3">
        <f t="shared" si="129"/>
        <v>5</v>
      </c>
      <c r="AZ239" s="3">
        <f t="shared" si="130"/>
        <v>1</v>
      </c>
      <c r="BA239" s="3">
        <f>IF(ISERROR(LEN(VLOOKUP(A239,Seqs!A:E,2,FALSE))-AL239),"-",LEN(VLOOKUP(A239,Seqs!A:E,2,FALSE))-AL239)</f>
        <v>23</v>
      </c>
      <c r="BB239" s="16">
        <f t="shared" si="131"/>
        <v>28</v>
      </c>
      <c r="BC239" s="9">
        <f t="shared" si="132"/>
        <v>20</v>
      </c>
      <c r="BD239" s="3">
        <f t="shared" si="133"/>
        <v>28</v>
      </c>
      <c r="BE239" s="3">
        <f t="shared" si="134"/>
        <v>48</v>
      </c>
      <c r="BF239" s="3">
        <f t="shared" ref="BF239:BF272" si="147">AH239-AE239</f>
        <v>45</v>
      </c>
    </row>
    <row r="240" spans="1:58" s="3" customFormat="1" x14ac:dyDescent="0.2">
      <c r="A240" s="3" t="s">
        <v>456</v>
      </c>
      <c r="B240" s="3" t="str">
        <f>LOWER(VLOOKUP(A240,Xtal_Templ!A:B,2,FALSE))</f>
        <v>aa2ar_human</v>
      </c>
      <c r="C240" s="3">
        <f>VLOOKUP($A240,'SegEnds_NonXtal_BW#'!$A:$Z,3,FALSE)+D240-50</f>
        <v>6</v>
      </c>
      <c r="D240" s="3">
        <v>24</v>
      </c>
      <c r="E240" s="3">
        <f t="shared" ref="E240:E257" si="148">F240-1</f>
        <v>36</v>
      </c>
      <c r="F240" s="3">
        <f t="shared" ref="F240:F257" si="149">G240-2</f>
        <v>37</v>
      </c>
      <c r="G240" s="3">
        <v>39</v>
      </c>
      <c r="H240" s="3">
        <f t="shared" ref="H240:I257" si="150">G240+1</f>
        <v>40</v>
      </c>
      <c r="I240" s="3">
        <f t="shared" si="150"/>
        <v>41</v>
      </c>
      <c r="J240" s="3">
        <v>54</v>
      </c>
      <c r="K240" s="3">
        <f>VLOOKUP($A240,'SegEnds_NonXtal_BW#'!$A:$Z,8,FALSE)+VLOOKUP($A240,A:AL,10,FALSE)-50</f>
        <v>71</v>
      </c>
      <c r="L240" s="3" t="str">
        <f>IF(ISERROR(VLOOKUP($A240,'SegEnds_NonXtal_BW#'!$A:$Z,9,FALSE)+VLOOKUP($A240,A:AL,13,FALSE)-50),"-",(VLOOKUP($A240,'SegEnds_NonXtal_BW#'!$A:$Z,9,FALSE)+VLOOKUP($A240,A:AL,13,FALSE)-50))</f>
        <v>-</v>
      </c>
      <c r="M240" s="3" t="s">
        <v>23</v>
      </c>
      <c r="N240" s="3" t="str">
        <f>IF(ISERROR(VLOOKUP($A240,'SegEnds_NonXtal_BW#'!$A:$Z,10,FALSE)+VLOOKUP($A240,A:AL,13,FALSE)-50),"-",(VLOOKUP($A240,'SegEnds_NonXtal_BW#'!$A:$Z,10,FALSE)+VLOOKUP($A240,A:AL,13,FALSE)-50))</f>
        <v>-</v>
      </c>
      <c r="O240" s="3">
        <f>VLOOKUP($A240,'SegEnds_NonXtal_BW#'!$A:$Z,11,FALSE)+VLOOKUP($A240,A:AL,16,FALSE)-50</f>
        <v>77</v>
      </c>
      <c r="P240" s="3">
        <v>106</v>
      </c>
      <c r="Q240" s="3">
        <f>VLOOKUP($A240,'SegEnds_NonXtal_BW#'!$A:$Z,12,FALSE)+VLOOKUP($A240,A:AL,16,FALSE)-50</f>
        <v>112</v>
      </c>
      <c r="R240" s="3">
        <f t="shared" ref="R240:R257" si="151">S240</f>
        <v>115</v>
      </c>
      <c r="S240" s="3">
        <v>115</v>
      </c>
      <c r="T240" s="103">
        <f t="shared" ref="T240:T257" si="152">S240+7</f>
        <v>122</v>
      </c>
      <c r="U240" s="9">
        <f>IF(ISERROR(VLOOKUP($A240,'SegEnds_NonXtal_BW#'!$A:$Z,15,FALSE)+VLOOKUP($A240,A:AL,22,FALSE)-50),"-",VLOOKUP($A240,'SegEnds_NonXtal_BW#'!$A:$Z,15,FALSE)+VLOOKUP($A240,A:AL,22,FALSE)-50)</f>
        <v>123</v>
      </c>
      <c r="V240" s="3">
        <v>135</v>
      </c>
      <c r="W240" s="3">
        <f>IF(ISERROR(VLOOKUP($A240,'SegEnds_NonXtal_BW#'!$A:$Z,16,FALSE)+VLOOKUP($A240,A:AL,22,FALSE)-50),"-",(VLOOKUP($A240,'SegEnds_NonXtal_BW#'!$A:$Z,16,FALSE)+VLOOKUP($A240,A:AL,22,FALSE)-50))</f>
        <v>148</v>
      </c>
      <c r="X240" s="3" t="str">
        <f>IF(ISERROR(VLOOKUP($A240,'SegEnds_NonXtal_BW#'!$A:$Z,17,FALSE)+VLOOKUP($A240,A:AL,25,FALSE)-50),"-",(VLOOKUP($A240,'SegEnds_NonXtal_BW#'!$A:$Z,17,FALSE)+VLOOKUP($A240,A:AL,25,FALSE)-50))</f>
        <v>-</v>
      </c>
      <c r="Y240" s="3" t="s">
        <v>23</v>
      </c>
      <c r="Z240" s="3" t="str">
        <f>IF(ISERROR(VLOOKUP($A240,'SegEnds_NonXtal_BW#'!$A:$Z,18,FALSE)+VLOOKUP($A240,A:AL,25,FALSE)-50),"-",(VLOOKUP($A240,'SegEnds_NonXtal_BW#'!$A:$Z,18,FALSE)+VLOOKUP($A240,A:AL,25,FALSE)-50))</f>
        <v>-</v>
      </c>
      <c r="AA240" s="3">
        <f>IF(ISERROR(VLOOKUP($A240,'SegEnds_NonXtal_BW#'!$A:$Z,19,FALSE)+VLOOKUP($A240,A:AL,28,FALSE)-50),"-",(VLOOKUP($A240,'SegEnds_NonXtal_BW#'!$A:$Z,19,FALSE)+VLOOKUP($A240,A:AL,28,FALSE)-50))</f>
        <v>167</v>
      </c>
      <c r="AB240" s="3">
        <v>185</v>
      </c>
      <c r="AC240" s="3">
        <f>IF(ISERROR((VLOOKUP($A240,'SegEnds_NonXtal_BW#'!$A:$Z,20,FALSE)+VLOOKUP($A240,A:AL,28,FALSE)-50)),"-",(VLOOKUP($A240,'SegEnds_NonXtal_BW#'!$A:$Z,20,FALSE)+VLOOKUP($A240,A:AL,28,FALSE)-50))</f>
        <v>207</v>
      </c>
      <c r="AD240" s="3">
        <f>IF(ISERROR(VLOOKUP($A240,'SegEnds_NonXtal_BW#'!$A:$Z,21,FALSE)+VLOOKUP($A240,A:AL,31,FALSE)-50),"-",(VLOOKUP($A240,'SegEnds_NonXtal_BW#'!$A:$Z,21,FALSE)+VLOOKUP($A240,A:AL,31,FALSE)-50))</f>
        <v>217</v>
      </c>
      <c r="AE240" s="3">
        <v>238</v>
      </c>
      <c r="AF240" s="3">
        <f>IF(ISERROR((VLOOKUP($A240,'SegEnds_NonXtal_BW#'!$A:$Z,22,FALSE)+VLOOKUP($A240,A:AL,31,FALSE)-50)),"-",(VLOOKUP($A240,'SegEnds_NonXtal_BW#'!$A:$Z,22,FALSE)+VLOOKUP($A240,A:AL,31,FALSE)-50))</f>
        <v>249</v>
      </c>
      <c r="AG240" s="3">
        <f>IF(ISERROR(VLOOKUP($A240,'SegEnds_NonXtal_BW#'!$A:$Z,23,FALSE)+VLOOKUP($A240,A:AL,34,FALSE)-50),"-",(VLOOKUP($A240,'SegEnds_NonXtal_BW#'!$A:$Z,23,FALSE)+VLOOKUP($A240,A:AL,34,FALSE)-50))</f>
        <v>255</v>
      </c>
      <c r="AH240" s="3">
        <v>274</v>
      </c>
      <c r="AI240" s="3">
        <f>IF(ISERROR((VLOOKUP($A240,'SegEnds_NonXtal_BW#'!$A:$Z,24,FALSE)+VLOOKUP($A240,A:AL,34,FALSE)-50)),"-",(VLOOKUP($A240,'SegEnds_NonXtal_BW#'!$A:$Z,24,FALSE)+VLOOKUP($A240,A:AL,34,FALSE)-50))</f>
        <v>280</v>
      </c>
      <c r="AJ240" s="3">
        <f>IF(ISERROR(VLOOKUP($A240,'SegEnds_NonXtal_BW#'!$A:$Z,25,FALSE)+VLOOKUP($A240,A:AL,37,FALSE)-50),"-",(VLOOKUP($A240,'SegEnds_NonXtal_BW#'!$A:$Z,25,FALSE)+VLOOKUP($A240,A:AL,37,FALSE)-50))</f>
        <v>281</v>
      </c>
      <c r="AK240" s="3">
        <v>284</v>
      </c>
      <c r="AL240" s="3">
        <f>IF(ISERROR((VLOOKUP($A240,'SegEnds_NonXtal_BW#'!$A:$Z,26,FALSE)+VLOOKUP($A240,A:AL,37,FALSE)-50)),"-",(VLOOKUP($A240,'SegEnds_NonXtal_BW#'!$A:$Z,26,FALSE)+VLOOKUP($A240,A:AL,37,FALSE)-50))</f>
        <v>294</v>
      </c>
      <c r="AM240" s="28" t="str">
        <f>VLOOKUP(A240,Classification!A:B,2,FALSE)</f>
        <v>T</v>
      </c>
      <c r="AN240" s="28" t="b">
        <f t="shared" si="135"/>
        <v>1</v>
      </c>
      <c r="AO240" s="3" t="str">
        <f>IF(ISERROR(MATCH(A240,'SegEnds_Xtal_Prot#'!B:B, 0)), "NoXtal", "Xtal")</f>
        <v>NoXtal</v>
      </c>
      <c r="AP240" s="3">
        <f t="shared" si="120"/>
        <v>1</v>
      </c>
      <c r="AQ240" s="3">
        <f t="shared" si="121"/>
        <v>1</v>
      </c>
      <c r="AR240" s="3" t="str">
        <f t="shared" si="122"/>
        <v>-</v>
      </c>
      <c r="AS240" s="3" t="str">
        <f t="shared" si="123"/>
        <v>-</v>
      </c>
      <c r="AT240" s="3">
        <f t="shared" si="124"/>
        <v>3</v>
      </c>
      <c r="AU240" s="3">
        <f t="shared" si="125"/>
        <v>1</v>
      </c>
      <c r="AV240" s="3" t="str">
        <f t="shared" si="126"/>
        <v>-</v>
      </c>
      <c r="AW240" s="3" t="str">
        <f t="shared" si="127"/>
        <v>-</v>
      </c>
      <c r="AX240" s="3">
        <f t="shared" si="128"/>
        <v>10</v>
      </c>
      <c r="AY240" s="3">
        <f t="shared" si="129"/>
        <v>6</v>
      </c>
      <c r="AZ240" s="3">
        <f t="shared" si="130"/>
        <v>1</v>
      </c>
      <c r="BA240" s="3">
        <f>IF(ISERROR(LEN(VLOOKUP(A240,Seqs!A:E,2,FALSE))-AL240),"-",LEN(VLOOKUP(A240,Seqs!A:E,2,FALSE))-AL240)</f>
        <v>13</v>
      </c>
      <c r="BB240" s="16">
        <f t="shared" si="131"/>
        <v>30</v>
      </c>
      <c r="BC240" s="9">
        <f t="shared" si="132"/>
        <v>20</v>
      </c>
      <c r="BD240" s="3">
        <f t="shared" si="133"/>
        <v>30</v>
      </c>
      <c r="BE240" s="3">
        <f t="shared" si="134"/>
        <v>53</v>
      </c>
      <c r="BF240" s="3">
        <f t="shared" si="147"/>
        <v>36</v>
      </c>
    </row>
    <row r="241" spans="1:58" s="3" customFormat="1" x14ac:dyDescent="0.2">
      <c r="A241" s="3" t="s">
        <v>457</v>
      </c>
      <c r="B241" s="3" t="str">
        <f>LOWER(VLOOKUP(A241,Xtal_Templ!A:B,2,FALSE))</f>
        <v>apj_human</v>
      </c>
      <c r="C241" s="3">
        <f>VLOOKUP($A241,'SegEnds_NonXtal_BW#'!$A:$Z,3,FALSE)+D241-50</f>
        <v>6</v>
      </c>
      <c r="D241" s="3">
        <v>24</v>
      </c>
      <c r="E241" s="3">
        <f t="shared" si="148"/>
        <v>36</v>
      </c>
      <c r="F241" s="3">
        <f t="shared" si="149"/>
        <v>37</v>
      </c>
      <c r="G241" s="3">
        <v>39</v>
      </c>
      <c r="H241" s="3">
        <f t="shared" si="150"/>
        <v>40</v>
      </c>
      <c r="I241" s="3">
        <f t="shared" si="150"/>
        <v>41</v>
      </c>
      <c r="J241" s="3">
        <v>55</v>
      </c>
      <c r="K241" s="3">
        <f>VLOOKUP($A241,'SegEnds_NonXtal_BW#'!$A:$Z,8,FALSE)+VLOOKUP($A241,A:AL,10,FALSE)-50</f>
        <v>72</v>
      </c>
      <c r="L241" s="3" t="str">
        <f>IF(ISERROR(VLOOKUP($A241,'SegEnds_NonXtal_BW#'!$A:$Z,9,FALSE)+VLOOKUP($A241,A:AL,13,FALSE)-50),"-",(VLOOKUP($A241,'SegEnds_NonXtal_BW#'!$A:$Z,9,FALSE)+VLOOKUP($A241,A:AL,13,FALSE)-50))</f>
        <v>-</v>
      </c>
      <c r="M241" s="3" t="s">
        <v>23</v>
      </c>
      <c r="N241" s="3" t="str">
        <f>IF(ISERROR(VLOOKUP($A241,'SegEnds_NonXtal_BW#'!$A:$Z,10,FALSE)+VLOOKUP($A241,A:AL,13,FALSE)-50),"-",(VLOOKUP($A241,'SegEnds_NonXtal_BW#'!$A:$Z,10,FALSE)+VLOOKUP($A241,A:AL,13,FALSE)-50))</f>
        <v>-</v>
      </c>
      <c r="O241" s="3">
        <f>VLOOKUP($A241,'SegEnds_NonXtal_BW#'!$A:$Z,11,FALSE)+VLOOKUP($A241,A:AL,16,FALSE)-50</f>
        <v>78</v>
      </c>
      <c r="P241" s="3">
        <v>107</v>
      </c>
      <c r="Q241" s="3">
        <f>VLOOKUP($A241,'SegEnds_NonXtal_BW#'!$A:$Z,12,FALSE)+VLOOKUP($A241,A:AL,16,FALSE)-50</f>
        <v>113</v>
      </c>
      <c r="R241" s="3">
        <f t="shared" si="151"/>
        <v>116</v>
      </c>
      <c r="S241" s="3">
        <v>116</v>
      </c>
      <c r="T241" s="103">
        <f t="shared" si="152"/>
        <v>123</v>
      </c>
      <c r="U241" s="9">
        <f>IF(ISERROR(VLOOKUP($A241,'SegEnds_NonXtal_BW#'!$A:$Z,15,FALSE)+VLOOKUP($A241,A:AL,22,FALSE)-50),"-",VLOOKUP($A241,'SegEnds_NonXtal_BW#'!$A:$Z,15,FALSE)+VLOOKUP($A241,A:AL,22,FALSE)-50)</f>
        <v>124</v>
      </c>
      <c r="V241" s="3">
        <v>136</v>
      </c>
      <c r="W241" s="3">
        <f>IF(ISERROR(VLOOKUP($A241,'SegEnds_NonXtal_BW#'!$A:$Z,16,FALSE)+VLOOKUP($A241,A:AL,22,FALSE)-50),"-",(VLOOKUP($A241,'SegEnds_NonXtal_BW#'!$A:$Z,16,FALSE)+VLOOKUP($A241,A:AL,22,FALSE)-50))</f>
        <v>150</v>
      </c>
      <c r="X241" s="3" t="str">
        <f>IF(ISERROR(VLOOKUP($A241,'SegEnds_NonXtal_BW#'!$A:$Z,17,FALSE)+VLOOKUP($A241,A:AL,25,FALSE)-50),"-",(VLOOKUP($A241,'SegEnds_NonXtal_BW#'!$A:$Z,17,FALSE)+VLOOKUP($A241,A:AL,25,FALSE)-50))</f>
        <v>-</v>
      </c>
      <c r="Y241" s="3" t="s">
        <v>23</v>
      </c>
      <c r="Z241" s="3" t="str">
        <f>IF(ISERROR(VLOOKUP($A241,'SegEnds_NonXtal_BW#'!$A:$Z,18,FALSE)+VLOOKUP($A241,A:AL,25,FALSE)-50),"-",(VLOOKUP($A241,'SegEnds_NonXtal_BW#'!$A:$Z,18,FALSE)+VLOOKUP($A241,A:AL,25,FALSE)-50))</f>
        <v>-</v>
      </c>
      <c r="AA241" s="3">
        <f>IF(ISERROR(VLOOKUP($A241,'SegEnds_NonXtal_BW#'!$A:$Z,19,FALSE)+VLOOKUP($A241,A:AL,28,FALSE)-50),"-",(VLOOKUP($A241,'SegEnds_NonXtal_BW#'!$A:$Z,19,FALSE)+VLOOKUP($A241,A:AL,28,FALSE)-50))</f>
        <v>172</v>
      </c>
      <c r="AB241" s="3">
        <v>190</v>
      </c>
      <c r="AC241" s="3">
        <f>IF(ISERROR((VLOOKUP($A241,'SegEnds_NonXtal_BW#'!$A:$Z,20,FALSE)+VLOOKUP($A241,A:AL,28,FALSE)-50)),"-",(VLOOKUP($A241,'SegEnds_NonXtal_BW#'!$A:$Z,20,FALSE)+VLOOKUP($A241,A:AL,28,FALSE)-50))</f>
        <v>212</v>
      </c>
      <c r="AD241" s="3">
        <f>IF(ISERROR(VLOOKUP($A241,'SegEnds_NonXtal_BW#'!$A:$Z,21,FALSE)+VLOOKUP($A241,A:AL,31,FALSE)-50),"-",(VLOOKUP($A241,'SegEnds_NonXtal_BW#'!$A:$Z,21,FALSE)+VLOOKUP($A241,A:AL,31,FALSE)-50))</f>
        <v>222</v>
      </c>
      <c r="AE241" s="3">
        <v>243</v>
      </c>
      <c r="AF241" s="3">
        <f>IF(ISERROR((VLOOKUP($A241,'SegEnds_NonXtal_BW#'!$A:$Z,22,FALSE)+VLOOKUP($A241,A:AL,31,FALSE)-50)),"-",(VLOOKUP($A241,'SegEnds_NonXtal_BW#'!$A:$Z,22,FALSE)+VLOOKUP($A241,A:AL,31,FALSE)-50))</f>
        <v>254</v>
      </c>
      <c r="AG241" s="3">
        <f>IF(ISERROR(VLOOKUP($A241,'SegEnds_NonXtal_BW#'!$A:$Z,23,FALSE)+VLOOKUP($A241,A:AL,34,FALSE)-50),"-",(VLOOKUP($A241,'SegEnds_NonXtal_BW#'!$A:$Z,23,FALSE)+VLOOKUP($A241,A:AL,34,FALSE)-50))</f>
        <v>259</v>
      </c>
      <c r="AH241" s="3">
        <v>278</v>
      </c>
      <c r="AI241" s="3">
        <f>IF(ISERROR((VLOOKUP($A241,'SegEnds_NonXtal_BW#'!$A:$Z,24,FALSE)+VLOOKUP($A241,A:AL,34,FALSE)-50)),"-",(VLOOKUP($A241,'SegEnds_NonXtal_BW#'!$A:$Z,24,FALSE)+VLOOKUP($A241,A:AL,34,FALSE)-50))</f>
        <v>284</v>
      </c>
      <c r="AJ241" s="3">
        <f>IF(ISERROR(VLOOKUP($A241,'SegEnds_NonXtal_BW#'!$A:$Z,25,FALSE)+VLOOKUP($A241,A:AL,37,FALSE)-50),"-",(VLOOKUP($A241,'SegEnds_NonXtal_BW#'!$A:$Z,25,FALSE)+VLOOKUP($A241,A:AL,37,FALSE)-50))</f>
        <v>285</v>
      </c>
      <c r="AK241" s="3">
        <v>288</v>
      </c>
      <c r="AL241" s="3">
        <f>IF(ISERROR((VLOOKUP($A241,'SegEnds_NonXtal_BW#'!$A:$Z,26,FALSE)+VLOOKUP($A241,A:AL,37,FALSE)-50)),"-",(VLOOKUP($A241,'SegEnds_NonXtal_BW#'!$A:$Z,26,FALSE)+VLOOKUP($A241,A:AL,37,FALSE)-50))</f>
        <v>298</v>
      </c>
      <c r="AM241" s="28" t="str">
        <f>VLOOKUP(A241,Classification!A:B,2,FALSE)</f>
        <v>T</v>
      </c>
      <c r="AN241" s="28" t="b">
        <f t="shared" si="135"/>
        <v>1</v>
      </c>
      <c r="AO241" s="3" t="str">
        <f>IF(ISERROR(MATCH(A241,'SegEnds_Xtal_Prot#'!B:B, 0)), "NoXtal", "Xtal")</f>
        <v>NoXtal</v>
      </c>
      <c r="AP241" s="3">
        <f t="shared" si="120"/>
        <v>1</v>
      </c>
      <c r="AQ241" s="3">
        <f t="shared" si="121"/>
        <v>1</v>
      </c>
      <c r="AR241" s="3" t="str">
        <f t="shared" si="122"/>
        <v>-</v>
      </c>
      <c r="AS241" s="3" t="str">
        <f t="shared" si="123"/>
        <v>-</v>
      </c>
      <c r="AT241" s="3">
        <f t="shared" si="124"/>
        <v>3</v>
      </c>
      <c r="AU241" s="3">
        <f t="shared" si="125"/>
        <v>1</v>
      </c>
      <c r="AV241" s="3" t="str">
        <f t="shared" si="126"/>
        <v>-</v>
      </c>
      <c r="AW241" s="3" t="str">
        <f t="shared" si="127"/>
        <v>-</v>
      </c>
      <c r="AX241" s="3">
        <f t="shared" si="128"/>
        <v>10</v>
      </c>
      <c r="AY241" s="3">
        <f t="shared" si="129"/>
        <v>5</v>
      </c>
      <c r="AZ241" s="3">
        <f t="shared" si="130"/>
        <v>1</v>
      </c>
      <c r="BA241" s="3">
        <f>IF(ISERROR(LEN(VLOOKUP(A241,Seqs!A:E,2,FALSE))-AL241),"-",LEN(VLOOKUP(A241,Seqs!A:E,2,FALSE))-AL241)</f>
        <v>5</v>
      </c>
      <c r="BB241" s="16">
        <f t="shared" si="131"/>
        <v>31</v>
      </c>
      <c r="BC241" s="9">
        <f t="shared" si="132"/>
        <v>20</v>
      </c>
      <c r="BD241" s="3">
        <f t="shared" si="133"/>
        <v>31</v>
      </c>
      <c r="BE241" s="3">
        <f t="shared" si="134"/>
        <v>53</v>
      </c>
      <c r="BF241" s="3">
        <f t="shared" si="147"/>
        <v>35</v>
      </c>
    </row>
    <row r="242" spans="1:58" s="3" customFormat="1" x14ac:dyDescent="0.2">
      <c r="A242" s="3" t="s">
        <v>458</v>
      </c>
      <c r="B242" s="3" t="str">
        <f>LOWER(VLOOKUP(A242,Xtal_Templ!A:B,2,FALSE))</f>
        <v>apj_human</v>
      </c>
      <c r="C242" s="3">
        <f>VLOOKUP($A242,'SegEnds_NonXtal_BW#'!$A:$Z,3,FALSE)+D242-50</f>
        <v>6</v>
      </c>
      <c r="D242" s="3">
        <v>24</v>
      </c>
      <c r="E242" s="3">
        <f t="shared" si="148"/>
        <v>36</v>
      </c>
      <c r="F242" s="3">
        <f t="shared" si="149"/>
        <v>37</v>
      </c>
      <c r="G242" s="3">
        <v>39</v>
      </c>
      <c r="H242" s="3">
        <f t="shared" si="150"/>
        <v>40</v>
      </c>
      <c r="I242" s="3">
        <f t="shared" si="150"/>
        <v>41</v>
      </c>
      <c r="J242" s="3">
        <v>55</v>
      </c>
      <c r="K242" s="3">
        <f>VLOOKUP($A242,'SegEnds_NonXtal_BW#'!$A:$Z,8,FALSE)+VLOOKUP($A242,A:AL,10,FALSE)-50</f>
        <v>72</v>
      </c>
      <c r="L242" s="3" t="str">
        <f>IF(ISERROR(VLOOKUP($A242,'SegEnds_NonXtal_BW#'!$A:$Z,9,FALSE)+VLOOKUP($A242,A:AL,13,FALSE)-50),"-",(VLOOKUP($A242,'SegEnds_NonXtal_BW#'!$A:$Z,9,FALSE)+VLOOKUP($A242,A:AL,13,FALSE)-50))</f>
        <v>-</v>
      </c>
      <c r="M242" s="3" t="s">
        <v>23</v>
      </c>
      <c r="N242" s="3" t="str">
        <f>IF(ISERROR(VLOOKUP($A242,'SegEnds_NonXtal_BW#'!$A:$Z,10,FALSE)+VLOOKUP($A242,A:AL,13,FALSE)-50),"-",(VLOOKUP($A242,'SegEnds_NonXtal_BW#'!$A:$Z,10,FALSE)+VLOOKUP($A242,A:AL,13,FALSE)-50))</f>
        <v>-</v>
      </c>
      <c r="O242" s="3">
        <f>VLOOKUP($A242,'SegEnds_NonXtal_BW#'!$A:$Z,11,FALSE)+VLOOKUP($A242,A:AL,16,FALSE)-50</f>
        <v>78</v>
      </c>
      <c r="P242" s="3">
        <v>107</v>
      </c>
      <c r="Q242" s="3">
        <f>VLOOKUP($A242,'SegEnds_NonXtal_BW#'!$A:$Z,12,FALSE)+VLOOKUP($A242,A:AL,16,FALSE)-50</f>
        <v>113</v>
      </c>
      <c r="R242" s="3">
        <f t="shared" si="151"/>
        <v>116</v>
      </c>
      <c r="S242" s="3">
        <v>116</v>
      </c>
      <c r="T242" s="103">
        <f t="shared" si="152"/>
        <v>123</v>
      </c>
      <c r="U242" s="9">
        <f>IF(ISERROR(VLOOKUP($A242,'SegEnds_NonXtal_BW#'!$A:$Z,15,FALSE)+VLOOKUP($A242,A:AL,22,FALSE)-50),"-",VLOOKUP($A242,'SegEnds_NonXtal_BW#'!$A:$Z,15,FALSE)+VLOOKUP($A242,A:AL,22,FALSE)-50)</f>
        <v>124</v>
      </c>
      <c r="V242" s="3">
        <v>136</v>
      </c>
      <c r="W242" s="3">
        <f>IF(ISERROR(VLOOKUP($A242,'SegEnds_NonXtal_BW#'!$A:$Z,16,FALSE)+VLOOKUP($A242,A:AL,22,FALSE)-50),"-",(VLOOKUP($A242,'SegEnds_NonXtal_BW#'!$A:$Z,16,FALSE)+VLOOKUP($A242,A:AL,22,FALSE)-50))</f>
        <v>150</v>
      </c>
      <c r="X242" s="3" t="str">
        <f>IF(ISERROR(VLOOKUP($A242,'SegEnds_NonXtal_BW#'!$A:$Z,17,FALSE)+VLOOKUP($A242,A:AL,25,FALSE)-50),"-",(VLOOKUP($A242,'SegEnds_NonXtal_BW#'!$A:$Z,17,FALSE)+VLOOKUP($A242,A:AL,25,FALSE)-50))</f>
        <v>-</v>
      </c>
      <c r="Y242" s="3" t="s">
        <v>23</v>
      </c>
      <c r="Z242" s="3" t="str">
        <f>IF(ISERROR(VLOOKUP($A242,'SegEnds_NonXtal_BW#'!$A:$Z,18,FALSE)+VLOOKUP($A242,A:AL,25,FALSE)-50),"-",(VLOOKUP($A242,'SegEnds_NonXtal_BW#'!$A:$Z,18,FALSE)+VLOOKUP($A242,A:AL,25,FALSE)-50))</f>
        <v>-</v>
      </c>
      <c r="AA242" s="3">
        <f>IF(ISERROR(VLOOKUP($A242,'SegEnds_NonXtal_BW#'!$A:$Z,19,FALSE)+VLOOKUP($A242,A:AL,28,FALSE)-50),"-",(VLOOKUP($A242,'SegEnds_NonXtal_BW#'!$A:$Z,19,FALSE)+VLOOKUP($A242,A:AL,28,FALSE)-50))</f>
        <v>172</v>
      </c>
      <c r="AB242" s="3">
        <v>190</v>
      </c>
      <c r="AC242" s="3">
        <f>IF(ISERROR((VLOOKUP($A242,'SegEnds_NonXtal_BW#'!$A:$Z,20,FALSE)+VLOOKUP($A242,A:AL,28,FALSE)-50)),"-",(VLOOKUP($A242,'SegEnds_NonXtal_BW#'!$A:$Z,20,FALSE)+VLOOKUP($A242,A:AL,28,FALSE)-50))</f>
        <v>212</v>
      </c>
      <c r="AD242" s="3">
        <f>IF(ISERROR(VLOOKUP($A242,'SegEnds_NonXtal_BW#'!$A:$Z,21,FALSE)+VLOOKUP($A242,A:AL,31,FALSE)-50),"-",(VLOOKUP($A242,'SegEnds_NonXtal_BW#'!$A:$Z,21,FALSE)+VLOOKUP($A242,A:AL,31,FALSE)-50))</f>
        <v>221</v>
      </c>
      <c r="AE242" s="3">
        <v>242</v>
      </c>
      <c r="AF242" s="3">
        <f>IF(ISERROR((VLOOKUP($A242,'SegEnds_NonXtal_BW#'!$A:$Z,22,FALSE)+VLOOKUP($A242,A:AL,31,FALSE)-50)),"-",(VLOOKUP($A242,'SegEnds_NonXtal_BW#'!$A:$Z,22,FALSE)+VLOOKUP($A242,A:AL,31,FALSE)-50))</f>
        <v>253</v>
      </c>
      <c r="AG242" s="3">
        <f>IF(ISERROR(VLOOKUP($A242,'SegEnds_NonXtal_BW#'!$A:$Z,23,FALSE)+VLOOKUP($A242,A:AL,34,FALSE)-50),"-",(VLOOKUP($A242,'SegEnds_NonXtal_BW#'!$A:$Z,23,FALSE)+VLOOKUP($A242,A:AL,34,FALSE)-50))</f>
        <v>258</v>
      </c>
      <c r="AH242" s="3">
        <v>277</v>
      </c>
      <c r="AI242" s="3">
        <f>IF(ISERROR((VLOOKUP($A242,'SegEnds_NonXtal_BW#'!$A:$Z,24,FALSE)+VLOOKUP($A242,A:AL,34,FALSE)-50)),"-",(VLOOKUP($A242,'SegEnds_NonXtal_BW#'!$A:$Z,24,FALSE)+VLOOKUP($A242,A:AL,34,FALSE)-50))</f>
        <v>283</v>
      </c>
      <c r="AJ242" s="3">
        <f>IF(ISERROR(VLOOKUP($A242,'SegEnds_NonXtal_BW#'!$A:$Z,25,FALSE)+VLOOKUP($A242,A:AL,37,FALSE)-50),"-",(VLOOKUP($A242,'SegEnds_NonXtal_BW#'!$A:$Z,25,FALSE)+VLOOKUP($A242,A:AL,37,FALSE)-50))</f>
        <v>284</v>
      </c>
      <c r="AK242" s="3">
        <v>287</v>
      </c>
      <c r="AL242" s="3">
        <f>IF(ISERROR((VLOOKUP($A242,'SegEnds_NonXtal_BW#'!$A:$Z,26,FALSE)+VLOOKUP($A242,A:AL,37,FALSE)-50)),"-",(VLOOKUP($A242,'SegEnds_NonXtal_BW#'!$A:$Z,26,FALSE)+VLOOKUP($A242,A:AL,37,FALSE)-50))</f>
        <v>297</v>
      </c>
      <c r="AM242" s="28" t="str">
        <f>VLOOKUP(A242,Classification!A:B,2,FALSE)</f>
        <v>T</v>
      </c>
      <c r="AN242" s="28" t="b">
        <f t="shared" si="135"/>
        <v>1</v>
      </c>
      <c r="AO242" s="3" t="str">
        <f>IF(ISERROR(MATCH(A242,'SegEnds_Xtal_Prot#'!B:B, 0)), "NoXtal", "Xtal")</f>
        <v>NoXtal</v>
      </c>
      <c r="AP242" s="3">
        <f t="shared" si="120"/>
        <v>1</v>
      </c>
      <c r="AQ242" s="3">
        <f t="shared" si="121"/>
        <v>1</v>
      </c>
      <c r="AR242" s="3" t="str">
        <f t="shared" si="122"/>
        <v>-</v>
      </c>
      <c r="AS242" s="3" t="str">
        <f t="shared" si="123"/>
        <v>-</v>
      </c>
      <c r="AT242" s="3">
        <f t="shared" si="124"/>
        <v>3</v>
      </c>
      <c r="AU242" s="3">
        <f t="shared" si="125"/>
        <v>1</v>
      </c>
      <c r="AV242" s="3" t="str">
        <f t="shared" si="126"/>
        <v>-</v>
      </c>
      <c r="AW242" s="3" t="str">
        <f t="shared" si="127"/>
        <v>-</v>
      </c>
      <c r="AX242" s="3">
        <f t="shared" si="128"/>
        <v>9</v>
      </c>
      <c r="AY242" s="3">
        <f t="shared" si="129"/>
        <v>5</v>
      </c>
      <c r="AZ242" s="3">
        <f t="shared" si="130"/>
        <v>1</v>
      </c>
      <c r="BA242" s="3">
        <f>IF(ISERROR(LEN(VLOOKUP(A242,Seqs!A:E,2,FALSE))-AL242),"-",LEN(VLOOKUP(A242,Seqs!A:E,2,FALSE))-AL242)</f>
        <v>20</v>
      </c>
      <c r="BB242" s="16">
        <f t="shared" si="131"/>
        <v>31</v>
      </c>
      <c r="BC242" s="9">
        <f t="shared" si="132"/>
        <v>20</v>
      </c>
      <c r="BD242" s="3">
        <f t="shared" si="133"/>
        <v>31</v>
      </c>
      <c r="BE242" s="3">
        <f t="shared" si="134"/>
        <v>52</v>
      </c>
      <c r="BF242" s="3">
        <f t="shared" si="147"/>
        <v>35</v>
      </c>
    </row>
    <row r="243" spans="1:58" s="3" customFormat="1" x14ac:dyDescent="0.2">
      <c r="A243" s="3" t="s">
        <v>459</v>
      </c>
      <c r="B243" s="3" t="str">
        <f>LOWER(VLOOKUP(A243,Xtal_Templ!A:B,2,FALSE))</f>
        <v>cxcr4_human</v>
      </c>
      <c r="C243" s="3">
        <f>VLOOKUP($A243,'SegEnds_NonXtal_BW#'!$A:$Z,3,FALSE)+D243-50</f>
        <v>7</v>
      </c>
      <c r="D243" s="3">
        <v>25</v>
      </c>
      <c r="E243" s="3">
        <f t="shared" si="148"/>
        <v>37</v>
      </c>
      <c r="F243" s="3">
        <f t="shared" si="149"/>
        <v>38</v>
      </c>
      <c r="G243" s="3">
        <v>40</v>
      </c>
      <c r="H243" s="3">
        <f t="shared" si="150"/>
        <v>41</v>
      </c>
      <c r="I243" s="3">
        <f t="shared" si="150"/>
        <v>42</v>
      </c>
      <c r="J243" s="3">
        <v>56</v>
      </c>
      <c r="K243" s="3">
        <f>VLOOKUP($A243,'SegEnds_NonXtal_BW#'!$A:$Z,8,FALSE)+VLOOKUP($A243,A:AL,10,FALSE)-50</f>
        <v>72</v>
      </c>
      <c r="L243" s="3" t="str">
        <f>IF(ISERROR(VLOOKUP($A243,'SegEnds_NonXtal_BW#'!$A:$Z,9,FALSE)+VLOOKUP($A243,A:AL,13,FALSE)-50),"-",(VLOOKUP($A243,'SegEnds_NonXtal_BW#'!$A:$Z,9,FALSE)+VLOOKUP($A243,A:AL,13,FALSE)-50))</f>
        <v>-</v>
      </c>
      <c r="M243" s="3" t="s">
        <v>23</v>
      </c>
      <c r="N243" s="3" t="str">
        <f>IF(ISERROR(VLOOKUP($A243,'SegEnds_NonXtal_BW#'!$A:$Z,10,FALSE)+VLOOKUP($A243,A:AL,13,FALSE)-50),"-",(VLOOKUP($A243,'SegEnds_NonXtal_BW#'!$A:$Z,10,FALSE)+VLOOKUP($A243,A:AL,13,FALSE)-50))</f>
        <v>-</v>
      </c>
      <c r="O243" s="3">
        <f>VLOOKUP($A243,'SegEnds_NonXtal_BW#'!$A:$Z,11,FALSE)+VLOOKUP($A243,A:AL,16,FALSE)-50</f>
        <v>77</v>
      </c>
      <c r="P243" s="3">
        <v>103</v>
      </c>
      <c r="Q243" s="3">
        <f>VLOOKUP($A243,'SegEnds_NonXtal_BW#'!$A:$Z,12,FALSE)+VLOOKUP($A243,A:AL,16,FALSE)-50</f>
        <v>109</v>
      </c>
      <c r="R243" s="3">
        <f t="shared" si="151"/>
        <v>112</v>
      </c>
      <c r="S243" s="3">
        <v>112</v>
      </c>
      <c r="T243" s="103">
        <f t="shared" si="152"/>
        <v>119</v>
      </c>
      <c r="U243" s="9">
        <f>IF(ISERROR(VLOOKUP($A243,'SegEnds_NonXtal_BW#'!$A:$Z,15,FALSE)+VLOOKUP($A243,A:AL,22,FALSE)-50),"-",VLOOKUP($A243,'SegEnds_NonXtal_BW#'!$A:$Z,15,FALSE)+VLOOKUP($A243,A:AL,22,FALSE)-50)</f>
        <v>120</v>
      </c>
      <c r="V243" s="3">
        <v>132</v>
      </c>
      <c r="W243" s="3">
        <f>IF(ISERROR(VLOOKUP($A243,'SegEnds_NonXtal_BW#'!$A:$Z,16,FALSE)+VLOOKUP($A243,A:AL,22,FALSE)-50),"-",(VLOOKUP($A243,'SegEnds_NonXtal_BW#'!$A:$Z,16,FALSE)+VLOOKUP($A243,A:AL,22,FALSE)-50))</f>
        <v>146</v>
      </c>
      <c r="X243" s="3" t="str">
        <f>IF(ISERROR(VLOOKUP($A243,'SegEnds_NonXtal_BW#'!$A:$Z,17,FALSE)+VLOOKUP($A243,A:AL,25,FALSE)-50),"-",(VLOOKUP($A243,'SegEnds_NonXtal_BW#'!$A:$Z,17,FALSE)+VLOOKUP($A243,A:AL,25,FALSE)-50))</f>
        <v>-</v>
      </c>
      <c r="Y243" s="3" t="s">
        <v>23</v>
      </c>
      <c r="Z243" s="3" t="str">
        <f>IF(ISERROR(VLOOKUP($A243,'SegEnds_NonXtal_BW#'!$A:$Z,18,FALSE)+VLOOKUP($A243,A:AL,25,FALSE)-50),"-",(VLOOKUP($A243,'SegEnds_NonXtal_BW#'!$A:$Z,18,FALSE)+VLOOKUP($A243,A:AL,25,FALSE)-50))</f>
        <v>-</v>
      </c>
      <c r="AA243" s="3">
        <f>IF(ISERROR(VLOOKUP($A243,'SegEnds_NonXtal_BW#'!$A:$Z,19,FALSE)+VLOOKUP($A243,A:AL,28,FALSE)-50),"-",(VLOOKUP($A243,'SegEnds_NonXtal_BW#'!$A:$Z,19,FALSE)+VLOOKUP($A243,A:AL,28,FALSE)-50))</f>
        <v>170</v>
      </c>
      <c r="AB243" s="3">
        <v>188</v>
      </c>
      <c r="AC243" s="3">
        <f>IF(ISERROR((VLOOKUP($A243,'SegEnds_NonXtal_BW#'!$A:$Z,20,FALSE)+VLOOKUP($A243,A:AL,28,FALSE)-50)),"-",(VLOOKUP($A243,'SegEnds_NonXtal_BW#'!$A:$Z,20,FALSE)+VLOOKUP($A243,A:AL,28,FALSE)-50))</f>
        <v>210</v>
      </c>
      <c r="AD243" s="3">
        <f>IF(ISERROR(VLOOKUP($A243,'SegEnds_NonXtal_BW#'!$A:$Z,21,FALSE)+VLOOKUP($A243,A:AL,31,FALSE)-50),"-",(VLOOKUP($A243,'SegEnds_NonXtal_BW#'!$A:$Z,21,FALSE)+VLOOKUP($A243,A:AL,31,FALSE)-50))</f>
        <v>217</v>
      </c>
      <c r="AE243" s="3">
        <v>238</v>
      </c>
      <c r="AF243" s="3">
        <f>IF(ISERROR((VLOOKUP($A243,'SegEnds_NonXtal_BW#'!$A:$Z,22,FALSE)+VLOOKUP($A243,A:AL,31,FALSE)-50)),"-",(VLOOKUP($A243,'SegEnds_NonXtal_BW#'!$A:$Z,22,FALSE)+VLOOKUP($A243,A:AL,31,FALSE)-50))</f>
        <v>249</v>
      </c>
      <c r="AG243" s="3">
        <f>IF(ISERROR(VLOOKUP($A243,'SegEnds_NonXtal_BW#'!$A:$Z,23,FALSE)+VLOOKUP($A243,A:AL,34,FALSE)-50),"-",(VLOOKUP($A243,'SegEnds_NonXtal_BW#'!$A:$Z,23,FALSE)+VLOOKUP($A243,A:AL,34,FALSE)-50))</f>
        <v>254</v>
      </c>
      <c r="AH243" s="3">
        <v>273</v>
      </c>
      <c r="AI243" s="3">
        <f>IF(ISERROR((VLOOKUP($A243,'SegEnds_NonXtal_BW#'!$A:$Z,24,FALSE)+VLOOKUP($A243,A:AL,34,FALSE)-50)),"-",(VLOOKUP($A243,'SegEnds_NonXtal_BW#'!$A:$Z,24,FALSE)+VLOOKUP($A243,A:AL,34,FALSE)-50))</f>
        <v>279</v>
      </c>
      <c r="AJ243" s="3">
        <f>IF(ISERROR(VLOOKUP($A243,'SegEnds_NonXtal_BW#'!$A:$Z,25,FALSE)+VLOOKUP($A243,A:AL,37,FALSE)-50),"-",(VLOOKUP($A243,'SegEnds_NonXtal_BW#'!$A:$Z,25,FALSE)+VLOOKUP($A243,A:AL,37,FALSE)-50))</f>
        <v>280</v>
      </c>
      <c r="AK243" s="3">
        <v>283</v>
      </c>
      <c r="AL243" s="3">
        <v>291</v>
      </c>
      <c r="AM243" s="28" t="str">
        <f>VLOOKUP(A243,Classification!A:B,2,FALSE)</f>
        <v>T</v>
      </c>
      <c r="AN243" s="28" t="b">
        <f t="shared" si="135"/>
        <v>1</v>
      </c>
      <c r="AO243" s="3" t="str">
        <f>IF(ISERROR(MATCH(A243,'SegEnds_Xtal_Prot#'!B:B, 0)), "NoXtal", "Xtal")</f>
        <v>NoXtal</v>
      </c>
      <c r="AP243" s="3">
        <f t="shared" si="120"/>
        <v>1</v>
      </c>
      <c r="AQ243" s="3">
        <f t="shared" si="121"/>
        <v>1</v>
      </c>
      <c r="AR243" s="3" t="str">
        <f t="shared" si="122"/>
        <v>-</v>
      </c>
      <c r="AS243" s="3" t="str">
        <f t="shared" si="123"/>
        <v>-</v>
      </c>
      <c r="AT243" s="3">
        <f t="shared" si="124"/>
        <v>3</v>
      </c>
      <c r="AU243" s="3">
        <f t="shared" si="125"/>
        <v>1</v>
      </c>
      <c r="AV243" s="3" t="str">
        <f t="shared" si="126"/>
        <v>-</v>
      </c>
      <c r="AW243" s="3" t="str">
        <f t="shared" si="127"/>
        <v>-</v>
      </c>
      <c r="AX243" s="3">
        <f t="shared" si="128"/>
        <v>7</v>
      </c>
      <c r="AY243" s="3">
        <f t="shared" si="129"/>
        <v>5</v>
      </c>
      <c r="AZ243" s="3">
        <f t="shared" si="130"/>
        <v>1</v>
      </c>
      <c r="BA243" s="3">
        <f>IF(ISERROR(LEN(VLOOKUP(A243,Seqs!A:E,2,FALSE))-AL243),"-",LEN(VLOOKUP(A243,Seqs!A:E,2,FALSE))-AL243)</f>
        <v>0</v>
      </c>
      <c r="BB243" s="16">
        <f t="shared" si="131"/>
        <v>31</v>
      </c>
      <c r="BC243" s="9">
        <f t="shared" si="132"/>
        <v>20</v>
      </c>
      <c r="BD243" s="3">
        <f t="shared" si="133"/>
        <v>31</v>
      </c>
      <c r="BE243" s="3">
        <f t="shared" si="134"/>
        <v>50</v>
      </c>
      <c r="BF243" s="3">
        <f t="shared" si="147"/>
        <v>35</v>
      </c>
    </row>
    <row r="244" spans="1:58" s="3" customFormat="1" x14ac:dyDescent="0.2">
      <c r="A244" s="3" t="s">
        <v>460</v>
      </c>
      <c r="B244" s="3" t="str">
        <f>LOWER(VLOOKUP(A244,Xtal_Templ!A:B,2,FALSE))</f>
        <v>acm2_human</v>
      </c>
      <c r="C244" s="3">
        <f>VLOOKUP($A244,'SegEnds_NonXtal_BW#'!$A:$Z,3,FALSE)+D244-50</f>
        <v>6</v>
      </c>
      <c r="D244" s="3">
        <v>24</v>
      </c>
      <c r="E244" s="3">
        <f t="shared" si="148"/>
        <v>36</v>
      </c>
      <c r="F244" s="3">
        <f t="shared" si="149"/>
        <v>37</v>
      </c>
      <c r="G244" s="3">
        <v>39</v>
      </c>
      <c r="H244" s="3">
        <f t="shared" si="150"/>
        <v>40</v>
      </c>
      <c r="I244" s="3">
        <f t="shared" si="150"/>
        <v>41</v>
      </c>
      <c r="J244" s="3">
        <v>55</v>
      </c>
      <c r="K244" s="3">
        <f>VLOOKUP($A244,'SegEnds_NonXtal_BW#'!$A:$Z,8,FALSE)+VLOOKUP($A244,A:AL,10,FALSE)-50</f>
        <v>71</v>
      </c>
      <c r="L244" s="3" t="str">
        <f>IF(ISERROR(VLOOKUP($A244,'SegEnds_NonXtal_BW#'!$A:$Z,9,FALSE)+VLOOKUP($A244,A:AL,13,FALSE)-50),"-",(VLOOKUP($A244,'SegEnds_NonXtal_BW#'!$A:$Z,9,FALSE)+VLOOKUP($A244,A:AL,13,FALSE)-50))</f>
        <v>-</v>
      </c>
      <c r="M244" s="3" t="s">
        <v>23</v>
      </c>
      <c r="N244" s="3" t="str">
        <f>IF(ISERROR(VLOOKUP($A244,'SegEnds_NonXtal_BW#'!$A:$Z,10,FALSE)+VLOOKUP($A244,A:AL,13,FALSE)-50),"-",(VLOOKUP($A244,'SegEnds_NonXtal_BW#'!$A:$Z,10,FALSE)+VLOOKUP($A244,A:AL,13,FALSE)-50))</f>
        <v>-</v>
      </c>
      <c r="O244" s="3">
        <f>VLOOKUP($A244,'SegEnds_NonXtal_BW#'!$A:$Z,11,FALSE)+VLOOKUP($A244,A:AL,16,FALSE)-50</f>
        <v>77</v>
      </c>
      <c r="P244" s="3">
        <v>106</v>
      </c>
      <c r="Q244" s="3">
        <f>VLOOKUP($A244,'SegEnds_NonXtal_BW#'!$A:$Z,12,FALSE)+VLOOKUP($A244,A:AL,16,FALSE)-50</f>
        <v>112</v>
      </c>
      <c r="R244" s="3">
        <f t="shared" si="151"/>
        <v>115</v>
      </c>
      <c r="S244" s="3">
        <v>115</v>
      </c>
      <c r="T244" s="103">
        <f t="shared" si="152"/>
        <v>122</v>
      </c>
      <c r="U244" s="9">
        <f>IF(ISERROR(VLOOKUP($A244,'SegEnds_NonXtal_BW#'!$A:$Z,15,FALSE)+VLOOKUP($A244,A:AL,22,FALSE)-50),"-",VLOOKUP($A244,'SegEnds_NonXtal_BW#'!$A:$Z,15,FALSE)+VLOOKUP($A244,A:AL,22,FALSE)-50)</f>
        <v>123</v>
      </c>
      <c r="V244" s="3">
        <v>135</v>
      </c>
      <c r="W244" s="3">
        <f>IF(ISERROR(VLOOKUP($A244,'SegEnds_NonXtal_BW#'!$A:$Z,16,FALSE)+VLOOKUP($A244,A:AL,22,FALSE)-50),"-",(VLOOKUP($A244,'SegEnds_NonXtal_BW#'!$A:$Z,16,FALSE)+VLOOKUP($A244,A:AL,22,FALSE)-50))</f>
        <v>154</v>
      </c>
      <c r="X244" s="3" t="str">
        <f>IF(ISERROR(VLOOKUP($A244,'SegEnds_NonXtal_BW#'!$A:$Z,17,FALSE)+VLOOKUP($A244,A:AL,25,FALSE)-50),"-",(VLOOKUP($A244,'SegEnds_NonXtal_BW#'!$A:$Z,17,FALSE)+VLOOKUP($A244,A:AL,25,FALSE)-50))</f>
        <v>-</v>
      </c>
      <c r="Y244" s="3" t="s">
        <v>23</v>
      </c>
      <c r="Z244" s="3" t="str">
        <f>IF(ISERROR(VLOOKUP($A244,'SegEnds_NonXtal_BW#'!$A:$Z,18,FALSE)+VLOOKUP($A244,A:AL,25,FALSE)-50),"-",(VLOOKUP($A244,'SegEnds_NonXtal_BW#'!$A:$Z,18,FALSE)+VLOOKUP($A244,A:AL,25,FALSE)-50))</f>
        <v>-</v>
      </c>
      <c r="AA244" s="3">
        <f>IF(ISERROR(VLOOKUP($A244,'SegEnds_NonXtal_BW#'!$A:$Z,19,FALSE)+VLOOKUP($A244,A:AL,28,FALSE)-50),"-",(VLOOKUP($A244,'SegEnds_NonXtal_BW#'!$A:$Z,19,FALSE)+VLOOKUP($A244,A:AL,28,FALSE)-50))</f>
        <v>169</v>
      </c>
      <c r="AB244" s="3">
        <v>187</v>
      </c>
      <c r="AC244" s="3">
        <f>IF(ISERROR((VLOOKUP($A244,'SegEnds_NonXtal_BW#'!$A:$Z,20,FALSE)+VLOOKUP($A244,A:AL,28,FALSE)-50)),"-",(VLOOKUP($A244,'SegEnds_NonXtal_BW#'!$A:$Z,20,FALSE)+VLOOKUP($A244,A:AL,28,FALSE)-50))</f>
        <v>209</v>
      </c>
      <c r="AD244" s="3">
        <f>IF(ISERROR(VLOOKUP($A244,'SegEnds_NonXtal_BW#'!$A:$Z,21,FALSE)+VLOOKUP($A244,A:AL,31,FALSE)-50),"-",(VLOOKUP($A244,'SegEnds_NonXtal_BW#'!$A:$Z,21,FALSE)+VLOOKUP($A244,A:AL,31,FALSE)-50))</f>
        <v>219</v>
      </c>
      <c r="AE244" s="3">
        <v>240</v>
      </c>
      <c r="AF244" s="3">
        <f>IF(ISERROR((VLOOKUP($A244,'SegEnds_NonXtal_BW#'!$A:$Z,22,FALSE)+VLOOKUP($A244,A:AL,31,FALSE)-50)),"-",(VLOOKUP($A244,'SegEnds_NonXtal_BW#'!$A:$Z,22,FALSE)+VLOOKUP($A244,A:AL,31,FALSE)-50))</f>
        <v>251</v>
      </c>
      <c r="AG244" s="3">
        <f>IF(ISERROR(VLOOKUP($A244,'SegEnds_NonXtal_BW#'!$A:$Z,23,FALSE)+VLOOKUP($A244,A:AL,34,FALSE)-50),"-",(VLOOKUP($A244,'SegEnds_NonXtal_BW#'!$A:$Z,23,FALSE)+VLOOKUP($A244,A:AL,34,FALSE)-50))</f>
        <v>257</v>
      </c>
      <c r="AH244" s="3">
        <v>276</v>
      </c>
      <c r="AI244" s="3">
        <f>IF(ISERROR((VLOOKUP($A244,'SegEnds_NonXtal_BW#'!$A:$Z,24,FALSE)+VLOOKUP($A244,A:AL,34,FALSE)-50)),"-",(VLOOKUP($A244,'SegEnds_NonXtal_BW#'!$A:$Z,24,FALSE)+VLOOKUP($A244,A:AL,34,FALSE)-50))</f>
        <v>282</v>
      </c>
      <c r="AJ244" s="3">
        <f>IF(ISERROR(VLOOKUP($A244,'SegEnds_NonXtal_BW#'!$A:$Z,25,FALSE)+VLOOKUP($A244,A:AL,37,FALSE)-50),"-",(VLOOKUP($A244,'SegEnds_NonXtal_BW#'!$A:$Z,25,FALSE)+VLOOKUP($A244,A:AL,37,FALSE)-50))</f>
        <v>283</v>
      </c>
      <c r="AK244" s="3">
        <v>286</v>
      </c>
      <c r="AL244" s="3">
        <f>IF(ISERROR((VLOOKUP($A244,'SegEnds_NonXtal_BW#'!$A:$Z,26,FALSE)+VLOOKUP($A244,A:AL,37,FALSE)-50)),"-",(VLOOKUP($A244,'SegEnds_NonXtal_BW#'!$A:$Z,26,FALSE)+VLOOKUP($A244,A:AL,37,FALSE)-50))</f>
        <v>296</v>
      </c>
      <c r="AM244" s="28" t="str">
        <f>VLOOKUP(A244,Classification!A:B,2,FALSE)</f>
        <v>T</v>
      </c>
      <c r="AN244" s="28" t="b">
        <f t="shared" si="135"/>
        <v>1</v>
      </c>
      <c r="AO244" s="3" t="str">
        <f>IF(ISERROR(MATCH(A244,'SegEnds_Xtal_Prot#'!B:B, 0)), "NoXtal", "Xtal")</f>
        <v>NoXtal</v>
      </c>
      <c r="AP244" s="3">
        <f t="shared" si="120"/>
        <v>1</v>
      </c>
      <c r="AQ244" s="3">
        <f t="shared" si="121"/>
        <v>1</v>
      </c>
      <c r="AR244" s="3" t="str">
        <f t="shared" si="122"/>
        <v>-</v>
      </c>
      <c r="AS244" s="3" t="str">
        <f t="shared" si="123"/>
        <v>-</v>
      </c>
      <c r="AT244" s="3">
        <f t="shared" si="124"/>
        <v>3</v>
      </c>
      <c r="AU244" s="3">
        <f t="shared" si="125"/>
        <v>1</v>
      </c>
      <c r="AV244" s="3" t="str">
        <f t="shared" si="126"/>
        <v>-</v>
      </c>
      <c r="AW244" s="3" t="str">
        <f t="shared" si="127"/>
        <v>-</v>
      </c>
      <c r="AX244" s="3">
        <f t="shared" si="128"/>
        <v>10</v>
      </c>
      <c r="AY244" s="3">
        <f t="shared" si="129"/>
        <v>6</v>
      </c>
      <c r="AZ244" s="3">
        <f t="shared" si="130"/>
        <v>1</v>
      </c>
      <c r="BA244" s="3">
        <f>IF(ISERROR(LEN(VLOOKUP(A244,Seqs!A:E,2,FALSE))-AL244),"-",LEN(VLOOKUP(A244,Seqs!A:E,2,FALSE))-AL244)</f>
        <v>3</v>
      </c>
      <c r="BB244" s="16">
        <f t="shared" si="131"/>
        <v>31</v>
      </c>
      <c r="BC244" s="9">
        <f t="shared" si="132"/>
        <v>20</v>
      </c>
      <c r="BD244" s="3">
        <f t="shared" si="133"/>
        <v>31</v>
      </c>
      <c r="BE244" s="3">
        <f t="shared" si="134"/>
        <v>53</v>
      </c>
      <c r="BF244" s="3">
        <f t="shared" si="147"/>
        <v>36</v>
      </c>
    </row>
    <row r="245" spans="1:58" s="3" customFormat="1" x14ac:dyDescent="0.2">
      <c r="A245" s="3" t="s">
        <v>461</v>
      </c>
      <c r="B245" s="3" t="str">
        <f>LOWER(VLOOKUP(A245,Xtal_Templ!A:B,2,FALSE))</f>
        <v>5ht2b_human</v>
      </c>
      <c r="C245" s="3">
        <f>VLOOKUP($A245,'SegEnds_NonXtal_BW#'!$A:$Z,3,FALSE)+D245-50</f>
        <v>6</v>
      </c>
      <c r="D245" s="3">
        <v>24</v>
      </c>
      <c r="E245" s="3">
        <f t="shared" si="148"/>
        <v>36</v>
      </c>
      <c r="F245" s="3">
        <f t="shared" si="149"/>
        <v>37</v>
      </c>
      <c r="G245" s="3">
        <v>39</v>
      </c>
      <c r="H245" s="3">
        <f t="shared" si="150"/>
        <v>40</v>
      </c>
      <c r="I245" s="3">
        <f t="shared" si="150"/>
        <v>41</v>
      </c>
      <c r="J245" s="3">
        <v>55</v>
      </c>
      <c r="K245" s="3">
        <f>VLOOKUP($A245,'SegEnds_NonXtal_BW#'!$A:$Z,8,FALSE)+VLOOKUP($A245,A:AL,10,FALSE)-50</f>
        <v>71</v>
      </c>
      <c r="L245" s="3" t="str">
        <f>IF(ISERROR(VLOOKUP($A245,'SegEnds_NonXtal_BW#'!$A:$Z,9,FALSE)+VLOOKUP($A245,A:AL,13,FALSE)-50),"-",(VLOOKUP($A245,'SegEnds_NonXtal_BW#'!$A:$Z,9,FALSE)+VLOOKUP($A245,A:AL,13,FALSE)-50))</f>
        <v>-</v>
      </c>
      <c r="M245" s="3" t="s">
        <v>23</v>
      </c>
      <c r="N245" s="3" t="str">
        <f>IF(ISERROR(VLOOKUP($A245,'SegEnds_NonXtal_BW#'!$A:$Z,10,FALSE)+VLOOKUP($A245,A:AL,13,FALSE)-50),"-",(VLOOKUP($A245,'SegEnds_NonXtal_BW#'!$A:$Z,10,FALSE)+VLOOKUP($A245,A:AL,13,FALSE)-50))</f>
        <v>-</v>
      </c>
      <c r="O245" s="3">
        <f>VLOOKUP($A245,'SegEnds_NonXtal_BW#'!$A:$Z,11,FALSE)+VLOOKUP($A245,A:AL,16,FALSE)-50</f>
        <v>77</v>
      </c>
      <c r="P245" s="3">
        <v>106</v>
      </c>
      <c r="Q245" s="3">
        <f>VLOOKUP($A245,'SegEnds_NonXtal_BW#'!$A:$Z,12,FALSE)+VLOOKUP($A245,A:AL,16,FALSE)-50</f>
        <v>112</v>
      </c>
      <c r="R245" s="3">
        <f t="shared" si="151"/>
        <v>115</v>
      </c>
      <c r="S245" s="3">
        <v>115</v>
      </c>
      <c r="T245" s="103">
        <f t="shared" si="152"/>
        <v>122</v>
      </c>
      <c r="U245" s="9">
        <f>IF(ISERROR(VLOOKUP($A245,'SegEnds_NonXtal_BW#'!$A:$Z,15,FALSE)+VLOOKUP($A245,A:AL,22,FALSE)-50),"-",VLOOKUP($A245,'SegEnds_NonXtal_BW#'!$A:$Z,15,FALSE)+VLOOKUP($A245,A:AL,22,FALSE)-50)</f>
        <v>123</v>
      </c>
      <c r="V245" s="3">
        <v>135</v>
      </c>
      <c r="W245" s="3">
        <f>IF(ISERROR(VLOOKUP($A245,'SegEnds_NonXtal_BW#'!$A:$Z,16,FALSE)+VLOOKUP($A245,A:AL,22,FALSE)-50),"-",(VLOOKUP($A245,'SegEnds_NonXtal_BW#'!$A:$Z,16,FALSE)+VLOOKUP($A245,A:AL,22,FALSE)-50))</f>
        <v>149</v>
      </c>
      <c r="X245" s="3" t="str">
        <f>IF(ISERROR(VLOOKUP($A245,'SegEnds_NonXtal_BW#'!$A:$Z,17,FALSE)+VLOOKUP($A245,A:AL,25,FALSE)-50),"-",(VLOOKUP($A245,'SegEnds_NonXtal_BW#'!$A:$Z,17,FALSE)+VLOOKUP($A245,A:AL,25,FALSE)-50))</f>
        <v>-</v>
      </c>
      <c r="Y245" s="3" t="s">
        <v>23</v>
      </c>
      <c r="Z245" s="3" t="str">
        <f>IF(ISERROR(VLOOKUP($A245,'SegEnds_NonXtal_BW#'!$A:$Z,18,FALSE)+VLOOKUP($A245,A:AL,25,FALSE)-50),"-",(VLOOKUP($A245,'SegEnds_NonXtal_BW#'!$A:$Z,18,FALSE)+VLOOKUP($A245,A:AL,25,FALSE)-50))</f>
        <v>-</v>
      </c>
      <c r="AA245" s="3">
        <f>IF(ISERROR(VLOOKUP($A245,'SegEnds_NonXtal_BW#'!$A:$Z,19,FALSE)+VLOOKUP($A245,A:AL,28,FALSE)-50),"-",(VLOOKUP($A245,'SegEnds_NonXtal_BW#'!$A:$Z,19,FALSE)+VLOOKUP($A245,A:AL,28,FALSE)-50))</f>
        <v>169</v>
      </c>
      <c r="AB245" s="3">
        <v>187</v>
      </c>
      <c r="AC245" s="3">
        <f>IF(ISERROR((VLOOKUP($A245,'SegEnds_NonXtal_BW#'!$A:$Z,20,FALSE)+VLOOKUP($A245,A:AL,28,FALSE)-50)),"-",(VLOOKUP($A245,'SegEnds_NonXtal_BW#'!$A:$Z,20,FALSE)+VLOOKUP($A245,A:AL,28,FALSE)-50))</f>
        <v>209</v>
      </c>
      <c r="AD245" s="3">
        <f>IF(ISERROR(VLOOKUP($A245,'SegEnds_NonXtal_BW#'!$A:$Z,21,FALSE)+VLOOKUP($A245,A:AL,31,FALSE)-50),"-",(VLOOKUP($A245,'SegEnds_NonXtal_BW#'!$A:$Z,21,FALSE)+VLOOKUP($A245,A:AL,31,FALSE)-50))</f>
        <v>219</v>
      </c>
      <c r="AE245" s="3">
        <v>240</v>
      </c>
      <c r="AF245" s="3">
        <f>IF(ISERROR((VLOOKUP($A245,'SegEnds_NonXtal_BW#'!$A:$Z,22,FALSE)+VLOOKUP($A245,A:AL,31,FALSE)-50)),"-",(VLOOKUP($A245,'SegEnds_NonXtal_BW#'!$A:$Z,22,FALSE)+VLOOKUP($A245,A:AL,31,FALSE)-50))</f>
        <v>251</v>
      </c>
      <c r="AG245" s="3">
        <f>IF(ISERROR(VLOOKUP($A245,'SegEnds_NonXtal_BW#'!$A:$Z,23,FALSE)+VLOOKUP($A245,A:AL,34,FALSE)-50),"-",(VLOOKUP($A245,'SegEnds_NonXtal_BW#'!$A:$Z,23,FALSE)+VLOOKUP($A245,A:AL,34,FALSE)-50))</f>
        <v>257</v>
      </c>
      <c r="AH245" s="3">
        <v>276</v>
      </c>
      <c r="AI245" s="3">
        <f>IF(ISERROR((VLOOKUP($A245,'SegEnds_NonXtal_BW#'!$A:$Z,24,FALSE)+VLOOKUP($A245,A:AL,34,FALSE)-50)),"-",(VLOOKUP($A245,'SegEnds_NonXtal_BW#'!$A:$Z,24,FALSE)+VLOOKUP($A245,A:AL,34,FALSE)-50))</f>
        <v>282</v>
      </c>
      <c r="AJ245" s="3">
        <f>IF(ISERROR(VLOOKUP($A245,'SegEnds_NonXtal_BW#'!$A:$Z,25,FALSE)+VLOOKUP($A245,A:AL,37,FALSE)-50),"-",(VLOOKUP($A245,'SegEnds_NonXtal_BW#'!$A:$Z,25,FALSE)+VLOOKUP($A245,A:AL,37,FALSE)-50))</f>
        <v>283</v>
      </c>
      <c r="AK245" s="3">
        <v>286</v>
      </c>
      <c r="AL245" s="3">
        <f>IF(ISERROR((VLOOKUP($A245,'SegEnds_NonXtal_BW#'!$A:$Z,26,FALSE)+VLOOKUP($A245,A:AL,37,FALSE)-50)),"-",(VLOOKUP($A245,'SegEnds_NonXtal_BW#'!$A:$Z,26,FALSE)+VLOOKUP($A245,A:AL,37,FALSE)-50))</f>
        <v>296</v>
      </c>
      <c r="AM245" s="28" t="str">
        <f>VLOOKUP(A245,Classification!A:B,2,FALSE)</f>
        <v>T</v>
      </c>
      <c r="AN245" s="28" t="b">
        <f t="shared" si="135"/>
        <v>1</v>
      </c>
      <c r="AO245" s="3" t="str">
        <f>IF(ISERROR(MATCH(A245,'SegEnds_Xtal_Prot#'!B:B, 0)), "NoXtal", "Xtal")</f>
        <v>NoXtal</v>
      </c>
      <c r="AP245" s="3">
        <f t="shared" si="120"/>
        <v>1</v>
      </c>
      <c r="AQ245" s="3">
        <f t="shared" si="121"/>
        <v>1</v>
      </c>
      <c r="AR245" s="3" t="str">
        <f t="shared" si="122"/>
        <v>-</v>
      </c>
      <c r="AS245" s="3" t="str">
        <f t="shared" si="123"/>
        <v>-</v>
      </c>
      <c r="AT245" s="3">
        <f t="shared" si="124"/>
        <v>3</v>
      </c>
      <c r="AU245" s="3">
        <f t="shared" si="125"/>
        <v>1</v>
      </c>
      <c r="AV245" s="3" t="str">
        <f t="shared" si="126"/>
        <v>-</v>
      </c>
      <c r="AW245" s="3" t="str">
        <f t="shared" si="127"/>
        <v>-</v>
      </c>
      <c r="AX245" s="3">
        <f t="shared" si="128"/>
        <v>10</v>
      </c>
      <c r="AY245" s="3">
        <f t="shared" si="129"/>
        <v>6</v>
      </c>
      <c r="AZ245" s="3">
        <f t="shared" si="130"/>
        <v>1</v>
      </c>
      <c r="BA245" s="3">
        <f>IF(ISERROR(LEN(VLOOKUP(A245,Seqs!A:E,2,FALSE))-AL245),"-",LEN(VLOOKUP(A245,Seqs!A:E,2,FALSE))-AL245)</f>
        <v>13</v>
      </c>
      <c r="BB245" s="16">
        <f t="shared" si="131"/>
        <v>31</v>
      </c>
      <c r="BC245" s="9">
        <f t="shared" si="132"/>
        <v>20</v>
      </c>
      <c r="BD245" s="3">
        <f t="shared" si="133"/>
        <v>31</v>
      </c>
      <c r="BE245" s="3">
        <f t="shared" si="134"/>
        <v>53</v>
      </c>
      <c r="BF245" s="3">
        <f t="shared" si="147"/>
        <v>36</v>
      </c>
    </row>
    <row r="246" spans="1:58" s="3" customFormat="1" x14ac:dyDescent="0.2">
      <c r="A246" s="3" t="s">
        <v>462</v>
      </c>
      <c r="B246" s="3" t="str">
        <f>LOWER(VLOOKUP(A246,Xtal_Templ!A:B,2,FALSE))</f>
        <v>5ht2b_human</v>
      </c>
      <c r="C246" s="3">
        <f>VLOOKUP($A246,'SegEnds_NonXtal_BW#'!$A:$Z,3,FALSE)+D246-50</f>
        <v>6</v>
      </c>
      <c r="D246" s="3">
        <v>24</v>
      </c>
      <c r="E246" s="3">
        <f t="shared" si="148"/>
        <v>36</v>
      </c>
      <c r="F246" s="3">
        <f t="shared" si="149"/>
        <v>37</v>
      </c>
      <c r="G246" s="3">
        <v>39</v>
      </c>
      <c r="H246" s="3">
        <f t="shared" si="150"/>
        <v>40</v>
      </c>
      <c r="I246" s="3">
        <f t="shared" si="150"/>
        <v>41</v>
      </c>
      <c r="J246" s="3">
        <v>55</v>
      </c>
      <c r="K246" s="3">
        <f>VLOOKUP($A246,'SegEnds_NonXtal_BW#'!$A:$Z,8,FALSE)+VLOOKUP($A246,A:AL,10,FALSE)-50</f>
        <v>71</v>
      </c>
      <c r="L246" s="3" t="str">
        <f>IF(ISERROR(VLOOKUP($A246,'SegEnds_NonXtal_BW#'!$A:$Z,9,FALSE)+VLOOKUP($A246,A:AL,13,FALSE)-50),"-",(VLOOKUP($A246,'SegEnds_NonXtal_BW#'!$A:$Z,9,FALSE)+VLOOKUP($A246,A:AL,13,FALSE)-50))</f>
        <v>-</v>
      </c>
      <c r="M246" s="3" t="s">
        <v>23</v>
      </c>
      <c r="N246" s="3" t="str">
        <f>IF(ISERROR(VLOOKUP($A246,'SegEnds_NonXtal_BW#'!$A:$Z,10,FALSE)+VLOOKUP($A246,A:AL,13,FALSE)-50),"-",(VLOOKUP($A246,'SegEnds_NonXtal_BW#'!$A:$Z,10,FALSE)+VLOOKUP($A246,A:AL,13,FALSE)-50))</f>
        <v>-</v>
      </c>
      <c r="O246" s="3">
        <f>VLOOKUP($A246,'SegEnds_NonXtal_BW#'!$A:$Z,11,FALSE)+VLOOKUP($A246,A:AL,16,FALSE)-50</f>
        <v>77</v>
      </c>
      <c r="P246" s="3">
        <v>106</v>
      </c>
      <c r="Q246" s="3">
        <f>VLOOKUP($A246,'SegEnds_NonXtal_BW#'!$A:$Z,12,FALSE)+VLOOKUP($A246,A:AL,16,FALSE)-50</f>
        <v>112</v>
      </c>
      <c r="R246" s="3">
        <f t="shared" si="151"/>
        <v>115</v>
      </c>
      <c r="S246" s="3">
        <v>115</v>
      </c>
      <c r="T246" s="103">
        <f t="shared" si="152"/>
        <v>122</v>
      </c>
      <c r="U246" s="9">
        <f>IF(ISERROR(VLOOKUP($A246,'SegEnds_NonXtal_BW#'!$A:$Z,15,FALSE)+VLOOKUP($A246,A:AL,22,FALSE)-50),"-",VLOOKUP($A246,'SegEnds_NonXtal_BW#'!$A:$Z,15,FALSE)+VLOOKUP($A246,A:AL,22,FALSE)-50)</f>
        <v>123</v>
      </c>
      <c r="V246" s="3">
        <v>135</v>
      </c>
      <c r="W246" s="3">
        <f>IF(ISERROR(VLOOKUP($A246,'SegEnds_NonXtal_BW#'!$A:$Z,16,FALSE)+VLOOKUP($A246,A:AL,22,FALSE)-50),"-",(VLOOKUP($A246,'SegEnds_NonXtal_BW#'!$A:$Z,16,FALSE)+VLOOKUP($A246,A:AL,22,FALSE)-50))</f>
        <v>149</v>
      </c>
      <c r="X246" s="3" t="str">
        <f>IF(ISERROR(VLOOKUP($A246,'SegEnds_NonXtal_BW#'!$A:$Z,17,FALSE)+VLOOKUP($A246,A:AL,25,FALSE)-50),"-",(VLOOKUP($A246,'SegEnds_NonXtal_BW#'!$A:$Z,17,FALSE)+VLOOKUP($A246,A:AL,25,FALSE)-50))</f>
        <v>-</v>
      </c>
      <c r="Y246" s="3" t="s">
        <v>23</v>
      </c>
      <c r="Z246" s="3" t="str">
        <f>IF(ISERROR(VLOOKUP($A246,'SegEnds_NonXtal_BW#'!$A:$Z,18,FALSE)+VLOOKUP($A246,A:AL,25,FALSE)-50),"-",(VLOOKUP($A246,'SegEnds_NonXtal_BW#'!$A:$Z,18,FALSE)+VLOOKUP($A246,A:AL,25,FALSE)-50))</f>
        <v>-</v>
      </c>
      <c r="AA246" s="3">
        <f>IF(ISERROR(VLOOKUP($A246,'SegEnds_NonXtal_BW#'!$A:$Z,19,FALSE)+VLOOKUP($A246,A:AL,28,FALSE)-50),"-",(VLOOKUP($A246,'SegEnds_NonXtal_BW#'!$A:$Z,19,FALSE)+VLOOKUP($A246,A:AL,28,FALSE)-50))</f>
        <v>169</v>
      </c>
      <c r="AB246" s="3">
        <v>187</v>
      </c>
      <c r="AC246" s="3">
        <f>IF(ISERROR((VLOOKUP($A246,'SegEnds_NonXtal_BW#'!$A:$Z,20,FALSE)+VLOOKUP($A246,A:AL,28,FALSE)-50)),"-",(VLOOKUP($A246,'SegEnds_NonXtal_BW#'!$A:$Z,20,FALSE)+VLOOKUP($A246,A:AL,28,FALSE)-50))</f>
        <v>209</v>
      </c>
      <c r="AD246" s="3">
        <f>IF(ISERROR(VLOOKUP($A246,'SegEnds_NonXtal_BW#'!$A:$Z,21,FALSE)+VLOOKUP($A246,A:AL,31,FALSE)-50),"-",(VLOOKUP($A246,'SegEnds_NonXtal_BW#'!$A:$Z,21,FALSE)+VLOOKUP($A246,A:AL,31,FALSE)-50))</f>
        <v>219</v>
      </c>
      <c r="AE246" s="3">
        <v>240</v>
      </c>
      <c r="AF246" s="3">
        <f>IF(ISERROR((VLOOKUP($A246,'SegEnds_NonXtal_BW#'!$A:$Z,22,FALSE)+VLOOKUP($A246,A:AL,31,FALSE)-50)),"-",(VLOOKUP($A246,'SegEnds_NonXtal_BW#'!$A:$Z,22,FALSE)+VLOOKUP($A246,A:AL,31,FALSE)-50))</f>
        <v>251</v>
      </c>
      <c r="AG246" s="3">
        <f>IF(ISERROR(VLOOKUP($A246,'SegEnds_NonXtal_BW#'!$A:$Z,23,FALSE)+VLOOKUP($A246,A:AL,34,FALSE)-50),"-",(VLOOKUP($A246,'SegEnds_NonXtal_BW#'!$A:$Z,23,FALSE)+VLOOKUP($A246,A:AL,34,FALSE)-50))</f>
        <v>257</v>
      </c>
      <c r="AH246" s="3">
        <v>276</v>
      </c>
      <c r="AI246" s="3">
        <f>IF(ISERROR((VLOOKUP($A246,'SegEnds_NonXtal_BW#'!$A:$Z,24,FALSE)+VLOOKUP($A246,A:AL,34,FALSE)-50)),"-",(VLOOKUP($A246,'SegEnds_NonXtal_BW#'!$A:$Z,24,FALSE)+VLOOKUP($A246,A:AL,34,FALSE)-50))</f>
        <v>282</v>
      </c>
      <c r="AJ246" s="3">
        <f>IF(ISERROR(VLOOKUP($A246,'SegEnds_NonXtal_BW#'!$A:$Z,25,FALSE)+VLOOKUP($A246,A:AL,37,FALSE)-50),"-",(VLOOKUP($A246,'SegEnds_NonXtal_BW#'!$A:$Z,25,FALSE)+VLOOKUP($A246,A:AL,37,FALSE)-50))</f>
        <v>283</v>
      </c>
      <c r="AK246" s="3">
        <v>286</v>
      </c>
      <c r="AL246" s="3">
        <f>IF(ISERROR((VLOOKUP($A246,'SegEnds_NonXtal_BW#'!$A:$Z,26,FALSE)+VLOOKUP($A246,A:AL,37,FALSE)-50)),"-",(VLOOKUP($A246,'SegEnds_NonXtal_BW#'!$A:$Z,26,FALSE)+VLOOKUP($A246,A:AL,37,FALSE)-50))</f>
        <v>296</v>
      </c>
      <c r="AM246" s="28" t="str">
        <f>VLOOKUP(A246,Classification!A:B,2,FALSE)</f>
        <v>T</v>
      </c>
      <c r="AN246" s="28" t="b">
        <f t="shared" si="135"/>
        <v>1</v>
      </c>
      <c r="AO246" s="3" t="str">
        <f>IF(ISERROR(MATCH(A246,'SegEnds_Xtal_Prot#'!B:B, 0)), "NoXtal", "Xtal")</f>
        <v>NoXtal</v>
      </c>
      <c r="AP246" s="3">
        <f t="shared" si="120"/>
        <v>1</v>
      </c>
      <c r="AQ246" s="3">
        <f t="shared" si="121"/>
        <v>1</v>
      </c>
      <c r="AR246" s="3" t="str">
        <f t="shared" si="122"/>
        <v>-</v>
      </c>
      <c r="AS246" s="3" t="str">
        <f t="shared" si="123"/>
        <v>-</v>
      </c>
      <c r="AT246" s="3">
        <f t="shared" si="124"/>
        <v>3</v>
      </c>
      <c r="AU246" s="3">
        <f t="shared" si="125"/>
        <v>1</v>
      </c>
      <c r="AV246" s="3" t="str">
        <f t="shared" si="126"/>
        <v>-</v>
      </c>
      <c r="AW246" s="3" t="str">
        <f t="shared" si="127"/>
        <v>-</v>
      </c>
      <c r="AX246" s="3">
        <f t="shared" si="128"/>
        <v>10</v>
      </c>
      <c r="AY246" s="3">
        <f t="shared" si="129"/>
        <v>6</v>
      </c>
      <c r="AZ246" s="3">
        <f t="shared" si="130"/>
        <v>1</v>
      </c>
      <c r="BA246" s="3">
        <f>IF(ISERROR(LEN(VLOOKUP(A246,Seqs!A:E,2,FALSE))-AL246),"-",LEN(VLOOKUP(A246,Seqs!A:E,2,FALSE))-AL246)</f>
        <v>23</v>
      </c>
      <c r="BB246" s="16">
        <f t="shared" si="131"/>
        <v>31</v>
      </c>
      <c r="BC246" s="9">
        <f t="shared" si="132"/>
        <v>20</v>
      </c>
      <c r="BD246" s="3">
        <f t="shared" si="133"/>
        <v>31</v>
      </c>
      <c r="BE246" s="3">
        <f t="shared" si="134"/>
        <v>53</v>
      </c>
      <c r="BF246" s="3">
        <f t="shared" si="147"/>
        <v>36</v>
      </c>
    </row>
    <row r="247" spans="1:58" s="3" customFormat="1" x14ac:dyDescent="0.2">
      <c r="A247" s="3" t="s">
        <v>463</v>
      </c>
      <c r="B247" s="3" t="str">
        <f>LOWER(VLOOKUP(A247,Xtal_Templ!A:B,2,FALSE))</f>
        <v>agtr1_human</v>
      </c>
      <c r="C247" s="3">
        <f>VLOOKUP($A247,'SegEnds_NonXtal_BW#'!$A:$Z,3,FALSE)+D247-50</f>
        <v>6</v>
      </c>
      <c r="D247" s="3">
        <v>24</v>
      </c>
      <c r="E247" s="3">
        <f t="shared" si="148"/>
        <v>36</v>
      </c>
      <c r="F247" s="3">
        <f t="shared" si="149"/>
        <v>37</v>
      </c>
      <c r="G247" s="3">
        <v>39</v>
      </c>
      <c r="H247" s="3">
        <f t="shared" si="150"/>
        <v>40</v>
      </c>
      <c r="I247" s="3">
        <f t="shared" si="150"/>
        <v>41</v>
      </c>
      <c r="J247" s="3">
        <v>55</v>
      </c>
      <c r="K247" s="3">
        <f>VLOOKUP($A247,'SegEnds_NonXtal_BW#'!$A:$Z,8,FALSE)+VLOOKUP($A247,A:AL,10,FALSE)-50</f>
        <v>71</v>
      </c>
      <c r="L247" s="3" t="str">
        <f>IF(ISERROR(VLOOKUP($A247,'SegEnds_NonXtal_BW#'!$A:$Z,9,FALSE)+VLOOKUP($A247,A:AL,13,FALSE)-50),"-",(VLOOKUP($A247,'SegEnds_NonXtal_BW#'!$A:$Z,9,FALSE)+VLOOKUP($A247,A:AL,13,FALSE)-50))</f>
        <v>-</v>
      </c>
      <c r="M247" s="3" t="s">
        <v>23</v>
      </c>
      <c r="N247" s="3" t="str">
        <f>IF(ISERROR(VLOOKUP($A247,'SegEnds_NonXtal_BW#'!$A:$Z,10,FALSE)+VLOOKUP($A247,A:AL,13,FALSE)-50),"-",(VLOOKUP($A247,'SegEnds_NonXtal_BW#'!$A:$Z,10,FALSE)+VLOOKUP($A247,A:AL,13,FALSE)-50))</f>
        <v>-</v>
      </c>
      <c r="O247" s="3">
        <f>VLOOKUP($A247,'SegEnds_NonXtal_BW#'!$A:$Z,11,FALSE)+VLOOKUP($A247,A:AL,16,FALSE)-50</f>
        <v>77</v>
      </c>
      <c r="P247" s="3">
        <v>106</v>
      </c>
      <c r="Q247" s="3">
        <f>VLOOKUP($A247,'SegEnds_NonXtal_BW#'!$A:$Z,12,FALSE)+VLOOKUP($A247,A:AL,16,FALSE)-50</f>
        <v>112</v>
      </c>
      <c r="R247" s="3">
        <f t="shared" si="151"/>
        <v>115</v>
      </c>
      <c r="S247" s="3">
        <v>115</v>
      </c>
      <c r="T247" s="103">
        <f t="shared" si="152"/>
        <v>122</v>
      </c>
      <c r="U247" s="9">
        <f>IF(ISERROR(VLOOKUP($A247,'SegEnds_NonXtal_BW#'!$A:$Z,15,FALSE)+VLOOKUP($A247,A:AL,22,FALSE)-50),"-",VLOOKUP($A247,'SegEnds_NonXtal_BW#'!$A:$Z,15,FALSE)+VLOOKUP($A247,A:AL,22,FALSE)-50)</f>
        <v>123</v>
      </c>
      <c r="V247" s="3">
        <v>135</v>
      </c>
      <c r="W247" s="3">
        <f>IF(ISERROR(VLOOKUP($A247,'SegEnds_NonXtal_BW#'!$A:$Z,16,FALSE)+VLOOKUP($A247,A:AL,22,FALSE)-50),"-",(VLOOKUP($A247,'SegEnds_NonXtal_BW#'!$A:$Z,16,FALSE)+VLOOKUP($A247,A:AL,22,FALSE)-50))</f>
        <v>149</v>
      </c>
      <c r="X247" s="3" t="str">
        <f>IF(ISERROR(VLOOKUP($A247,'SegEnds_NonXtal_BW#'!$A:$Z,17,FALSE)+VLOOKUP($A247,A:AL,25,FALSE)-50),"-",(VLOOKUP($A247,'SegEnds_NonXtal_BW#'!$A:$Z,17,FALSE)+VLOOKUP($A247,A:AL,25,FALSE)-50))</f>
        <v>-</v>
      </c>
      <c r="Y247" s="3" t="s">
        <v>23</v>
      </c>
      <c r="Z247" s="3" t="str">
        <f>IF(ISERROR(VLOOKUP($A247,'SegEnds_NonXtal_BW#'!$A:$Z,18,FALSE)+VLOOKUP($A247,A:AL,25,FALSE)-50),"-",(VLOOKUP($A247,'SegEnds_NonXtal_BW#'!$A:$Z,18,FALSE)+VLOOKUP($A247,A:AL,25,FALSE)-50))</f>
        <v>-</v>
      </c>
      <c r="AA247" s="3">
        <f>IF(ISERROR(VLOOKUP($A247,'SegEnds_NonXtal_BW#'!$A:$Z,19,FALSE)+VLOOKUP($A247,A:AL,28,FALSE)-50),"-",(VLOOKUP($A247,'SegEnds_NonXtal_BW#'!$A:$Z,19,FALSE)+VLOOKUP($A247,A:AL,28,FALSE)-50))</f>
        <v>169</v>
      </c>
      <c r="AB247" s="3">
        <v>187</v>
      </c>
      <c r="AC247" s="3">
        <f>IF(ISERROR((VLOOKUP($A247,'SegEnds_NonXtal_BW#'!$A:$Z,20,FALSE)+VLOOKUP($A247,A:AL,28,FALSE)-50)),"-",(VLOOKUP($A247,'SegEnds_NonXtal_BW#'!$A:$Z,20,FALSE)+VLOOKUP($A247,A:AL,28,FALSE)-50))</f>
        <v>209</v>
      </c>
      <c r="AD247" s="3">
        <f>IF(ISERROR(VLOOKUP($A247,'SegEnds_NonXtal_BW#'!$A:$Z,21,FALSE)+VLOOKUP($A247,A:AL,31,FALSE)-50),"-",(VLOOKUP($A247,'SegEnds_NonXtal_BW#'!$A:$Z,21,FALSE)+VLOOKUP($A247,A:AL,31,FALSE)-50))</f>
        <v>219</v>
      </c>
      <c r="AE247" s="3">
        <v>240</v>
      </c>
      <c r="AF247" s="3">
        <f>IF(ISERROR((VLOOKUP($A247,'SegEnds_NonXtal_BW#'!$A:$Z,22,FALSE)+VLOOKUP($A247,A:AL,31,FALSE)-50)),"-",(VLOOKUP($A247,'SegEnds_NonXtal_BW#'!$A:$Z,22,FALSE)+VLOOKUP($A247,A:AL,31,FALSE)-50))</f>
        <v>251</v>
      </c>
      <c r="AG247" s="3">
        <f>IF(ISERROR(VLOOKUP($A247,'SegEnds_NonXtal_BW#'!$A:$Z,23,FALSE)+VLOOKUP($A247,A:AL,34,FALSE)-50),"-",(VLOOKUP($A247,'SegEnds_NonXtal_BW#'!$A:$Z,23,FALSE)+VLOOKUP($A247,A:AL,34,FALSE)-50))</f>
        <v>257</v>
      </c>
      <c r="AH247" s="3">
        <v>276</v>
      </c>
      <c r="AI247" s="3">
        <f>IF(ISERROR((VLOOKUP($A247,'SegEnds_NonXtal_BW#'!$A:$Z,24,FALSE)+VLOOKUP($A247,A:AL,34,FALSE)-50)),"-",(VLOOKUP($A247,'SegEnds_NonXtal_BW#'!$A:$Z,24,FALSE)+VLOOKUP($A247,A:AL,34,FALSE)-50))</f>
        <v>282</v>
      </c>
      <c r="AJ247" s="3">
        <f>IF(ISERROR(VLOOKUP($A247,'SegEnds_NonXtal_BW#'!$A:$Z,25,FALSE)+VLOOKUP($A247,A:AL,37,FALSE)-50),"-",(VLOOKUP($A247,'SegEnds_NonXtal_BW#'!$A:$Z,25,FALSE)+VLOOKUP($A247,A:AL,37,FALSE)-50))</f>
        <v>283</v>
      </c>
      <c r="AK247" s="3">
        <v>286</v>
      </c>
      <c r="AL247" s="3">
        <f>IF(ISERROR((VLOOKUP($A247,'SegEnds_NonXtal_BW#'!$A:$Z,26,FALSE)+VLOOKUP($A247,A:AL,37,FALSE)-50)),"-",(VLOOKUP($A247,'SegEnds_NonXtal_BW#'!$A:$Z,26,FALSE)+VLOOKUP($A247,A:AL,37,FALSE)-50))</f>
        <v>296</v>
      </c>
      <c r="AM247" s="28" t="str">
        <f>VLOOKUP(A247,Classification!A:B,2,FALSE)</f>
        <v>T</v>
      </c>
      <c r="AN247" s="28" t="b">
        <f t="shared" si="135"/>
        <v>1</v>
      </c>
      <c r="AO247" s="3" t="str">
        <f>IF(ISERROR(MATCH(A247,'SegEnds_Xtal_Prot#'!B:B, 0)), "NoXtal", "Xtal")</f>
        <v>NoXtal</v>
      </c>
      <c r="AP247" s="3">
        <f t="shared" si="120"/>
        <v>1</v>
      </c>
      <c r="AQ247" s="3">
        <f t="shared" si="121"/>
        <v>1</v>
      </c>
      <c r="AR247" s="3" t="str">
        <f t="shared" si="122"/>
        <v>-</v>
      </c>
      <c r="AS247" s="3" t="str">
        <f t="shared" si="123"/>
        <v>-</v>
      </c>
      <c r="AT247" s="3">
        <f t="shared" si="124"/>
        <v>3</v>
      </c>
      <c r="AU247" s="3">
        <f t="shared" si="125"/>
        <v>1</v>
      </c>
      <c r="AV247" s="3" t="str">
        <f t="shared" si="126"/>
        <v>-</v>
      </c>
      <c r="AW247" s="3" t="str">
        <f t="shared" si="127"/>
        <v>-</v>
      </c>
      <c r="AX247" s="3">
        <f t="shared" si="128"/>
        <v>10</v>
      </c>
      <c r="AY247" s="3">
        <f t="shared" si="129"/>
        <v>6</v>
      </c>
      <c r="AZ247" s="3">
        <f t="shared" si="130"/>
        <v>1</v>
      </c>
      <c r="BA247" s="3">
        <f>IF(ISERROR(LEN(VLOOKUP(A247,Seqs!A:E,2,FALSE))-AL247),"-",LEN(VLOOKUP(A247,Seqs!A:E,2,FALSE))-AL247)</f>
        <v>13</v>
      </c>
      <c r="BB247" s="16">
        <f t="shared" si="131"/>
        <v>31</v>
      </c>
      <c r="BC247" s="9">
        <f t="shared" si="132"/>
        <v>20</v>
      </c>
      <c r="BD247" s="3">
        <f t="shared" si="133"/>
        <v>31</v>
      </c>
      <c r="BE247" s="3">
        <f t="shared" si="134"/>
        <v>53</v>
      </c>
      <c r="BF247" s="3">
        <f t="shared" si="147"/>
        <v>36</v>
      </c>
    </row>
    <row r="248" spans="1:58" s="3" customFormat="1" x14ac:dyDescent="0.2">
      <c r="A248" s="3" t="s">
        <v>464</v>
      </c>
      <c r="B248" s="3" t="str">
        <f>LOWER(VLOOKUP(A248,Xtal_Templ!A:B,2,FALSE))</f>
        <v>agtr1_human</v>
      </c>
      <c r="C248" s="3">
        <f>VLOOKUP($A248,'SegEnds_NonXtal_BW#'!$A:$Z,3,FALSE)+D248-50</f>
        <v>15</v>
      </c>
      <c r="D248" s="3">
        <v>33</v>
      </c>
      <c r="E248" s="3">
        <f t="shared" si="148"/>
        <v>45</v>
      </c>
      <c r="F248" s="3">
        <f t="shared" si="149"/>
        <v>46</v>
      </c>
      <c r="G248" s="3">
        <v>48</v>
      </c>
      <c r="H248" s="3">
        <f t="shared" si="150"/>
        <v>49</v>
      </c>
      <c r="I248" s="3">
        <f t="shared" si="150"/>
        <v>50</v>
      </c>
      <c r="J248" s="3">
        <v>64</v>
      </c>
      <c r="K248" s="3">
        <f>VLOOKUP($A248,'SegEnds_NonXtal_BW#'!$A:$Z,8,FALSE)+VLOOKUP($A248,A:AL,10,FALSE)-50</f>
        <v>81</v>
      </c>
      <c r="L248" s="3" t="str">
        <f>IF(ISERROR(VLOOKUP($A248,'SegEnds_NonXtal_BW#'!$A:$Z,9,FALSE)+VLOOKUP($A248,A:AL,13,FALSE)-50),"-",(VLOOKUP($A248,'SegEnds_NonXtal_BW#'!$A:$Z,9,FALSE)+VLOOKUP($A248,A:AL,13,FALSE)-50))</f>
        <v>-</v>
      </c>
      <c r="M248" s="3" t="s">
        <v>23</v>
      </c>
      <c r="N248" s="3" t="str">
        <f>IF(ISERROR(VLOOKUP($A248,'SegEnds_NonXtal_BW#'!$A:$Z,10,FALSE)+VLOOKUP($A248,A:AL,13,FALSE)-50),"-",(VLOOKUP($A248,'SegEnds_NonXtal_BW#'!$A:$Z,10,FALSE)+VLOOKUP($A248,A:AL,13,FALSE)-50))</f>
        <v>-</v>
      </c>
      <c r="O248" s="3">
        <f>VLOOKUP($A248,'SegEnds_NonXtal_BW#'!$A:$Z,11,FALSE)+VLOOKUP($A248,A:AL,16,FALSE)-50</f>
        <v>85</v>
      </c>
      <c r="P248" s="3">
        <v>117</v>
      </c>
      <c r="Q248" s="3">
        <f>VLOOKUP($A248,'SegEnds_NonXtal_BW#'!$A:$Z,12,FALSE)+VLOOKUP($A248,A:AL,16,FALSE)-50</f>
        <v>123</v>
      </c>
      <c r="R248" s="3">
        <f t="shared" si="151"/>
        <v>126</v>
      </c>
      <c r="S248" s="3">
        <v>126</v>
      </c>
      <c r="T248" s="103">
        <f t="shared" si="152"/>
        <v>133</v>
      </c>
      <c r="U248" s="9">
        <f>IF(ISERROR(VLOOKUP($A248,'SegEnds_NonXtal_BW#'!$A:$Z,15,FALSE)+VLOOKUP($A248,A:AL,22,FALSE)-50),"-",VLOOKUP($A248,'SegEnds_NonXtal_BW#'!$A:$Z,15,FALSE)+VLOOKUP($A248,A:AL,22,FALSE)-50)</f>
        <v>134</v>
      </c>
      <c r="V248" s="3">
        <v>146</v>
      </c>
      <c r="W248" s="3">
        <f>IF(ISERROR(VLOOKUP($A248,'SegEnds_NonXtal_BW#'!$A:$Z,16,FALSE)+VLOOKUP($A248,A:AL,22,FALSE)-50),"-",(VLOOKUP($A248,'SegEnds_NonXtal_BW#'!$A:$Z,16,FALSE)+VLOOKUP($A248,A:AL,22,FALSE)-50))</f>
        <v>160</v>
      </c>
      <c r="X248" s="3" t="str">
        <f>IF(ISERROR(VLOOKUP($A248,'SegEnds_NonXtal_BW#'!$A:$Z,17,FALSE)+VLOOKUP($A248,A:AL,25,FALSE)-50),"-",(VLOOKUP($A248,'SegEnds_NonXtal_BW#'!$A:$Z,17,FALSE)+VLOOKUP($A248,A:AL,25,FALSE)-50))</f>
        <v>-</v>
      </c>
      <c r="Y248" s="3" t="s">
        <v>23</v>
      </c>
      <c r="Z248" s="3" t="str">
        <f>IF(ISERROR(VLOOKUP($A248,'SegEnds_NonXtal_BW#'!$A:$Z,18,FALSE)+VLOOKUP($A248,A:AL,25,FALSE)-50),"-",(VLOOKUP($A248,'SegEnds_NonXtal_BW#'!$A:$Z,18,FALSE)+VLOOKUP($A248,A:AL,25,FALSE)-50))</f>
        <v>-</v>
      </c>
      <c r="AA248" s="3">
        <f>IF(ISERROR(VLOOKUP($A248,'SegEnds_NonXtal_BW#'!$A:$Z,19,FALSE)+VLOOKUP($A248,A:AL,28,FALSE)-50),"-",(VLOOKUP($A248,'SegEnds_NonXtal_BW#'!$A:$Z,19,FALSE)+VLOOKUP($A248,A:AL,28,FALSE)-50))</f>
        <v>187</v>
      </c>
      <c r="AB248" s="3">
        <v>205</v>
      </c>
      <c r="AC248" s="3">
        <f>IF(ISERROR((VLOOKUP($A248,'SegEnds_NonXtal_BW#'!$A:$Z,20,FALSE)+VLOOKUP($A248,A:AL,28,FALSE)-50)),"-",(VLOOKUP($A248,'SegEnds_NonXtal_BW#'!$A:$Z,20,FALSE)+VLOOKUP($A248,A:AL,28,FALSE)-50))</f>
        <v>227</v>
      </c>
      <c r="AD248" s="3">
        <f>IF(ISERROR(VLOOKUP($A248,'SegEnds_NonXtal_BW#'!$A:$Z,21,FALSE)+VLOOKUP($A248,A:AL,31,FALSE)-50),"-",(VLOOKUP($A248,'SegEnds_NonXtal_BW#'!$A:$Z,21,FALSE)+VLOOKUP($A248,A:AL,31,FALSE)-50))</f>
        <v>237</v>
      </c>
      <c r="AE248" s="3">
        <v>258</v>
      </c>
      <c r="AF248" s="3">
        <f>IF(ISERROR((VLOOKUP($A248,'SegEnds_NonXtal_BW#'!$A:$Z,22,FALSE)+VLOOKUP($A248,A:AL,31,FALSE)-50)),"-",(VLOOKUP($A248,'SegEnds_NonXtal_BW#'!$A:$Z,22,FALSE)+VLOOKUP($A248,A:AL,31,FALSE)-50))</f>
        <v>269</v>
      </c>
      <c r="AG248" s="3">
        <f>IF(ISERROR(VLOOKUP($A248,'SegEnds_NonXtal_BW#'!$A:$Z,23,FALSE)+VLOOKUP($A248,A:AL,34,FALSE)-50),"-",(VLOOKUP($A248,'SegEnds_NonXtal_BW#'!$A:$Z,23,FALSE)+VLOOKUP($A248,A:AL,34,FALSE)-50))</f>
        <v>275</v>
      </c>
      <c r="AH248" s="3">
        <v>294</v>
      </c>
      <c r="AI248" s="3">
        <f>IF(ISERROR((VLOOKUP($A248,'SegEnds_NonXtal_BW#'!$A:$Z,24,FALSE)+VLOOKUP($A248,A:AL,34,FALSE)-50)),"-",(VLOOKUP($A248,'SegEnds_NonXtal_BW#'!$A:$Z,24,FALSE)+VLOOKUP($A248,A:AL,34,FALSE)-50))</f>
        <v>300</v>
      </c>
      <c r="AJ248" s="3">
        <f>IF(ISERROR(VLOOKUP($A248,'SegEnds_NonXtal_BW#'!$A:$Z,25,FALSE)+VLOOKUP($A248,A:AL,37,FALSE)-50),"-",(VLOOKUP($A248,'SegEnds_NonXtal_BW#'!$A:$Z,25,FALSE)+VLOOKUP($A248,A:AL,37,FALSE)-50))</f>
        <v>301</v>
      </c>
      <c r="AK248" s="3">
        <v>304</v>
      </c>
      <c r="AL248" s="3">
        <f>IF(ISERROR((VLOOKUP($A248,'SegEnds_NonXtal_BW#'!$A:$Z,26,FALSE)+VLOOKUP($A248,A:AL,37,FALSE)-50)),"-",(VLOOKUP($A248,'SegEnds_NonXtal_BW#'!$A:$Z,26,FALSE)+VLOOKUP($A248,A:AL,37,FALSE)-50))</f>
        <v>314</v>
      </c>
      <c r="AM248" s="28" t="str">
        <f>VLOOKUP(A248,Classification!A:B,2,FALSE)</f>
        <v>T</v>
      </c>
      <c r="AN248" s="28" t="b">
        <f t="shared" si="135"/>
        <v>1</v>
      </c>
      <c r="AO248" s="3" t="str">
        <f>IF(ISERROR(MATCH(A248,'SegEnds_Xtal_Prot#'!B:B, 0)), "NoXtal", "Xtal")</f>
        <v>NoXtal</v>
      </c>
      <c r="AP248" s="3">
        <f t="shared" si="120"/>
        <v>1</v>
      </c>
      <c r="AQ248" s="3">
        <f t="shared" si="121"/>
        <v>1</v>
      </c>
      <c r="AR248" s="3" t="str">
        <f t="shared" si="122"/>
        <v>-</v>
      </c>
      <c r="AS248" s="3" t="str">
        <f t="shared" si="123"/>
        <v>-</v>
      </c>
      <c r="AT248" s="3">
        <f t="shared" si="124"/>
        <v>3</v>
      </c>
      <c r="AU248" s="3">
        <f t="shared" si="125"/>
        <v>1</v>
      </c>
      <c r="AV248" s="3" t="str">
        <f t="shared" si="126"/>
        <v>-</v>
      </c>
      <c r="AW248" s="3" t="str">
        <f t="shared" si="127"/>
        <v>-</v>
      </c>
      <c r="AX248" s="3">
        <f t="shared" si="128"/>
        <v>10</v>
      </c>
      <c r="AY248" s="3">
        <f t="shared" si="129"/>
        <v>6</v>
      </c>
      <c r="AZ248" s="3">
        <f t="shared" si="130"/>
        <v>1</v>
      </c>
      <c r="BA248" s="3">
        <f>IF(ISERROR(LEN(VLOOKUP(A248,Seqs!A:E,2,FALSE))-AL248),"-",LEN(VLOOKUP(A248,Seqs!A:E,2,FALSE))-AL248)</f>
        <v>19</v>
      </c>
      <c r="BB248" s="16">
        <f t="shared" si="131"/>
        <v>31</v>
      </c>
      <c r="BC248" s="9">
        <f t="shared" si="132"/>
        <v>20</v>
      </c>
      <c r="BD248" s="3">
        <f t="shared" si="133"/>
        <v>31</v>
      </c>
      <c r="BE248" s="3">
        <f t="shared" si="134"/>
        <v>53</v>
      </c>
      <c r="BF248" s="3">
        <f t="shared" si="147"/>
        <v>36</v>
      </c>
    </row>
    <row r="249" spans="1:58" s="3" customFormat="1" x14ac:dyDescent="0.2">
      <c r="A249" s="3" t="s">
        <v>465</v>
      </c>
      <c r="B249" s="3" t="str">
        <f>LOWER(VLOOKUP(A249,Xtal_Templ!A:B,2,FALSE))</f>
        <v>agtr1_human</v>
      </c>
      <c r="C249" s="3">
        <f>VLOOKUP($A249,'SegEnds_NonXtal_BW#'!$A:$Z,3,FALSE)+D249-50</f>
        <v>34</v>
      </c>
      <c r="D249" s="3">
        <v>52</v>
      </c>
      <c r="E249" s="3">
        <f t="shared" si="148"/>
        <v>64</v>
      </c>
      <c r="F249" s="3">
        <f t="shared" si="149"/>
        <v>65</v>
      </c>
      <c r="G249" s="3">
        <v>67</v>
      </c>
      <c r="H249" s="3">
        <f t="shared" si="150"/>
        <v>68</v>
      </c>
      <c r="I249" s="3">
        <f t="shared" si="150"/>
        <v>69</v>
      </c>
      <c r="J249" s="3">
        <v>83</v>
      </c>
      <c r="K249" s="3">
        <f>VLOOKUP($A249,'SegEnds_NonXtal_BW#'!$A:$Z,8,FALSE)+VLOOKUP($A249,A:AL,10,FALSE)-50</f>
        <v>99</v>
      </c>
      <c r="L249" s="3" t="str">
        <f>IF(ISERROR(VLOOKUP($A249,'SegEnds_NonXtal_BW#'!$A:$Z,9,FALSE)+VLOOKUP($A249,A:AL,13,FALSE)-50),"-",(VLOOKUP($A249,'SegEnds_NonXtal_BW#'!$A:$Z,9,FALSE)+VLOOKUP($A249,A:AL,13,FALSE)-50))</f>
        <v>-</v>
      </c>
      <c r="M249" s="3" t="s">
        <v>23</v>
      </c>
      <c r="N249" s="3" t="str">
        <f>IF(ISERROR(VLOOKUP($A249,'SegEnds_NonXtal_BW#'!$A:$Z,10,FALSE)+VLOOKUP($A249,A:AL,13,FALSE)-50),"-",(VLOOKUP($A249,'SegEnds_NonXtal_BW#'!$A:$Z,10,FALSE)+VLOOKUP($A249,A:AL,13,FALSE)-50))</f>
        <v>-</v>
      </c>
      <c r="O249" s="3">
        <f>VLOOKUP($A249,'SegEnds_NonXtal_BW#'!$A:$Z,11,FALSE)+VLOOKUP($A249,A:AL,16,FALSE)-50</f>
        <v>103</v>
      </c>
      <c r="P249" s="3">
        <v>135</v>
      </c>
      <c r="Q249" s="3">
        <f>VLOOKUP($A249,'SegEnds_NonXtal_BW#'!$A:$Z,12,FALSE)+VLOOKUP($A249,A:AL,16,FALSE)-50</f>
        <v>141</v>
      </c>
      <c r="R249" s="3">
        <f t="shared" si="151"/>
        <v>144</v>
      </c>
      <c r="S249" s="3">
        <v>144</v>
      </c>
      <c r="T249" s="103">
        <f t="shared" si="152"/>
        <v>151</v>
      </c>
      <c r="U249" s="9">
        <f>IF(ISERROR(VLOOKUP($A249,'SegEnds_NonXtal_BW#'!$A:$Z,15,FALSE)+VLOOKUP($A249,A:AL,22,FALSE)-50),"-",VLOOKUP($A249,'SegEnds_NonXtal_BW#'!$A:$Z,15,FALSE)+VLOOKUP($A249,A:AL,22,FALSE)-50)</f>
        <v>152</v>
      </c>
      <c r="V249" s="3">
        <v>164</v>
      </c>
      <c r="W249" s="3">
        <f>IF(ISERROR(VLOOKUP($A249,'SegEnds_NonXtal_BW#'!$A:$Z,16,FALSE)+VLOOKUP($A249,A:AL,22,FALSE)-50),"-",(VLOOKUP($A249,'SegEnds_NonXtal_BW#'!$A:$Z,16,FALSE)+VLOOKUP($A249,A:AL,22,FALSE)-50))</f>
        <v>178</v>
      </c>
      <c r="X249" s="3" t="str">
        <f>IF(ISERROR(VLOOKUP($A249,'SegEnds_NonXtal_BW#'!$A:$Z,17,FALSE)+VLOOKUP($A249,A:AL,25,FALSE)-50),"-",(VLOOKUP($A249,'SegEnds_NonXtal_BW#'!$A:$Z,17,FALSE)+VLOOKUP($A249,A:AL,25,FALSE)-50))</f>
        <v>-</v>
      </c>
      <c r="Y249" s="3" t="s">
        <v>23</v>
      </c>
      <c r="Z249" s="3" t="str">
        <f>IF(ISERROR(VLOOKUP($A249,'SegEnds_NonXtal_BW#'!$A:$Z,18,FALSE)+VLOOKUP($A249,A:AL,25,FALSE)-50),"-",(VLOOKUP($A249,'SegEnds_NonXtal_BW#'!$A:$Z,18,FALSE)+VLOOKUP($A249,A:AL,25,FALSE)-50))</f>
        <v>-</v>
      </c>
      <c r="AA249" s="3">
        <f>IF(ISERROR(VLOOKUP($A249,'SegEnds_NonXtal_BW#'!$A:$Z,19,FALSE)+VLOOKUP($A249,A:AL,28,FALSE)-50),"-",(VLOOKUP($A249,'SegEnds_NonXtal_BW#'!$A:$Z,19,FALSE)+VLOOKUP($A249,A:AL,28,FALSE)-50))</f>
        <v>202</v>
      </c>
      <c r="AB249" s="3">
        <v>220</v>
      </c>
      <c r="AC249" s="3">
        <f>IF(ISERROR((VLOOKUP($A249,'SegEnds_NonXtal_BW#'!$A:$Z,20,FALSE)+VLOOKUP($A249,A:AL,28,FALSE)-50)),"-",(VLOOKUP($A249,'SegEnds_NonXtal_BW#'!$A:$Z,20,FALSE)+VLOOKUP($A249,A:AL,28,FALSE)-50))</f>
        <v>242</v>
      </c>
      <c r="AD249" s="3">
        <f>IF(ISERROR(VLOOKUP($A249,'SegEnds_NonXtal_BW#'!$A:$Z,21,FALSE)+VLOOKUP($A249,A:AL,31,FALSE)-50),"-",(VLOOKUP($A249,'SegEnds_NonXtal_BW#'!$A:$Z,21,FALSE)+VLOOKUP($A249,A:AL,31,FALSE)-50))</f>
        <v>252</v>
      </c>
      <c r="AE249" s="3">
        <v>273</v>
      </c>
      <c r="AF249" s="3">
        <f>IF(ISERROR((VLOOKUP($A249,'SegEnds_NonXtal_BW#'!$A:$Z,22,FALSE)+VLOOKUP($A249,A:AL,31,FALSE)-50)),"-",(VLOOKUP($A249,'SegEnds_NonXtal_BW#'!$A:$Z,22,FALSE)+VLOOKUP($A249,A:AL,31,FALSE)-50))</f>
        <v>284</v>
      </c>
      <c r="AG249" s="3">
        <f>IF(ISERROR(VLOOKUP($A249,'SegEnds_NonXtal_BW#'!$A:$Z,23,FALSE)+VLOOKUP($A249,A:AL,34,FALSE)-50),"-",(VLOOKUP($A249,'SegEnds_NonXtal_BW#'!$A:$Z,23,FALSE)+VLOOKUP($A249,A:AL,34,FALSE)-50))</f>
        <v>289</v>
      </c>
      <c r="AH249" s="3">
        <v>308</v>
      </c>
      <c r="AI249" s="3">
        <f>IF(ISERROR((VLOOKUP($A249,'SegEnds_NonXtal_BW#'!$A:$Z,24,FALSE)+VLOOKUP($A249,A:AL,34,FALSE)-50)),"-",(VLOOKUP($A249,'SegEnds_NonXtal_BW#'!$A:$Z,24,FALSE)+VLOOKUP($A249,A:AL,34,FALSE)-50))</f>
        <v>314</v>
      </c>
      <c r="AJ249" s="3">
        <f>IF(ISERROR(VLOOKUP($A249,'SegEnds_NonXtal_BW#'!$A:$Z,25,FALSE)+VLOOKUP($A249,A:AL,37,FALSE)-50),"-",(VLOOKUP($A249,'SegEnds_NonXtal_BW#'!$A:$Z,25,FALSE)+VLOOKUP($A249,A:AL,37,FALSE)-50))</f>
        <v>315</v>
      </c>
      <c r="AK249" s="3">
        <v>318</v>
      </c>
      <c r="AL249" s="3">
        <f>IF(ISERROR((VLOOKUP($A249,'SegEnds_NonXtal_BW#'!$A:$Z,26,FALSE)+VLOOKUP($A249,A:AL,37,FALSE)-50)),"-",(VLOOKUP($A249,'SegEnds_NonXtal_BW#'!$A:$Z,26,FALSE)+VLOOKUP($A249,A:AL,37,FALSE)-50))</f>
        <v>328</v>
      </c>
      <c r="AM249" s="28" t="str">
        <f>VLOOKUP(A249,Classification!A:B,2,FALSE)</f>
        <v>T</v>
      </c>
      <c r="AN249" s="28" t="b">
        <f t="shared" si="135"/>
        <v>1</v>
      </c>
      <c r="AO249" s="3" t="str">
        <f>IF(ISERROR(MATCH(A249,'SegEnds_Xtal_Prot#'!B:B, 0)), "NoXtal", "Xtal")</f>
        <v>NoXtal</v>
      </c>
      <c r="AP249" s="3">
        <f t="shared" si="120"/>
        <v>1</v>
      </c>
      <c r="AQ249" s="3">
        <f t="shared" si="121"/>
        <v>1</v>
      </c>
      <c r="AR249" s="3" t="str">
        <f t="shared" si="122"/>
        <v>-</v>
      </c>
      <c r="AS249" s="3" t="str">
        <f t="shared" si="123"/>
        <v>-</v>
      </c>
      <c r="AT249" s="3">
        <f t="shared" si="124"/>
        <v>3</v>
      </c>
      <c r="AU249" s="3">
        <f t="shared" si="125"/>
        <v>1</v>
      </c>
      <c r="AV249" s="3" t="str">
        <f t="shared" si="126"/>
        <v>-</v>
      </c>
      <c r="AW249" s="3" t="str">
        <f t="shared" si="127"/>
        <v>-</v>
      </c>
      <c r="AX249" s="3">
        <f t="shared" si="128"/>
        <v>10</v>
      </c>
      <c r="AY249" s="3">
        <f t="shared" si="129"/>
        <v>5</v>
      </c>
      <c r="AZ249" s="3">
        <f t="shared" si="130"/>
        <v>1</v>
      </c>
      <c r="BA249" s="3">
        <f>IF(ISERROR(LEN(VLOOKUP(A249,Seqs!A:E,2,FALSE))-AL249),"-",LEN(VLOOKUP(A249,Seqs!A:E,2,FALSE))-AL249)</f>
        <v>10</v>
      </c>
      <c r="BB249" s="16">
        <f t="shared" si="131"/>
        <v>31</v>
      </c>
      <c r="BC249" s="9">
        <f t="shared" si="132"/>
        <v>20</v>
      </c>
      <c r="BD249" s="3">
        <f t="shared" si="133"/>
        <v>31</v>
      </c>
      <c r="BE249" s="3">
        <f t="shared" si="134"/>
        <v>53</v>
      </c>
      <c r="BF249" s="3">
        <f t="shared" si="147"/>
        <v>35</v>
      </c>
    </row>
    <row r="250" spans="1:58" s="3" customFormat="1" x14ac:dyDescent="0.2">
      <c r="A250" s="3" t="s">
        <v>466</v>
      </c>
      <c r="B250" s="3" t="str">
        <f>LOWER(VLOOKUP(A250,Xtal_Templ!A:B,2,FALSE))</f>
        <v>cxcr4_human</v>
      </c>
      <c r="C250" s="3">
        <f>VLOOKUP($A250,'SegEnds_NonXtal_BW#'!$A:$Z,3,FALSE)+D250-50</f>
        <v>18</v>
      </c>
      <c r="D250" s="3">
        <v>36</v>
      </c>
      <c r="E250" s="3">
        <f t="shared" si="148"/>
        <v>48</v>
      </c>
      <c r="F250" s="3">
        <f t="shared" si="149"/>
        <v>49</v>
      </c>
      <c r="G250" s="3">
        <v>51</v>
      </c>
      <c r="H250" s="3">
        <f t="shared" si="150"/>
        <v>52</v>
      </c>
      <c r="I250" s="3">
        <f t="shared" si="150"/>
        <v>53</v>
      </c>
      <c r="J250" s="3">
        <v>67</v>
      </c>
      <c r="K250" s="3">
        <f>VLOOKUP($A250,'SegEnds_NonXtal_BW#'!$A:$Z,8,FALSE)+VLOOKUP($A250,A:AL,10,FALSE)-50</f>
        <v>83</v>
      </c>
      <c r="L250" s="3" t="str">
        <f>IF(ISERROR(VLOOKUP($A250,'SegEnds_NonXtal_BW#'!$A:$Z,9,FALSE)+VLOOKUP($A250,A:AL,13,FALSE)-50),"-",(VLOOKUP($A250,'SegEnds_NonXtal_BW#'!$A:$Z,9,FALSE)+VLOOKUP($A250,A:AL,13,FALSE)-50))</f>
        <v>-</v>
      </c>
      <c r="M250" s="3" t="s">
        <v>23</v>
      </c>
      <c r="N250" s="3" t="str">
        <f>IF(ISERROR(VLOOKUP($A250,'SegEnds_NonXtal_BW#'!$A:$Z,10,FALSE)+VLOOKUP($A250,A:AL,13,FALSE)-50),"-",(VLOOKUP($A250,'SegEnds_NonXtal_BW#'!$A:$Z,10,FALSE)+VLOOKUP($A250,A:AL,13,FALSE)-50))</f>
        <v>-</v>
      </c>
      <c r="O250" s="3">
        <f>VLOOKUP($A250,'SegEnds_NonXtal_BW#'!$A:$Z,11,FALSE)+VLOOKUP($A250,A:AL,16,FALSE)-50</f>
        <v>87</v>
      </c>
      <c r="P250" s="3">
        <v>119</v>
      </c>
      <c r="Q250" s="3">
        <f>VLOOKUP($A250,'SegEnds_NonXtal_BW#'!$A:$Z,12,FALSE)+VLOOKUP($A250,A:AL,16,FALSE)-50</f>
        <v>125</v>
      </c>
      <c r="R250" s="3">
        <f t="shared" si="151"/>
        <v>128</v>
      </c>
      <c r="S250" s="3">
        <v>128</v>
      </c>
      <c r="T250" s="103">
        <f t="shared" si="152"/>
        <v>135</v>
      </c>
      <c r="U250" s="9">
        <f>IF(ISERROR(VLOOKUP($A250,'SegEnds_NonXtal_BW#'!$A:$Z,15,FALSE)+VLOOKUP($A250,A:AL,22,FALSE)-50),"-",VLOOKUP($A250,'SegEnds_NonXtal_BW#'!$A:$Z,15,FALSE)+VLOOKUP($A250,A:AL,22,FALSE)-50)</f>
        <v>136</v>
      </c>
      <c r="V250" s="3">
        <v>148</v>
      </c>
      <c r="W250" s="3">
        <f>IF(ISERROR(VLOOKUP($A250,'SegEnds_NonXtal_BW#'!$A:$Z,16,FALSE)+VLOOKUP($A250,A:AL,22,FALSE)-50),"-",(VLOOKUP($A250,'SegEnds_NonXtal_BW#'!$A:$Z,16,FALSE)+VLOOKUP($A250,A:AL,22,FALSE)-50))</f>
        <v>162</v>
      </c>
      <c r="X250" s="3" t="str">
        <f>IF(ISERROR(VLOOKUP($A250,'SegEnds_NonXtal_BW#'!$A:$Z,17,FALSE)+VLOOKUP($A250,A:AL,25,FALSE)-50),"-",(VLOOKUP($A250,'SegEnds_NonXtal_BW#'!$A:$Z,17,FALSE)+VLOOKUP($A250,A:AL,25,FALSE)-50))</f>
        <v>-</v>
      </c>
      <c r="Y250" s="3" t="s">
        <v>23</v>
      </c>
      <c r="Z250" s="3" t="str">
        <f>IF(ISERROR(VLOOKUP($A250,'SegEnds_NonXtal_BW#'!$A:$Z,18,FALSE)+VLOOKUP($A250,A:AL,25,FALSE)-50),"-",(VLOOKUP($A250,'SegEnds_NonXtal_BW#'!$A:$Z,18,FALSE)+VLOOKUP($A250,A:AL,25,FALSE)-50))</f>
        <v>-</v>
      </c>
      <c r="AA250" s="3">
        <f>IF(ISERROR(VLOOKUP($A250,'SegEnds_NonXtal_BW#'!$A:$Z,19,FALSE)+VLOOKUP($A250,A:AL,28,FALSE)-50),"-",(VLOOKUP($A250,'SegEnds_NonXtal_BW#'!$A:$Z,19,FALSE)+VLOOKUP($A250,A:AL,28,FALSE)-50))</f>
        <v>187</v>
      </c>
      <c r="AB250" s="3">
        <v>205</v>
      </c>
      <c r="AC250" s="3">
        <f>IF(ISERROR((VLOOKUP($A250,'SegEnds_NonXtal_BW#'!$A:$Z,20,FALSE)+VLOOKUP($A250,A:AL,28,FALSE)-50)),"-",(VLOOKUP($A250,'SegEnds_NonXtal_BW#'!$A:$Z,20,FALSE)+VLOOKUP($A250,A:AL,28,FALSE)-50))</f>
        <v>227</v>
      </c>
      <c r="AD250" s="3">
        <f>IF(ISERROR(VLOOKUP($A250,'SegEnds_NonXtal_BW#'!$A:$Z,21,FALSE)+VLOOKUP($A250,A:AL,31,FALSE)-50),"-",(VLOOKUP($A250,'SegEnds_NonXtal_BW#'!$A:$Z,21,FALSE)+VLOOKUP($A250,A:AL,31,FALSE)-50))</f>
        <v>237</v>
      </c>
      <c r="AE250" s="3">
        <v>258</v>
      </c>
      <c r="AF250" s="3">
        <f>IF(ISERROR((VLOOKUP($A250,'SegEnds_NonXtal_BW#'!$A:$Z,22,FALSE)+VLOOKUP($A250,A:AL,31,FALSE)-50)),"-",(VLOOKUP($A250,'SegEnds_NonXtal_BW#'!$A:$Z,22,FALSE)+VLOOKUP($A250,A:AL,31,FALSE)-50))</f>
        <v>269</v>
      </c>
      <c r="AG250" s="3">
        <f>IF(ISERROR(VLOOKUP($A250,'SegEnds_NonXtal_BW#'!$A:$Z,23,FALSE)+VLOOKUP($A250,A:AL,34,FALSE)-50),"-",(VLOOKUP($A250,'SegEnds_NonXtal_BW#'!$A:$Z,23,FALSE)+VLOOKUP($A250,A:AL,34,FALSE)-50))</f>
        <v>274</v>
      </c>
      <c r="AH250" s="3">
        <v>293</v>
      </c>
      <c r="AI250" s="3">
        <f>IF(ISERROR((VLOOKUP($A250,'SegEnds_NonXtal_BW#'!$A:$Z,24,FALSE)+VLOOKUP($A250,A:AL,34,FALSE)-50)),"-",(VLOOKUP($A250,'SegEnds_NonXtal_BW#'!$A:$Z,24,FALSE)+VLOOKUP($A250,A:AL,34,FALSE)-50))</f>
        <v>299</v>
      </c>
      <c r="AJ250" s="3">
        <f>IF(ISERROR(VLOOKUP($A250,'SegEnds_NonXtal_BW#'!$A:$Z,25,FALSE)+VLOOKUP($A250,A:AL,37,FALSE)-50),"-",(VLOOKUP($A250,'SegEnds_NonXtal_BW#'!$A:$Z,25,FALSE)+VLOOKUP($A250,A:AL,37,FALSE)-50))</f>
        <v>300</v>
      </c>
      <c r="AK250" s="3">
        <v>303</v>
      </c>
      <c r="AL250" s="3">
        <f>IF(ISERROR((VLOOKUP($A250,'SegEnds_NonXtal_BW#'!$A:$Z,26,FALSE)+VLOOKUP($A250,A:AL,37,FALSE)-50)),"-",(VLOOKUP($A250,'SegEnds_NonXtal_BW#'!$A:$Z,26,FALSE)+VLOOKUP($A250,A:AL,37,FALSE)-50))</f>
        <v>313</v>
      </c>
      <c r="AM250" s="28" t="str">
        <f>VLOOKUP(A250,Classification!A:B,2,FALSE)</f>
        <v>T</v>
      </c>
      <c r="AN250" s="28" t="b">
        <f t="shared" si="135"/>
        <v>1</v>
      </c>
      <c r="AO250" s="3" t="str">
        <f>IF(ISERROR(MATCH(A250,'SegEnds_Xtal_Prot#'!B:B, 0)), "NoXtal", "Xtal")</f>
        <v>NoXtal</v>
      </c>
      <c r="AP250" s="3">
        <f t="shared" si="120"/>
        <v>1</v>
      </c>
      <c r="AQ250" s="3">
        <f t="shared" si="121"/>
        <v>1</v>
      </c>
      <c r="AR250" s="3" t="str">
        <f t="shared" si="122"/>
        <v>-</v>
      </c>
      <c r="AS250" s="3" t="str">
        <f t="shared" si="123"/>
        <v>-</v>
      </c>
      <c r="AT250" s="3">
        <f t="shared" si="124"/>
        <v>3</v>
      </c>
      <c r="AU250" s="3">
        <f t="shared" si="125"/>
        <v>1</v>
      </c>
      <c r="AV250" s="3" t="str">
        <f t="shared" si="126"/>
        <v>-</v>
      </c>
      <c r="AW250" s="3" t="str">
        <f t="shared" si="127"/>
        <v>-</v>
      </c>
      <c r="AX250" s="3">
        <f t="shared" si="128"/>
        <v>10</v>
      </c>
      <c r="AY250" s="3">
        <f t="shared" si="129"/>
        <v>5</v>
      </c>
      <c r="AZ250" s="3">
        <f t="shared" si="130"/>
        <v>1</v>
      </c>
      <c r="BA250" s="3">
        <f>IF(ISERROR(LEN(VLOOKUP(A250,Seqs!A:E,2,FALSE))-AL250),"-",LEN(VLOOKUP(A250,Seqs!A:E,2,FALSE))-AL250)</f>
        <v>10</v>
      </c>
      <c r="BB250" s="16">
        <f t="shared" si="131"/>
        <v>31</v>
      </c>
      <c r="BC250" s="9">
        <f t="shared" si="132"/>
        <v>20</v>
      </c>
      <c r="BD250" s="3">
        <f t="shared" si="133"/>
        <v>31</v>
      </c>
      <c r="BE250" s="3">
        <f t="shared" si="134"/>
        <v>53</v>
      </c>
      <c r="BF250" s="3">
        <f t="shared" si="147"/>
        <v>35</v>
      </c>
    </row>
    <row r="251" spans="1:58" s="3" customFormat="1" x14ac:dyDescent="0.2">
      <c r="A251" s="3" t="s">
        <v>467</v>
      </c>
      <c r="B251" s="3" t="str">
        <f>LOWER(VLOOKUP(A251,Xtal_Templ!A:B,2,FALSE))</f>
        <v>hrh1_human</v>
      </c>
      <c r="C251" s="3">
        <f>VLOOKUP($A251,'SegEnds_NonXtal_BW#'!$A:$Z,3,FALSE)+D251-50</f>
        <v>6</v>
      </c>
      <c r="D251" s="3">
        <v>24</v>
      </c>
      <c r="E251" s="3">
        <f t="shared" si="148"/>
        <v>36</v>
      </c>
      <c r="F251" s="3">
        <f t="shared" si="149"/>
        <v>37</v>
      </c>
      <c r="G251" s="3">
        <v>39</v>
      </c>
      <c r="H251" s="3">
        <f t="shared" si="150"/>
        <v>40</v>
      </c>
      <c r="I251" s="3">
        <f t="shared" si="150"/>
        <v>41</v>
      </c>
      <c r="J251" s="3">
        <v>55</v>
      </c>
      <c r="K251" s="3">
        <f>VLOOKUP($A251,'SegEnds_NonXtal_BW#'!$A:$Z,8,FALSE)+VLOOKUP($A251,A:AL,10,FALSE)-50</f>
        <v>72</v>
      </c>
      <c r="L251" s="3" t="str">
        <f>IF(ISERROR(VLOOKUP($A251,'SegEnds_NonXtal_BW#'!$A:$Z,9,FALSE)+VLOOKUP($A251,A:AL,13,FALSE)-50),"-",(VLOOKUP($A251,'SegEnds_NonXtal_BW#'!$A:$Z,9,FALSE)+VLOOKUP($A251,A:AL,13,FALSE)-50))</f>
        <v>-</v>
      </c>
      <c r="M251" s="3" t="s">
        <v>23</v>
      </c>
      <c r="N251" s="3" t="str">
        <f>IF(ISERROR(VLOOKUP($A251,'SegEnds_NonXtal_BW#'!$A:$Z,10,FALSE)+VLOOKUP($A251,A:AL,13,FALSE)-50),"-",(VLOOKUP($A251,'SegEnds_NonXtal_BW#'!$A:$Z,10,FALSE)+VLOOKUP($A251,A:AL,13,FALSE)-50))</f>
        <v>-</v>
      </c>
      <c r="O251" s="3">
        <f>VLOOKUP($A251,'SegEnds_NonXtal_BW#'!$A:$Z,11,FALSE)+VLOOKUP($A251,A:AL,16,FALSE)-50</f>
        <v>78</v>
      </c>
      <c r="P251" s="3">
        <v>107</v>
      </c>
      <c r="Q251" s="3">
        <f>VLOOKUP($A251,'SegEnds_NonXtal_BW#'!$A:$Z,12,FALSE)+VLOOKUP($A251,A:AL,16,FALSE)-50</f>
        <v>113</v>
      </c>
      <c r="R251" s="3">
        <f t="shared" si="151"/>
        <v>116</v>
      </c>
      <c r="S251" s="3">
        <v>116</v>
      </c>
      <c r="T251" s="103">
        <f t="shared" si="152"/>
        <v>123</v>
      </c>
      <c r="U251" s="9">
        <f>IF(ISERROR(VLOOKUP($A251,'SegEnds_NonXtal_BW#'!$A:$Z,15,FALSE)+VLOOKUP($A251,A:AL,22,FALSE)-50),"-",VLOOKUP($A251,'SegEnds_NonXtal_BW#'!$A:$Z,15,FALSE)+VLOOKUP($A251,A:AL,22,FALSE)-50)</f>
        <v>124</v>
      </c>
      <c r="V251" s="3">
        <v>136</v>
      </c>
      <c r="W251" s="3">
        <f>IF(ISERROR(VLOOKUP($A251,'SegEnds_NonXtal_BW#'!$A:$Z,16,FALSE)+VLOOKUP($A251,A:AL,22,FALSE)-50),"-",(VLOOKUP($A251,'SegEnds_NonXtal_BW#'!$A:$Z,16,FALSE)+VLOOKUP($A251,A:AL,22,FALSE)-50))</f>
        <v>148</v>
      </c>
      <c r="X251" s="3" t="str">
        <f>IF(ISERROR(VLOOKUP($A251,'SegEnds_NonXtal_BW#'!$A:$Z,17,FALSE)+VLOOKUP($A251,A:AL,25,FALSE)-50),"-",(VLOOKUP($A251,'SegEnds_NonXtal_BW#'!$A:$Z,17,FALSE)+VLOOKUP($A251,A:AL,25,FALSE)-50))</f>
        <v>-</v>
      </c>
      <c r="Y251" s="3" t="s">
        <v>23</v>
      </c>
      <c r="Z251" s="3" t="str">
        <f>IF(ISERROR(VLOOKUP($A251,'SegEnds_NonXtal_BW#'!$A:$Z,18,FALSE)+VLOOKUP($A251,A:AL,25,FALSE)-50),"-",(VLOOKUP($A251,'SegEnds_NonXtal_BW#'!$A:$Z,18,FALSE)+VLOOKUP($A251,A:AL,25,FALSE)-50))</f>
        <v>-</v>
      </c>
      <c r="AA251" s="3">
        <f>IF(ISERROR(VLOOKUP($A251,'SegEnds_NonXtal_BW#'!$A:$Z,19,FALSE)+VLOOKUP($A251,A:AL,28,FALSE)-50),"-",(VLOOKUP($A251,'SegEnds_NonXtal_BW#'!$A:$Z,19,FALSE)+VLOOKUP($A251,A:AL,28,FALSE)-50))</f>
        <v>174</v>
      </c>
      <c r="AB251" s="3">
        <v>192</v>
      </c>
      <c r="AC251" s="3">
        <f>IF(ISERROR((VLOOKUP($A251,'SegEnds_NonXtal_BW#'!$A:$Z,20,FALSE)+VLOOKUP($A251,A:AL,28,FALSE)-50)),"-",(VLOOKUP($A251,'SegEnds_NonXtal_BW#'!$A:$Z,20,FALSE)+VLOOKUP($A251,A:AL,28,FALSE)-50))</f>
        <v>214</v>
      </c>
      <c r="AD251" s="3">
        <f>IF(ISERROR(VLOOKUP($A251,'SegEnds_NonXtal_BW#'!$A:$Z,21,FALSE)+VLOOKUP($A251,A:AL,31,FALSE)-50),"-",(VLOOKUP($A251,'SegEnds_NonXtal_BW#'!$A:$Z,21,FALSE)+VLOOKUP($A251,A:AL,31,FALSE)-50))</f>
        <v>224</v>
      </c>
      <c r="AE251" s="3">
        <v>245</v>
      </c>
      <c r="AF251" s="3">
        <f>IF(ISERROR((VLOOKUP($A251,'SegEnds_NonXtal_BW#'!$A:$Z,22,FALSE)+VLOOKUP($A251,A:AL,31,FALSE)-50)),"-",(VLOOKUP($A251,'SegEnds_NonXtal_BW#'!$A:$Z,22,FALSE)+VLOOKUP($A251,A:AL,31,FALSE)-50))</f>
        <v>256</v>
      </c>
      <c r="AG251" s="3">
        <f>IF(ISERROR(VLOOKUP($A251,'SegEnds_NonXtal_BW#'!$A:$Z,23,FALSE)+VLOOKUP($A251,A:AL,34,FALSE)-50),"-",(VLOOKUP($A251,'SegEnds_NonXtal_BW#'!$A:$Z,23,FALSE)+VLOOKUP($A251,A:AL,34,FALSE)-50))</f>
        <v>261</v>
      </c>
      <c r="AH251" s="3">
        <v>280</v>
      </c>
      <c r="AI251" s="3">
        <f>IF(ISERROR((VLOOKUP($A251,'SegEnds_NonXtal_BW#'!$A:$Z,24,FALSE)+VLOOKUP($A251,A:AL,34,FALSE)-50)),"-",(VLOOKUP($A251,'SegEnds_NonXtal_BW#'!$A:$Z,24,FALSE)+VLOOKUP($A251,A:AL,34,FALSE)-50))</f>
        <v>286</v>
      </c>
      <c r="AJ251" s="3">
        <f>IF(ISERROR(VLOOKUP($A251,'SegEnds_NonXtal_BW#'!$A:$Z,25,FALSE)+VLOOKUP($A251,A:AL,37,FALSE)-50),"-",(VLOOKUP($A251,'SegEnds_NonXtal_BW#'!$A:$Z,25,FALSE)+VLOOKUP($A251,A:AL,37,FALSE)-50))</f>
        <v>287</v>
      </c>
      <c r="AK251" s="3">
        <v>290</v>
      </c>
      <c r="AL251" s="3">
        <f>IF(ISERROR((VLOOKUP($A251,'SegEnds_NonXtal_BW#'!$A:$Z,26,FALSE)+VLOOKUP($A251,A:AL,37,FALSE)-50)),"-",(VLOOKUP($A251,'SegEnds_NonXtal_BW#'!$A:$Z,26,FALSE)+VLOOKUP($A251,A:AL,37,FALSE)-50))</f>
        <v>300</v>
      </c>
      <c r="AM251" s="28" t="str">
        <f>VLOOKUP(A251,Classification!A:B,2,FALSE)</f>
        <v>T</v>
      </c>
      <c r="AN251" s="28" t="b">
        <f t="shared" si="135"/>
        <v>1</v>
      </c>
      <c r="AO251" s="3" t="str">
        <f>IF(ISERROR(MATCH(A251,'SegEnds_Xtal_Prot#'!B:B, 0)), "NoXtal", "Xtal")</f>
        <v>NoXtal</v>
      </c>
      <c r="AP251" s="3">
        <f t="shared" si="120"/>
        <v>1</v>
      </c>
      <c r="AQ251" s="3">
        <f t="shared" si="121"/>
        <v>1</v>
      </c>
      <c r="AR251" s="3" t="str">
        <f t="shared" si="122"/>
        <v>-</v>
      </c>
      <c r="AS251" s="3" t="str">
        <f t="shared" si="123"/>
        <v>-</v>
      </c>
      <c r="AT251" s="3">
        <f t="shared" si="124"/>
        <v>3</v>
      </c>
      <c r="AU251" s="3">
        <f t="shared" si="125"/>
        <v>1</v>
      </c>
      <c r="AV251" s="3" t="str">
        <f t="shared" si="126"/>
        <v>-</v>
      </c>
      <c r="AW251" s="3" t="str">
        <f t="shared" si="127"/>
        <v>-</v>
      </c>
      <c r="AX251" s="3">
        <f t="shared" si="128"/>
        <v>10</v>
      </c>
      <c r="AY251" s="3">
        <f t="shared" si="129"/>
        <v>5</v>
      </c>
      <c r="AZ251" s="3">
        <f t="shared" si="130"/>
        <v>1</v>
      </c>
      <c r="BA251" s="3">
        <f>IF(ISERROR(LEN(VLOOKUP(A251,Seqs!A:E,2,FALSE))-AL251),"-",LEN(VLOOKUP(A251,Seqs!A:E,2,FALSE))-AL251)</f>
        <v>7</v>
      </c>
      <c r="BB251" s="16">
        <f t="shared" si="131"/>
        <v>31</v>
      </c>
      <c r="BC251" s="9">
        <f t="shared" si="132"/>
        <v>20</v>
      </c>
      <c r="BD251" s="3">
        <f t="shared" si="133"/>
        <v>31</v>
      </c>
      <c r="BE251" s="3">
        <f t="shared" si="134"/>
        <v>53</v>
      </c>
      <c r="BF251" s="3">
        <f t="shared" si="147"/>
        <v>35</v>
      </c>
    </row>
    <row r="252" spans="1:58" s="3" customFormat="1" x14ac:dyDescent="0.2">
      <c r="A252" s="3" t="s">
        <v>468</v>
      </c>
      <c r="B252" s="3" t="str">
        <f>LOWER(VLOOKUP(A252,Xtal_Templ!A:B,2,FALSE))</f>
        <v>hrh1_human</v>
      </c>
      <c r="C252" s="3">
        <f>VLOOKUP($A252,'SegEnds_NonXtal_BW#'!$A:$Z,3,FALSE)+D252-50</f>
        <v>6</v>
      </c>
      <c r="D252" s="3">
        <v>24</v>
      </c>
      <c r="E252" s="3">
        <f t="shared" si="148"/>
        <v>36</v>
      </c>
      <c r="F252" s="3">
        <f t="shared" si="149"/>
        <v>37</v>
      </c>
      <c r="G252" s="3">
        <v>39</v>
      </c>
      <c r="H252" s="3">
        <f t="shared" si="150"/>
        <v>40</v>
      </c>
      <c r="I252" s="3">
        <f t="shared" si="150"/>
        <v>41</v>
      </c>
      <c r="J252" s="3">
        <v>55</v>
      </c>
      <c r="K252" s="3">
        <f>VLOOKUP($A252,'SegEnds_NonXtal_BW#'!$A:$Z,8,FALSE)+VLOOKUP($A252,A:AL,10,FALSE)-50</f>
        <v>72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78</v>
      </c>
      <c r="P252" s="3">
        <v>107</v>
      </c>
      <c r="Q252" s="3">
        <f>VLOOKUP($A252,'SegEnds_NonXtal_BW#'!$A:$Z,12,FALSE)+VLOOKUP($A252,A:AL,16,FALSE)-50</f>
        <v>113</v>
      </c>
      <c r="R252" s="3">
        <f t="shared" si="151"/>
        <v>116</v>
      </c>
      <c r="S252" s="3">
        <v>116</v>
      </c>
      <c r="T252" s="103">
        <f t="shared" si="152"/>
        <v>123</v>
      </c>
      <c r="U252" s="9">
        <f>IF(ISERROR(VLOOKUP($A252,'SegEnds_NonXtal_BW#'!$A:$Z,15,FALSE)+VLOOKUP($A252,A:AL,22,FALSE)-50),"-",VLOOKUP($A252,'SegEnds_NonXtal_BW#'!$A:$Z,15,FALSE)+VLOOKUP($A252,A:AL,22,FALSE)-50)</f>
        <v>124</v>
      </c>
      <c r="V252" s="3">
        <v>136</v>
      </c>
      <c r="W252" s="3">
        <f>IF(ISERROR(VLOOKUP($A252,'SegEnds_NonXtal_BW#'!$A:$Z,16,FALSE)+VLOOKUP($A252,A:AL,22,FALSE)-50),"-",(VLOOKUP($A252,'SegEnds_NonXtal_BW#'!$A:$Z,16,FALSE)+VLOOKUP($A252,A:AL,22,FALSE)-50))</f>
        <v>148</v>
      </c>
      <c r="X252" s="3" t="str">
        <f>IF(ISERROR(VLOOKUP($A252,'SegEnds_NonXtal_BW#'!$A:$Z,17,FALSE)+VLOOKUP($A252,A:AL,25,FALSE)-50),"-",(VLOOKUP($A252,'SegEnds_NonXtal_BW#'!$A:$Z,17,FALSE)+VLOOKUP($A252,A:AL,25,FALSE)-50))</f>
        <v>-</v>
      </c>
      <c r="Y252" s="3" t="s">
        <v>23</v>
      </c>
      <c r="Z252" s="3" t="str">
        <f>IF(ISERROR(VLOOKUP($A252,'SegEnds_NonXtal_BW#'!$A:$Z,18,FALSE)+VLOOKUP($A252,A:AL,25,FALSE)-50),"-",(VLOOKUP($A252,'SegEnds_NonXtal_BW#'!$A:$Z,18,FALSE)+VLOOKUP($A252,A:AL,25,FALSE)-50))</f>
        <v>-</v>
      </c>
      <c r="AA252" s="3">
        <f>IF(ISERROR(VLOOKUP($A252,'SegEnds_NonXtal_BW#'!$A:$Z,19,FALSE)+VLOOKUP($A252,A:AL,28,FALSE)-50),"-",(VLOOKUP($A252,'SegEnds_NonXtal_BW#'!$A:$Z,19,FALSE)+VLOOKUP($A252,A:AL,28,FALSE)-50))</f>
        <v>174</v>
      </c>
      <c r="AB252" s="3">
        <v>192</v>
      </c>
      <c r="AC252" s="3">
        <f>IF(ISERROR((VLOOKUP($A252,'SegEnds_NonXtal_BW#'!$A:$Z,20,FALSE)+VLOOKUP($A252,A:AL,28,FALSE)-50)),"-",(VLOOKUP($A252,'SegEnds_NonXtal_BW#'!$A:$Z,20,FALSE)+VLOOKUP($A252,A:AL,28,FALSE)-50))</f>
        <v>214</v>
      </c>
      <c r="AD252" s="3">
        <f>IF(ISERROR(VLOOKUP($A252,'SegEnds_NonXtal_BW#'!$A:$Z,21,FALSE)+VLOOKUP($A252,A:AL,31,FALSE)-50),"-",(VLOOKUP($A252,'SegEnds_NonXtal_BW#'!$A:$Z,21,FALSE)+VLOOKUP($A252,A:AL,31,FALSE)-50))</f>
        <v>224</v>
      </c>
      <c r="AE252" s="3">
        <v>245</v>
      </c>
      <c r="AF252" s="3">
        <f>IF(ISERROR((VLOOKUP($A252,'SegEnds_NonXtal_BW#'!$A:$Z,22,FALSE)+VLOOKUP($A252,A:AL,31,FALSE)-50)),"-",(VLOOKUP($A252,'SegEnds_NonXtal_BW#'!$A:$Z,22,FALSE)+VLOOKUP($A252,A:AL,31,FALSE)-50))</f>
        <v>256</v>
      </c>
      <c r="AG252" s="3">
        <f>IF(ISERROR(VLOOKUP($A252,'SegEnds_NonXtal_BW#'!$A:$Z,23,FALSE)+VLOOKUP($A252,A:AL,34,FALSE)-50),"-",(VLOOKUP($A252,'SegEnds_NonXtal_BW#'!$A:$Z,23,FALSE)+VLOOKUP($A252,A:AL,34,FALSE)-50))</f>
        <v>262</v>
      </c>
      <c r="AH252" s="3">
        <v>281</v>
      </c>
      <c r="AI252" s="3">
        <f>IF(ISERROR((VLOOKUP($A252,'SegEnds_NonXtal_BW#'!$A:$Z,24,FALSE)+VLOOKUP($A252,A:AL,34,FALSE)-50)),"-",(VLOOKUP($A252,'SegEnds_NonXtal_BW#'!$A:$Z,24,FALSE)+VLOOKUP($A252,A:AL,34,FALSE)-50))</f>
        <v>287</v>
      </c>
      <c r="AJ252" s="3">
        <f>IF(ISERROR(VLOOKUP($A252,'SegEnds_NonXtal_BW#'!$A:$Z,25,FALSE)+VLOOKUP($A252,A:AL,37,FALSE)-50),"-",(VLOOKUP($A252,'SegEnds_NonXtal_BW#'!$A:$Z,25,FALSE)+VLOOKUP($A252,A:AL,37,FALSE)-50))</f>
        <v>288</v>
      </c>
      <c r="AK252" s="3">
        <v>291</v>
      </c>
      <c r="AL252" s="3">
        <f>IF(ISERROR((VLOOKUP($A252,'SegEnds_NonXtal_BW#'!$A:$Z,26,FALSE)+VLOOKUP($A252,A:AL,37,FALSE)-50)),"-",(VLOOKUP($A252,'SegEnds_NonXtal_BW#'!$A:$Z,26,FALSE)+VLOOKUP($A252,A:AL,37,FALSE)-50))</f>
        <v>301</v>
      </c>
      <c r="AM252" s="28" t="str">
        <f>VLOOKUP(A252,Classification!A:B,2,FALSE)</f>
        <v>T</v>
      </c>
      <c r="AN252" s="28" t="b">
        <f t="shared" si="135"/>
        <v>1</v>
      </c>
      <c r="AO252" s="3" t="str">
        <f>IF(ISERROR(MATCH(A252,'SegEnds_Xtal_Prot#'!B:B, 0)), "NoXtal", "Xtal")</f>
        <v>NoXtal</v>
      </c>
      <c r="AP252" s="3">
        <f t="shared" si="120"/>
        <v>1</v>
      </c>
      <c r="AQ252" s="3">
        <f t="shared" si="121"/>
        <v>1</v>
      </c>
      <c r="AR252" s="3" t="str">
        <f t="shared" si="122"/>
        <v>-</v>
      </c>
      <c r="AS252" s="3" t="str">
        <f t="shared" si="123"/>
        <v>-</v>
      </c>
      <c r="AT252" s="3">
        <f t="shared" si="124"/>
        <v>3</v>
      </c>
      <c r="AU252" s="3">
        <f t="shared" si="125"/>
        <v>1</v>
      </c>
      <c r="AV252" s="3" t="str">
        <f t="shared" si="126"/>
        <v>-</v>
      </c>
      <c r="AW252" s="3" t="str">
        <f t="shared" si="127"/>
        <v>-</v>
      </c>
      <c r="AX252" s="3">
        <f t="shared" si="128"/>
        <v>10</v>
      </c>
      <c r="AY252" s="3">
        <f t="shared" si="129"/>
        <v>6</v>
      </c>
      <c r="AZ252" s="3">
        <f t="shared" si="130"/>
        <v>1</v>
      </c>
      <c r="BA252" s="3">
        <f>IF(ISERROR(LEN(VLOOKUP(A252,Seqs!A:E,2,FALSE))-AL252),"-",LEN(VLOOKUP(A252,Seqs!A:E,2,FALSE))-AL252)</f>
        <v>13</v>
      </c>
      <c r="BB252" s="16">
        <f t="shared" si="131"/>
        <v>31</v>
      </c>
      <c r="BC252" s="9">
        <f t="shared" si="132"/>
        <v>20</v>
      </c>
      <c r="BD252" s="3">
        <f t="shared" si="133"/>
        <v>31</v>
      </c>
      <c r="BE252" s="3">
        <f t="shared" si="134"/>
        <v>53</v>
      </c>
      <c r="BF252" s="3">
        <f t="shared" si="147"/>
        <v>36</v>
      </c>
    </row>
    <row r="253" spans="1:58" s="3" customFormat="1" x14ac:dyDescent="0.2">
      <c r="A253" s="3" t="s">
        <v>469</v>
      </c>
      <c r="B253" s="3" t="str">
        <f>LOWER(VLOOKUP(A253,Xtal_Templ!A:B,2,FALSE))</f>
        <v>agtr1_human</v>
      </c>
      <c r="C253" s="3">
        <f>VLOOKUP($A253,'SegEnds_NonXtal_BW#'!$A:$Z,3,FALSE)+D253-50</f>
        <v>6</v>
      </c>
      <c r="D253" s="3">
        <v>24</v>
      </c>
      <c r="E253" s="3">
        <f t="shared" si="148"/>
        <v>36</v>
      </c>
      <c r="F253" s="3">
        <f t="shared" si="149"/>
        <v>37</v>
      </c>
      <c r="G253" s="3">
        <v>39</v>
      </c>
      <c r="H253" s="3">
        <f t="shared" si="150"/>
        <v>40</v>
      </c>
      <c r="I253" s="3">
        <f t="shared" si="150"/>
        <v>41</v>
      </c>
      <c r="J253" s="3">
        <v>55</v>
      </c>
      <c r="K253" s="3">
        <f>VLOOKUP($A253,'SegEnds_NonXtal_BW#'!$A:$Z,8,FALSE)+VLOOKUP($A253,A:AL,10,FALSE)-50</f>
        <v>71</v>
      </c>
      <c r="L253" s="3" t="str">
        <f>IF(ISERROR(VLOOKUP($A253,'SegEnds_NonXtal_BW#'!$A:$Z,9,FALSE)+VLOOKUP($A253,A:AL,13,FALSE)-50),"-",(VLOOKUP($A253,'SegEnds_NonXtal_BW#'!$A:$Z,9,FALSE)+VLOOKUP($A253,A:AL,13,FALSE)-50))</f>
        <v>-</v>
      </c>
      <c r="M253" s="3" t="s">
        <v>23</v>
      </c>
      <c r="N253" s="3" t="str">
        <f>IF(ISERROR(VLOOKUP($A253,'SegEnds_NonXtal_BW#'!$A:$Z,10,FALSE)+VLOOKUP($A253,A:AL,13,FALSE)-50),"-",(VLOOKUP($A253,'SegEnds_NonXtal_BW#'!$A:$Z,10,FALSE)+VLOOKUP($A253,A:AL,13,FALSE)-50))</f>
        <v>-</v>
      </c>
      <c r="O253" s="3">
        <f>VLOOKUP($A253,'SegEnds_NonXtal_BW#'!$A:$Z,11,FALSE)+VLOOKUP($A253,A:AL,16,FALSE)-50</f>
        <v>77</v>
      </c>
      <c r="P253" s="3">
        <v>106</v>
      </c>
      <c r="Q253" s="3">
        <f>VLOOKUP($A253,'SegEnds_NonXtal_BW#'!$A:$Z,12,FALSE)+VLOOKUP($A253,A:AL,16,FALSE)-50</f>
        <v>112</v>
      </c>
      <c r="R253" s="3">
        <f t="shared" si="151"/>
        <v>115</v>
      </c>
      <c r="S253" s="3">
        <v>115</v>
      </c>
      <c r="T253" s="103">
        <f t="shared" si="152"/>
        <v>122</v>
      </c>
      <c r="U253" s="9">
        <f>IF(ISERROR(VLOOKUP($A253,'SegEnds_NonXtal_BW#'!$A:$Z,15,FALSE)+VLOOKUP($A253,A:AL,22,FALSE)-50),"-",VLOOKUP($A253,'SegEnds_NonXtal_BW#'!$A:$Z,15,FALSE)+VLOOKUP($A253,A:AL,22,FALSE)-50)</f>
        <v>123</v>
      </c>
      <c r="V253" s="3">
        <v>135</v>
      </c>
      <c r="W253" s="3">
        <f>IF(ISERROR(VLOOKUP($A253,'SegEnds_NonXtal_BW#'!$A:$Z,16,FALSE)+VLOOKUP($A253,A:AL,22,FALSE)-50),"-",(VLOOKUP($A253,'SegEnds_NonXtal_BW#'!$A:$Z,16,FALSE)+VLOOKUP($A253,A:AL,22,FALSE)-50))</f>
        <v>149</v>
      </c>
      <c r="X253" s="3" t="str">
        <f>IF(ISERROR(VLOOKUP($A253,'SegEnds_NonXtal_BW#'!$A:$Z,17,FALSE)+VLOOKUP($A253,A:AL,25,FALSE)-50),"-",(VLOOKUP($A253,'SegEnds_NonXtal_BW#'!$A:$Z,17,FALSE)+VLOOKUP($A253,A:AL,25,FALSE)-50))</f>
        <v>-</v>
      </c>
      <c r="Y253" s="3" t="s">
        <v>23</v>
      </c>
      <c r="Z253" s="3" t="str">
        <f>IF(ISERROR(VLOOKUP($A253,'SegEnds_NonXtal_BW#'!$A:$Z,18,FALSE)+VLOOKUP($A253,A:AL,25,FALSE)-50),"-",(VLOOKUP($A253,'SegEnds_NonXtal_BW#'!$A:$Z,18,FALSE)+VLOOKUP($A253,A:AL,25,FALSE)-50))</f>
        <v>-</v>
      </c>
      <c r="AA253" s="3">
        <f>IF(ISERROR(VLOOKUP($A253,'SegEnds_NonXtal_BW#'!$A:$Z,19,FALSE)+VLOOKUP($A253,A:AL,28,FALSE)-50),"-",(VLOOKUP($A253,'SegEnds_NonXtal_BW#'!$A:$Z,19,FALSE)+VLOOKUP($A253,A:AL,28,FALSE)-50))</f>
        <v>169</v>
      </c>
      <c r="AB253" s="3">
        <v>187</v>
      </c>
      <c r="AC253" s="3">
        <f>IF(ISERROR((VLOOKUP($A253,'SegEnds_NonXtal_BW#'!$A:$Z,20,FALSE)+VLOOKUP($A253,A:AL,28,FALSE)-50)),"-",(VLOOKUP($A253,'SegEnds_NonXtal_BW#'!$A:$Z,20,FALSE)+VLOOKUP($A253,A:AL,28,FALSE)-50))</f>
        <v>209</v>
      </c>
      <c r="AD253" s="3">
        <f>IF(ISERROR(VLOOKUP($A253,'SegEnds_NonXtal_BW#'!$A:$Z,21,FALSE)+VLOOKUP($A253,A:AL,31,FALSE)-50),"-",(VLOOKUP($A253,'SegEnds_NonXtal_BW#'!$A:$Z,21,FALSE)+VLOOKUP($A253,A:AL,31,FALSE)-50))</f>
        <v>219</v>
      </c>
      <c r="AE253" s="3">
        <v>240</v>
      </c>
      <c r="AF253" s="3">
        <f>IF(ISERROR((VLOOKUP($A253,'SegEnds_NonXtal_BW#'!$A:$Z,22,FALSE)+VLOOKUP($A253,A:AL,31,FALSE)-50)),"-",(VLOOKUP($A253,'SegEnds_NonXtal_BW#'!$A:$Z,22,FALSE)+VLOOKUP($A253,A:AL,31,FALSE)-50))</f>
        <v>251</v>
      </c>
      <c r="AG253" s="3">
        <f>IF(ISERROR(VLOOKUP($A253,'SegEnds_NonXtal_BW#'!$A:$Z,23,FALSE)+VLOOKUP($A253,A:AL,34,FALSE)-50),"-",(VLOOKUP($A253,'SegEnds_NonXtal_BW#'!$A:$Z,23,FALSE)+VLOOKUP($A253,A:AL,34,FALSE)-50))</f>
        <v>257</v>
      </c>
      <c r="AH253" s="3">
        <v>276</v>
      </c>
      <c r="AI253" s="3">
        <f>IF(ISERROR((VLOOKUP($A253,'SegEnds_NonXtal_BW#'!$A:$Z,24,FALSE)+VLOOKUP($A253,A:AL,34,FALSE)-50)),"-",(VLOOKUP($A253,'SegEnds_NonXtal_BW#'!$A:$Z,24,FALSE)+VLOOKUP($A253,A:AL,34,FALSE)-50))</f>
        <v>282</v>
      </c>
      <c r="AJ253" s="3">
        <f>IF(ISERROR(VLOOKUP($A253,'SegEnds_NonXtal_BW#'!$A:$Z,25,FALSE)+VLOOKUP($A253,A:AL,37,FALSE)-50),"-",(VLOOKUP($A253,'SegEnds_NonXtal_BW#'!$A:$Z,25,FALSE)+VLOOKUP($A253,A:AL,37,FALSE)-50))</f>
        <v>283</v>
      </c>
      <c r="AK253" s="3">
        <v>286</v>
      </c>
      <c r="AL253" s="3">
        <f>IF(ISERROR((VLOOKUP($A253,'SegEnds_NonXtal_BW#'!$A:$Z,26,FALSE)+VLOOKUP($A253,A:AL,37,FALSE)-50)),"-",(VLOOKUP($A253,'SegEnds_NonXtal_BW#'!$A:$Z,26,FALSE)+VLOOKUP($A253,A:AL,37,FALSE)-50))</f>
        <v>296</v>
      </c>
      <c r="AM253" s="28" t="str">
        <f>VLOOKUP(A253,Classification!A:B,2,FALSE)</f>
        <v>T</v>
      </c>
      <c r="AN253" s="28" t="b">
        <f t="shared" si="135"/>
        <v>1</v>
      </c>
      <c r="AO253" s="3" t="str">
        <f>IF(ISERROR(MATCH(A253,'SegEnds_Xtal_Prot#'!B:B, 0)), "NoXtal", "Xtal")</f>
        <v>NoXtal</v>
      </c>
      <c r="AP253" s="3">
        <f t="shared" si="120"/>
        <v>1</v>
      </c>
      <c r="AQ253" s="3">
        <f t="shared" si="121"/>
        <v>1</v>
      </c>
      <c r="AR253" s="3" t="str">
        <f t="shared" si="122"/>
        <v>-</v>
      </c>
      <c r="AS253" s="3" t="str">
        <f t="shared" si="123"/>
        <v>-</v>
      </c>
      <c r="AT253" s="3">
        <f t="shared" si="124"/>
        <v>3</v>
      </c>
      <c r="AU253" s="3">
        <f t="shared" si="125"/>
        <v>1</v>
      </c>
      <c r="AV253" s="3" t="str">
        <f t="shared" si="126"/>
        <v>-</v>
      </c>
      <c r="AW253" s="3" t="str">
        <f t="shared" si="127"/>
        <v>-</v>
      </c>
      <c r="AX253" s="3">
        <f t="shared" si="128"/>
        <v>10</v>
      </c>
      <c r="AY253" s="3">
        <f t="shared" si="129"/>
        <v>6</v>
      </c>
      <c r="AZ253" s="3">
        <f t="shared" si="130"/>
        <v>1</v>
      </c>
      <c r="BA253" s="3">
        <f>IF(ISERROR(LEN(VLOOKUP(A253,Seqs!A:E,2,FALSE))-AL253),"-",LEN(VLOOKUP(A253,Seqs!A:E,2,FALSE))-AL253)</f>
        <v>13</v>
      </c>
      <c r="BB253" s="16">
        <f t="shared" si="131"/>
        <v>31</v>
      </c>
      <c r="BC253" s="9">
        <f t="shared" si="132"/>
        <v>20</v>
      </c>
      <c r="BD253" s="3">
        <f t="shared" si="133"/>
        <v>31</v>
      </c>
      <c r="BE253" s="3">
        <f t="shared" si="134"/>
        <v>53</v>
      </c>
      <c r="BF253" s="3">
        <f t="shared" si="147"/>
        <v>36</v>
      </c>
    </row>
    <row r="254" spans="1:58" s="3" customFormat="1" x14ac:dyDescent="0.2">
      <c r="A254" s="3" t="s">
        <v>930</v>
      </c>
      <c r="B254" s="3" t="str">
        <f>LOWER(VLOOKUP(A254,Xtal_Templ!A:B,2,FALSE))</f>
        <v>agtr1_human</v>
      </c>
      <c r="C254" s="3">
        <f>VLOOKUP($A254,'SegEnds_NonXtal_BW#'!$A:$Z,3,FALSE)+D254-50</f>
        <v>6</v>
      </c>
      <c r="D254" s="3">
        <v>24</v>
      </c>
      <c r="E254" s="3">
        <f t="shared" si="148"/>
        <v>36</v>
      </c>
      <c r="F254" s="3">
        <f t="shared" si="149"/>
        <v>37</v>
      </c>
      <c r="G254" s="3">
        <v>39</v>
      </c>
      <c r="H254" s="3">
        <f t="shared" si="150"/>
        <v>40</v>
      </c>
      <c r="I254" s="3">
        <f t="shared" si="150"/>
        <v>41</v>
      </c>
      <c r="J254" s="3">
        <v>55</v>
      </c>
      <c r="K254" s="3">
        <f>VLOOKUP($A254,'SegEnds_NonXtal_BW#'!$A:$Z,8,FALSE)+VLOOKUP($A254,A:AL,10,FALSE)-50</f>
        <v>71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77</v>
      </c>
      <c r="P254" s="3">
        <v>106</v>
      </c>
      <c r="Q254" s="3">
        <f>VLOOKUP($A254,'SegEnds_NonXtal_BW#'!$A:$Z,12,FALSE)+VLOOKUP($A254,A:AL,16,FALSE)-50</f>
        <v>112</v>
      </c>
      <c r="R254" s="3">
        <f t="shared" si="151"/>
        <v>115</v>
      </c>
      <c r="S254" s="3">
        <v>115</v>
      </c>
      <c r="T254" s="103">
        <f t="shared" si="152"/>
        <v>122</v>
      </c>
      <c r="U254" s="9">
        <f>IF(ISERROR(VLOOKUP($A254,'SegEnds_NonXtal_BW#'!$A:$Z,15,FALSE)+VLOOKUP($A254,A:AL,22,FALSE)-50),"-",VLOOKUP($A254,'SegEnds_NonXtal_BW#'!$A:$Z,15,FALSE)+VLOOKUP($A254,A:AL,22,FALSE)-50)</f>
        <v>123</v>
      </c>
      <c r="V254" s="3">
        <v>135</v>
      </c>
      <c r="W254" s="3">
        <f>IF(ISERROR(VLOOKUP($A254,'SegEnds_NonXtal_BW#'!$A:$Z,16,FALSE)+VLOOKUP($A254,A:AL,22,FALSE)-50),"-",(VLOOKUP($A254,'SegEnds_NonXtal_BW#'!$A:$Z,16,FALSE)+VLOOKUP($A254,A:AL,22,FALSE)-50))</f>
        <v>149</v>
      </c>
      <c r="X254" s="3" t="str">
        <f>IF(ISERROR(VLOOKUP($A254,'SegEnds_NonXtal_BW#'!$A:$Z,17,FALSE)+VLOOKUP($A254,A:AL,25,FALSE)-50),"-",(VLOOKUP($A254,'SegEnds_NonXtal_BW#'!$A:$Z,17,FALSE)+VLOOKUP($A254,A:AL,25,FALSE)-50))</f>
        <v>-</v>
      </c>
      <c r="Y254" s="3" t="s">
        <v>23</v>
      </c>
      <c r="Z254" s="3" t="str">
        <f>IF(ISERROR(VLOOKUP($A254,'SegEnds_NonXtal_BW#'!$A:$Z,18,FALSE)+VLOOKUP($A254,A:AL,25,FALSE)-50),"-",(VLOOKUP($A254,'SegEnds_NonXtal_BW#'!$A:$Z,18,FALSE)+VLOOKUP($A254,A:AL,25,FALSE)-50))</f>
        <v>-</v>
      </c>
      <c r="AA254" s="3">
        <f>IF(ISERROR(VLOOKUP($A254,'SegEnds_NonXtal_BW#'!$A:$Z,19,FALSE)+VLOOKUP($A254,A:AL,28,FALSE)-50),"-",(VLOOKUP($A254,'SegEnds_NonXtal_BW#'!$A:$Z,19,FALSE)+VLOOKUP($A254,A:AL,28,FALSE)-50))</f>
        <v>169</v>
      </c>
      <c r="AB254" s="3">
        <v>187</v>
      </c>
      <c r="AC254" s="3">
        <f>IF(ISERROR((VLOOKUP($A254,'SegEnds_NonXtal_BW#'!$A:$Z,20,FALSE)+VLOOKUP($A254,A:AL,28,FALSE)-50)),"-",(VLOOKUP($A254,'SegEnds_NonXtal_BW#'!$A:$Z,20,FALSE)+VLOOKUP($A254,A:AL,28,FALSE)-50))</f>
        <v>209</v>
      </c>
      <c r="AD254" s="3">
        <f>IF(ISERROR(VLOOKUP($A254,'SegEnds_NonXtal_BW#'!$A:$Z,21,FALSE)+VLOOKUP($A254,A:AL,31,FALSE)-50),"-",(VLOOKUP($A254,'SegEnds_NonXtal_BW#'!$A:$Z,21,FALSE)+VLOOKUP($A254,A:AL,31,FALSE)-50))</f>
        <v>222</v>
      </c>
      <c r="AE254" s="3">
        <v>243</v>
      </c>
      <c r="AF254" s="3">
        <f>IF(ISERROR((VLOOKUP($A254,'SegEnds_NonXtal_BW#'!$A:$Z,22,FALSE)+VLOOKUP($A254,A:AL,31,FALSE)-50)),"-",(VLOOKUP($A254,'SegEnds_NonXtal_BW#'!$A:$Z,22,FALSE)+VLOOKUP($A254,A:AL,31,FALSE)-50))</f>
        <v>254</v>
      </c>
      <c r="AG254" s="3">
        <f>IF(ISERROR(VLOOKUP($A254,'SegEnds_NonXtal_BW#'!$A:$Z,23,FALSE)+VLOOKUP($A254,A:AL,34,FALSE)-50),"-",(VLOOKUP($A254,'SegEnds_NonXtal_BW#'!$A:$Z,23,FALSE)+VLOOKUP($A254,A:AL,34,FALSE)-50))</f>
        <v>259</v>
      </c>
      <c r="AH254" s="3">
        <v>276</v>
      </c>
      <c r="AI254" s="3">
        <f>IF(ISERROR((VLOOKUP($A254,'SegEnds_NonXtal_BW#'!$A:$Z,24,FALSE)+VLOOKUP($A254,A:AL,34,FALSE)-50)),"-",(VLOOKUP($A254,'SegEnds_NonXtal_BW#'!$A:$Z,24,FALSE)+VLOOKUP($A254,A:AL,34,FALSE)-50))</f>
        <v>282</v>
      </c>
      <c r="AJ254" s="3">
        <f>IF(ISERROR(VLOOKUP($A254,'SegEnds_NonXtal_BW#'!$A:$Z,25,FALSE)+VLOOKUP($A254,A:AL,37,FALSE)-50),"-",(VLOOKUP($A254,'SegEnds_NonXtal_BW#'!$A:$Z,25,FALSE)+VLOOKUP($A254,A:AL,37,FALSE)-50))</f>
        <v>283</v>
      </c>
      <c r="AK254" s="3">
        <v>286</v>
      </c>
      <c r="AL254" s="3">
        <f>IF(ISERROR((VLOOKUP($A254,'SegEnds_NonXtal_BW#'!$A:$Z,26,FALSE)+VLOOKUP($A254,A:AL,37,FALSE)-50)),"-",(VLOOKUP($A254,'SegEnds_NonXtal_BW#'!$A:$Z,26,FALSE)+VLOOKUP($A254,A:AL,37,FALSE)-50))</f>
        <v>296</v>
      </c>
      <c r="AM254" s="28" t="str">
        <f>VLOOKUP(A254,Classification!A:B,2,FALSE)</f>
        <v>T</v>
      </c>
      <c r="AN254" s="28" t="b">
        <f t="shared" si="135"/>
        <v>1</v>
      </c>
      <c r="AO254" s="3" t="str">
        <f>IF(ISERROR(MATCH(A254,'SegEnds_Xtal_Prot#'!B:B, 0)), "NoXtal", "Xtal")</f>
        <v>NoXtal</v>
      </c>
      <c r="AP254" s="3">
        <f t="shared" si="120"/>
        <v>1</v>
      </c>
      <c r="AQ254" s="3">
        <f t="shared" si="121"/>
        <v>1</v>
      </c>
      <c r="AR254" s="3" t="str">
        <f t="shared" si="122"/>
        <v>-</v>
      </c>
      <c r="AS254" s="3" t="str">
        <f t="shared" si="123"/>
        <v>-</v>
      </c>
      <c r="AT254" s="3">
        <f t="shared" si="124"/>
        <v>3</v>
      </c>
      <c r="AU254" s="3">
        <f t="shared" si="125"/>
        <v>1</v>
      </c>
      <c r="AV254" s="3" t="str">
        <f t="shared" si="126"/>
        <v>-</v>
      </c>
      <c r="AW254" s="3" t="str">
        <f t="shared" si="127"/>
        <v>-</v>
      </c>
      <c r="AX254" s="3">
        <f t="shared" si="128"/>
        <v>13</v>
      </c>
      <c r="AY254" s="3">
        <f t="shared" si="129"/>
        <v>5</v>
      </c>
      <c r="AZ254" s="3">
        <f t="shared" si="130"/>
        <v>1</v>
      </c>
      <c r="BA254" s="3">
        <f>IF(ISERROR(LEN(VLOOKUP(A254,Seqs!A:E,2,FALSE))-AL254),"-",LEN(VLOOKUP(A254,Seqs!A:E,2,FALSE))-AL254)</f>
        <v>3</v>
      </c>
      <c r="BB254" s="16">
        <f t="shared" si="131"/>
        <v>31</v>
      </c>
      <c r="BC254" s="9">
        <f t="shared" si="132"/>
        <v>20</v>
      </c>
      <c r="BD254" s="3">
        <f t="shared" si="133"/>
        <v>31</v>
      </c>
      <c r="BE254" s="3">
        <f t="shared" si="134"/>
        <v>56</v>
      </c>
      <c r="BF254" s="3">
        <f t="shared" si="147"/>
        <v>33</v>
      </c>
    </row>
    <row r="255" spans="1:58" s="3" customFormat="1" x14ac:dyDescent="0.2">
      <c r="A255" s="3" t="s">
        <v>470</v>
      </c>
      <c r="B255" s="3" t="str">
        <f>LOWER(VLOOKUP(A255,Xtal_Templ!A:B,2,FALSE))</f>
        <v>agtr1_human</v>
      </c>
      <c r="C255" s="3">
        <f>VLOOKUP($A255,'SegEnds_NonXtal_BW#'!$A:$Z,3,FALSE)+D255-50</f>
        <v>6</v>
      </c>
      <c r="D255" s="3">
        <v>24</v>
      </c>
      <c r="E255" s="3">
        <f t="shared" si="148"/>
        <v>36</v>
      </c>
      <c r="F255" s="3">
        <f t="shared" si="149"/>
        <v>37</v>
      </c>
      <c r="G255" s="3">
        <v>39</v>
      </c>
      <c r="H255" s="3">
        <f t="shared" si="150"/>
        <v>40</v>
      </c>
      <c r="I255" s="3">
        <f t="shared" si="150"/>
        <v>41</v>
      </c>
      <c r="J255" s="3">
        <v>55</v>
      </c>
      <c r="K255" s="3">
        <f>VLOOKUP($A255,'SegEnds_NonXtal_BW#'!$A:$Z,8,FALSE)+VLOOKUP($A255,A:AL,10,FALSE)-50</f>
        <v>71</v>
      </c>
      <c r="L255" s="3" t="str">
        <f>IF(ISERROR(VLOOKUP($A255,'SegEnds_NonXtal_BW#'!$A:$Z,9,FALSE)+VLOOKUP($A255,A:AL,13,FALSE)-50),"-",(VLOOKUP($A255,'SegEnds_NonXtal_BW#'!$A:$Z,9,FALSE)+VLOOKUP($A255,A:AL,13,FALSE)-50))</f>
        <v>-</v>
      </c>
      <c r="M255" s="3" t="s">
        <v>23</v>
      </c>
      <c r="N255" s="3" t="str">
        <f>IF(ISERROR(VLOOKUP($A255,'SegEnds_NonXtal_BW#'!$A:$Z,10,FALSE)+VLOOKUP($A255,A:AL,13,FALSE)-50),"-",(VLOOKUP($A255,'SegEnds_NonXtal_BW#'!$A:$Z,10,FALSE)+VLOOKUP($A255,A:AL,13,FALSE)-50))</f>
        <v>-</v>
      </c>
      <c r="O255" s="3">
        <f>VLOOKUP($A255,'SegEnds_NonXtal_BW#'!$A:$Z,11,FALSE)+VLOOKUP($A255,A:AL,16,FALSE)-50</f>
        <v>77</v>
      </c>
      <c r="P255" s="3">
        <v>106</v>
      </c>
      <c r="Q255" s="3">
        <f>VLOOKUP($A255,'SegEnds_NonXtal_BW#'!$A:$Z,12,FALSE)+VLOOKUP($A255,A:AL,16,FALSE)-50</f>
        <v>112</v>
      </c>
      <c r="R255" s="3">
        <f t="shared" si="151"/>
        <v>115</v>
      </c>
      <c r="S255" s="3">
        <v>115</v>
      </c>
      <c r="T255" s="103">
        <f t="shared" si="152"/>
        <v>122</v>
      </c>
      <c r="U255" s="9">
        <f>IF(ISERROR(VLOOKUP($A255,'SegEnds_NonXtal_BW#'!$A:$Z,15,FALSE)+VLOOKUP($A255,A:AL,22,FALSE)-50),"-",VLOOKUP($A255,'SegEnds_NonXtal_BW#'!$A:$Z,15,FALSE)+VLOOKUP($A255,A:AL,22,FALSE)-50)</f>
        <v>123</v>
      </c>
      <c r="V255" s="3">
        <v>135</v>
      </c>
      <c r="W255" s="3">
        <f>IF(ISERROR(VLOOKUP($A255,'SegEnds_NonXtal_BW#'!$A:$Z,16,FALSE)+VLOOKUP($A255,A:AL,22,FALSE)-50),"-",(VLOOKUP($A255,'SegEnds_NonXtal_BW#'!$A:$Z,16,FALSE)+VLOOKUP($A255,A:AL,22,FALSE)-50))</f>
        <v>149</v>
      </c>
      <c r="X255" s="3" t="str">
        <f>IF(ISERROR(VLOOKUP($A255,'SegEnds_NonXtal_BW#'!$A:$Z,17,FALSE)+VLOOKUP($A255,A:AL,25,FALSE)-50),"-",(VLOOKUP($A255,'SegEnds_NonXtal_BW#'!$A:$Z,17,FALSE)+VLOOKUP($A255,A:AL,25,FALSE)-50))</f>
        <v>-</v>
      </c>
      <c r="Y255" s="3" t="s">
        <v>23</v>
      </c>
      <c r="Z255" s="3" t="str">
        <f>IF(ISERROR(VLOOKUP($A255,'SegEnds_NonXtal_BW#'!$A:$Z,18,FALSE)+VLOOKUP($A255,A:AL,25,FALSE)-50),"-",(VLOOKUP($A255,'SegEnds_NonXtal_BW#'!$A:$Z,18,FALSE)+VLOOKUP($A255,A:AL,25,FALSE)-50))</f>
        <v>-</v>
      </c>
      <c r="AA255" s="3">
        <f>IF(ISERROR(VLOOKUP($A255,'SegEnds_NonXtal_BW#'!$A:$Z,19,FALSE)+VLOOKUP($A255,A:AL,28,FALSE)-50),"-",(VLOOKUP($A255,'SegEnds_NonXtal_BW#'!$A:$Z,19,FALSE)+VLOOKUP($A255,A:AL,28,FALSE)-50))</f>
        <v>169</v>
      </c>
      <c r="AB255" s="3">
        <v>187</v>
      </c>
      <c r="AC255" s="3">
        <f>IF(ISERROR((VLOOKUP($A255,'SegEnds_NonXtal_BW#'!$A:$Z,20,FALSE)+VLOOKUP($A255,A:AL,28,FALSE)-50)),"-",(VLOOKUP($A255,'SegEnds_NonXtal_BW#'!$A:$Z,20,FALSE)+VLOOKUP($A255,A:AL,28,FALSE)-50))</f>
        <v>209</v>
      </c>
      <c r="AD255" s="3">
        <f>IF(ISERROR(VLOOKUP($A255,'SegEnds_NonXtal_BW#'!$A:$Z,21,FALSE)+VLOOKUP($A255,A:AL,31,FALSE)-50),"-",(VLOOKUP($A255,'SegEnds_NonXtal_BW#'!$A:$Z,21,FALSE)+VLOOKUP($A255,A:AL,31,FALSE)-50))</f>
        <v>219</v>
      </c>
      <c r="AE255" s="3">
        <v>240</v>
      </c>
      <c r="AF255" s="3">
        <f>IF(ISERROR((VLOOKUP($A255,'SegEnds_NonXtal_BW#'!$A:$Z,22,FALSE)+VLOOKUP($A255,A:AL,31,FALSE)-50)),"-",(VLOOKUP($A255,'SegEnds_NonXtal_BW#'!$A:$Z,22,FALSE)+VLOOKUP($A255,A:AL,31,FALSE)-50))</f>
        <v>251</v>
      </c>
      <c r="AG255" s="3">
        <f>IF(ISERROR(VLOOKUP($A255,'SegEnds_NonXtal_BW#'!$A:$Z,23,FALSE)+VLOOKUP($A255,A:AL,34,FALSE)-50),"-",(VLOOKUP($A255,'SegEnds_NonXtal_BW#'!$A:$Z,23,FALSE)+VLOOKUP($A255,A:AL,34,FALSE)-50))</f>
        <v>257</v>
      </c>
      <c r="AH255" s="3">
        <v>276</v>
      </c>
      <c r="AI255" s="3">
        <f>IF(ISERROR((VLOOKUP($A255,'SegEnds_NonXtal_BW#'!$A:$Z,24,FALSE)+VLOOKUP($A255,A:AL,34,FALSE)-50)),"-",(VLOOKUP($A255,'SegEnds_NonXtal_BW#'!$A:$Z,24,FALSE)+VLOOKUP($A255,A:AL,34,FALSE)-50))</f>
        <v>282</v>
      </c>
      <c r="AJ255" s="3">
        <f>IF(ISERROR(VLOOKUP($A255,'SegEnds_NonXtal_BW#'!$A:$Z,25,FALSE)+VLOOKUP($A255,A:AL,37,FALSE)-50),"-",(VLOOKUP($A255,'SegEnds_NonXtal_BW#'!$A:$Z,25,FALSE)+VLOOKUP($A255,A:AL,37,FALSE)-50))</f>
        <v>283</v>
      </c>
      <c r="AK255" s="3">
        <v>286</v>
      </c>
      <c r="AL255" s="3">
        <f>IF(ISERROR((VLOOKUP($A255,'SegEnds_NonXtal_BW#'!$A:$Z,26,FALSE)+VLOOKUP($A255,A:AL,37,FALSE)-50)),"-",(VLOOKUP($A255,'SegEnds_NonXtal_BW#'!$A:$Z,26,FALSE)+VLOOKUP($A255,A:AL,37,FALSE)-50))</f>
        <v>296</v>
      </c>
      <c r="AM255" s="28" t="str">
        <f>VLOOKUP(A255,Classification!A:B,2,FALSE)</f>
        <v>T</v>
      </c>
      <c r="AN255" s="28" t="b">
        <f t="shared" si="135"/>
        <v>1</v>
      </c>
      <c r="AO255" s="3" t="str">
        <f>IF(ISERROR(MATCH(A255,'SegEnds_Xtal_Prot#'!B:B, 0)), "NoXtal", "Xtal")</f>
        <v>NoXtal</v>
      </c>
      <c r="AP255" s="3">
        <f t="shared" si="120"/>
        <v>1</v>
      </c>
      <c r="AQ255" s="3">
        <f t="shared" si="121"/>
        <v>1</v>
      </c>
      <c r="AR255" s="3" t="str">
        <f t="shared" si="122"/>
        <v>-</v>
      </c>
      <c r="AS255" s="3" t="str">
        <f t="shared" si="123"/>
        <v>-</v>
      </c>
      <c r="AT255" s="3">
        <f t="shared" si="124"/>
        <v>3</v>
      </c>
      <c r="AU255" s="3">
        <f t="shared" si="125"/>
        <v>1</v>
      </c>
      <c r="AV255" s="3" t="str">
        <f t="shared" si="126"/>
        <v>-</v>
      </c>
      <c r="AW255" s="3" t="str">
        <f t="shared" si="127"/>
        <v>-</v>
      </c>
      <c r="AX255" s="3">
        <f t="shared" si="128"/>
        <v>10</v>
      </c>
      <c r="AY255" s="3">
        <f t="shared" si="129"/>
        <v>6</v>
      </c>
      <c r="AZ255" s="3">
        <f t="shared" si="130"/>
        <v>1</v>
      </c>
      <c r="BA255" s="3">
        <f>IF(ISERROR(LEN(VLOOKUP(A255,Seqs!A:E,2,FALSE))-AL255),"-",LEN(VLOOKUP(A255,Seqs!A:E,2,FALSE))-AL255)</f>
        <v>13</v>
      </c>
      <c r="BB255" s="16">
        <f t="shared" si="131"/>
        <v>31</v>
      </c>
      <c r="BC255" s="9">
        <f t="shared" si="132"/>
        <v>20</v>
      </c>
      <c r="BD255" s="3">
        <f t="shared" si="133"/>
        <v>31</v>
      </c>
      <c r="BE255" s="3">
        <f t="shared" si="134"/>
        <v>53</v>
      </c>
      <c r="BF255" s="3">
        <f t="shared" si="147"/>
        <v>36</v>
      </c>
    </row>
    <row r="256" spans="1:58" s="3" customFormat="1" x14ac:dyDescent="0.2">
      <c r="A256" s="3" t="s">
        <v>471</v>
      </c>
      <c r="B256" s="3" t="str">
        <f>LOWER(VLOOKUP(A256,Xtal_Templ!A:B,2,FALSE))</f>
        <v>drd3_human</v>
      </c>
      <c r="C256" s="3">
        <f>VLOOKUP($A256,'SegEnds_NonXtal_BW#'!$A:$Z,3,FALSE)+D256-50</f>
        <v>6</v>
      </c>
      <c r="D256" s="3">
        <v>24</v>
      </c>
      <c r="E256" s="3">
        <f t="shared" si="148"/>
        <v>36</v>
      </c>
      <c r="F256" s="3">
        <f t="shared" si="149"/>
        <v>37</v>
      </c>
      <c r="G256" s="3">
        <v>39</v>
      </c>
      <c r="H256" s="3">
        <f t="shared" si="150"/>
        <v>40</v>
      </c>
      <c r="I256" s="3">
        <f t="shared" si="150"/>
        <v>41</v>
      </c>
      <c r="J256" s="3">
        <v>55</v>
      </c>
      <c r="K256" s="3">
        <f>VLOOKUP($A256,'SegEnds_NonXtal_BW#'!$A:$Z,8,FALSE)+VLOOKUP($A256,A:AL,10,FALSE)-50</f>
        <v>71</v>
      </c>
      <c r="L256" s="3" t="str">
        <f>IF(ISERROR(VLOOKUP($A256,'SegEnds_NonXtal_BW#'!$A:$Z,9,FALSE)+VLOOKUP($A256,A:AL,13,FALSE)-50),"-",(VLOOKUP($A256,'SegEnds_NonXtal_BW#'!$A:$Z,9,FALSE)+VLOOKUP($A256,A:AL,13,FALSE)-50))</f>
        <v>-</v>
      </c>
      <c r="M256" s="3" t="s">
        <v>23</v>
      </c>
      <c r="N256" s="3" t="str">
        <f>IF(ISERROR(VLOOKUP($A256,'SegEnds_NonXtal_BW#'!$A:$Z,10,FALSE)+VLOOKUP($A256,A:AL,13,FALSE)-50),"-",(VLOOKUP($A256,'SegEnds_NonXtal_BW#'!$A:$Z,10,FALSE)+VLOOKUP($A256,A:AL,13,FALSE)-50))</f>
        <v>-</v>
      </c>
      <c r="O256" s="3">
        <f>VLOOKUP($A256,'SegEnds_NonXtal_BW#'!$A:$Z,11,FALSE)+VLOOKUP($A256,A:AL,16,FALSE)-50</f>
        <v>77</v>
      </c>
      <c r="P256" s="3">
        <v>106</v>
      </c>
      <c r="Q256" s="3">
        <f>VLOOKUP($A256,'SegEnds_NonXtal_BW#'!$A:$Z,12,FALSE)+VLOOKUP($A256,A:AL,16,FALSE)-50</f>
        <v>112</v>
      </c>
      <c r="R256" s="3">
        <f t="shared" si="151"/>
        <v>115</v>
      </c>
      <c r="S256" s="3">
        <v>115</v>
      </c>
      <c r="T256" s="103">
        <f t="shared" si="152"/>
        <v>122</v>
      </c>
      <c r="U256" s="9">
        <f>IF(ISERROR(VLOOKUP($A256,'SegEnds_NonXtal_BW#'!$A:$Z,15,FALSE)+VLOOKUP($A256,A:AL,22,FALSE)-50),"-",VLOOKUP($A256,'SegEnds_NonXtal_BW#'!$A:$Z,15,FALSE)+VLOOKUP($A256,A:AL,22,FALSE)-50)</f>
        <v>123</v>
      </c>
      <c r="V256" s="3">
        <v>135</v>
      </c>
      <c r="W256" s="3">
        <f>IF(ISERROR(VLOOKUP($A256,'SegEnds_NonXtal_BW#'!$A:$Z,16,FALSE)+VLOOKUP($A256,A:AL,22,FALSE)-50),"-",(VLOOKUP($A256,'SegEnds_NonXtal_BW#'!$A:$Z,16,FALSE)+VLOOKUP($A256,A:AL,22,FALSE)-50))</f>
        <v>148</v>
      </c>
      <c r="X256" s="3" t="str">
        <f>IF(ISERROR(VLOOKUP($A256,'SegEnds_NonXtal_BW#'!$A:$Z,17,FALSE)+VLOOKUP($A256,A:AL,25,FALSE)-50),"-",(VLOOKUP($A256,'SegEnds_NonXtal_BW#'!$A:$Z,17,FALSE)+VLOOKUP($A256,A:AL,25,FALSE)-50))</f>
        <v>-</v>
      </c>
      <c r="Y256" s="3" t="s">
        <v>23</v>
      </c>
      <c r="Z256" s="3" t="str">
        <f>IF(ISERROR(VLOOKUP($A256,'SegEnds_NonXtal_BW#'!$A:$Z,18,FALSE)+VLOOKUP($A256,A:AL,25,FALSE)-50),"-",(VLOOKUP($A256,'SegEnds_NonXtal_BW#'!$A:$Z,18,FALSE)+VLOOKUP($A256,A:AL,25,FALSE)-50))</f>
        <v>-</v>
      </c>
      <c r="AA256" s="3">
        <f>IF(ISERROR(VLOOKUP($A256,'SegEnds_NonXtal_BW#'!$A:$Z,19,FALSE)+VLOOKUP($A256,A:AL,28,FALSE)-50),"-",(VLOOKUP($A256,'SegEnds_NonXtal_BW#'!$A:$Z,19,FALSE)+VLOOKUP($A256,A:AL,28,FALSE)-50))</f>
        <v>169</v>
      </c>
      <c r="AB256" s="3">
        <v>187</v>
      </c>
      <c r="AC256" s="3">
        <f>IF(ISERROR((VLOOKUP($A256,'SegEnds_NonXtal_BW#'!$A:$Z,20,FALSE)+VLOOKUP($A256,A:AL,28,FALSE)-50)),"-",(VLOOKUP($A256,'SegEnds_NonXtal_BW#'!$A:$Z,20,FALSE)+VLOOKUP($A256,A:AL,28,FALSE)-50))</f>
        <v>209</v>
      </c>
      <c r="AD256" s="3">
        <f>IF(ISERROR(VLOOKUP($A256,'SegEnds_NonXtal_BW#'!$A:$Z,21,FALSE)+VLOOKUP($A256,A:AL,31,FALSE)-50),"-",(VLOOKUP($A256,'SegEnds_NonXtal_BW#'!$A:$Z,21,FALSE)+VLOOKUP($A256,A:AL,31,FALSE)-50))</f>
        <v>219</v>
      </c>
      <c r="AE256" s="3">
        <v>240</v>
      </c>
      <c r="AF256" s="3">
        <f>IF(ISERROR((VLOOKUP($A256,'SegEnds_NonXtal_BW#'!$A:$Z,22,FALSE)+VLOOKUP($A256,A:AL,31,FALSE)-50)),"-",(VLOOKUP($A256,'SegEnds_NonXtal_BW#'!$A:$Z,22,FALSE)+VLOOKUP($A256,A:AL,31,FALSE)-50))</f>
        <v>251</v>
      </c>
      <c r="AG256" s="3">
        <f>IF(ISERROR(VLOOKUP($A256,'SegEnds_NonXtal_BW#'!$A:$Z,23,FALSE)+VLOOKUP($A256,A:AL,34,FALSE)-50),"-",(VLOOKUP($A256,'SegEnds_NonXtal_BW#'!$A:$Z,23,FALSE)+VLOOKUP($A256,A:AL,34,FALSE)-50))</f>
        <v>257</v>
      </c>
      <c r="AH256" s="3">
        <v>276</v>
      </c>
      <c r="AI256" s="3">
        <f>IF(ISERROR((VLOOKUP($A256,'SegEnds_NonXtal_BW#'!$A:$Z,24,FALSE)+VLOOKUP($A256,A:AL,34,FALSE)-50)),"-",(VLOOKUP($A256,'SegEnds_NonXtal_BW#'!$A:$Z,24,FALSE)+VLOOKUP($A256,A:AL,34,FALSE)-50))</f>
        <v>282</v>
      </c>
      <c r="AJ256" s="3">
        <f>IF(ISERROR(VLOOKUP($A256,'SegEnds_NonXtal_BW#'!$A:$Z,25,FALSE)+VLOOKUP($A256,A:AL,37,FALSE)-50),"-",(VLOOKUP($A256,'SegEnds_NonXtal_BW#'!$A:$Z,25,FALSE)+VLOOKUP($A256,A:AL,37,FALSE)-50))</f>
        <v>283</v>
      </c>
      <c r="AK256" s="3">
        <v>286</v>
      </c>
      <c r="AL256" s="3">
        <f>IF(ISERROR((VLOOKUP($A256,'SegEnds_NonXtal_BW#'!$A:$Z,26,FALSE)+VLOOKUP($A256,A:AL,37,FALSE)-50)),"-",(VLOOKUP($A256,'SegEnds_NonXtal_BW#'!$A:$Z,26,FALSE)+VLOOKUP($A256,A:AL,37,FALSE)-50))</f>
        <v>296</v>
      </c>
      <c r="AM256" s="28" t="str">
        <f>VLOOKUP(A256,Classification!A:B,2,FALSE)</f>
        <v>T</v>
      </c>
      <c r="AN256" s="28" t="b">
        <f t="shared" si="135"/>
        <v>1</v>
      </c>
      <c r="AO256" s="3" t="str">
        <f>IF(ISERROR(MATCH(A256,'SegEnds_Xtal_Prot#'!B:B, 0)), "NoXtal", "Xtal")</f>
        <v>NoXtal</v>
      </c>
      <c r="AP256" s="3">
        <f t="shared" si="120"/>
        <v>1</v>
      </c>
      <c r="AQ256" s="3">
        <f t="shared" si="121"/>
        <v>1</v>
      </c>
      <c r="AR256" s="3" t="str">
        <f t="shared" si="122"/>
        <v>-</v>
      </c>
      <c r="AS256" s="3" t="str">
        <f t="shared" si="123"/>
        <v>-</v>
      </c>
      <c r="AT256" s="3">
        <f t="shared" si="124"/>
        <v>3</v>
      </c>
      <c r="AU256" s="3">
        <f t="shared" si="125"/>
        <v>1</v>
      </c>
      <c r="AV256" s="3" t="str">
        <f t="shared" si="126"/>
        <v>-</v>
      </c>
      <c r="AW256" s="3" t="str">
        <f t="shared" si="127"/>
        <v>-</v>
      </c>
      <c r="AX256" s="3">
        <f t="shared" si="128"/>
        <v>10</v>
      </c>
      <c r="AY256" s="3">
        <f t="shared" si="129"/>
        <v>6</v>
      </c>
      <c r="AZ256" s="3">
        <f t="shared" si="130"/>
        <v>1</v>
      </c>
      <c r="BA256" s="3">
        <f>IF(ISERROR(LEN(VLOOKUP(A256,Seqs!A:E,2,FALSE))-AL256),"-",LEN(VLOOKUP(A256,Seqs!A:E,2,FALSE))-AL256)</f>
        <v>3</v>
      </c>
      <c r="BB256" s="16">
        <f t="shared" si="131"/>
        <v>31</v>
      </c>
      <c r="BC256" s="9">
        <f t="shared" si="132"/>
        <v>20</v>
      </c>
      <c r="BD256" s="3">
        <f t="shared" si="133"/>
        <v>31</v>
      </c>
      <c r="BE256" s="3">
        <f t="shared" si="134"/>
        <v>53</v>
      </c>
      <c r="BF256" s="3">
        <f t="shared" si="147"/>
        <v>36</v>
      </c>
    </row>
    <row r="257" spans="1:58" s="3" customFormat="1" x14ac:dyDescent="0.2">
      <c r="A257" s="3" t="s">
        <v>472</v>
      </c>
      <c r="B257" s="3" t="str">
        <f>LOWER(VLOOKUP(A257,Xtal_Templ!A:B,2,FALSE))</f>
        <v>oprk_human</v>
      </c>
      <c r="C257" s="3">
        <f>VLOOKUP($A257,'SegEnds_NonXtal_BW#'!$A:$Z,3,FALSE)+D257-50</f>
        <v>17</v>
      </c>
      <c r="D257" s="3">
        <v>35</v>
      </c>
      <c r="E257" s="3">
        <f t="shared" si="148"/>
        <v>47</v>
      </c>
      <c r="F257" s="3">
        <f t="shared" si="149"/>
        <v>48</v>
      </c>
      <c r="G257" s="3">
        <v>50</v>
      </c>
      <c r="H257" s="3">
        <f t="shared" si="150"/>
        <v>51</v>
      </c>
      <c r="I257" s="3">
        <f t="shared" si="150"/>
        <v>52</v>
      </c>
      <c r="J257" s="3">
        <v>66</v>
      </c>
      <c r="K257" s="3">
        <f>VLOOKUP($A257,'SegEnds_NonXtal_BW#'!$A:$Z,8,FALSE)+VLOOKUP($A257,A:AL,10,FALSE)-50</f>
        <v>82</v>
      </c>
      <c r="L257" s="3" t="str">
        <f>IF(ISERROR(VLOOKUP($A257,'SegEnds_NonXtal_BW#'!$A:$Z,9,FALSE)+VLOOKUP($A257,A:AL,13,FALSE)-50),"-",(VLOOKUP($A257,'SegEnds_NonXtal_BW#'!$A:$Z,9,FALSE)+VLOOKUP($A257,A:AL,13,FALSE)-50))</f>
        <v>-</v>
      </c>
      <c r="M257" s="3" t="s">
        <v>23</v>
      </c>
      <c r="N257" s="3" t="str">
        <f>IF(ISERROR(VLOOKUP($A257,'SegEnds_NonXtal_BW#'!$A:$Z,10,FALSE)+VLOOKUP($A257,A:AL,13,FALSE)-50),"-",(VLOOKUP($A257,'SegEnds_NonXtal_BW#'!$A:$Z,10,FALSE)+VLOOKUP($A257,A:AL,13,FALSE)-50))</f>
        <v>-</v>
      </c>
      <c r="O257" s="3">
        <f>VLOOKUP($A257,'SegEnds_NonXtal_BW#'!$A:$Z,11,FALSE)+VLOOKUP($A257,A:AL,16,FALSE)-50</f>
        <v>86</v>
      </c>
      <c r="P257" s="3">
        <v>118</v>
      </c>
      <c r="Q257" s="3">
        <f>VLOOKUP($A257,'SegEnds_NonXtal_BW#'!$A:$Z,12,FALSE)+VLOOKUP($A257,A:AL,16,FALSE)-50</f>
        <v>124</v>
      </c>
      <c r="R257" s="3">
        <f t="shared" si="151"/>
        <v>127</v>
      </c>
      <c r="S257" s="3">
        <v>127</v>
      </c>
      <c r="T257" s="103">
        <f t="shared" si="152"/>
        <v>134</v>
      </c>
      <c r="U257" s="9">
        <f>IF(ISERROR(VLOOKUP($A257,'SegEnds_NonXtal_BW#'!$A:$Z,15,FALSE)+VLOOKUP($A257,A:AL,22,FALSE)-50),"-",VLOOKUP($A257,'SegEnds_NonXtal_BW#'!$A:$Z,15,FALSE)+VLOOKUP($A257,A:AL,22,FALSE)-50)</f>
        <v>135</v>
      </c>
      <c r="V257" s="3">
        <v>147</v>
      </c>
      <c r="W257" s="3">
        <f>IF(ISERROR(VLOOKUP($A257,'SegEnds_NonXtal_BW#'!$A:$Z,16,FALSE)+VLOOKUP($A257,A:AL,22,FALSE)-50),"-",(VLOOKUP($A257,'SegEnds_NonXtal_BW#'!$A:$Z,16,FALSE)+VLOOKUP($A257,A:AL,22,FALSE)-50))</f>
        <v>161</v>
      </c>
      <c r="X257" s="3" t="str">
        <f>IF(ISERROR(VLOOKUP($A257,'SegEnds_NonXtal_BW#'!$A:$Z,17,FALSE)+VLOOKUP($A257,A:AL,25,FALSE)-50),"-",(VLOOKUP($A257,'SegEnds_NonXtal_BW#'!$A:$Z,17,FALSE)+VLOOKUP($A257,A:AL,25,FALSE)-50))</f>
        <v>-</v>
      </c>
      <c r="Y257" s="3" t="s">
        <v>23</v>
      </c>
      <c r="Z257" s="3" t="str">
        <f>IF(ISERROR(VLOOKUP($A257,'SegEnds_NonXtal_BW#'!$A:$Z,18,FALSE)+VLOOKUP($A257,A:AL,25,FALSE)-50),"-",(VLOOKUP($A257,'SegEnds_NonXtal_BW#'!$A:$Z,18,FALSE)+VLOOKUP($A257,A:AL,25,FALSE)-50))</f>
        <v>-</v>
      </c>
      <c r="AA257" s="3">
        <f>IF(ISERROR(VLOOKUP($A257,'SegEnds_NonXtal_BW#'!$A:$Z,19,FALSE)+VLOOKUP($A257,A:AL,28,FALSE)-50),"-",(VLOOKUP($A257,'SegEnds_NonXtal_BW#'!$A:$Z,19,FALSE)+VLOOKUP($A257,A:AL,28,FALSE)-50))</f>
        <v>187</v>
      </c>
      <c r="AB257" s="3">
        <v>205</v>
      </c>
      <c r="AC257" s="3">
        <f>IF(ISERROR((VLOOKUP($A257,'SegEnds_NonXtal_BW#'!$A:$Z,20,FALSE)+VLOOKUP($A257,A:AL,28,FALSE)-50)),"-",(VLOOKUP($A257,'SegEnds_NonXtal_BW#'!$A:$Z,20,FALSE)+VLOOKUP($A257,A:AL,28,FALSE)-50))</f>
        <v>227</v>
      </c>
      <c r="AD257" s="3">
        <f>IF(ISERROR(VLOOKUP($A257,'SegEnds_NonXtal_BW#'!$A:$Z,21,FALSE)+VLOOKUP($A257,A:AL,31,FALSE)-50),"-",(VLOOKUP($A257,'SegEnds_NonXtal_BW#'!$A:$Z,21,FALSE)+VLOOKUP($A257,A:AL,31,FALSE)-50))</f>
        <v>237</v>
      </c>
      <c r="AE257" s="3">
        <v>258</v>
      </c>
      <c r="AF257" s="3">
        <f>IF(ISERROR((VLOOKUP($A257,'SegEnds_NonXtal_BW#'!$A:$Z,22,FALSE)+VLOOKUP($A257,A:AL,31,FALSE)-50)),"-",(VLOOKUP($A257,'SegEnds_NonXtal_BW#'!$A:$Z,22,FALSE)+VLOOKUP($A257,A:AL,31,FALSE)-50))</f>
        <v>269</v>
      </c>
      <c r="AG257" s="3">
        <f>IF(ISERROR(VLOOKUP($A257,'SegEnds_NonXtal_BW#'!$A:$Z,23,FALSE)+VLOOKUP($A257,A:AL,34,FALSE)-50),"-",(VLOOKUP($A257,'SegEnds_NonXtal_BW#'!$A:$Z,23,FALSE)+VLOOKUP($A257,A:AL,34,FALSE)-50))</f>
        <v>274</v>
      </c>
      <c r="AH257" s="3">
        <v>293</v>
      </c>
      <c r="AI257" s="3">
        <f>IF(ISERROR((VLOOKUP($A257,'SegEnds_NonXtal_BW#'!$A:$Z,24,FALSE)+VLOOKUP($A257,A:AL,34,FALSE)-50)),"-",(VLOOKUP($A257,'SegEnds_NonXtal_BW#'!$A:$Z,24,FALSE)+VLOOKUP($A257,A:AL,34,FALSE)-50))</f>
        <v>299</v>
      </c>
      <c r="AJ257" s="3">
        <f>IF(ISERROR(VLOOKUP($A257,'SegEnds_NonXtal_BW#'!$A:$Z,25,FALSE)+VLOOKUP($A257,A:AL,37,FALSE)-50),"-",(VLOOKUP($A257,'SegEnds_NonXtal_BW#'!$A:$Z,25,FALSE)+VLOOKUP($A257,A:AL,37,FALSE)-50))</f>
        <v>300</v>
      </c>
      <c r="AK257" s="3">
        <v>303</v>
      </c>
      <c r="AL257" s="3">
        <f>IF(ISERROR((VLOOKUP($A257,'SegEnds_NonXtal_BW#'!$A:$Z,26,FALSE)+VLOOKUP($A257,A:AL,37,FALSE)-50)),"-",(VLOOKUP($A257,'SegEnds_NonXtal_BW#'!$A:$Z,26,FALSE)+VLOOKUP($A257,A:AL,37,FALSE)-50))</f>
        <v>313</v>
      </c>
      <c r="AM257" s="28" t="str">
        <f>VLOOKUP(A257,Classification!A:B,2,FALSE)</f>
        <v>T</v>
      </c>
      <c r="AN257" s="28" t="b">
        <f t="shared" si="135"/>
        <v>1</v>
      </c>
      <c r="AO257" s="3" t="str">
        <f>IF(ISERROR(MATCH(A257,'SegEnds_Xtal_Prot#'!B:B, 0)), "NoXtal", "Xtal")</f>
        <v>NoXtal</v>
      </c>
      <c r="AP257" s="3">
        <f t="shared" si="120"/>
        <v>1</v>
      </c>
      <c r="AQ257" s="3">
        <f t="shared" si="121"/>
        <v>1</v>
      </c>
      <c r="AR257" s="3" t="str">
        <f t="shared" si="122"/>
        <v>-</v>
      </c>
      <c r="AS257" s="3" t="str">
        <f t="shared" si="123"/>
        <v>-</v>
      </c>
      <c r="AT257" s="3">
        <f t="shared" si="124"/>
        <v>3</v>
      </c>
      <c r="AU257" s="3">
        <f t="shared" si="125"/>
        <v>1</v>
      </c>
      <c r="AV257" s="3" t="str">
        <f t="shared" si="126"/>
        <v>-</v>
      </c>
      <c r="AW257" s="3" t="str">
        <f t="shared" si="127"/>
        <v>-</v>
      </c>
      <c r="AX257" s="3">
        <f t="shared" si="128"/>
        <v>10</v>
      </c>
      <c r="AY257" s="3">
        <f t="shared" si="129"/>
        <v>5</v>
      </c>
      <c r="AZ257" s="3">
        <f t="shared" si="130"/>
        <v>1</v>
      </c>
      <c r="BA257" s="3">
        <f>IF(ISERROR(LEN(VLOOKUP(A257,Seqs!A:E,2,FALSE))-AL257),"-",LEN(VLOOKUP(A257,Seqs!A:E,2,FALSE))-AL257)</f>
        <v>5</v>
      </c>
      <c r="BB257" s="16">
        <f t="shared" si="131"/>
        <v>31</v>
      </c>
      <c r="BC257" s="9">
        <f t="shared" si="132"/>
        <v>20</v>
      </c>
      <c r="BD257" s="3">
        <f t="shared" si="133"/>
        <v>31</v>
      </c>
      <c r="BE257" s="3">
        <f t="shared" si="134"/>
        <v>53</v>
      </c>
      <c r="BF257" s="3">
        <f t="shared" si="147"/>
        <v>35</v>
      </c>
    </row>
    <row r="258" spans="1:58" s="3" customFormat="1" x14ac:dyDescent="0.2">
      <c r="A258" s="3" t="s">
        <v>473</v>
      </c>
      <c r="B258" s="3" t="str">
        <f>LOWER(VLOOKUP(A258,Xtal_Templ!A:B,2,FALSE))</f>
        <v>cnr1_human</v>
      </c>
      <c r="C258" s="3">
        <f>VLOOKUP($A258,'SegEnds_NonXtal_BW#'!$A:$Z,3,FALSE)+D258-50</f>
        <v>20</v>
      </c>
      <c r="D258" s="3">
        <v>42</v>
      </c>
      <c r="E258" s="3">
        <f>IF(ISERROR(VLOOKUP($A258,'SegEnds_NonXtal_BW#'!$A:$Z,4,FALSE)+VLOOKUP($A258,A:AL,4,FALSE)-50),"-",(VLOOKUP($A258,'SegEnds_NonXtal_BW#'!$A:$Z,4,FALSE)+VLOOKUP($A258,A:AL,4,FALSE)-50))</f>
        <v>52</v>
      </c>
      <c r="F258" s="3" t="str">
        <f>IF(ISERROR(VLOOKUP($A258,'SegEnds_NonXtal_BW#'!$A:$Z,5,FALSE)+VLOOKUP($A258,A:AL,7,FALSE)-50),"-",(VLOOKUP($A258,'SegEnds_NonXtal_BW#'!$A:$Z,5,FALSE)+VLOOKUP($A258,A:AL,7,FALSE)-50))</f>
        <v>-</v>
      </c>
      <c r="G258" s="3" t="s">
        <v>23</v>
      </c>
      <c r="H258" s="3" t="str">
        <f>IF(ISERROR(VLOOKUP($A258,'SegEnds_NonXtal_BW#'!$A:$Z,6,FALSE)+VLOOKUP($A258,A:AL,7,FALSE)-50),"-",(VLOOKUP($A258,'SegEnds_NonXtal_BW#'!$A:$Z,6,FALSE)+VLOOKUP($A258,A:AL,7,FALSE)-50))</f>
        <v>-</v>
      </c>
      <c r="I258" s="3">
        <f>VLOOKUP($A258,'SegEnds_NonXtal_BW#'!$A:$Z,7,FALSE)+J258-50</f>
        <v>61</v>
      </c>
      <c r="J258" s="3">
        <v>74</v>
      </c>
      <c r="K258" s="3">
        <f>VLOOKUP($A258,'SegEnds_NonXtal_BW#'!$A:$Z,8,FALSE)+VLOOKUP($A258,A:AL,10,FALSE)-50</f>
        <v>91</v>
      </c>
      <c r="L258" s="3">
        <f>M258-1</f>
        <v>94</v>
      </c>
      <c r="M258" s="3">
        <v>95</v>
      </c>
      <c r="N258" s="3">
        <f>M258+2</f>
        <v>97</v>
      </c>
      <c r="O258" s="3">
        <f>N258+1</f>
        <v>98</v>
      </c>
      <c r="P258" s="3">
        <v>130</v>
      </c>
      <c r="Q258" s="3">
        <f>VLOOKUP($A258,'SegEnds_NonXtal_BW#'!$A:$Z,12,FALSE)+VLOOKUP($A258,A:AL,16,FALSE)-50</f>
        <v>136</v>
      </c>
      <c r="R258" s="3">
        <f>IF(ISERROR(VLOOKUP($A258,'SegEnds_NonXtal_BW#'!$A:$Z,13,FALSE)+VLOOKUP($A258,A:AL,19,FALSE)-50),"-",VLOOKUP($A258,'SegEnds_NonXtal_BW#'!$A:$Z,13,FALSE)+VLOOKUP($A258,A:AL,19,FALSE)-50)</f>
        <v>137</v>
      </c>
      <c r="S258" s="3">
        <v>137</v>
      </c>
      <c r="T258" s="103">
        <f>IF(ISERROR(VLOOKUP($A258,'SegEnds_NonXtal_BW#'!$A:$Z,14,FALSE)+VLOOKUP($A258,A:AL,19,FALSE)-50),"-",(VLOOKUP($A258,'SegEnds_NonXtal_BW#'!$A:$Z,14,FALSE)+VLOOKUP($A258,A:AL,19,FALSE)-50))</f>
        <v>144</v>
      </c>
      <c r="U258" s="9">
        <f>IF(ISERROR(VLOOKUP($A258,'SegEnds_NonXtal_BW#'!$A:$Z,15,FALSE)+VLOOKUP($A258,A:AL,22,FALSE)-50),"-",VLOOKUP($A258,'SegEnds_NonXtal_BW#'!$A:$Z,15,FALSE)+VLOOKUP($A258,A:AL,22,FALSE)-50)</f>
        <v>145</v>
      </c>
      <c r="V258" s="3">
        <v>157</v>
      </c>
      <c r="W258" s="3">
        <f>IF(ISERROR(VLOOKUP($A258,'SegEnds_NonXtal_BW#'!$A:$Z,16,FALSE)+VLOOKUP($A258,A:AL,22,FALSE)-50),"-",(VLOOKUP($A258,'SegEnds_NonXtal_BW#'!$A:$Z,16,FALSE)+VLOOKUP($A258,A:AL,22,FALSE)-50))</f>
        <v>170</v>
      </c>
      <c r="X258" s="3">
        <f>Y258</f>
        <v>183</v>
      </c>
      <c r="Y258" s="3">
        <v>183</v>
      </c>
      <c r="Z258" s="3">
        <f>Y258+2</f>
        <v>185</v>
      </c>
      <c r="AA258" s="3">
        <f>IF(ISERROR(VLOOKUP($A258,'SegEnds_NonXtal_BW#'!$A:$Z,19,FALSE)+VLOOKUP($A258,A:AL,28,FALSE)-50),"-",(VLOOKUP($A258,'SegEnds_NonXtal_BW#'!$A:$Z,19,FALSE)+VLOOKUP($A258,A:AL,28,FALSE)-50))</f>
        <v>204</v>
      </c>
      <c r="AB258" s="3">
        <v>218</v>
      </c>
      <c r="AC258" s="3">
        <f>IF(ISERROR((VLOOKUP($A258,'SegEnds_NonXtal_BW#'!$A:$Z,20,FALSE)+VLOOKUP($A258,A:AL,28,FALSE)-50)),"-",(VLOOKUP($A258,'SegEnds_NonXtal_BW#'!$A:$Z,20,FALSE)+VLOOKUP($A258,A:AL,28,FALSE)-50))</f>
        <v>236</v>
      </c>
      <c r="AD258" s="3">
        <f>IF(ISERROR(VLOOKUP($A258,'SegEnds_NonXtal_BW#'!$A:$Z,21,FALSE)+VLOOKUP($A258,A:AL,31,FALSE)-50),"-",(VLOOKUP($A258,'SegEnds_NonXtal_BW#'!$A:$Z,21,FALSE)+VLOOKUP($A258,A:AL,31,FALSE)-50))</f>
        <v>240</v>
      </c>
      <c r="AE258" s="3">
        <v>260</v>
      </c>
      <c r="AF258" s="3">
        <f>IF(ISERROR((VLOOKUP($A258,'SegEnds_NonXtal_BW#'!$A:$Z,22,FALSE)+VLOOKUP($A258,A:AL,31,FALSE)-50)),"-",(VLOOKUP($A258,'SegEnds_NonXtal_BW#'!$A:$Z,22,FALSE)+VLOOKUP($A258,A:AL,31,FALSE)-50))</f>
        <v>274</v>
      </c>
      <c r="AG258" s="3">
        <f>IF(ISERROR(VLOOKUP($A258,'SegEnds_NonXtal_BW#'!$A:$Z,23,FALSE)+VLOOKUP($A258,A:AL,34,FALSE)-50),"-",(VLOOKUP($A258,'SegEnds_NonXtal_BW#'!$A:$Z,23,FALSE)+VLOOKUP($A258,A:AL,34,FALSE)-50))</f>
        <v>279</v>
      </c>
      <c r="AH258" s="3">
        <v>305</v>
      </c>
      <c r="AI258" s="3">
        <f>IF(ISERROR((VLOOKUP($A258,'SegEnds_NonXtal_BW#'!$A:$Z,24,FALSE)+VLOOKUP($A258,A:AL,34,FALSE)-50)),"-",(VLOOKUP($A258,'SegEnds_NonXtal_BW#'!$A:$Z,24,FALSE)+VLOOKUP($A258,A:AL,34,FALSE)-50))</f>
        <v>311</v>
      </c>
      <c r="AJ258" s="3">
        <f>IF(ISERROR(VLOOKUP($A258,'SegEnds_NonXtal_BW#'!$A:$Z,25,FALSE)+VLOOKUP($A258,A:AL,37,FALSE)-50),"-",(VLOOKUP($A258,'SegEnds_NonXtal_BW#'!$A:$Z,25,FALSE)+VLOOKUP($A258,A:AL,37,FALSE)-50))</f>
        <v>312</v>
      </c>
      <c r="AK258" s="3">
        <v>315</v>
      </c>
      <c r="AL258" s="3">
        <f>IF(ISERROR((VLOOKUP($A258,'SegEnds_NonXtal_BW#'!$A:$Z,26,FALSE)+VLOOKUP($A258,A:AL,37,FALSE)-50)),"-",(VLOOKUP($A258,'SegEnds_NonXtal_BW#'!$A:$Z,26,FALSE)+VLOOKUP($A258,A:AL,37,FALSE)-50))</f>
        <v>324</v>
      </c>
      <c r="AM258" s="28" t="str">
        <f>VLOOKUP(A258,Classification!A:B,2,FALSE)</f>
        <v>A</v>
      </c>
      <c r="AN258" s="28" t="b">
        <f t="shared" si="135"/>
        <v>1</v>
      </c>
      <c r="AO258" s="3" t="str">
        <f>IF(ISERROR(MATCH(A258,'SegEnds_Xtal_Prot#'!B:B, 0)), "NoXtal", "Xtal")</f>
        <v>NoXtal</v>
      </c>
      <c r="AP258" s="3" t="str">
        <f t="shared" ref="AP258:AP321" si="153">IF(ISERROR(F258-E258),"-",F258-E258)</f>
        <v>-</v>
      </c>
      <c r="AQ258" s="3" t="str">
        <f t="shared" ref="AQ258:AQ321" si="154">IF(ISERROR(I258-H258),"-",I258-H258)</f>
        <v>-</v>
      </c>
      <c r="AR258" s="3">
        <f t="shared" ref="AR258:AR321" si="155">IF(ISERROR(L258-K258),"-",L258-K258)</f>
        <v>3</v>
      </c>
      <c r="AS258" s="3">
        <f t="shared" ref="AS258:AS321" si="156">IF(ISERROR(O258-N258),"-",O258-N258)</f>
        <v>1</v>
      </c>
      <c r="AT258" s="3">
        <f t="shared" ref="AT258:AT321" si="157">IF(ISERROR(R258-Q258),"-",R258-Q258)</f>
        <v>1</v>
      </c>
      <c r="AU258" s="3">
        <f t="shared" ref="AU258:AU321" si="158">IF(ISERROR(U258-T258),"-",U258-T258)</f>
        <v>1</v>
      </c>
      <c r="AV258" s="3">
        <f t="shared" ref="AV258:AV321" si="159">IF(ISERROR(X258-W258),"-",X258-W258)</f>
        <v>13</v>
      </c>
      <c r="AW258" s="3">
        <f t="shared" ref="AW258:AW321" si="160">IF(ISERROR(AA258-Z258),"-",AA258-Z258)</f>
        <v>19</v>
      </c>
      <c r="AX258" s="3">
        <f t="shared" ref="AX258:AX321" si="161">IF(ISERROR(AD258-AC258),"-",AD258-AC258)</f>
        <v>4</v>
      </c>
      <c r="AY258" s="3">
        <f t="shared" ref="AY258:AY321" si="162">IF(ISERROR(AG258-AF258),"-",AG258-AF258)</f>
        <v>5</v>
      </c>
      <c r="AZ258" s="3">
        <f t="shared" ref="AZ258:AZ321" si="163">IF(ISERROR(AJ258-AI258),"-",AJ258-AI258)</f>
        <v>1</v>
      </c>
      <c r="BA258" s="3">
        <f>IF(ISERROR(LEN(VLOOKUP(A258,Seqs!A:E,2,FALSE))-AL258),"-",LEN(VLOOKUP(A258,Seqs!A:E,2,FALSE))-AL258)</f>
        <v>19</v>
      </c>
      <c r="BB258" s="16">
        <f t="shared" ref="BB258:BB321" si="164">J258-D258</f>
        <v>32</v>
      </c>
      <c r="BC258" s="9">
        <f t="shared" ref="BC258:BC321" si="165">IF(ISERROR(V258-S258),"-",V258-S258)</f>
        <v>20</v>
      </c>
      <c r="BD258" s="3">
        <f t="shared" ref="BD258:BD321" si="166">J258-D258</f>
        <v>32</v>
      </c>
      <c r="BE258" s="3">
        <f t="shared" ref="BE258:BE321" si="167">AE258-AB258</f>
        <v>42</v>
      </c>
      <c r="BF258" s="3">
        <f t="shared" si="147"/>
        <v>45</v>
      </c>
    </row>
    <row r="259" spans="1:58" s="3" customFormat="1" x14ac:dyDescent="0.2">
      <c r="A259" s="3" t="s">
        <v>474</v>
      </c>
      <c r="B259" s="3" t="str">
        <f>LOWER(VLOOKUP(A259,Xtal_Templ!A:B,2,FALSE))</f>
        <v>cxcr4_human</v>
      </c>
      <c r="C259" s="3">
        <f>VLOOKUP($A259,'SegEnds_NonXtal_BW#'!$A:$Z,3,FALSE)+D259-50</f>
        <v>6</v>
      </c>
      <c r="D259" s="3">
        <v>24</v>
      </c>
      <c r="E259" s="3">
        <f t="shared" ref="E259:E265" si="168">F259-1</f>
        <v>36</v>
      </c>
      <c r="F259" s="3">
        <f t="shared" ref="F259:F286" si="169">G259-2</f>
        <v>37</v>
      </c>
      <c r="G259" s="3">
        <v>39</v>
      </c>
      <c r="H259" s="3">
        <f t="shared" ref="H259:I286" si="170">G259+1</f>
        <v>40</v>
      </c>
      <c r="I259" s="3">
        <f t="shared" si="170"/>
        <v>41</v>
      </c>
      <c r="J259" s="3">
        <v>55</v>
      </c>
      <c r="K259" s="3">
        <f>VLOOKUP($A259,'SegEnds_NonXtal_BW#'!$A:$Z,8,FALSE)+VLOOKUP($A259,A:AL,10,FALSE)-50</f>
        <v>71</v>
      </c>
      <c r="L259" s="3" t="str">
        <f>IF(ISERROR(VLOOKUP($A259,'SegEnds_NonXtal_BW#'!$A:$Z,9,FALSE)+VLOOKUP($A259,A:AL,13,FALSE)-50),"-",(VLOOKUP($A259,'SegEnds_NonXtal_BW#'!$A:$Z,9,FALSE)+VLOOKUP($A259,A:AL,13,FALSE)-50))</f>
        <v>-</v>
      </c>
      <c r="M259" s="3" t="s">
        <v>23</v>
      </c>
      <c r="N259" s="3" t="str">
        <f>IF(ISERROR(VLOOKUP($A259,'SegEnds_NonXtal_BW#'!$A:$Z,10,FALSE)+VLOOKUP($A259,A:AL,13,FALSE)-50),"-",(VLOOKUP($A259,'SegEnds_NonXtal_BW#'!$A:$Z,10,FALSE)+VLOOKUP($A259,A:AL,13,FALSE)-50))</f>
        <v>-</v>
      </c>
      <c r="O259" s="3">
        <f>VLOOKUP($A259,'SegEnds_NonXtal_BW#'!$A:$Z,11,FALSE)+VLOOKUP($A259,A:AL,16,FALSE)-50</f>
        <v>77</v>
      </c>
      <c r="P259" s="3">
        <v>103</v>
      </c>
      <c r="Q259" s="3">
        <f>VLOOKUP($A259,'SegEnds_NonXtal_BW#'!$A:$Z,12,FALSE)+VLOOKUP($A259,A:AL,16,FALSE)-50</f>
        <v>109</v>
      </c>
      <c r="R259" s="3">
        <f t="shared" ref="R259:R265" si="171">S259</f>
        <v>112</v>
      </c>
      <c r="S259" s="3">
        <v>112</v>
      </c>
      <c r="T259" s="103">
        <f t="shared" ref="T259:T265" si="172">S259+7</f>
        <v>119</v>
      </c>
      <c r="U259" s="9">
        <f>IF(ISERROR(VLOOKUP($A259,'SegEnds_NonXtal_BW#'!$A:$Z,15,FALSE)+VLOOKUP($A259,A:AL,22,FALSE)-50),"-",VLOOKUP($A259,'SegEnds_NonXtal_BW#'!$A:$Z,15,FALSE)+VLOOKUP($A259,A:AL,22,FALSE)-50)</f>
        <v>120</v>
      </c>
      <c r="V259" s="3">
        <v>132</v>
      </c>
      <c r="W259" s="3">
        <f>IF(ISERROR(VLOOKUP($A259,'SegEnds_NonXtal_BW#'!$A:$Z,16,FALSE)+VLOOKUP($A259,A:AL,22,FALSE)-50),"-",(VLOOKUP($A259,'SegEnds_NonXtal_BW#'!$A:$Z,16,FALSE)+VLOOKUP($A259,A:AL,22,FALSE)-50))</f>
        <v>146</v>
      </c>
      <c r="X259" s="3" t="str">
        <f>IF(ISERROR(VLOOKUP($A259,'SegEnds_NonXtal_BW#'!$A:$Z,17,FALSE)+VLOOKUP($A259,A:AL,25,FALSE)-50),"-",(VLOOKUP($A259,'SegEnds_NonXtal_BW#'!$A:$Z,17,FALSE)+VLOOKUP($A259,A:AL,25,FALSE)-50))</f>
        <v>-</v>
      </c>
      <c r="Y259" s="3" t="s">
        <v>23</v>
      </c>
      <c r="Z259" s="3" t="str">
        <f>IF(ISERROR(VLOOKUP($A259,'SegEnds_NonXtal_BW#'!$A:$Z,18,FALSE)+VLOOKUP($A259,A:AL,25,FALSE)-50),"-",(VLOOKUP($A259,'SegEnds_NonXtal_BW#'!$A:$Z,18,FALSE)+VLOOKUP($A259,A:AL,25,FALSE)-50))</f>
        <v>-</v>
      </c>
      <c r="AA259" s="3">
        <f>IF(ISERROR(VLOOKUP($A259,'SegEnds_NonXtal_BW#'!$A:$Z,19,FALSE)+VLOOKUP($A259,A:AL,28,FALSE)-50),"-",(VLOOKUP($A259,'SegEnds_NonXtal_BW#'!$A:$Z,19,FALSE)+VLOOKUP($A259,A:AL,28,FALSE)-50))</f>
        <v>168</v>
      </c>
      <c r="AB259" s="3">
        <v>186</v>
      </c>
      <c r="AC259" s="3">
        <f>IF(ISERROR((VLOOKUP($A259,'SegEnds_NonXtal_BW#'!$A:$Z,20,FALSE)+VLOOKUP($A259,A:AL,28,FALSE)-50)),"-",(VLOOKUP($A259,'SegEnds_NonXtal_BW#'!$A:$Z,20,FALSE)+VLOOKUP($A259,A:AL,28,FALSE)-50))</f>
        <v>208</v>
      </c>
      <c r="AD259" s="3">
        <f>IF(ISERROR(VLOOKUP($A259,'SegEnds_NonXtal_BW#'!$A:$Z,21,FALSE)+VLOOKUP($A259,A:AL,31,FALSE)-50),"-",(VLOOKUP($A259,'SegEnds_NonXtal_BW#'!$A:$Z,21,FALSE)+VLOOKUP($A259,A:AL,31,FALSE)-50))</f>
        <v>218</v>
      </c>
      <c r="AE259" s="3">
        <v>239</v>
      </c>
      <c r="AF259" s="3">
        <f>IF(ISERROR((VLOOKUP($A259,'SegEnds_NonXtal_BW#'!$A:$Z,22,FALSE)+VLOOKUP($A259,A:AL,31,FALSE)-50)),"-",(VLOOKUP($A259,'SegEnds_NonXtal_BW#'!$A:$Z,22,FALSE)+VLOOKUP($A259,A:AL,31,FALSE)-50))</f>
        <v>250</v>
      </c>
      <c r="AG259" s="3">
        <f>IF(ISERROR(VLOOKUP($A259,'SegEnds_NonXtal_BW#'!$A:$Z,23,FALSE)+VLOOKUP($A259,A:AL,34,FALSE)-50),"-",(VLOOKUP($A259,'SegEnds_NonXtal_BW#'!$A:$Z,23,FALSE)+VLOOKUP($A259,A:AL,34,FALSE)-50))</f>
        <v>255</v>
      </c>
      <c r="AH259" s="3">
        <v>274</v>
      </c>
      <c r="AI259" s="3">
        <f>IF(ISERROR((VLOOKUP($A259,'SegEnds_NonXtal_BW#'!$A:$Z,24,FALSE)+VLOOKUP($A259,A:AL,34,FALSE)-50)),"-",(VLOOKUP($A259,'SegEnds_NonXtal_BW#'!$A:$Z,24,FALSE)+VLOOKUP($A259,A:AL,34,FALSE)-50))</f>
        <v>280</v>
      </c>
      <c r="AJ259" s="3">
        <f>IF(ISERROR(VLOOKUP($A259,'SegEnds_NonXtal_BW#'!$A:$Z,25,FALSE)+VLOOKUP($A259,A:AL,37,FALSE)-50),"-",(VLOOKUP($A259,'SegEnds_NonXtal_BW#'!$A:$Z,25,FALSE)+VLOOKUP($A259,A:AL,37,FALSE)-50))</f>
        <v>281</v>
      </c>
      <c r="AK259" s="3">
        <v>284</v>
      </c>
      <c r="AL259" s="3">
        <f>IF(ISERROR((VLOOKUP($A259,'SegEnds_NonXtal_BW#'!$A:$Z,26,FALSE)+VLOOKUP($A259,A:AL,37,FALSE)-50)),"-",(VLOOKUP($A259,'SegEnds_NonXtal_BW#'!$A:$Z,26,FALSE)+VLOOKUP($A259,A:AL,37,FALSE)-50))</f>
        <v>294</v>
      </c>
      <c r="AM259" s="28" t="str">
        <f>VLOOKUP(A259,Classification!A:B,2,FALSE)</f>
        <v>T</v>
      </c>
      <c r="AN259" s="28" t="b">
        <f t="shared" si="135"/>
        <v>1</v>
      </c>
      <c r="AO259" s="3" t="str">
        <f>IF(ISERROR(MATCH(A259,'SegEnds_Xtal_Prot#'!B:B, 0)), "NoXtal", "Xtal")</f>
        <v>NoXtal</v>
      </c>
      <c r="AP259" s="3">
        <f t="shared" si="153"/>
        <v>1</v>
      </c>
      <c r="AQ259" s="3">
        <f t="shared" si="154"/>
        <v>1</v>
      </c>
      <c r="AR259" s="3" t="str">
        <f t="shared" si="155"/>
        <v>-</v>
      </c>
      <c r="AS259" s="3" t="str">
        <f t="shared" si="156"/>
        <v>-</v>
      </c>
      <c r="AT259" s="3">
        <f t="shared" si="157"/>
        <v>3</v>
      </c>
      <c r="AU259" s="3">
        <f t="shared" si="158"/>
        <v>1</v>
      </c>
      <c r="AV259" s="3" t="str">
        <f t="shared" si="159"/>
        <v>-</v>
      </c>
      <c r="AW259" s="3" t="str">
        <f t="shared" si="160"/>
        <v>-</v>
      </c>
      <c r="AX259" s="3">
        <f t="shared" si="161"/>
        <v>10</v>
      </c>
      <c r="AY259" s="3">
        <f t="shared" si="162"/>
        <v>5</v>
      </c>
      <c r="AZ259" s="3">
        <f t="shared" si="163"/>
        <v>1</v>
      </c>
      <c r="BA259" s="3">
        <f>IF(ISERROR(LEN(VLOOKUP(A259,Seqs!A:E,2,FALSE))-AL259),"-",LEN(VLOOKUP(A259,Seqs!A:E,2,FALSE))-AL259)</f>
        <v>5</v>
      </c>
      <c r="BB259" s="16">
        <f t="shared" si="164"/>
        <v>31</v>
      </c>
      <c r="BC259" s="9">
        <f t="shared" si="165"/>
        <v>20</v>
      </c>
      <c r="BD259" s="3">
        <f t="shared" si="166"/>
        <v>31</v>
      </c>
      <c r="BE259" s="3">
        <f t="shared" si="167"/>
        <v>53</v>
      </c>
      <c r="BF259" s="3">
        <f t="shared" si="147"/>
        <v>35</v>
      </c>
    </row>
    <row r="260" spans="1:58" s="3" customFormat="1" x14ac:dyDescent="0.2">
      <c r="A260" s="3" t="s">
        <v>475</v>
      </c>
      <c r="B260" s="3" t="str">
        <f>LOWER(VLOOKUP(A260,Xtal_Templ!A:B,2,FALSE))</f>
        <v>agtr1_human</v>
      </c>
      <c r="C260" s="3">
        <f>VLOOKUP($A260,'SegEnds_NonXtal_BW#'!$A:$Z,3,FALSE)+D260-50</f>
        <v>6</v>
      </c>
      <c r="D260" s="3">
        <v>24</v>
      </c>
      <c r="E260" s="3">
        <f t="shared" si="168"/>
        <v>36</v>
      </c>
      <c r="F260" s="3">
        <f t="shared" si="169"/>
        <v>37</v>
      </c>
      <c r="G260" s="3">
        <v>39</v>
      </c>
      <c r="H260" s="3">
        <f t="shared" si="170"/>
        <v>40</v>
      </c>
      <c r="I260" s="3">
        <f t="shared" si="170"/>
        <v>41</v>
      </c>
      <c r="J260" s="3">
        <v>55</v>
      </c>
      <c r="K260" s="3">
        <f>VLOOKUP($A260,'SegEnds_NonXtal_BW#'!$A:$Z,8,FALSE)+VLOOKUP($A260,A:AL,10,FALSE)-50</f>
        <v>72</v>
      </c>
      <c r="L260" s="3" t="str">
        <f>IF(ISERROR(VLOOKUP($A260,'SegEnds_NonXtal_BW#'!$A:$Z,9,FALSE)+VLOOKUP($A260,A:AL,13,FALSE)-50),"-",(VLOOKUP($A260,'SegEnds_NonXtal_BW#'!$A:$Z,9,FALSE)+VLOOKUP($A260,A:AL,13,FALSE)-50))</f>
        <v>-</v>
      </c>
      <c r="M260" s="3" t="s">
        <v>23</v>
      </c>
      <c r="N260" s="3" t="str">
        <f>IF(ISERROR(VLOOKUP($A260,'SegEnds_NonXtal_BW#'!$A:$Z,10,FALSE)+VLOOKUP($A260,A:AL,13,FALSE)-50),"-",(VLOOKUP($A260,'SegEnds_NonXtal_BW#'!$A:$Z,10,FALSE)+VLOOKUP($A260,A:AL,13,FALSE)-50))</f>
        <v>-</v>
      </c>
      <c r="O260" s="3">
        <f>VLOOKUP($A260,'SegEnds_NonXtal_BW#'!$A:$Z,11,FALSE)+VLOOKUP($A260,A:AL,16,FALSE)-50</f>
        <v>78</v>
      </c>
      <c r="P260" s="3">
        <v>107</v>
      </c>
      <c r="Q260" s="3">
        <f>VLOOKUP($A260,'SegEnds_NonXtal_BW#'!$A:$Z,12,FALSE)+VLOOKUP($A260,A:AL,16,FALSE)-50</f>
        <v>113</v>
      </c>
      <c r="R260" s="3">
        <f t="shared" si="171"/>
        <v>116</v>
      </c>
      <c r="S260" s="3">
        <v>116</v>
      </c>
      <c r="T260" s="103">
        <f t="shared" si="172"/>
        <v>123</v>
      </c>
      <c r="U260" s="9">
        <f>IF(ISERROR(VLOOKUP($A260,'SegEnds_NonXtal_BW#'!$A:$Z,15,FALSE)+VLOOKUP($A260,A:AL,22,FALSE)-50),"-",VLOOKUP($A260,'SegEnds_NonXtal_BW#'!$A:$Z,15,FALSE)+VLOOKUP($A260,A:AL,22,FALSE)-50)</f>
        <v>124</v>
      </c>
      <c r="V260" s="3">
        <v>136</v>
      </c>
      <c r="W260" s="3">
        <f>IF(ISERROR(VLOOKUP($A260,'SegEnds_NonXtal_BW#'!$A:$Z,16,FALSE)+VLOOKUP($A260,A:AL,22,FALSE)-50),"-",(VLOOKUP($A260,'SegEnds_NonXtal_BW#'!$A:$Z,16,FALSE)+VLOOKUP($A260,A:AL,22,FALSE)-50))</f>
        <v>150</v>
      </c>
      <c r="X260" s="3" t="str">
        <f>IF(ISERROR(VLOOKUP($A260,'SegEnds_NonXtal_BW#'!$A:$Z,17,FALSE)+VLOOKUP($A260,A:AL,25,FALSE)-50),"-",(VLOOKUP($A260,'SegEnds_NonXtal_BW#'!$A:$Z,17,FALSE)+VLOOKUP($A260,A:AL,25,FALSE)-50))</f>
        <v>-</v>
      </c>
      <c r="Y260" s="3" t="s">
        <v>23</v>
      </c>
      <c r="Z260" s="3" t="str">
        <f>IF(ISERROR(VLOOKUP($A260,'SegEnds_NonXtal_BW#'!$A:$Z,18,FALSE)+VLOOKUP($A260,A:AL,25,FALSE)-50),"-",(VLOOKUP($A260,'SegEnds_NonXtal_BW#'!$A:$Z,18,FALSE)+VLOOKUP($A260,A:AL,25,FALSE)-50))</f>
        <v>-</v>
      </c>
      <c r="AA260" s="3">
        <f>IF(ISERROR(VLOOKUP($A260,'SegEnds_NonXtal_BW#'!$A:$Z,19,FALSE)+VLOOKUP($A260,A:AL,28,FALSE)-50),"-",(VLOOKUP($A260,'SegEnds_NonXtal_BW#'!$A:$Z,19,FALSE)+VLOOKUP($A260,A:AL,28,FALSE)-50))</f>
        <v>174</v>
      </c>
      <c r="AB260" s="3">
        <v>192</v>
      </c>
      <c r="AC260" s="3">
        <f>IF(ISERROR((VLOOKUP($A260,'SegEnds_NonXtal_BW#'!$A:$Z,20,FALSE)+VLOOKUP($A260,A:AL,28,FALSE)-50)),"-",(VLOOKUP($A260,'SegEnds_NonXtal_BW#'!$A:$Z,20,FALSE)+VLOOKUP($A260,A:AL,28,FALSE)-50))</f>
        <v>214</v>
      </c>
      <c r="AD260" s="3">
        <f>IF(ISERROR(VLOOKUP($A260,'SegEnds_NonXtal_BW#'!$A:$Z,21,FALSE)+VLOOKUP($A260,A:AL,31,FALSE)-50),"-",(VLOOKUP($A260,'SegEnds_NonXtal_BW#'!$A:$Z,21,FALSE)+VLOOKUP($A260,A:AL,31,FALSE)-50))</f>
        <v>224</v>
      </c>
      <c r="AE260" s="3">
        <v>245</v>
      </c>
      <c r="AF260" s="3">
        <f>IF(ISERROR((VLOOKUP($A260,'SegEnds_NonXtal_BW#'!$A:$Z,22,FALSE)+VLOOKUP($A260,A:AL,31,FALSE)-50)),"-",(VLOOKUP($A260,'SegEnds_NonXtal_BW#'!$A:$Z,22,FALSE)+VLOOKUP($A260,A:AL,31,FALSE)-50))</f>
        <v>256</v>
      </c>
      <c r="AG260" s="3">
        <f>IF(ISERROR(VLOOKUP($A260,'SegEnds_NonXtal_BW#'!$A:$Z,23,FALSE)+VLOOKUP($A260,A:AL,34,FALSE)-50),"-",(VLOOKUP($A260,'SegEnds_NonXtal_BW#'!$A:$Z,23,FALSE)+VLOOKUP($A260,A:AL,34,FALSE)-50))</f>
        <v>262</v>
      </c>
      <c r="AH260" s="3">
        <v>281</v>
      </c>
      <c r="AI260" s="3">
        <f>IF(ISERROR((VLOOKUP($A260,'SegEnds_NonXtal_BW#'!$A:$Z,24,FALSE)+VLOOKUP($A260,A:AL,34,FALSE)-50)),"-",(VLOOKUP($A260,'SegEnds_NonXtal_BW#'!$A:$Z,24,FALSE)+VLOOKUP($A260,A:AL,34,FALSE)-50))</f>
        <v>287</v>
      </c>
      <c r="AJ260" s="3">
        <f>IF(ISERROR(VLOOKUP($A260,'SegEnds_NonXtal_BW#'!$A:$Z,25,FALSE)+VLOOKUP($A260,A:AL,37,FALSE)-50),"-",(VLOOKUP($A260,'SegEnds_NonXtal_BW#'!$A:$Z,25,FALSE)+VLOOKUP($A260,A:AL,37,FALSE)-50))</f>
        <v>288</v>
      </c>
      <c r="AK260" s="3">
        <v>291</v>
      </c>
      <c r="AL260" s="3">
        <f>IF(ISERROR((VLOOKUP($A260,'SegEnds_NonXtal_BW#'!$A:$Z,26,FALSE)+VLOOKUP($A260,A:AL,37,FALSE)-50)),"-",(VLOOKUP($A260,'SegEnds_NonXtal_BW#'!$A:$Z,26,FALSE)+VLOOKUP($A260,A:AL,37,FALSE)-50))</f>
        <v>301</v>
      </c>
      <c r="AM260" s="28" t="str">
        <f>VLOOKUP(A260,Classification!A:B,2,FALSE)</f>
        <v>T</v>
      </c>
      <c r="AN260" s="28" t="b">
        <f t="shared" si="135"/>
        <v>1</v>
      </c>
      <c r="AO260" s="3" t="str">
        <f>IF(ISERROR(MATCH(A260,'SegEnds_Xtal_Prot#'!B:B, 0)), "NoXtal", "Xtal")</f>
        <v>NoXtal</v>
      </c>
      <c r="AP260" s="3">
        <f t="shared" si="153"/>
        <v>1</v>
      </c>
      <c r="AQ260" s="3">
        <f t="shared" si="154"/>
        <v>1</v>
      </c>
      <c r="AR260" s="3" t="str">
        <f t="shared" si="155"/>
        <v>-</v>
      </c>
      <c r="AS260" s="3" t="str">
        <f t="shared" si="156"/>
        <v>-</v>
      </c>
      <c r="AT260" s="3">
        <f t="shared" si="157"/>
        <v>3</v>
      </c>
      <c r="AU260" s="3">
        <f t="shared" si="158"/>
        <v>1</v>
      </c>
      <c r="AV260" s="3" t="str">
        <f t="shared" si="159"/>
        <v>-</v>
      </c>
      <c r="AW260" s="3" t="str">
        <f t="shared" si="160"/>
        <v>-</v>
      </c>
      <c r="AX260" s="3">
        <f t="shared" si="161"/>
        <v>10</v>
      </c>
      <c r="AY260" s="3">
        <f t="shared" si="162"/>
        <v>6</v>
      </c>
      <c r="AZ260" s="3">
        <f t="shared" si="163"/>
        <v>1</v>
      </c>
      <c r="BA260" s="3">
        <f>IF(ISERROR(LEN(VLOOKUP(A260,Seqs!A:E,2,FALSE))-AL260),"-",LEN(VLOOKUP(A260,Seqs!A:E,2,FALSE))-AL260)</f>
        <v>15</v>
      </c>
      <c r="BB260" s="16">
        <f t="shared" si="164"/>
        <v>31</v>
      </c>
      <c r="BC260" s="9">
        <f t="shared" si="165"/>
        <v>20</v>
      </c>
      <c r="BD260" s="3">
        <f t="shared" si="166"/>
        <v>31</v>
      </c>
      <c r="BE260" s="3">
        <f t="shared" si="167"/>
        <v>53</v>
      </c>
      <c r="BF260" s="3">
        <f t="shared" si="147"/>
        <v>36</v>
      </c>
    </row>
    <row r="261" spans="1:58" s="3" customFormat="1" x14ac:dyDescent="0.2">
      <c r="A261" s="3" t="s">
        <v>476</v>
      </c>
      <c r="B261" s="3" t="str">
        <f>LOWER(VLOOKUP(A261,Xtal_Templ!A:B,2,FALSE))</f>
        <v>5ht1b_human</v>
      </c>
      <c r="C261" s="3">
        <f>VLOOKUP($A261,'SegEnds_NonXtal_BW#'!$A:$Z,3,FALSE)+D261-50</f>
        <v>6</v>
      </c>
      <c r="D261" s="3">
        <v>24</v>
      </c>
      <c r="E261" s="3">
        <f t="shared" si="168"/>
        <v>36</v>
      </c>
      <c r="F261" s="3">
        <f t="shared" si="169"/>
        <v>37</v>
      </c>
      <c r="G261" s="3">
        <v>39</v>
      </c>
      <c r="H261" s="3">
        <f t="shared" si="170"/>
        <v>40</v>
      </c>
      <c r="I261" s="3">
        <f t="shared" si="170"/>
        <v>41</v>
      </c>
      <c r="J261" s="3">
        <v>55</v>
      </c>
      <c r="K261" s="3">
        <f>VLOOKUP($A261,'SegEnds_NonXtal_BW#'!$A:$Z,8,FALSE)+VLOOKUP($A261,A:AL,10,FALSE)-50</f>
        <v>71</v>
      </c>
      <c r="L261" s="3" t="str">
        <f>IF(ISERROR(VLOOKUP($A261,'SegEnds_NonXtal_BW#'!$A:$Z,9,FALSE)+VLOOKUP($A261,A:AL,13,FALSE)-50),"-",(VLOOKUP($A261,'SegEnds_NonXtal_BW#'!$A:$Z,9,FALSE)+VLOOKUP($A261,A:AL,13,FALSE)-50))</f>
        <v>-</v>
      </c>
      <c r="M261" s="3" t="s">
        <v>23</v>
      </c>
      <c r="N261" s="3" t="str">
        <f>IF(ISERROR(VLOOKUP($A261,'SegEnds_NonXtal_BW#'!$A:$Z,10,FALSE)+VLOOKUP($A261,A:AL,13,FALSE)-50),"-",(VLOOKUP($A261,'SegEnds_NonXtal_BW#'!$A:$Z,10,FALSE)+VLOOKUP($A261,A:AL,13,FALSE)-50))</f>
        <v>-</v>
      </c>
      <c r="O261" s="3">
        <f>VLOOKUP($A261,'SegEnds_NonXtal_BW#'!$A:$Z,11,FALSE)+VLOOKUP($A261,A:AL,16,FALSE)-50</f>
        <v>77</v>
      </c>
      <c r="P261" s="3">
        <v>106</v>
      </c>
      <c r="Q261" s="3">
        <f>VLOOKUP($A261,'SegEnds_NonXtal_BW#'!$A:$Z,12,FALSE)+VLOOKUP($A261,A:AL,16,FALSE)-50</f>
        <v>112</v>
      </c>
      <c r="R261" s="3">
        <f t="shared" si="171"/>
        <v>115</v>
      </c>
      <c r="S261" s="3">
        <v>115</v>
      </c>
      <c r="T261" s="103">
        <f t="shared" si="172"/>
        <v>122</v>
      </c>
      <c r="U261" s="9">
        <f>IF(ISERROR(VLOOKUP($A261,'SegEnds_NonXtal_BW#'!$A:$Z,15,FALSE)+VLOOKUP($A261,A:AL,22,FALSE)-50),"-",VLOOKUP($A261,'SegEnds_NonXtal_BW#'!$A:$Z,15,FALSE)+VLOOKUP($A261,A:AL,22,FALSE)-50)</f>
        <v>123</v>
      </c>
      <c r="V261" s="3">
        <v>135</v>
      </c>
      <c r="W261" s="3">
        <f>IF(ISERROR(VLOOKUP($A261,'SegEnds_NonXtal_BW#'!$A:$Z,16,FALSE)+VLOOKUP($A261,A:AL,22,FALSE)-50),"-",(VLOOKUP($A261,'SegEnds_NonXtal_BW#'!$A:$Z,16,FALSE)+VLOOKUP($A261,A:AL,22,FALSE)-50))</f>
        <v>148</v>
      </c>
      <c r="X261" s="3" t="str">
        <f>IF(ISERROR(VLOOKUP($A261,'SegEnds_NonXtal_BW#'!$A:$Z,17,FALSE)+VLOOKUP($A261,A:AL,25,FALSE)-50),"-",(VLOOKUP($A261,'SegEnds_NonXtal_BW#'!$A:$Z,17,FALSE)+VLOOKUP($A261,A:AL,25,FALSE)-50))</f>
        <v>-</v>
      </c>
      <c r="Y261" s="3" t="s">
        <v>23</v>
      </c>
      <c r="Z261" s="3" t="str">
        <f>IF(ISERROR(VLOOKUP($A261,'SegEnds_NonXtal_BW#'!$A:$Z,18,FALSE)+VLOOKUP($A261,A:AL,25,FALSE)-50),"-",(VLOOKUP($A261,'SegEnds_NonXtal_BW#'!$A:$Z,18,FALSE)+VLOOKUP($A261,A:AL,25,FALSE)-50))</f>
        <v>-</v>
      </c>
      <c r="AA261" s="3">
        <f>IF(ISERROR(VLOOKUP($A261,'SegEnds_NonXtal_BW#'!$A:$Z,19,FALSE)+VLOOKUP($A261,A:AL,28,FALSE)-50),"-",(VLOOKUP($A261,'SegEnds_NonXtal_BW#'!$A:$Z,19,FALSE)+VLOOKUP($A261,A:AL,28,FALSE)-50))</f>
        <v>170</v>
      </c>
      <c r="AB261" s="3">
        <v>188</v>
      </c>
      <c r="AC261" s="3">
        <f>IF(ISERROR((VLOOKUP($A261,'SegEnds_NonXtal_BW#'!$A:$Z,20,FALSE)+VLOOKUP($A261,A:AL,28,FALSE)-50)),"-",(VLOOKUP($A261,'SegEnds_NonXtal_BW#'!$A:$Z,20,FALSE)+VLOOKUP($A261,A:AL,28,FALSE)-50))</f>
        <v>210</v>
      </c>
      <c r="AD261" s="3">
        <f>IF(ISERROR(VLOOKUP($A261,'SegEnds_NonXtal_BW#'!$A:$Z,21,FALSE)+VLOOKUP($A261,A:AL,31,FALSE)-50),"-",(VLOOKUP($A261,'SegEnds_NonXtal_BW#'!$A:$Z,21,FALSE)+VLOOKUP($A261,A:AL,31,FALSE)-50))</f>
        <v>220</v>
      </c>
      <c r="AE261" s="3">
        <v>241</v>
      </c>
      <c r="AF261" s="3">
        <f>IF(ISERROR((VLOOKUP($A261,'SegEnds_NonXtal_BW#'!$A:$Z,22,FALSE)+VLOOKUP($A261,A:AL,31,FALSE)-50)),"-",(VLOOKUP($A261,'SegEnds_NonXtal_BW#'!$A:$Z,22,FALSE)+VLOOKUP($A261,A:AL,31,FALSE)-50))</f>
        <v>252</v>
      </c>
      <c r="AG261" s="3">
        <f>IF(ISERROR(VLOOKUP($A261,'SegEnds_NonXtal_BW#'!$A:$Z,23,FALSE)+VLOOKUP($A261,A:AL,34,FALSE)-50),"-",(VLOOKUP($A261,'SegEnds_NonXtal_BW#'!$A:$Z,23,FALSE)+VLOOKUP($A261,A:AL,34,FALSE)-50))</f>
        <v>258</v>
      </c>
      <c r="AH261" s="3">
        <v>277</v>
      </c>
      <c r="AI261" s="3">
        <f>IF(ISERROR((VLOOKUP($A261,'SegEnds_NonXtal_BW#'!$A:$Z,24,FALSE)+VLOOKUP($A261,A:AL,34,FALSE)-50)),"-",(VLOOKUP($A261,'SegEnds_NonXtal_BW#'!$A:$Z,24,FALSE)+VLOOKUP($A261,A:AL,34,FALSE)-50))</f>
        <v>283</v>
      </c>
      <c r="AJ261" s="3">
        <f>IF(ISERROR(VLOOKUP($A261,'SegEnds_NonXtal_BW#'!$A:$Z,25,FALSE)+VLOOKUP($A261,A:AL,37,FALSE)-50),"-",(VLOOKUP($A261,'SegEnds_NonXtal_BW#'!$A:$Z,25,FALSE)+VLOOKUP($A261,A:AL,37,FALSE)-50))</f>
        <v>284</v>
      </c>
      <c r="AK261" s="3">
        <v>287</v>
      </c>
      <c r="AL261" s="3">
        <f>IF(ISERROR((VLOOKUP($A261,'SegEnds_NonXtal_BW#'!$A:$Z,26,FALSE)+VLOOKUP($A261,A:AL,37,FALSE)-50)),"-",(VLOOKUP($A261,'SegEnds_NonXtal_BW#'!$A:$Z,26,FALSE)+VLOOKUP($A261,A:AL,37,FALSE)-50))</f>
        <v>297</v>
      </c>
      <c r="AM261" s="28" t="str">
        <f>VLOOKUP(A261,Classification!A:B,2,FALSE)</f>
        <v>T</v>
      </c>
      <c r="AN261" s="28" t="b">
        <f t="shared" si="135"/>
        <v>1</v>
      </c>
      <c r="AO261" s="3" t="str">
        <f>IF(ISERROR(MATCH(A261,'SegEnds_Xtal_Prot#'!B:B, 0)), "NoXtal", "Xtal")</f>
        <v>NoXtal</v>
      </c>
      <c r="AP261" s="3">
        <f t="shared" si="153"/>
        <v>1</v>
      </c>
      <c r="AQ261" s="3">
        <f t="shared" si="154"/>
        <v>1</v>
      </c>
      <c r="AR261" s="3" t="str">
        <f t="shared" si="155"/>
        <v>-</v>
      </c>
      <c r="AS261" s="3" t="str">
        <f t="shared" si="156"/>
        <v>-</v>
      </c>
      <c r="AT261" s="3">
        <f t="shared" si="157"/>
        <v>3</v>
      </c>
      <c r="AU261" s="3">
        <f t="shared" si="158"/>
        <v>1</v>
      </c>
      <c r="AV261" s="3" t="str">
        <f t="shared" si="159"/>
        <v>-</v>
      </c>
      <c r="AW261" s="3" t="str">
        <f t="shared" si="160"/>
        <v>-</v>
      </c>
      <c r="AX261" s="3">
        <f t="shared" si="161"/>
        <v>10</v>
      </c>
      <c r="AY261" s="3">
        <f t="shared" si="162"/>
        <v>6</v>
      </c>
      <c r="AZ261" s="3">
        <f t="shared" si="163"/>
        <v>1</v>
      </c>
      <c r="BA261" s="3">
        <f>IF(ISERROR(LEN(VLOOKUP(A261,Seqs!A:E,2,FALSE))-AL261),"-",LEN(VLOOKUP(A261,Seqs!A:E,2,FALSE))-AL261)</f>
        <v>2</v>
      </c>
      <c r="BB261" s="16">
        <f t="shared" si="164"/>
        <v>31</v>
      </c>
      <c r="BC261" s="9">
        <f t="shared" si="165"/>
        <v>20</v>
      </c>
      <c r="BD261" s="3">
        <f t="shared" si="166"/>
        <v>31</v>
      </c>
      <c r="BE261" s="3">
        <f t="shared" si="167"/>
        <v>53</v>
      </c>
      <c r="BF261" s="3">
        <f t="shared" si="147"/>
        <v>36</v>
      </c>
    </row>
    <row r="262" spans="1:58" s="3" customFormat="1" x14ac:dyDescent="0.2">
      <c r="A262" s="3" t="s">
        <v>477</v>
      </c>
      <c r="B262" s="3" t="str">
        <f>LOWER(VLOOKUP(A262,Xtal_Templ!A:B,2,FALSE))</f>
        <v>hrh1_human</v>
      </c>
      <c r="C262" s="3">
        <f>VLOOKUP($A262,'SegEnds_NonXtal_BW#'!$A:$Z,3,FALSE)+D262-50</f>
        <v>6</v>
      </c>
      <c r="D262" s="3">
        <v>24</v>
      </c>
      <c r="E262" s="3">
        <f t="shared" si="168"/>
        <v>36</v>
      </c>
      <c r="F262" s="3">
        <f t="shared" si="169"/>
        <v>37</v>
      </c>
      <c r="G262" s="3">
        <v>39</v>
      </c>
      <c r="H262" s="3">
        <f t="shared" si="170"/>
        <v>40</v>
      </c>
      <c r="I262" s="3">
        <f t="shared" si="170"/>
        <v>41</v>
      </c>
      <c r="J262" s="3">
        <v>55</v>
      </c>
      <c r="K262" s="3">
        <f>VLOOKUP($A262,'SegEnds_NonXtal_BW#'!$A:$Z,8,FALSE)+VLOOKUP($A262,A:AL,10,FALSE)-50</f>
        <v>71</v>
      </c>
      <c r="L262" s="3" t="str">
        <f>IF(ISERROR(VLOOKUP($A262,'SegEnds_NonXtal_BW#'!$A:$Z,9,FALSE)+VLOOKUP($A262,A:AL,13,FALSE)-50),"-",(VLOOKUP($A262,'SegEnds_NonXtal_BW#'!$A:$Z,9,FALSE)+VLOOKUP($A262,A:AL,13,FALSE)-50))</f>
        <v>-</v>
      </c>
      <c r="M262" s="3" t="s">
        <v>23</v>
      </c>
      <c r="N262" s="3" t="str">
        <f>IF(ISERROR(VLOOKUP($A262,'SegEnds_NonXtal_BW#'!$A:$Z,10,FALSE)+VLOOKUP($A262,A:AL,13,FALSE)-50),"-",(VLOOKUP($A262,'SegEnds_NonXtal_BW#'!$A:$Z,10,FALSE)+VLOOKUP($A262,A:AL,13,FALSE)-50))</f>
        <v>-</v>
      </c>
      <c r="O262" s="3">
        <f>VLOOKUP($A262,'SegEnds_NonXtal_BW#'!$A:$Z,11,FALSE)+VLOOKUP($A262,A:AL,16,FALSE)-50</f>
        <v>77</v>
      </c>
      <c r="P262" s="3">
        <v>103</v>
      </c>
      <c r="Q262" s="3">
        <f>VLOOKUP($A262,'SegEnds_NonXtal_BW#'!$A:$Z,12,FALSE)+VLOOKUP($A262,A:AL,16,FALSE)-50</f>
        <v>109</v>
      </c>
      <c r="R262" s="3">
        <f t="shared" si="171"/>
        <v>112</v>
      </c>
      <c r="S262" s="3">
        <v>112</v>
      </c>
      <c r="T262" s="103">
        <f t="shared" si="172"/>
        <v>119</v>
      </c>
      <c r="U262" s="9">
        <f>IF(ISERROR(VLOOKUP($A262,'SegEnds_NonXtal_BW#'!$A:$Z,15,FALSE)+VLOOKUP($A262,A:AL,22,FALSE)-50),"-",VLOOKUP($A262,'SegEnds_NonXtal_BW#'!$A:$Z,15,FALSE)+VLOOKUP($A262,A:AL,22,FALSE)-50)</f>
        <v>120</v>
      </c>
      <c r="V262" s="3">
        <v>132</v>
      </c>
      <c r="W262" s="3">
        <f>IF(ISERROR(VLOOKUP($A262,'SegEnds_NonXtal_BW#'!$A:$Z,16,FALSE)+VLOOKUP($A262,A:AL,22,FALSE)-50),"-",(VLOOKUP($A262,'SegEnds_NonXtal_BW#'!$A:$Z,16,FALSE)+VLOOKUP($A262,A:AL,22,FALSE)-50))</f>
        <v>144</v>
      </c>
      <c r="X262" s="3" t="str">
        <f>IF(ISERROR(VLOOKUP($A262,'SegEnds_NonXtal_BW#'!$A:$Z,17,FALSE)+VLOOKUP($A262,A:AL,25,FALSE)-50),"-",(VLOOKUP($A262,'SegEnds_NonXtal_BW#'!$A:$Z,17,FALSE)+VLOOKUP($A262,A:AL,25,FALSE)-50))</f>
        <v>-</v>
      </c>
      <c r="Y262" s="3" t="s">
        <v>23</v>
      </c>
      <c r="Z262" s="3" t="str">
        <f>IF(ISERROR(VLOOKUP($A262,'SegEnds_NonXtal_BW#'!$A:$Z,18,FALSE)+VLOOKUP($A262,A:AL,25,FALSE)-50),"-",(VLOOKUP($A262,'SegEnds_NonXtal_BW#'!$A:$Z,18,FALSE)+VLOOKUP($A262,A:AL,25,FALSE)-50))</f>
        <v>-</v>
      </c>
      <c r="AA262" s="3">
        <f>IF(ISERROR(VLOOKUP($A262,'SegEnds_NonXtal_BW#'!$A:$Z,19,FALSE)+VLOOKUP($A262,A:AL,28,FALSE)-50),"-",(VLOOKUP($A262,'SegEnds_NonXtal_BW#'!$A:$Z,19,FALSE)+VLOOKUP($A262,A:AL,28,FALSE)-50))</f>
        <v>162</v>
      </c>
      <c r="AB262" s="3">
        <v>180</v>
      </c>
      <c r="AC262" s="3">
        <f>IF(ISERROR((VLOOKUP($A262,'SegEnds_NonXtal_BW#'!$A:$Z,20,FALSE)+VLOOKUP($A262,A:AL,28,FALSE)-50)),"-",(VLOOKUP($A262,'SegEnds_NonXtal_BW#'!$A:$Z,20,FALSE)+VLOOKUP($A262,A:AL,28,FALSE)-50))</f>
        <v>202</v>
      </c>
      <c r="AD262" s="3">
        <f>IF(ISERROR(VLOOKUP($A262,'SegEnds_NonXtal_BW#'!$A:$Z,21,FALSE)+VLOOKUP($A262,A:AL,31,FALSE)-50),"-",(VLOOKUP($A262,'SegEnds_NonXtal_BW#'!$A:$Z,21,FALSE)+VLOOKUP($A262,A:AL,31,FALSE)-50))</f>
        <v>212</v>
      </c>
      <c r="AE262" s="3">
        <v>233</v>
      </c>
      <c r="AF262" s="3">
        <f>IF(ISERROR((VLOOKUP($A262,'SegEnds_NonXtal_BW#'!$A:$Z,22,FALSE)+VLOOKUP($A262,A:AL,31,FALSE)-50)),"-",(VLOOKUP($A262,'SegEnds_NonXtal_BW#'!$A:$Z,22,FALSE)+VLOOKUP($A262,A:AL,31,FALSE)-50))</f>
        <v>244</v>
      </c>
      <c r="AG262" s="3">
        <f>IF(ISERROR(VLOOKUP($A262,'SegEnds_NonXtal_BW#'!$A:$Z,23,FALSE)+VLOOKUP($A262,A:AL,34,FALSE)-50),"-",(VLOOKUP($A262,'SegEnds_NonXtal_BW#'!$A:$Z,23,FALSE)+VLOOKUP($A262,A:AL,34,FALSE)-50))</f>
        <v>250</v>
      </c>
      <c r="AH262" s="3">
        <v>269</v>
      </c>
      <c r="AI262" s="3">
        <f>IF(ISERROR((VLOOKUP($A262,'SegEnds_NonXtal_BW#'!$A:$Z,24,FALSE)+VLOOKUP($A262,A:AL,34,FALSE)-50)),"-",(VLOOKUP($A262,'SegEnds_NonXtal_BW#'!$A:$Z,24,FALSE)+VLOOKUP($A262,A:AL,34,FALSE)-50))</f>
        <v>275</v>
      </c>
      <c r="AJ262" s="3">
        <f>IF(ISERROR(VLOOKUP($A262,'SegEnds_NonXtal_BW#'!$A:$Z,25,FALSE)+VLOOKUP($A262,A:AL,37,FALSE)-50),"-",(VLOOKUP($A262,'SegEnds_NonXtal_BW#'!$A:$Z,25,FALSE)+VLOOKUP($A262,A:AL,37,FALSE)-50))</f>
        <v>276</v>
      </c>
      <c r="AK262" s="3">
        <v>279</v>
      </c>
      <c r="AL262" s="3">
        <f>IF(ISERROR((VLOOKUP($A262,'SegEnds_NonXtal_BW#'!$A:$Z,26,FALSE)+VLOOKUP($A262,A:AL,37,FALSE)-50)),"-",(VLOOKUP($A262,'SegEnds_NonXtal_BW#'!$A:$Z,26,FALSE)+VLOOKUP($A262,A:AL,37,FALSE)-50))</f>
        <v>289</v>
      </c>
      <c r="AM262" s="28" t="str">
        <f>VLOOKUP(A262,Classification!A:B,2,FALSE)</f>
        <v>T</v>
      </c>
      <c r="AN262" s="28" t="b">
        <f t="shared" ref="AN262:AN325" si="173">AND(IF(Y262="-",IF(AA262-W262&gt;3,TRUE,FALSE),TRUE),IF(M262="-",IF(O262-K262&gt;3,TRUE,FALSE),TRUE),C262&lt;E262,OR(E262&lt;F262,F262="-"),OR(F262&lt;H262,F262="-"),OR(H262&lt;I262,H262="-"),I262&lt;K262,OR(K262&lt;L262,L262="-"),OR(L262&lt;N262,L262="-"),OR(N262&lt;O262,N262="-"),O262&lt;Q262,OR(Q262&lt;R262,R262="-"),OR(R262&lt;T262,R262="-"),OR(T262&lt;U262,T262="-"),U262&lt;W262,OR(W262&lt;X262,X262="-"),OR(X262&lt;Z262,X262="-"),OR(Z262&lt;AA262,Z262="-"),AA262&lt;AC262,AC262&lt;AD262,AD262&lt;AF262,AF262&lt;AG262,AG262&lt;AI262,OR(AI262&lt;AJ262,AJ262="-"),OR(AJ262&lt;AL262,AJ262="-"))</f>
        <v>1</v>
      </c>
      <c r="AO262" s="3" t="str">
        <f>IF(ISERROR(MATCH(A262,'SegEnds_Xtal_Prot#'!B:B, 0)), "NoXtal", "Xtal")</f>
        <v>NoXtal</v>
      </c>
      <c r="AP262" s="3">
        <f t="shared" si="153"/>
        <v>1</v>
      </c>
      <c r="AQ262" s="3">
        <f t="shared" si="154"/>
        <v>1</v>
      </c>
      <c r="AR262" s="3" t="str">
        <f t="shared" si="155"/>
        <v>-</v>
      </c>
      <c r="AS262" s="3" t="str">
        <f t="shared" si="156"/>
        <v>-</v>
      </c>
      <c r="AT262" s="3">
        <f t="shared" si="157"/>
        <v>3</v>
      </c>
      <c r="AU262" s="3">
        <f t="shared" si="158"/>
        <v>1</v>
      </c>
      <c r="AV262" s="3" t="str">
        <f t="shared" si="159"/>
        <v>-</v>
      </c>
      <c r="AW262" s="3" t="str">
        <f t="shared" si="160"/>
        <v>-</v>
      </c>
      <c r="AX262" s="3">
        <f t="shared" si="161"/>
        <v>10</v>
      </c>
      <c r="AY262" s="3">
        <f t="shared" si="162"/>
        <v>6</v>
      </c>
      <c r="AZ262" s="3">
        <f t="shared" si="163"/>
        <v>1</v>
      </c>
      <c r="BA262" s="3">
        <f>IF(ISERROR(LEN(VLOOKUP(A262,Seqs!A:E,2,FALSE))-AL262),"-",LEN(VLOOKUP(A262,Seqs!A:E,2,FALSE))-AL262)</f>
        <v>10</v>
      </c>
      <c r="BB262" s="16">
        <f t="shared" si="164"/>
        <v>31</v>
      </c>
      <c r="BC262" s="9">
        <f t="shared" si="165"/>
        <v>20</v>
      </c>
      <c r="BD262" s="3">
        <f t="shared" si="166"/>
        <v>31</v>
      </c>
      <c r="BE262" s="3">
        <f t="shared" si="167"/>
        <v>53</v>
      </c>
      <c r="BF262" s="3">
        <f t="shared" si="147"/>
        <v>36</v>
      </c>
    </row>
    <row r="263" spans="1:58" s="3" customFormat="1" x14ac:dyDescent="0.2">
      <c r="A263" s="3" t="s">
        <v>478</v>
      </c>
      <c r="B263" s="3" t="str">
        <f>LOWER(VLOOKUP(A263,Xtal_Templ!A:B,2,FALSE))</f>
        <v>ednrb_human</v>
      </c>
      <c r="C263" s="3">
        <f>VLOOKUP($A263,'SegEnds_NonXtal_BW#'!$A:$Z,3,FALSE)+D263-50</f>
        <v>6</v>
      </c>
      <c r="D263" s="3">
        <v>24</v>
      </c>
      <c r="E263" s="3">
        <f t="shared" si="168"/>
        <v>36</v>
      </c>
      <c r="F263" s="3">
        <f t="shared" si="169"/>
        <v>37</v>
      </c>
      <c r="G263" s="3">
        <v>39</v>
      </c>
      <c r="H263" s="3">
        <f t="shared" si="170"/>
        <v>40</v>
      </c>
      <c r="I263" s="3">
        <f t="shared" si="170"/>
        <v>41</v>
      </c>
      <c r="J263" s="3">
        <v>55</v>
      </c>
      <c r="K263" s="3">
        <f>VLOOKUP($A263,'SegEnds_NonXtal_BW#'!$A:$Z,8,FALSE)+VLOOKUP($A263,A:AL,10,FALSE)-50</f>
        <v>72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78</v>
      </c>
      <c r="P263" s="3">
        <v>107</v>
      </c>
      <c r="Q263" s="3">
        <f>VLOOKUP($A263,'SegEnds_NonXtal_BW#'!$A:$Z,12,FALSE)+VLOOKUP($A263,A:AL,16,FALSE)-50</f>
        <v>113</v>
      </c>
      <c r="R263" s="3">
        <f t="shared" si="171"/>
        <v>116</v>
      </c>
      <c r="S263" s="3">
        <v>116</v>
      </c>
      <c r="T263" s="103">
        <f t="shared" si="172"/>
        <v>123</v>
      </c>
      <c r="U263" s="9">
        <f>IF(ISERROR(VLOOKUP($A263,'SegEnds_NonXtal_BW#'!$A:$Z,15,FALSE)+VLOOKUP($A263,A:AL,22,FALSE)-50),"-",VLOOKUP($A263,'SegEnds_NonXtal_BW#'!$A:$Z,15,FALSE)+VLOOKUP($A263,A:AL,22,FALSE)-50)</f>
        <v>124</v>
      </c>
      <c r="V263" s="3">
        <v>136</v>
      </c>
      <c r="W263" s="3">
        <f>IF(ISERROR(VLOOKUP($A263,'SegEnds_NonXtal_BW#'!$A:$Z,16,FALSE)+VLOOKUP($A263,A:AL,22,FALSE)-50),"-",(VLOOKUP($A263,'SegEnds_NonXtal_BW#'!$A:$Z,16,FALSE)+VLOOKUP($A263,A:AL,22,FALSE)-50))</f>
        <v>150</v>
      </c>
      <c r="X263" s="3" t="str">
        <f>IF(ISERROR(VLOOKUP($A263,'SegEnds_NonXtal_BW#'!$A:$Z,17,FALSE)+VLOOKUP($A263,A:AL,25,FALSE)-50),"-",(VLOOKUP($A263,'SegEnds_NonXtal_BW#'!$A:$Z,17,FALSE)+VLOOKUP($A263,A:AL,25,FALSE)-50))</f>
        <v>-</v>
      </c>
      <c r="Y263" s="3" t="s">
        <v>23</v>
      </c>
      <c r="Z263" s="3" t="str">
        <f>IF(ISERROR(VLOOKUP($A263,'SegEnds_NonXtal_BW#'!$A:$Z,18,FALSE)+VLOOKUP($A263,A:AL,25,FALSE)-50),"-",(VLOOKUP($A263,'SegEnds_NonXtal_BW#'!$A:$Z,18,FALSE)+VLOOKUP($A263,A:AL,25,FALSE)-50))</f>
        <v>-</v>
      </c>
      <c r="AA263" s="3">
        <f>IF(ISERROR(VLOOKUP($A263,'SegEnds_NonXtal_BW#'!$A:$Z,19,FALSE)+VLOOKUP($A263,A:AL,28,FALSE)-50),"-",(VLOOKUP($A263,'SegEnds_NonXtal_BW#'!$A:$Z,19,FALSE)+VLOOKUP($A263,A:AL,28,FALSE)-50))</f>
        <v>175</v>
      </c>
      <c r="AB263" s="3">
        <v>193</v>
      </c>
      <c r="AC263" s="3">
        <f>IF(ISERROR((VLOOKUP($A263,'SegEnds_NonXtal_BW#'!$A:$Z,20,FALSE)+VLOOKUP($A263,A:AL,28,FALSE)-50)),"-",(VLOOKUP($A263,'SegEnds_NonXtal_BW#'!$A:$Z,20,FALSE)+VLOOKUP($A263,A:AL,28,FALSE)-50))</f>
        <v>215</v>
      </c>
      <c r="AD263" s="3">
        <f>IF(ISERROR(VLOOKUP($A263,'SegEnds_NonXtal_BW#'!$A:$Z,21,FALSE)+VLOOKUP($A263,A:AL,31,FALSE)-50),"-",(VLOOKUP($A263,'SegEnds_NonXtal_BW#'!$A:$Z,21,FALSE)+VLOOKUP($A263,A:AL,31,FALSE)-50))</f>
        <v>225</v>
      </c>
      <c r="AE263" s="3">
        <v>246</v>
      </c>
      <c r="AF263" s="3">
        <f>IF(ISERROR((VLOOKUP($A263,'SegEnds_NonXtal_BW#'!$A:$Z,22,FALSE)+VLOOKUP($A263,A:AL,31,FALSE)-50)),"-",(VLOOKUP($A263,'SegEnds_NonXtal_BW#'!$A:$Z,22,FALSE)+VLOOKUP($A263,A:AL,31,FALSE)-50))</f>
        <v>257</v>
      </c>
      <c r="AG263" s="3">
        <f>IF(ISERROR(VLOOKUP($A263,'SegEnds_NonXtal_BW#'!$A:$Z,23,FALSE)+VLOOKUP($A263,A:AL,34,FALSE)-50),"-",(VLOOKUP($A263,'SegEnds_NonXtal_BW#'!$A:$Z,23,FALSE)+VLOOKUP($A263,A:AL,34,FALSE)-50))</f>
        <v>263</v>
      </c>
      <c r="AH263" s="3">
        <v>282</v>
      </c>
      <c r="AI263" s="3">
        <f>IF(ISERROR((VLOOKUP($A263,'SegEnds_NonXtal_BW#'!$A:$Z,24,FALSE)+VLOOKUP($A263,A:AL,34,FALSE)-50)),"-",(VLOOKUP($A263,'SegEnds_NonXtal_BW#'!$A:$Z,24,FALSE)+VLOOKUP($A263,A:AL,34,FALSE)-50))</f>
        <v>288</v>
      </c>
      <c r="AJ263" s="3">
        <f>IF(ISERROR(VLOOKUP($A263,'SegEnds_NonXtal_BW#'!$A:$Z,25,FALSE)+VLOOKUP($A263,A:AL,37,FALSE)-50),"-",(VLOOKUP($A263,'SegEnds_NonXtal_BW#'!$A:$Z,25,FALSE)+VLOOKUP($A263,A:AL,37,FALSE)-50))</f>
        <v>289</v>
      </c>
      <c r="AK263" s="3">
        <v>292</v>
      </c>
      <c r="AL263" s="3">
        <f>IF(ISERROR((VLOOKUP($A263,'SegEnds_NonXtal_BW#'!$A:$Z,26,FALSE)+VLOOKUP($A263,A:AL,37,FALSE)-50)),"-",(VLOOKUP($A263,'SegEnds_NonXtal_BW#'!$A:$Z,26,FALSE)+VLOOKUP($A263,A:AL,37,FALSE)-50))</f>
        <v>302</v>
      </c>
      <c r="AM263" s="28" t="str">
        <f>VLOOKUP(A263,Classification!A:B,2,FALSE)</f>
        <v>T</v>
      </c>
      <c r="AN263" s="28" t="b">
        <f t="shared" si="173"/>
        <v>1</v>
      </c>
      <c r="AO263" s="3" t="str">
        <f>IF(ISERROR(MATCH(A263,'SegEnds_Xtal_Prot#'!B:B, 0)), "NoXtal", "Xtal")</f>
        <v>NoXtal</v>
      </c>
      <c r="AP263" s="3">
        <f t="shared" si="153"/>
        <v>1</v>
      </c>
      <c r="AQ263" s="3">
        <f t="shared" si="154"/>
        <v>1</v>
      </c>
      <c r="AR263" s="3" t="str">
        <f t="shared" si="155"/>
        <v>-</v>
      </c>
      <c r="AS263" s="3" t="str">
        <f t="shared" si="156"/>
        <v>-</v>
      </c>
      <c r="AT263" s="3">
        <f t="shared" si="157"/>
        <v>3</v>
      </c>
      <c r="AU263" s="3">
        <f t="shared" si="158"/>
        <v>1</v>
      </c>
      <c r="AV263" s="3" t="str">
        <f t="shared" si="159"/>
        <v>-</v>
      </c>
      <c r="AW263" s="3" t="str">
        <f t="shared" si="160"/>
        <v>-</v>
      </c>
      <c r="AX263" s="3">
        <f t="shared" si="161"/>
        <v>10</v>
      </c>
      <c r="AY263" s="3">
        <f t="shared" si="162"/>
        <v>6</v>
      </c>
      <c r="AZ263" s="3">
        <f t="shared" si="163"/>
        <v>1</v>
      </c>
      <c r="BA263" s="3">
        <f>IF(ISERROR(LEN(VLOOKUP(A263,Seqs!A:E,2,FALSE))-AL263),"-",LEN(VLOOKUP(A263,Seqs!A:E,2,FALSE))-AL263)</f>
        <v>16</v>
      </c>
      <c r="BB263" s="16">
        <f t="shared" si="164"/>
        <v>31</v>
      </c>
      <c r="BC263" s="9">
        <f t="shared" si="165"/>
        <v>20</v>
      </c>
      <c r="BD263" s="3">
        <f t="shared" si="166"/>
        <v>31</v>
      </c>
      <c r="BE263" s="3">
        <f t="shared" si="167"/>
        <v>53</v>
      </c>
      <c r="BF263" s="3">
        <f t="shared" si="147"/>
        <v>36</v>
      </c>
    </row>
    <row r="264" spans="1:58" s="3" customFormat="1" x14ac:dyDescent="0.2">
      <c r="A264" s="3" t="s">
        <v>479</v>
      </c>
      <c r="B264" s="3" t="str">
        <f>LOWER(VLOOKUP(A264,Xtal_Templ!A:B,2,FALSE))</f>
        <v>agtr1_human</v>
      </c>
      <c r="C264" s="3">
        <f>VLOOKUP($A264,'SegEnds_NonXtal_BW#'!$A:$Z,3,FALSE)+D264-50</f>
        <v>6</v>
      </c>
      <c r="D264" s="3">
        <v>24</v>
      </c>
      <c r="E264" s="3">
        <f t="shared" si="168"/>
        <v>36</v>
      </c>
      <c r="F264" s="3">
        <f t="shared" si="169"/>
        <v>37</v>
      </c>
      <c r="G264" s="3">
        <v>39</v>
      </c>
      <c r="H264" s="3">
        <f t="shared" si="170"/>
        <v>40</v>
      </c>
      <c r="I264" s="3">
        <f t="shared" si="170"/>
        <v>41</v>
      </c>
      <c r="J264" s="3">
        <v>55</v>
      </c>
      <c r="K264" s="3">
        <f>VLOOKUP($A264,'SegEnds_NonXtal_BW#'!$A:$Z,8,FALSE)+VLOOKUP($A264,A:AL,10,FALSE)-50</f>
        <v>71</v>
      </c>
      <c r="L264" s="3" t="str">
        <f>IF(ISERROR(VLOOKUP($A264,'SegEnds_NonXtal_BW#'!$A:$Z,9,FALSE)+VLOOKUP($A264,A:AL,13,FALSE)-50),"-",(VLOOKUP($A264,'SegEnds_NonXtal_BW#'!$A:$Z,9,FALSE)+VLOOKUP($A264,A:AL,13,FALSE)-50))</f>
        <v>-</v>
      </c>
      <c r="M264" s="3" t="s">
        <v>23</v>
      </c>
      <c r="N264" s="3" t="str">
        <f>IF(ISERROR(VLOOKUP($A264,'SegEnds_NonXtal_BW#'!$A:$Z,10,FALSE)+VLOOKUP($A264,A:AL,13,FALSE)-50),"-",(VLOOKUP($A264,'SegEnds_NonXtal_BW#'!$A:$Z,10,FALSE)+VLOOKUP($A264,A:AL,13,FALSE)-50))</f>
        <v>-</v>
      </c>
      <c r="O264" s="3">
        <f>VLOOKUP($A264,'SegEnds_NonXtal_BW#'!$A:$Z,11,FALSE)+VLOOKUP($A264,A:AL,16,FALSE)-50</f>
        <v>75</v>
      </c>
      <c r="P264" s="3">
        <v>107</v>
      </c>
      <c r="Q264" s="3">
        <f>VLOOKUP($A264,'SegEnds_NonXtal_BW#'!$A:$Z,12,FALSE)+VLOOKUP($A264,A:AL,16,FALSE)-50</f>
        <v>113</v>
      </c>
      <c r="R264" s="3">
        <f t="shared" si="171"/>
        <v>116</v>
      </c>
      <c r="S264" s="3">
        <v>116</v>
      </c>
      <c r="T264" s="103">
        <f t="shared" si="172"/>
        <v>123</v>
      </c>
      <c r="U264" s="9">
        <f>IF(ISERROR(VLOOKUP($A264,'SegEnds_NonXtal_BW#'!$A:$Z,15,FALSE)+VLOOKUP($A264,A:AL,22,FALSE)-50),"-",VLOOKUP($A264,'SegEnds_NonXtal_BW#'!$A:$Z,15,FALSE)+VLOOKUP($A264,A:AL,22,FALSE)-50)</f>
        <v>124</v>
      </c>
      <c r="V264" s="3">
        <v>136</v>
      </c>
      <c r="W264" s="3">
        <f>IF(ISERROR(VLOOKUP($A264,'SegEnds_NonXtal_BW#'!$A:$Z,16,FALSE)+VLOOKUP($A264,A:AL,22,FALSE)-50),"-",(VLOOKUP($A264,'SegEnds_NonXtal_BW#'!$A:$Z,16,FALSE)+VLOOKUP($A264,A:AL,22,FALSE)-50))</f>
        <v>150</v>
      </c>
      <c r="X264" s="3" t="str">
        <f>IF(ISERROR(VLOOKUP($A264,'SegEnds_NonXtal_BW#'!$A:$Z,17,FALSE)+VLOOKUP($A264,A:AL,25,FALSE)-50),"-",(VLOOKUP($A264,'SegEnds_NonXtal_BW#'!$A:$Z,17,FALSE)+VLOOKUP($A264,A:AL,25,FALSE)-50))</f>
        <v>-</v>
      </c>
      <c r="Y264" s="3" t="s">
        <v>23</v>
      </c>
      <c r="Z264" s="3" t="str">
        <f>IF(ISERROR(VLOOKUP($A264,'SegEnds_NonXtal_BW#'!$A:$Z,18,FALSE)+VLOOKUP($A264,A:AL,25,FALSE)-50),"-",(VLOOKUP($A264,'SegEnds_NonXtal_BW#'!$A:$Z,18,FALSE)+VLOOKUP($A264,A:AL,25,FALSE)-50))</f>
        <v>-</v>
      </c>
      <c r="AA264" s="3">
        <f>IF(ISERROR(VLOOKUP($A264,'SegEnds_NonXtal_BW#'!$A:$Z,19,FALSE)+VLOOKUP($A264,A:AL,28,FALSE)-50),"-",(VLOOKUP($A264,'SegEnds_NonXtal_BW#'!$A:$Z,19,FALSE)+VLOOKUP($A264,A:AL,28,FALSE)-50))</f>
        <v>175</v>
      </c>
      <c r="AB264" s="3">
        <v>193</v>
      </c>
      <c r="AC264" s="3">
        <f>IF(ISERROR((VLOOKUP($A264,'SegEnds_NonXtal_BW#'!$A:$Z,20,FALSE)+VLOOKUP($A264,A:AL,28,FALSE)-50)),"-",(VLOOKUP($A264,'SegEnds_NonXtal_BW#'!$A:$Z,20,FALSE)+VLOOKUP($A264,A:AL,28,FALSE)-50))</f>
        <v>215</v>
      </c>
      <c r="AD264" s="3">
        <f>IF(ISERROR(VLOOKUP($A264,'SegEnds_NonXtal_BW#'!$A:$Z,21,FALSE)+VLOOKUP($A264,A:AL,31,FALSE)-50),"-",(VLOOKUP($A264,'SegEnds_NonXtal_BW#'!$A:$Z,21,FALSE)+VLOOKUP($A264,A:AL,31,FALSE)-50))</f>
        <v>225</v>
      </c>
      <c r="AE264" s="3">
        <v>246</v>
      </c>
      <c r="AF264" s="3">
        <f>IF(ISERROR((VLOOKUP($A264,'SegEnds_NonXtal_BW#'!$A:$Z,22,FALSE)+VLOOKUP($A264,A:AL,31,FALSE)-50)),"-",(VLOOKUP($A264,'SegEnds_NonXtal_BW#'!$A:$Z,22,FALSE)+VLOOKUP($A264,A:AL,31,FALSE)-50))</f>
        <v>257</v>
      </c>
      <c r="AG264" s="3">
        <f>IF(ISERROR(VLOOKUP($A264,'SegEnds_NonXtal_BW#'!$A:$Z,23,FALSE)+VLOOKUP($A264,A:AL,34,FALSE)-50),"-",(VLOOKUP($A264,'SegEnds_NonXtal_BW#'!$A:$Z,23,FALSE)+VLOOKUP($A264,A:AL,34,FALSE)-50))</f>
        <v>263</v>
      </c>
      <c r="AH264" s="3">
        <v>282</v>
      </c>
      <c r="AI264" s="3">
        <f>IF(ISERROR((VLOOKUP($A264,'SegEnds_NonXtal_BW#'!$A:$Z,24,FALSE)+VLOOKUP($A264,A:AL,34,FALSE)-50)),"-",(VLOOKUP($A264,'SegEnds_NonXtal_BW#'!$A:$Z,24,FALSE)+VLOOKUP($A264,A:AL,34,FALSE)-50))</f>
        <v>288</v>
      </c>
      <c r="AJ264" s="3">
        <f>IF(ISERROR(VLOOKUP($A264,'SegEnds_NonXtal_BW#'!$A:$Z,25,FALSE)+VLOOKUP($A264,A:AL,37,FALSE)-50),"-",(VLOOKUP($A264,'SegEnds_NonXtal_BW#'!$A:$Z,25,FALSE)+VLOOKUP($A264,A:AL,37,FALSE)-50))</f>
        <v>289</v>
      </c>
      <c r="AK264" s="3">
        <v>292</v>
      </c>
      <c r="AL264" s="3">
        <f>IF(ISERROR((VLOOKUP($A264,'SegEnds_NonXtal_BW#'!$A:$Z,26,FALSE)+VLOOKUP($A264,A:AL,37,FALSE)-50)),"-",(VLOOKUP($A264,'SegEnds_NonXtal_BW#'!$A:$Z,26,FALSE)+VLOOKUP($A264,A:AL,37,FALSE)-50))</f>
        <v>302</v>
      </c>
      <c r="AM264" s="28" t="str">
        <f>VLOOKUP(A264,Classification!A:B,2,FALSE)</f>
        <v>T</v>
      </c>
      <c r="AN264" s="28" t="b">
        <f t="shared" si="173"/>
        <v>1</v>
      </c>
      <c r="AO264" s="3" t="str">
        <f>IF(ISERROR(MATCH(A264,'SegEnds_Xtal_Prot#'!B:B, 0)), "NoXtal", "Xtal")</f>
        <v>NoXtal</v>
      </c>
      <c r="AP264" s="3">
        <f t="shared" si="153"/>
        <v>1</v>
      </c>
      <c r="AQ264" s="3">
        <f t="shared" si="154"/>
        <v>1</v>
      </c>
      <c r="AR264" s="3" t="str">
        <f t="shared" si="155"/>
        <v>-</v>
      </c>
      <c r="AS264" s="3" t="str">
        <f t="shared" si="156"/>
        <v>-</v>
      </c>
      <c r="AT264" s="3">
        <f t="shared" si="157"/>
        <v>3</v>
      </c>
      <c r="AU264" s="3">
        <f t="shared" si="158"/>
        <v>1</v>
      </c>
      <c r="AV264" s="3" t="str">
        <f t="shared" si="159"/>
        <v>-</v>
      </c>
      <c r="AW264" s="3" t="str">
        <f t="shared" si="160"/>
        <v>-</v>
      </c>
      <c r="AX264" s="3">
        <f t="shared" si="161"/>
        <v>10</v>
      </c>
      <c r="AY264" s="3">
        <f t="shared" si="162"/>
        <v>6</v>
      </c>
      <c r="AZ264" s="3">
        <f t="shared" si="163"/>
        <v>1</v>
      </c>
      <c r="BA264" s="3">
        <f>IF(ISERROR(LEN(VLOOKUP(A264,Seqs!A:E,2,FALSE))-AL264),"-",LEN(VLOOKUP(A264,Seqs!A:E,2,FALSE))-AL264)</f>
        <v>7</v>
      </c>
      <c r="BB264" s="16">
        <f t="shared" si="164"/>
        <v>31</v>
      </c>
      <c r="BC264" s="9">
        <f t="shared" si="165"/>
        <v>20</v>
      </c>
      <c r="BD264" s="3">
        <f t="shared" si="166"/>
        <v>31</v>
      </c>
      <c r="BE264" s="3">
        <f t="shared" si="167"/>
        <v>53</v>
      </c>
      <c r="BF264" s="3">
        <f t="shared" si="147"/>
        <v>36</v>
      </c>
    </row>
    <row r="265" spans="1:58" s="3" customFormat="1" x14ac:dyDescent="0.2">
      <c r="A265" s="3" t="s">
        <v>480</v>
      </c>
      <c r="B265" s="3" t="str">
        <f>LOWER(VLOOKUP(A265,Xtal_Templ!A:B,2,FALSE))</f>
        <v>agtr1_human</v>
      </c>
      <c r="C265" s="3">
        <f>VLOOKUP($A265,'SegEnds_NonXtal_BW#'!$A:$Z,3,FALSE)+D265-50</f>
        <v>6</v>
      </c>
      <c r="D265" s="3">
        <v>24</v>
      </c>
      <c r="E265" s="3">
        <f t="shared" si="168"/>
        <v>36</v>
      </c>
      <c r="F265" s="3">
        <f t="shared" si="169"/>
        <v>37</v>
      </c>
      <c r="G265" s="3">
        <v>39</v>
      </c>
      <c r="H265" s="3">
        <f t="shared" si="170"/>
        <v>40</v>
      </c>
      <c r="I265" s="3">
        <f t="shared" si="170"/>
        <v>41</v>
      </c>
      <c r="J265" s="3">
        <v>55</v>
      </c>
      <c r="K265" s="3">
        <f>VLOOKUP($A265,'SegEnds_NonXtal_BW#'!$A:$Z,8,FALSE)+VLOOKUP($A265,A:AL,10,FALSE)-50</f>
        <v>71</v>
      </c>
      <c r="L265" s="3" t="str">
        <f>IF(ISERROR(VLOOKUP($A265,'SegEnds_NonXtal_BW#'!$A:$Z,9,FALSE)+VLOOKUP($A265,A:AL,13,FALSE)-50),"-",(VLOOKUP($A265,'SegEnds_NonXtal_BW#'!$A:$Z,9,FALSE)+VLOOKUP($A265,A:AL,13,FALSE)-50))</f>
        <v>-</v>
      </c>
      <c r="M265" s="3" t="s">
        <v>23</v>
      </c>
      <c r="N265" s="3" t="str">
        <f>IF(ISERROR(VLOOKUP($A265,'SegEnds_NonXtal_BW#'!$A:$Z,10,FALSE)+VLOOKUP($A265,A:AL,13,FALSE)-50),"-",(VLOOKUP($A265,'SegEnds_NonXtal_BW#'!$A:$Z,10,FALSE)+VLOOKUP($A265,A:AL,13,FALSE)-50))</f>
        <v>-</v>
      </c>
      <c r="O265" s="3">
        <f>VLOOKUP($A265,'SegEnds_NonXtal_BW#'!$A:$Z,11,FALSE)+VLOOKUP($A265,A:AL,16,FALSE)-50</f>
        <v>75</v>
      </c>
      <c r="P265" s="3">
        <v>107</v>
      </c>
      <c r="Q265" s="3">
        <f>VLOOKUP($A265,'SegEnds_NonXtal_BW#'!$A:$Z,12,FALSE)+VLOOKUP($A265,A:AL,16,FALSE)-50</f>
        <v>113</v>
      </c>
      <c r="R265" s="3">
        <f t="shared" si="171"/>
        <v>116</v>
      </c>
      <c r="S265" s="3">
        <v>116</v>
      </c>
      <c r="T265" s="103">
        <f t="shared" si="172"/>
        <v>123</v>
      </c>
      <c r="U265" s="9">
        <f>IF(ISERROR(VLOOKUP($A265,'SegEnds_NonXtal_BW#'!$A:$Z,15,FALSE)+VLOOKUP($A265,A:AL,22,FALSE)-50),"-",VLOOKUP($A265,'SegEnds_NonXtal_BW#'!$A:$Z,15,FALSE)+VLOOKUP($A265,A:AL,22,FALSE)-50)</f>
        <v>124</v>
      </c>
      <c r="V265" s="3">
        <v>136</v>
      </c>
      <c r="W265" s="3">
        <f>IF(ISERROR(VLOOKUP($A265,'SegEnds_NonXtal_BW#'!$A:$Z,16,FALSE)+VLOOKUP($A265,A:AL,22,FALSE)-50),"-",(VLOOKUP($A265,'SegEnds_NonXtal_BW#'!$A:$Z,16,FALSE)+VLOOKUP($A265,A:AL,22,FALSE)-50))</f>
        <v>150</v>
      </c>
      <c r="X265" s="3" t="str">
        <f>IF(ISERROR(VLOOKUP($A265,'SegEnds_NonXtal_BW#'!$A:$Z,17,FALSE)+VLOOKUP($A265,A:AL,25,FALSE)-50),"-",(VLOOKUP($A265,'SegEnds_NonXtal_BW#'!$A:$Z,17,FALSE)+VLOOKUP($A265,A:AL,25,FALSE)-50))</f>
        <v>-</v>
      </c>
      <c r="Y265" s="3" t="s">
        <v>23</v>
      </c>
      <c r="Z265" s="3" t="str">
        <f>IF(ISERROR(VLOOKUP($A265,'SegEnds_NonXtal_BW#'!$A:$Z,18,FALSE)+VLOOKUP($A265,A:AL,25,FALSE)-50),"-",(VLOOKUP($A265,'SegEnds_NonXtal_BW#'!$A:$Z,18,FALSE)+VLOOKUP($A265,A:AL,25,FALSE)-50))</f>
        <v>-</v>
      </c>
      <c r="AA265" s="3">
        <f>IF(ISERROR(VLOOKUP($A265,'SegEnds_NonXtal_BW#'!$A:$Z,19,FALSE)+VLOOKUP($A265,A:AL,28,FALSE)-50),"-",(VLOOKUP($A265,'SegEnds_NonXtal_BW#'!$A:$Z,19,FALSE)+VLOOKUP($A265,A:AL,28,FALSE)-50))</f>
        <v>172</v>
      </c>
      <c r="AB265" s="3">
        <v>190</v>
      </c>
      <c r="AC265" s="3">
        <f>IF(ISERROR((VLOOKUP($A265,'SegEnds_NonXtal_BW#'!$A:$Z,20,FALSE)+VLOOKUP($A265,A:AL,28,FALSE)-50)),"-",(VLOOKUP($A265,'SegEnds_NonXtal_BW#'!$A:$Z,20,FALSE)+VLOOKUP($A265,A:AL,28,FALSE)-50))</f>
        <v>212</v>
      </c>
      <c r="AD265" s="3">
        <f>IF(ISERROR(VLOOKUP($A265,'SegEnds_NonXtal_BW#'!$A:$Z,21,FALSE)+VLOOKUP($A265,A:AL,31,FALSE)-50),"-",(VLOOKUP($A265,'SegEnds_NonXtal_BW#'!$A:$Z,21,FALSE)+VLOOKUP($A265,A:AL,31,FALSE)-50))</f>
        <v>222</v>
      </c>
      <c r="AE265" s="3">
        <v>243</v>
      </c>
      <c r="AF265" s="3">
        <f>IF(ISERROR((VLOOKUP($A265,'SegEnds_NonXtal_BW#'!$A:$Z,22,FALSE)+VLOOKUP($A265,A:AL,31,FALSE)-50)),"-",(VLOOKUP($A265,'SegEnds_NonXtal_BW#'!$A:$Z,22,FALSE)+VLOOKUP($A265,A:AL,31,FALSE)-50))</f>
        <v>254</v>
      </c>
      <c r="AG265" s="3">
        <f>IF(ISERROR(VLOOKUP($A265,'SegEnds_NonXtal_BW#'!$A:$Z,23,FALSE)+VLOOKUP($A265,A:AL,34,FALSE)-50),"-",(VLOOKUP($A265,'SegEnds_NonXtal_BW#'!$A:$Z,23,FALSE)+VLOOKUP($A265,A:AL,34,FALSE)-50))</f>
        <v>260</v>
      </c>
      <c r="AH265" s="3">
        <v>279</v>
      </c>
      <c r="AI265" s="3">
        <f>IF(ISERROR((VLOOKUP($A265,'SegEnds_NonXtal_BW#'!$A:$Z,24,FALSE)+VLOOKUP($A265,A:AL,34,FALSE)-50)),"-",(VLOOKUP($A265,'SegEnds_NonXtal_BW#'!$A:$Z,24,FALSE)+VLOOKUP($A265,A:AL,34,FALSE)-50))</f>
        <v>285</v>
      </c>
      <c r="AJ265" s="3">
        <f>IF(ISERROR(VLOOKUP($A265,'SegEnds_NonXtal_BW#'!$A:$Z,25,FALSE)+VLOOKUP($A265,A:AL,37,FALSE)-50),"-",(VLOOKUP($A265,'SegEnds_NonXtal_BW#'!$A:$Z,25,FALSE)+VLOOKUP($A265,A:AL,37,FALSE)-50))</f>
        <v>286</v>
      </c>
      <c r="AK265" s="3">
        <v>289</v>
      </c>
      <c r="AL265" s="3">
        <f>IF(ISERROR((VLOOKUP($A265,'SegEnds_NonXtal_BW#'!$A:$Z,26,FALSE)+VLOOKUP($A265,A:AL,37,FALSE)-50)),"-",(VLOOKUP($A265,'SegEnds_NonXtal_BW#'!$A:$Z,26,FALSE)+VLOOKUP($A265,A:AL,37,FALSE)-50))</f>
        <v>299</v>
      </c>
      <c r="AM265" s="28" t="str">
        <f>VLOOKUP(A265,Classification!A:B,2,FALSE)</f>
        <v>T</v>
      </c>
      <c r="AN265" s="28" t="b">
        <f t="shared" si="173"/>
        <v>1</v>
      </c>
      <c r="AO265" s="3" t="str">
        <f>IF(ISERROR(MATCH(A265,'SegEnds_Xtal_Prot#'!B:B, 0)), "NoXtal", "Xtal")</f>
        <v>NoXtal</v>
      </c>
      <c r="AP265" s="3">
        <f t="shared" si="153"/>
        <v>1</v>
      </c>
      <c r="AQ265" s="3">
        <f t="shared" si="154"/>
        <v>1</v>
      </c>
      <c r="AR265" s="3" t="str">
        <f t="shared" si="155"/>
        <v>-</v>
      </c>
      <c r="AS265" s="3" t="str">
        <f t="shared" si="156"/>
        <v>-</v>
      </c>
      <c r="AT265" s="3">
        <f t="shared" si="157"/>
        <v>3</v>
      </c>
      <c r="AU265" s="3">
        <f t="shared" si="158"/>
        <v>1</v>
      </c>
      <c r="AV265" s="3" t="str">
        <f t="shared" si="159"/>
        <v>-</v>
      </c>
      <c r="AW265" s="3" t="str">
        <f t="shared" si="160"/>
        <v>-</v>
      </c>
      <c r="AX265" s="3">
        <f t="shared" si="161"/>
        <v>10</v>
      </c>
      <c r="AY265" s="3">
        <f t="shared" si="162"/>
        <v>6</v>
      </c>
      <c r="AZ265" s="3">
        <f t="shared" si="163"/>
        <v>1</v>
      </c>
      <c r="BA265" s="3">
        <f>IF(ISERROR(LEN(VLOOKUP(A265,Seqs!A:E,2,FALSE))-AL265),"-",LEN(VLOOKUP(A265,Seqs!A:E,2,FALSE))-AL265)</f>
        <v>13</v>
      </c>
      <c r="BB265" s="16">
        <f t="shared" si="164"/>
        <v>31</v>
      </c>
      <c r="BC265" s="9">
        <f t="shared" si="165"/>
        <v>20</v>
      </c>
      <c r="BD265" s="3">
        <f t="shared" si="166"/>
        <v>31</v>
      </c>
      <c r="BE265" s="3">
        <f t="shared" si="167"/>
        <v>53</v>
      </c>
      <c r="BF265" s="3">
        <f t="shared" si="147"/>
        <v>36</v>
      </c>
    </row>
    <row r="266" spans="1:58" s="3" customFormat="1" x14ac:dyDescent="0.2">
      <c r="A266" s="3" t="s">
        <v>387</v>
      </c>
      <c r="B266" s="3" t="str">
        <f>LOWER(VLOOKUP(A266,Xtal_Templ!A:B,2,FALSE))</f>
        <v>5ht1b_human</v>
      </c>
      <c r="C266" s="3">
        <f>VLOOKUP($A266,'SegEnds_NonXtal_BW#'!$A:$Z,3,FALSE)+D266-50</f>
        <v>20</v>
      </c>
      <c r="D266" s="3">
        <v>41</v>
      </c>
      <c r="E266" s="3">
        <f>IF(ISERROR(VLOOKUP($A266,'SegEnds_NonXtal_BW#'!$A:$Z,4,FALSE)+VLOOKUP($A266,A:AL,4,FALSE)-50),"-",(VLOOKUP($A266,'SegEnds_NonXtal_BW#'!$A:$Z,4,FALSE)+VLOOKUP($A266,A:AL,4,FALSE)-50))</f>
        <v>51</v>
      </c>
      <c r="F266" s="3">
        <f t="shared" si="169"/>
        <v>52</v>
      </c>
      <c r="G266" s="3">
        <v>54</v>
      </c>
      <c r="H266" s="3">
        <f t="shared" si="170"/>
        <v>55</v>
      </c>
      <c r="I266" s="3">
        <f t="shared" si="170"/>
        <v>56</v>
      </c>
      <c r="J266" s="3">
        <v>69</v>
      </c>
      <c r="K266" s="3">
        <f>VLOOKUP($A266,'SegEnds_NonXtal_BW#'!$A:$Z,8,FALSE)+VLOOKUP($A266,A:AL,10,FALSE)-50</f>
        <v>86</v>
      </c>
      <c r="L266" s="3">
        <f t="shared" ref="L266:L276" si="174">M266-1</f>
        <v>88</v>
      </c>
      <c r="M266" s="3">
        <v>89</v>
      </c>
      <c r="N266" s="3">
        <f t="shared" ref="N266:N276" si="175">M266+2</f>
        <v>91</v>
      </c>
      <c r="O266" s="3">
        <f t="shared" ref="O266:O276" si="176">N266+1</f>
        <v>92</v>
      </c>
      <c r="P266" s="3">
        <v>121</v>
      </c>
      <c r="Q266" s="3">
        <f>VLOOKUP($A266,'SegEnds_NonXtal_BW#'!$A:$Z,12,FALSE)+VLOOKUP($A266,A:AL,16,FALSE)-50</f>
        <v>127</v>
      </c>
      <c r="R266" s="3">
        <f>IF(ISERROR(VLOOKUP($A266,'SegEnds_NonXtal_BW#'!$A:$Z,13,FALSE)+VLOOKUP($A266,A:AL,19,FALSE)-50),"-",VLOOKUP($A266,'SegEnds_NonXtal_BW#'!$A:$Z,13,FALSE)+VLOOKUP($A266,A:AL,19,FALSE)-50)</f>
        <v>128</v>
      </c>
      <c r="S266" s="3">
        <v>128</v>
      </c>
      <c r="T266" s="103">
        <f>IF(ISERROR(VLOOKUP($A266,'SegEnds_NonXtal_BW#'!$A:$Z,14,FALSE)+VLOOKUP($A266,A:AL,19,FALSE)-50),"-",(VLOOKUP($A266,'SegEnds_NonXtal_BW#'!$A:$Z,14,FALSE)+VLOOKUP($A266,A:AL,19,FALSE)-50))</f>
        <v>135</v>
      </c>
      <c r="U266" s="9">
        <f>IF(ISERROR(VLOOKUP($A266,'SegEnds_NonXtal_BW#'!$A:$Z,15,FALSE)+VLOOKUP($A266,A:AL,22,FALSE)-50),"-",VLOOKUP($A266,'SegEnds_NonXtal_BW#'!$A:$Z,15,FALSE)+VLOOKUP($A266,A:AL,22,FALSE)-50)</f>
        <v>136</v>
      </c>
      <c r="V266" s="3">
        <v>148</v>
      </c>
      <c r="W266" s="3">
        <f>IF(ISERROR(VLOOKUP($A266,'SegEnds_NonXtal_BW#'!$A:$Z,16,FALSE)+VLOOKUP($A266,A:AL,22,FALSE)-50),"-",(VLOOKUP($A266,'SegEnds_NonXtal_BW#'!$A:$Z,16,FALSE)+VLOOKUP($A266,A:AL,22,FALSE)-50))</f>
        <v>161</v>
      </c>
      <c r="X266" s="3">
        <f>IF(ISERROR(VLOOKUP($A266,'SegEnds_NonXtal_BW#'!$A:$Z,17,FALSE)+VLOOKUP($A266,A:AL,25,FALSE)-50),"-",(VLOOKUP($A266,'SegEnds_NonXtal_BW#'!$A:$Z,17,FALSE)+VLOOKUP($A266,A:AL,25,FALSE)-50))</f>
        <v>182</v>
      </c>
      <c r="Y266" s="3">
        <v>182</v>
      </c>
      <c r="Z266" s="3">
        <f t="shared" ref="Z266:Z297" si="177">Y266+2</f>
        <v>184</v>
      </c>
      <c r="AA266" s="3">
        <f>IF(ISERROR(VLOOKUP($A266,'SegEnds_NonXtal_BW#'!$A:$Z,19,FALSE)+VLOOKUP($A266,A:AL,28,FALSE)-50),"-",(VLOOKUP($A266,'SegEnds_NonXtal_BW#'!$A:$Z,19,FALSE)+VLOOKUP($A266,A:AL,28,FALSE)-50))</f>
        <v>187</v>
      </c>
      <c r="AB266" s="3">
        <v>202</v>
      </c>
      <c r="AC266" s="3">
        <f>IF(ISERROR((VLOOKUP($A266,'SegEnds_NonXtal_BW#'!$A:$Z,20,FALSE)+VLOOKUP($A266,A:AL,28,FALSE)-50)),"-",(VLOOKUP($A266,'SegEnds_NonXtal_BW#'!$A:$Z,20,FALSE)+VLOOKUP($A266,A:AL,28,FALSE)-50))</f>
        <v>226</v>
      </c>
      <c r="AD266" s="3">
        <f>IF(ISERROR(VLOOKUP($A266,'SegEnds_NonXtal_BW#'!$A:$Z,21,FALSE)+VLOOKUP($A266,A:AL,31,FALSE)-50),"-",(VLOOKUP($A266,'SegEnds_NonXtal_BW#'!$A:$Z,21,FALSE)+VLOOKUP($A266,A:AL,31,FALSE)-50))</f>
        <v>237</v>
      </c>
      <c r="AE266" s="3">
        <v>266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282</v>
      </c>
      <c r="AH266" s="3">
        <v>301</v>
      </c>
      <c r="AI266" s="3">
        <v>307</v>
      </c>
      <c r="AJ266" s="3">
        <f>IF(ISERROR(VLOOKUP($A266,'SegEnds_NonXtal_BW#'!$A:$Z,25,FALSE)+VLOOKUP($A266,A:AL,37,FALSE)-50),"-",(VLOOKUP($A266,'SegEnds_NonXtal_BW#'!$A:$Z,25,FALSE)+VLOOKUP($A266,A:AL,37,FALSE)-50))</f>
        <v>308</v>
      </c>
      <c r="AK266" s="3">
        <v>311</v>
      </c>
      <c r="AL266" s="3">
        <f>IF(ISERROR((VLOOKUP($A266,'SegEnds_NonXtal_BW#'!$A:$Z,26,FALSE)+VLOOKUP($A266,A:AL,37,FALSE)-50)),"-",(VLOOKUP($A266,'SegEnds_NonXtal_BW#'!$A:$Z,26,FALSE)+VLOOKUP($A266,A:AL,37,FALSE)-50))</f>
        <v>319</v>
      </c>
      <c r="AM266" s="28" t="str">
        <f>VLOOKUP(A266,Classification!A:B,2,FALSE)</f>
        <v>A</v>
      </c>
      <c r="AN266" s="28" t="b">
        <f t="shared" si="173"/>
        <v>1</v>
      </c>
      <c r="AO266" s="3" t="str">
        <f>IF(ISERROR(MATCH(A266,'SegEnds_Xtal_Prot#'!B:B, 0)), "NoXtal", "Xtal")</f>
        <v>NoXtal</v>
      </c>
      <c r="AP266" s="3">
        <f t="shared" si="153"/>
        <v>1</v>
      </c>
      <c r="AQ266" s="3">
        <f t="shared" si="154"/>
        <v>1</v>
      </c>
      <c r="AR266" s="3">
        <f t="shared" si="155"/>
        <v>2</v>
      </c>
      <c r="AS266" s="3">
        <f t="shared" si="156"/>
        <v>1</v>
      </c>
      <c r="AT266" s="3">
        <f t="shared" si="157"/>
        <v>1</v>
      </c>
      <c r="AU266" s="3">
        <f t="shared" si="158"/>
        <v>1</v>
      </c>
      <c r="AV266" s="3">
        <f t="shared" si="159"/>
        <v>21</v>
      </c>
      <c r="AW266" s="3">
        <f t="shared" si="160"/>
        <v>3</v>
      </c>
      <c r="AX266" s="3">
        <f t="shared" si="161"/>
        <v>11</v>
      </c>
      <c r="AY266" s="3">
        <f t="shared" si="162"/>
        <v>5</v>
      </c>
      <c r="AZ266" s="3">
        <f t="shared" si="163"/>
        <v>1</v>
      </c>
      <c r="BA266" s="3">
        <f>IF(ISERROR(LEN(VLOOKUP(A266,Seqs!A:E,2,FALSE))-AL266),"-",LEN(VLOOKUP(A266,Seqs!A:E,2,FALSE))-AL266)</f>
        <v>20</v>
      </c>
      <c r="BB266" s="16">
        <f t="shared" si="164"/>
        <v>28</v>
      </c>
      <c r="BC266" s="9">
        <f t="shared" si="165"/>
        <v>20</v>
      </c>
      <c r="BD266" s="3">
        <f t="shared" si="166"/>
        <v>28</v>
      </c>
      <c r="BE266" s="3">
        <f t="shared" si="167"/>
        <v>64</v>
      </c>
      <c r="BF266" s="3">
        <f t="shared" si="147"/>
        <v>35</v>
      </c>
    </row>
    <row r="267" spans="1:58" s="3" customFormat="1" x14ac:dyDescent="0.2">
      <c r="A267" s="3" t="s">
        <v>388</v>
      </c>
      <c r="B267" s="3" t="str">
        <f>LOWER(VLOOKUP(A267,Xtal_Templ!A:B,2,FALSE))</f>
        <v>adrb2_human</v>
      </c>
      <c r="C267" s="3">
        <f>VLOOKUP($A267,'SegEnds_NonXtal_BW#'!$A:$Z,3,FALSE)+D267-50</f>
        <v>36</v>
      </c>
      <c r="D267" s="3">
        <v>61</v>
      </c>
      <c r="E267" s="3">
        <f>IF(ISERROR(VLOOKUP($A267,'SegEnds_NonXtal_BW#'!$A:$Z,4,FALSE)+VLOOKUP($A267,A:AL,4,FALSE)-50),"-",(VLOOKUP($A267,'SegEnds_NonXtal_BW#'!$A:$Z,4,FALSE)+VLOOKUP($A267,A:AL,4,FALSE)-50))</f>
        <v>71</v>
      </c>
      <c r="F267" s="3">
        <f t="shared" si="169"/>
        <v>72</v>
      </c>
      <c r="G267" s="3">
        <v>74</v>
      </c>
      <c r="H267" s="3">
        <f t="shared" si="170"/>
        <v>75</v>
      </c>
      <c r="I267" s="3">
        <f t="shared" si="170"/>
        <v>76</v>
      </c>
      <c r="J267" s="3">
        <v>89</v>
      </c>
      <c r="K267" s="3">
        <f>VLOOKUP($A267,'SegEnds_NonXtal_BW#'!$A:$Z,8,FALSE)+VLOOKUP($A267,A:AL,10,FALSE)-50</f>
        <v>106</v>
      </c>
      <c r="L267" s="3">
        <f t="shared" si="174"/>
        <v>108</v>
      </c>
      <c r="M267" s="3">
        <v>109</v>
      </c>
      <c r="N267" s="3">
        <f t="shared" si="175"/>
        <v>111</v>
      </c>
      <c r="O267" s="3">
        <f t="shared" si="176"/>
        <v>112</v>
      </c>
      <c r="P267" s="3">
        <v>141</v>
      </c>
      <c r="Q267" s="3">
        <f>VLOOKUP($A267,'SegEnds_NonXtal_BW#'!$A:$Z,12,FALSE)+VLOOKUP($A267,A:AL,16,FALSE)-50</f>
        <v>147</v>
      </c>
      <c r="R267" s="3">
        <f>IF(ISERROR(VLOOKUP($A267,'SegEnds_NonXtal_BW#'!$A:$Z,13,FALSE)+VLOOKUP($A267,A:AL,19,FALSE)-50),"-",VLOOKUP($A267,'SegEnds_NonXtal_BW#'!$A:$Z,13,FALSE)+VLOOKUP($A267,A:AL,19,FALSE)-50)</f>
        <v>148</v>
      </c>
      <c r="S267" s="3">
        <v>148</v>
      </c>
      <c r="T267" s="103">
        <f>IF(ISERROR(VLOOKUP($A267,'SegEnds_NonXtal_BW#'!$A:$Z,14,FALSE)+VLOOKUP($A267,A:AL,19,FALSE)-50),"-",(VLOOKUP($A267,'SegEnds_NonXtal_BW#'!$A:$Z,14,FALSE)+VLOOKUP($A267,A:AL,19,FALSE)-50))</f>
        <v>155</v>
      </c>
      <c r="U267" s="9">
        <f>IF(ISERROR(VLOOKUP($A267,'SegEnds_NonXtal_BW#'!$A:$Z,15,FALSE)+VLOOKUP($A267,A:AL,22,FALSE)-50),"-",VLOOKUP($A267,'SegEnds_NonXtal_BW#'!$A:$Z,15,FALSE)+VLOOKUP($A267,A:AL,22,FALSE)-50)</f>
        <v>156</v>
      </c>
      <c r="V267" s="3">
        <v>168</v>
      </c>
      <c r="W267" s="3">
        <f>IF(ISERROR(VLOOKUP($A267,'SegEnds_NonXtal_BW#'!$A:$Z,16,FALSE)+VLOOKUP($A267,A:AL,22,FALSE)-50),"-",(VLOOKUP($A267,'SegEnds_NonXtal_BW#'!$A:$Z,16,FALSE)+VLOOKUP($A267,A:AL,22,FALSE)-50))</f>
        <v>182</v>
      </c>
      <c r="X267" s="3">
        <f>IF(ISERROR(VLOOKUP($A267,'SegEnds_NonXtal_BW#'!$A:$Z,17,FALSE)+VLOOKUP($A267,A:AL,25,FALSE)-50),"-",(VLOOKUP($A267,'SegEnds_NonXtal_BW#'!$A:$Z,17,FALSE)+VLOOKUP($A267,A:AL,25,FALSE)-50))</f>
        <v>201</v>
      </c>
      <c r="Y267" s="3">
        <v>201</v>
      </c>
      <c r="Z267" s="3">
        <f t="shared" si="177"/>
        <v>203</v>
      </c>
      <c r="AA267" s="3">
        <f>IF(ISERROR(VLOOKUP($A267,'SegEnds_NonXtal_BW#'!$A:$Z,19,FALSE)+VLOOKUP($A267,A:AL,28,FALSE)-50),"-",(VLOOKUP($A267,'SegEnds_NonXtal_BW#'!$A:$Z,19,FALSE)+VLOOKUP($A267,A:AL,28,FALSE)-50))</f>
        <v>206</v>
      </c>
      <c r="AB267" s="3">
        <v>221</v>
      </c>
      <c r="AC267" s="3">
        <f>IF(ISERROR((VLOOKUP($A267,'SegEnds_NonXtal_BW#'!$A:$Z,20,FALSE)+VLOOKUP($A267,A:AL,28,FALSE)-50)),"-",(VLOOKUP($A267,'SegEnds_NonXtal_BW#'!$A:$Z,20,FALSE)+VLOOKUP($A267,A:AL,28,FALSE)-50))</f>
        <v>244</v>
      </c>
      <c r="AD267" s="3">
        <f>IF(ISERROR(VLOOKUP($A267,'SegEnds_NonXtal_BW#'!$A:$Z,21,FALSE)+VLOOKUP($A267,A:AL,31,FALSE)-50),"-",(VLOOKUP($A267,'SegEnds_NonXtal_BW#'!$A:$Z,21,FALSE)+VLOOKUP($A267,A:AL,31,FALSE)-50))</f>
        <v>249</v>
      </c>
      <c r="AE267" s="3">
        <v>277</v>
      </c>
      <c r="AF267" s="3">
        <f>IF(ISERROR((VLOOKUP($A267,'SegEnds_NonXtal_BW#'!$A:$Z,22,FALSE)+VLOOKUP($A267,A:AL,31,FALSE)-50)),"-",(VLOOKUP($A267,'SegEnds_NonXtal_BW#'!$A:$Z,22,FALSE)+VLOOKUP($A267,A:AL,31,FALSE)-50))</f>
        <v>288</v>
      </c>
      <c r="AG267" s="3">
        <f>IF(ISERROR(VLOOKUP($A267,'SegEnds_NonXtal_BW#'!$A:$Z,23,FALSE)+VLOOKUP($A267,A:AL,34,FALSE)-50),"-",(VLOOKUP($A267,'SegEnds_NonXtal_BW#'!$A:$Z,23,FALSE)+VLOOKUP($A267,A:AL,34,FALSE)-50))</f>
        <v>293</v>
      </c>
      <c r="AH267" s="3">
        <v>312</v>
      </c>
      <c r="AI267" s="3">
        <f>IF(ISERROR((VLOOKUP($A267,'SegEnds_NonXtal_BW#'!$A:$Z,24,FALSE)+VLOOKUP($A267,A:AL,34,FALSE)-50)),"-",(VLOOKUP($A267,'SegEnds_NonXtal_BW#'!$A:$Z,24,FALSE)+VLOOKUP($A267,A:AL,34,FALSE)-50))</f>
        <v>317</v>
      </c>
      <c r="AJ267" s="3">
        <f>IF(ISERROR(VLOOKUP($A267,'SegEnds_NonXtal_BW#'!$A:$Z,25,FALSE)+VLOOKUP($A267,A:AL,37,FALSE)-50),"-",(VLOOKUP($A267,'SegEnds_NonXtal_BW#'!$A:$Z,25,FALSE)+VLOOKUP($A267,A:AL,37,FALSE)-50))</f>
        <v>319</v>
      </c>
      <c r="AK267" s="3">
        <v>322</v>
      </c>
      <c r="AL267" s="3">
        <f>IF(ISERROR((VLOOKUP($A267,'SegEnds_NonXtal_BW#'!$A:$Z,26,FALSE)+VLOOKUP($A267,A:AL,37,FALSE)-50)),"-",(VLOOKUP($A267,'SegEnds_NonXtal_BW#'!$A:$Z,26,FALSE)+VLOOKUP($A267,A:AL,37,FALSE)-50))</f>
        <v>331</v>
      </c>
      <c r="AM267" s="28" t="str">
        <f>VLOOKUP(A267,Classification!A:B,2,FALSE)</f>
        <v>A</v>
      </c>
      <c r="AN267" s="28" t="b">
        <f t="shared" si="173"/>
        <v>1</v>
      </c>
      <c r="AO267" s="3" t="str">
        <f>IF(ISERROR(MATCH(A267,'SegEnds_Xtal_Prot#'!B:B, 0)), "NoXtal", "Xtal")</f>
        <v>NoXtal</v>
      </c>
      <c r="AP267" s="3">
        <f t="shared" si="153"/>
        <v>1</v>
      </c>
      <c r="AQ267" s="3">
        <f t="shared" si="154"/>
        <v>1</v>
      </c>
      <c r="AR267" s="3">
        <f t="shared" si="155"/>
        <v>2</v>
      </c>
      <c r="AS267" s="3">
        <f t="shared" si="156"/>
        <v>1</v>
      </c>
      <c r="AT267" s="3">
        <f t="shared" si="157"/>
        <v>1</v>
      </c>
      <c r="AU267" s="3">
        <f t="shared" si="158"/>
        <v>1</v>
      </c>
      <c r="AV267" s="3">
        <f t="shared" si="159"/>
        <v>19</v>
      </c>
      <c r="AW267" s="3">
        <f t="shared" si="160"/>
        <v>3</v>
      </c>
      <c r="AX267" s="3">
        <f t="shared" si="161"/>
        <v>5</v>
      </c>
      <c r="AY267" s="3">
        <f t="shared" si="162"/>
        <v>5</v>
      </c>
      <c r="AZ267" s="3">
        <f t="shared" si="163"/>
        <v>2</v>
      </c>
      <c r="BA267" s="3">
        <f>IF(ISERROR(LEN(VLOOKUP(A267,Seqs!A:E,2,FALSE))-AL267),"-",LEN(VLOOKUP(A267,Seqs!A:E,2,FALSE))-AL267)</f>
        <v>20</v>
      </c>
      <c r="BB267" s="16">
        <f t="shared" si="164"/>
        <v>28</v>
      </c>
      <c r="BC267" s="9">
        <f t="shared" si="165"/>
        <v>20</v>
      </c>
      <c r="BD267" s="3">
        <f t="shared" si="166"/>
        <v>28</v>
      </c>
      <c r="BE267" s="3">
        <f t="shared" si="167"/>
        <v>56</v>
      </c>
      <c r="BF267" s="3">
        <f t="shared" si="147"/>
        <v>35</v>
      </c>
    </row>
    <row r="268" spans="1:58" s="3" customFormat="1" x14ac:dyDescent="0.2">
      <c r="A268" s="3" t="s">
        <v>389</v>
      </c>
      <c r="B268" s="3" t="str">
        <f>LOWER(VLOOKUP(A268,Xtal_Templ!A:B,2,FALSE))</f>
        <v>adrb2_human</v>
      </c>
      <c r="C268" s="3">
        <f>VLOOKUP($A268,'SegEnds_NonXtal_BW#'!$A:$Z,3,FALSE)+D268-50</f>
        <v>24</v>
      </c>
      <c r="D268" s="3">
        <v>49</v>
      </c>
      <c r="E268" s="3">
        <f>IF(ISERROR(VLOOKUP($A268,'SegEnds_NonXtal_BW#'!$A:$Z,4,FALSE)+VLOOKUP($A268,A:AL,4,FALSE)-50),"-",(VLOOKUP($A268,'SegEnds_NonXtal_BW#'!$A:$Z,4,FALSE)+VLOOKUP($A268,A:AL,4,FALSE)-50))</f>
        <v>59</v>
      </c>
      <c r="F268" s="3">
        <f t="shared" si="169"/>
        <v>60</v>
      </c>
      <c r="G268" s="3">
        <v>62</v>
      </c>
      <c r="H268" s="3">
        <f t="shared" si="170"/>
        <v>63</v>
      </c>
      <c r="I268" s="3">
        <f t="shared" si="170"/>
        <v>64</v>
      </c>
      <c r="J268" s="3">
        <v>77</v>
      </c>
      <c r="K268" s="3">
        <f>VLOOKUP($A268,'SegEnds_NonXtal_BW#'!$A:$Z,8,FALSE)+VLOOKUP($A268,A:AL,10,FALSE)-50</f>
        <v>94</v>
      </c>
      <c r="L268" s="3">
        <f t="shared" si="174"/>
        <v>96</v>
      </c>
      <c r="M268" s="3">
        <v>97</v>
      </c>
      <c r="N268" s="3">
        <f t="shared" si="175"/>
        <v>99</v>
      </c>
      <c r="O268" s="3">
        <f t="shared" si="176"/>
        <v>100</v>
      </c>
      <c r="P268" s="3">
        <v>129</v>
      </c>
      <c r="Q268" s="3">
        <f>VLOOKUP($A268,'SegEnds_NonXtal_BW#'!$A:$Z,12,FALSE)+VLOOKUP($A268,A:AL,16,FALSE)-50</f>
        <v>135</v>
      </c>
      <c r="R268" s="3">
        <f>IF(ISERROR(VLOOKUP($A268,'SegEnds_NonXtal_BW#'!$A:$Z,13,FALSE)+VLOOKUP($A268,A:AL,19,FALSE)-50),"-",VLOOKUP($A268,'SegEnds_NonXtal_BW#'!$A:$Z,13,FALSE)+VLOOKUP($A268,A:AL,19,FALSE)-50)</f>
        <v>136</v>
      </c>
      <c r="S268" s="3">
        <v>136</v>
      </c>
      <c r="T268" s="103">
        <f>IF(ISERROR(VLOOKUP($A268,'SegEnds_NonXtal_BW#'!$A:$Z,14,FALSE)+VLOOKUP($A268,A:AL,19,FALSE)-50),"-",(VLOOKUP($A268,'SegEnds_NonXtal_BW#'!$A:$Z,14,FALSE)+VLOOKUP($A268,A:AL,19,FALSE)-50))</f>
        <v>143</v>
      </c>
      <c r="U268" s="9">
        <f>IF(ISERROR(VLOOKUP($A268,'SegEnds_NonXtal_BW#'!$A:$Z,15,FALSE)+VLOOKUP($A268,A:AL,22,FALSE)-50),"-",VLOOKUP($A268,'SegEnds_NonXtal_BW#'!$A:$Z,15,FALSE)+VLOOKUP($A268,A:AL,22,FALSE)-50)</f>
        <v>144</v>
      </c>
      <c r="V268" s="3">
        <v>156</v>
      </c>
      <c r="W268" s="3">
        <f>IF(ISERROR(VLOOKUP($A268,'SegEnds_NonXtal_BW#'!$A:$Z,16,FALSE)+VLOOKUP($A268,A:AL,22,FALSE)-50),"-",(VLOOKUP($A268,'SegEnds_NonXtal_BW#'!$A:$Z,16,FALSE)+VLOOKUP($A268,A:AL,22,FALSE)-50))</f>
        <v>170</v>
      </c>
      <c r="X268" s="3">
        <f>IF(ISERROR(VLOOKUP($A268,'SegEnds_NonXtal_BW#'!$A:$Z,17,FALSE)+VLOOKUP($A268,A:AL,25,FALSE)-50),"-",(VLOOKUP($A268,'SegEnds_NonXtal_BW#'!$A:$Z,17,FALSE)+VLOOKUP($A268,A:AL,25,FALSE)-50))</f>
        <v>189</v>
      </c>
      <c r="Y268" s="3">
        <v>189</v>
      </c>
      <c r="Z268" s="3">
        <f t="shared" si="177"/>
        <v>191</v>
      </c>
      <c r="AA268" s="3">
        <f>IF(ISERROR(VLOOKUP($A268,'SegEnds_NonXtal_BW#'!$A:$Z,19,FALSE)+VLOOKUP($A268,A:AL,28,FALSE)-50),"-",(VLOOKUP($A268,'SegEnds_NonXtal_BW#'!$A:$Z,19,FALSE)+VLOOKUP($A268,A:AL,28,FALSE)-50))</f>
        <v>194</v>
      </c>
      <c r="AB268" s="3">
        <v>209</v>
      </c>
      <c r="AC268" s="3">
        <f>IF(ISERROR((VLOOKUP($A268,'SegEnds_NonXtal_BW#'!$A:$Z,20,FALSE)+VLOOKUP($A268,A:AL,28,FALSE)-50)),"-",(VLOOKUP($A268,'SegEnds_NonXtal_BW#'!$A:$Z,20,FALSE)+VLOOKUP($A268,A:AL,28,FALSE)-50))</f>
        <v>233</v>
      </c>
      <c r="AD268" s="3">
        <f>IF(ISERROR(VLOOKUP($A268,'SegEnds_NonXtal_BW#'!$A:$Z,21,FALSE)+VLOOKUP($A268,A:AL,31,FALSE)-50),"-",(VLOOKUP($A268,'SegEnds_NonXtal_BW#'!$A:$Z,21,FALSE)+VLOOKUP($A268,A:AL,31,FALSE)-50))</f>
        <v>242</v>
      </c>
      <c r="AE268" s="3">
        <v>271</v>
      </c>
      <c r="AF268" s="3">
        <f>IF(ISERROR((VLOOKUP($A268,'SegEnds_NonXtal_BW#'!$A:$Z,22,FALSE)+VLOOKUP($A268,A:AL,31,FALSE)-50)),"-",(VLOOKUP($A268,'SegEnds_NonXtal_BW#'!$A:$Z,22,FALSE)+VLOOKUP($A268,A:AL,31,FALSE)-50))</f>
        <v>282</v>
      </c>
      <c r="AG268" s="3">
        <f>IF(ISERROR(VLOOKUP($A268,'SegEnds_NonXtal_BW#'!$A:$Z,23,FALSE)+VLOOKUP($A268,A:AL,34,FALSE)-50),"-",(VLOOKUP($A268,'SegEnds_NonXtal_BW#'!$A:$Z,23,FALSE)+VLOOKUP($A268,A:AL,34,FALSE)-50))</f>
        <v>287</v>
      </c>
      <c r="AH268" s="3">
        <v>306</v>
      </c>
      <c r="AI268" s="3">
        <f>IF(ISERROR((VLOOKUP($A268,'SegEnds_NonXtal_BW#'!$A:$Z,24,FALSE)+VLOOKUP($A268,A:AL,34,FALSE)-50)),"-",(VLOOKUP($A268,'SegEnds_NonXtal_BW#'!$A:$Z,24,FALSE)+VLOOKUP($A268,A:AL,34,FALSE)-50))</f>
        <v>311</v>
      </c>
      <c r="AJ268" s="3">
        <f>IF(ISERROR(VLOOKUP($A268,'SegEnds_NonXtal_BW#'!$A:$Z,25,FALSE)+VLOOKUP($A268,A:AL,37,FALSE)-50),"-",(VLOOKUP($A268,'SegEnds_NonXtal_BW#'!$A:$Z,25,FALSE)+VLOOKUP($A268,A:AL,37,FALSE)-50))</f>
        <v>313</v>
      </c>
      <c r="AK268" s="3">
        <v>316</v>
      </c>
      <c r="AL268" s="3">
        <f>IF(ISERROR((VLOOKUP($A268,'SegEnds_NonXtal_BW#'!$A:$Z,26,FALSE)+VLOOKUP($A268,A:AL,37,FALSE)-50)),"-",(VLOOKUP($A268,'SegEnds_NonXtal_BW#'!$A:$Z,26,FALSE)+VLOOKUP($A268,A:AL,37,FALSE)-50))</f>
        <v>325</v>
      </c>
      <c r="AM268" s="28" t="str">
        <f>VLOOKUP(A268,Classification!A:B,2,FALSE)</f>
        <v>A</v>
      </c>
      <c r="AN268" s="28" t="b">
        <f t="shared" si="173"/>
        <v>1</v>
      </c>
      <c r="AO268" s="3" t="str">
        <f>IF(ISERROR(MATCH(A268,'SegEnds_Xtal_Prot#'!B:B, 0)), "NoXtal", "Xtal")</f>
        <v>NoXtal</v>
      </c>
      <c r="AP268" s="3">
        <f t="shared" si="153"/>
        <v>1</v>
      </c>
      <c r="AQ268" s="3">
        <f t="shared" si="154"/>
        <v>1</v>
      </c>
      <c r="AR268" s="3">
        <f t="shared" si="155"/>
        <v>2</v>
      </c>
      <c r="AS268" s="3">
        <f t="shared" si="156"/>
        <v>1</v>
      </c>
      <c r="AT268" s="3">
        <f t="shared" si="157"/>
        <v>1</v>
      </c>
      <c r="AU268" s="3">
        <f t="shared" si="158"/>
        <v>1</v>
      </c>
      <c r="AV268" s="3">
        <f t="shared" si="159"/>
        <v>19</v>
      </c>
      <c r="AW268" s="3">
        <f t="shared" si="160"/>
        <v>3</v>
      </c>
      <c r="AX268" s="3">
        <f t="shared" si="161"/>
        <v>9</v>
      </c>
      <c r="AY268" s="3">
        <f t="shared" si="162"/>
        <v>5</v>
      </c>
      <c r="AZ268" s="3">
        <f t="shared" si="163"/>
        <v>2</v>
      </c>
      <c r="BA268" s="3">
        <f>IF(ISERROR(LEN(VLOOKUP(A268,Seqs!A:E,2,FALSE))-AL268),"-",LEN(VLOOKUP(A268,Seqs!A:E,2,FALSE))-AL268)</f>
        <v>18</v>
      </c>
      <c r="BB268" s="16">
        <f t="shared" si="164"/>
        <v>28</v>
      </c>
      <c r="BC268" s="9">
        <f t="shared" si="165"/>
        <v>20</v>
      </c>
      <c r="BD268" s="3">
        <f t="shared" si="166"/>
        <v>28</v>
      </c>
      <c r="BE268" s="3">
        <f t="shared" si="167"/>
        <v>62</v>
      </c>
      <c r="BF268" s="3">
        <f t="shared" si="147"/>
        <v>35</v>
      </c>
    </row>
    <row r="269" spans="1:58" s="3" customFormat="1" x14ac:dyDescent="0.2">
      <c r="A269" s="3" t="s">
        <v>390</v>
      </c>
      <c r="B269" s="3" t="str">
        <f>LOWER(VLOOKUP(A269,Xtal_Templ!A:B,2,FALSE))</f>
        <v>5ht1b_human</v>
      </c>
      <c r="C269" s="3">
        <f>VLOOKUP($A269,'SegEnds_NonXtal_BW#'!$A:$Z,3,FALSE)+D269-50</f>
        <v>31</v>
      </c>
      <c r="D269" s="3">
        <v>52</v>
      </c>
      <c r="E269" s="3">
        <f>IF(ISERROR(VLOOKUP($A269,'SegEnds_NonXtal_BW#'!$A:$Z,4,FALSE)+VLOOKUP($A269,A:AL,4,FALSE)-50),"-",(VLOOKUP($A269,'SegEnds_NonXtal_BW#'!$A:$Z,4,FALSE)+VLOOKUP($A269,A:AL,4,FALSE)-50))</f>
        <v>62</v>
      </c>
      <c r="F269" s="3">
        <f t="shared" si="169"/>
        <v>63</v>
      </c>
      <c r="G269" s="3">
        <v>65</v>
      </c>
      <c r="H269" s="3">
        <f t="shared" si="170"/>
        <v>66</v>
      </c>
      <c r="I269" s="3">
        <f t="shared" si="170"/>
        <v>67</v>
      </c>
      <c r="J269" s="3">
        <v>80</v>
      </c>
      <c r="K269" s="3">
        <f>VLOOKUP($A269,'SegEnds_NonXtal_BW#'!$A:$Z,8,FALSE)+VLOOKUP($A269,A:AL,10,FALSE)-50</f>
        <v>97</v>
      </c>
      <c r="L269" s="3">
        <f t="shared" si="174"/>
        <v>99</v>
      </c>
      <c r="M269" s="3">
        <v>100</v>
      </c>
      <c r="N269" s="3">
        <f t="shared" si="175"/>
        <v>102</v>
      </c>
      <c r="O269" s="3">
        <f t="shared" si="176"/>
        <v>103</v>
      </c>
      <c r="P269" s="3">
        <v>132</v>
      </c>
      <c r="Q269" s="3">
        <f>VLOOKUP($A269,'SegEnds_NonXtal_BW#'!$A:$Z,12,FALSE)+VLOOKUP($A269,A:AL,16,FALSE)-50</f>
        <v>138</v>
      </c>
      <c r="R269" s="3">
        <f>IF(ISERROR(VLOOKUP($A269,'SegEnds_NonXtal_BW#'!$A:$Z,13,FALSE)+VLOOKUP($A269,A:AL,19,FALSE)-50),"-",VLOOKUP($A269,'SegEnds_NonXtal_BW#'!$A:$Z,13,FALSE)+VLOOKUP($A269,A:AL,19,FALSE)-50)</f>
        <v>139</v>
      </c>
      <c r="S269" s="3">
        <v>139</v>
      </c>
      <c r="T269" s="103">
        <f>IF(ISERROR(VLOOKUP($A269,'SegEnds_NonXtal_BW#'!$A:$Z,14,FALSE)+VLOOKUP($A269,A:AL,19,FALSE)-50),"-",(VLOOKUP($A269,'SegEnds_NonXtal_BW#'!$A:$Z,14,FALSE)+VLOOKUP($A269,A:AL,19,FALSE)-50))</f>
        <v>146</v>
      </c>
      <c r="U269" s="9">
        <f>IF(ISERROR(VLOOKUP($A269,'SegEnds_NonXtal_BW#'!$A:$Z,15,FALSE)+VLOOKUP($A269,A:AL,22,FALSE)-50),"-",VLOOKUP($A269,'SegEnds_NonXtal_BW#'!$A:$Z,15,FALSE)+VLOOKUP($A269,A:AL,22,FALSE)-50)</f>
        <v>147</v>
      </c>
      <c r="V269" s="3">
        <v>159</v>
      </c>
      <c r="W269" s="3">
        <f>IF(ISERROR(VLOOKUP($A269,'SegEnds_NonXtal_BW#'!$A:$Z,16,FALSE)+VLOOKUP($A269,A:AL,22,FALSE)-50),"-",(VLOOKUP($A269,'SegEnds_NonXtal_BW#'!$A:$Z,16,FALSE)+VLOOKUP($A269,A:AL,22,FALSE)-50))</f>
        <v>172</v>
      </c>
      <c r="X269" s="3">
        <f>IF(ISERROR(VLOOKUP($A269,'SegEnds_NonXtal_BW#'!$A:$Z,17,FALSE)+VLOOKUP($A269,A:AL,25,FALSE)-50),"-",(VLOOKUP($A269,'SegEnds_NonXtal_BW#'!$A:$Z,17,FALSE)+VLOOKUP($A269,A:AL,25,FALSE)-50))</f>
        <v>192</v>
      </c>
      <c r="Y269" s="3">
        <v>192</v>
      </c>
      <c r="Z269" s="3">
        <f t="shared" si="177"/>
        <v>194</v>
      </c>
      <c r="AA269" s="3">
        <f>IF(ISERROR(VLOOKUP($A269,'SegEnds_NonXtal_BW#'!$A:$Z,19,FALSE)+VLOOKUP($A269,A:AL,28,FALSE)-50),"-",(VLOOKUP($A269,'SegEnds_NonXtal_BW#'!$A:$Z,19,FALSE)+VLOOKUP($A269,A:AL,28,FALSE)-50))</f>
        <v>196</v>
      </c>
      <c r="AB269" s="3">
        <v>211</v>
      </c>
      <c r="AC269" s="3">
        <f>IF(ISERROR((VLOOKUP($A269,'SegEnds_NonXtal_BW#'!$A:$Z,20,FALSE)+VLOOKUP($A269,A:AL,28,FALSE)-50)),"-",(VLOOKUP($A269,'SegEnds_NonXtal_BW#'!$A:$Z,20,FALSE)+VLOOKUP($A269,A:AL,28,FALSE)-50))</f>
        <v>234</v>
      </c>
      <c r="AD269" s="3">
        <f>IF(ISERROR(VLOOKUP($A269,'SegEnds_NonXtal_BW#'!$A:$Z,21,FALSE)+VLOOKUP($A269,A:AL,31,FALSE)-50),"-",(VLOOKUP($A269,'SegEnds_NonXtal_BW#'!$A:$Z,21,FALSE)+VLOOKUP($A269,A:AL,31,FALSE)-50))</f>
        <v>239</v>
      </c>
      <c r="AE269" s="3">
        <v>267</v>
      </c>
      <c r="AF269" s="3">
        <f>IF(ISERROR((VLOOKUP($A269,'SegEnds_NonXtal_BW#'!$A:$Z,22,FALSE)+VLOOKUP($A269,A:AL,31,FALSE)-50)),"-",(VLOOKUP($A269,'SegEnds_NonXtal_BW#'!$A:$Z,22,FALSE)+VLOOKUP($A269,A:AL,31,FALSE)-50))</f>
        <v>278</v>
      </c>
      <c r="AG269" s="3">
        <f>IF(ISERROR(VLOOKUP($A269,'SegEnds_NonXtal_BW#'!$A:$Z,23,FALSE)+VLOOKUP($A269,A:AL,34,FALSE)-50),"-",(VLOOKUP($A269,'SegEnds_NonXtal_BW#'!$A:$Z,23,FALSE)+VLOOKUP($A269,A:AL,34,FALSE)-50))</f>
        <v>283</v>
      </c>
      <c r="AH269" s="3">
        <v>302</v>
      </c>
      <c r="AI269" s="3">
        <f>IF(ISERROR((VLOOKUP($A269,'SegEnds_NonXtal_BW#'!$A:$Z,24,FALSE)+VLOOKUP($A269,A:AL,34,FALSE)-50)),"-",(VLOOKUP($A269,'SegEnds_NonXtal_BW#'!$A:$Z,24,FALSE)+VLOOKUP($A269,A:AL,34,FALSE)-50))</f>
        <v>308</v>
      </c>
      <c r="AJ269" s="3">
        <f>IF(ISERROR(VLOOKUP($A269,'SegEnds_NonXtal_BW#'!$A:$Z,25,FALSE)+VLOOKUP($A269,A:AL,37,FALSE)-50),"-",(VLOOKUP($A269,'SegEnds_NonXtal_BW#'!$A:$Z,25,FALSE)+VLOOKUP($A269,A:AL,37,FALSE)-50))</f>
        <v>309</v>
      </c>
      <c r="AK269" s="3">
        <v>312</v>
      </c>
      <c r="AL269" s="3">
        <f>IF(ISERROR((VLOOKUP($A269,'SegEnds_NonXtal_BW#'!$A:$Z,26,FALSE)+VLOOKUP($A269,A:AL,37,FALSE)-50)),"-",(VLOOKUP($A269,'SegEnds_NonXtal_BW#'!$A:$Z,26,FALSE)+VLOOKUP($A269,A:AL,37,FALSE)-50))</f>
        <v>320</v>
      </c>
      <c r="AM269" s="28" t="str">
        <f>VLOOKUP(A269,Classification!A:B,2,FALSE)</f>
        <v>A</v>
      </c>
      <c r="AN269" s="28" t="b">
        <f t="shared" si="173"/>
        <v>1</v>
      </c>
      <c r="AO269" s="3" t="str">
        <f>IF(ISERROR(MATCH(A269,'SegEnds_Xtal_Prot#'!B:B, 0)), "NoXtal", "Xtal")</f>
        <v>NoXtal</v>
      </c>
      <c r="AP269" s="3">
        <f t="shared" si="153"/>
        <v>1</v>
      </c>
      <c r="AQ269" s="3">
        <f t="shared" si="154"/>
        <v>1</v>
      </c>
      <c r="AR269" s="3">
        <f t="shared" si="155"/>
        <v>2</v>
      </c>
      <c r="AS269" s="3">
        <f t="shared" si="156"/>
        <v>1</v>
      </c>
      <c r="AT269" s="3">
        <f t="shared" si="157"/>
        <v>1</v>
      </c>
      <c r="AU269" s="3">
        <f t="shared" si="158"/>
        <v>1</v>
      </c>
      <c r="AV269" s="3">
        <f t="shared" si="159"/>
        <v>20</v>
      </c>
      <c r="AW269" s="3">
        <f t="shared" si="160"/>
        <v>2</v>
      </c>
      <c r="AX269" s="3">
        <f t="shared" si="161"/>
        <v>5</v>
      </c>
      <c r="AY269" s="3">
        <f t="shared" si="162"/>
        <v>5</v>
      </c>
      <c r="AZ269" s="3">
        <f t="shared" si="163"/>
        <v>1</v>
      </c>
      <c r="BA269" s="3">
        <f>IF(ISERROR(LEN(VLOOKUP(A269,Seqs!A:E,2,FALSE))-AL269),"-",LEN(VLOOKUP(A269,Seqs!A:E,2,FALSE))-AL269)</f>
        <v>17</v>
      </c>
      <c r="BB269" s="16">
        <f t="shared" si="164"/>
        <v>28</v>
      </c>
      <c r="BC269" s="9">
        <f t="shared" si="165"/>
        <v>20</v>
      </c>
      <c r="BD269" s="3">
        <f t="shared" si="166"/>
        <v>28</v>
      </c>
      <c r="BE269" s="3">
        <f t="shared" si="167"/>
        <v>56</v>
      </c>
      <c r="BF269" s="3">
        <f t="shared" si="147"/>
        <v>35</v>
      </c>
    </row>
    <row r="270" spans="1:58" s="3" customFormat="1" x14ac:dyDescent="0.2">
      <c r="A270" s="3" t="s">
        <v>391</v>
      </c>
      <c r="B270" s="3" t="str">
        <f>LOWER(VLOOKUP(A270,Xtal_Templ!A:B,2,FALSE))</f>
        <v>5ht1b_human</v>
      </c>
      <c r="C270" s="3">
        <f>VLOOKUP($A270,'SegEnds_NonXtal_BW#'!$A:$Z,3,FALSE)+D270-50</f>
        <v>29</v>
      </c>
      <c r="D270" s="3">
        <v>50</v>
      </c>
      <c r="E270" s="3">
        <f>IF(ISERROR(VLOOKUP($A270,'SegEnds_NonXtal_BW#'!$A:$Z,4,FALSE)+VLOOKUP($A270,A:AL,4,FALSE)-50),"-",(VLOOKUP($A270,'SegEnds_NonXtal_BW#'!$A:$Z,4,FALSE)+VLOOKUP($A270,A:AL,4,FALSE)-50))</f>
        <v>60</v>
      </c>
      <c r="F270" s="3">
        <f t="shared" si="169"/>
        <v>61</v>
      </c>
      <c r="G270" s="3">
        <v>63</v>
      </c>
      <c r="H270" s="3">
        <f t="shared" si="170"/>
        <v>64</v>
      </c>
      <c r="I270" s="3">
        <f t="shared" si="170"/>
        <v>65</v>
      </c>
      <c r="J270" s="3">
        <v>78</v>
      </c>
      <c r="K270" s="3">
        <f>VLOOKUP($A270,'SegEnds_NonXtal_BW#'!$A:$Z,8,FALSE)+VLOOKUP($A270,A:AL,10,FALSE)-50</f>
        <v>95</v>
      </c>
      <c r="L270" s="3">
        <f t="shared" si="174"/>
        <v>97</v>
      </c>
      <c r="M270" s="3">
        <v>98</v>
      </c>
      <c r="N270" s="3">
        <f t="shared" si="175"/>
        <v>100</v>
      </c>
      <c r="O270" s="3">
        <f t="shared" si="176"/>
        <v>101</v>
      </c>
      <c r="P270" s="3">
        <v>130</v>
      </c>
      <c r="Q270" s="3">
        <f>VLOOKUP($A270,'SegEnds_NonXtal_BW#'!$A:$Z,12,FALSE)+VLOOKUP($A270,A:AL,16,FALSE)-50</f>
        <v>136</v>
      </c>
      <c r="R270" s="3">
        <f>IF(ISERROR(VLOOKUP($A270,'SegEnds_NonXtal_BW#'!$A:$Z,13,FALSE)+VLOOKUP($A270,A:AL,19,FALSE)-50),"-",VLOOKUP($A270,'SegEnds_NonXtal_BW#'!$A:$Z,13,FALSE)+VLOOKUP($A270,A:AL,19,FALSE)-50)</f>
        <v>137</v>
      </c>
      <c r="S270" s="3">
        <v>137</v>
      </c>
      <c r="T270" s="103">
        <f>IF(ISERROR(VLOOKUP($A270,'SegEnds_NonXtal_BW#'!$A:$Z,14,FALSE)+VLOOKUP($A270,A:AL,19,FALSE)-50),"-",(VLOOKUP($A270,'SegEnds_NonXtal_BW#'!$A:$Z,14,FALSE)+VLOOKUP($A270,A:AL,19,FALSE)-50))</f>
        <v>144</v>
      </c>
      <c r="U270" s="9">
        <f>IF(ISERROR(VLOOKUP($A270,'SegEnds_NonXtal_BW#'!$A:$Z,15,FALSE)+VLOOKUP($A270,A:AL,22,FALSE)-50),"-",VLOOKUP($A270,'SegEnds_NonXtal_BW#'!$A:$Z,15,FALSE)+VLOOKUP($A270,A:AL,22,FALSE)-50)</f>
        <v>145</v>
      </c>
      <c r="V270" s="3">
        <v>157</v>
      </c>
      <c r="W270" s="3">
        <f>IF(ISERROR(VLOOKUP($A270,'SegEnds_NonXtal_BW#'!$A:$Z,16,FALSE)+VLOOKUP($A270,A:AL,22,FALSE)-50),"-",(VLOOKUP($A270,'SegEnds_NonXtal_BW#'!$A:$Z,16,FALSE)+VLOOKUP($A270,A:AL,22,FALSE)-50))</f>
        <v>170</v>
      </c>
      <c r="X270" s="3">
        <f>IF(ISERROR(VLOOKUP($A270,'SegEnds_NonXtal_BW#'!$A:$Z,17,FALSE)+VLOOKUP($A270,A:AL,25,FALSE)-50),"-",(VLOOKUP($A270,'SegEnds_NonXtal_BW#'!$A:$Z,17,FALSE)+VLOOKUP($A270,A:AL,25,FALSE)-50))</f>
        <v>190</v>
      </c>
      <c r="Y270" s="3">
        <v>190</v>
      </c>
      <c r="Z270" s="3">
        <f t="shared" si="177"/>
        <v>192</v>
      </c>
      <c r="AA270" s="3">
        <f>IF(ISERROR(VLOOKUP($A270,'SegEnds_NonXtal_BW#'!$A:$Z,19,FALSE)+VLOOKUP($A270,A:AL,28,FALSE)-50),"-",(VLOOKUP($A270,'SegEnds_NonXtal_BW#'!$A:$Z,19,FALSE)+VLOOKUP($A270,A:AL,28,FALSE)-50))</f>
        <v>194</v>
      </c>
      <c r="AB270" s="3">
        <v>209</v>
      </c>
      <c r="AC270" s="3">
        <f>IF(ISERROR((VLOOKUP($A270,'SegEnds_NonXtal_BW#'!$A:$Z,20,FALSE)+VLOOKUP($A270,A:AL,28,FALSE)-50)),"-",(VLOOKUP($A270,'SegEnds_NonXtal_BW#'!$A:$Z,20,FALSE)+VLOOKUP($A270,A:AL,28,FALSE)-50))</f>
        <v>233</v>
      </c>
      <c r="AD270" s="3">
        <f>IF(ISERROR(VLOOKUP($A270,'SegEnds_NonXtal_BW#'!$A:$Z,21,FALSE)+VLOOKUP($A270,A:AL,31,FALSE)-50),"-",(VLOOKUP($A270,'SegEnds_NonXtal_BW#'!$A:$Z,21,FALSE)+VLOOKUP($A270,A:AL,31,FALSE)-50))</f>
        <v>244</v>
      </c>
      <c r="AE270" s="3">
        <v>273</v>
      </c>
      <c r="AF270" s="3">
        <f>IF(ISERROR((VLOOKUP($A270,'SegEnds_NonXtal_BW#'!$A:$Z,22,FALSE)+VLOOKUP($A270,A:AL,31,FALSE)-50)),"-",(VLOOKUP($A270,'SegEnds_NonXtal_BW#'!$A:$Z,22,FALSE)+VLOOKUP($A270,A:AL,31,FALSE)-50))</f>
        <v>284</v>
      </c>
      <c r="AG270" s="3">
        <f>IF(ISERROR(VLOOKUP($A270,'SegEnds_NonXtal_BW#'!$A:$Z,23,FALSE)+VLOOKUP($A270,A:AL,34,FALSE)-50),"-",(VLOOKUP($A270,'SegEnds_NonXtal_BW#'!$A:$Z,23,FALSE)+VLOOKUP($A270,A:AL,34,FALSE)-50))</f>
        <v>289</v>
      </c>
      <c r="AH270" s="3">
        <v>308</v>
      </c>
      <c r="AI270" s="3">
        <f>IF(ISERROR((VLOOKUP($A270,'SegEnds_NonXtal_BW#'!$A:$Z,24,FALSE)+VLOOKUP($A270,A:AL,34,FALSE)-50)),"-",(VLOOKUP($A270,'SegEnds_NonXtal_BW#'!$A:$Z,24,FALSE)+VLOOKUP($A270,A:AL,34,FALSE)-50))</f>
        <v>314</v>
      </c>
      <c r="AJ270" s="3">
        <f>IF(ISERROR(VLOOKUP($A270,'SegEnds_NonXtal_BW#'!$A:$Z,25,FALSE)+VLOOKUP($A270,A:AL,37,FALSE)-50),"-",(VLOOKUP($A270,'SegEnds_NonXtal_BW#'!$A:$Z,25,FALSE)+VLOOKUP($A270,A:AL,37,FALSE)-50))</f>
        <v>315</v>
      </c>
      <c r="AK270" s="3">
        <v>318</v>
      </c>
      <c r="AL270" s="3">
        <f>IF(ISERROR((VLOOKUP($A270,'SegEnds_NonXtal_BW#'!$A:$Z,26,FALSE)+VLOOKUP($A270,A:AL,37,FALSE)-50)),"-",(VLOOKUP($A270,'SegEnds_NonXtal_BW#'!$A:$Z,26,FALSE)+VLOOKUP($A270,A:AL,37,FALSE)-50))</f>
        <v>326</v>
      </c>
      <c r="AM270" s="28" t="str">
        <f>VLOOKUP(A270,Classification!A:B,2,FALSE)</f>
        <v>A</v>
      </c>
      <c r="AN270" s="28" t="b">
        <f t="shared" si="173"/>
        <v>1</v>
      </c>
      <c r="AO270" s="3" t="str">
        <f>IF(ISERROR(MATCH(A270,'SegEnds_Xtal_Prot#'!B:B, 0)), "NoXtal", "Xtal")</f>
        <v>NoXtal</v>
      </c>
      <c r="AP270" s="3">
        <f t="shared" si="153"/>
        <v>1</v>
      </c>
      <c r="AQ270" s="3">
        <f t="shared" si="154"/>
        <v>1</v>
      </c>
      <c r="AR270" s="3">
        <f t="shared" si="155"/>
        <v>2</v>
      </c>
      <c r="AS270" s="3">
        <f t="shared" si="156"/>
        <v>1</v>
      </c>
      <c r="AT270" s="3">
        <f t="shared" si="157"/>
        <v>1</v>
      </c>
      <c r="AU270" s="3">
        <f t="shared" si="158"/>
        <v>1</v>
      </c>
      <c r="AV270" s="3">
        <f t="shared" si="159"/>
        <v>20</v>
      </c>
      <c r="AW270" s="3">
        <f t="shared" si="160"/>
        <v>2</v>
      </c>
      <c r="AX270" s="3">
        <f t="shared" si="161"/>
        <v>11</v>
      </c>
      <c r="AY270" s="3">
        <f t="shared" si="162"/>
        <v>5</v>
      </c>
      <c r="AZ270" s="3">
        <f t="shared" si="163"/>
        <v>1</v>
      </c>
      <c r="BA270" s="3">
        <f>IF(ISERROR(LEN(VLOOKUP(A270,Seqs!A:E,2,FALSE))-AL270),"-",LEN(VLOOKUP(A270,Seqs!A:E,2,FALSE))-AL270)</f>
        <v>19</v>
      </c>
      <c r="BB270" s="16">
        <f t="shared" si="164"/>
        <v>28</v>
      </c>
      <c r="BC270" s="9">
        <f t="shared" si="165"/>
        <v>20</v>
      </c>
      <c r="BD270" s="3">
        <f t="shared" si="166"/>
        <v>28</v>
      </c>
      <c r="BE270" s="3">
        <f t="shared" si="167"/>
        <v>64</v>
      </c>
      <c r="BF270" s="3">
        <f t="shared" si="147"/>
        <v>35</v>
      </c>
    </row>
    <row r="271" spans="1:58" s="3" customFormat="1" x14ac:dyDescent="0.2">
      <c r="A271" s="3" t="s">
        <v>392</v>
      </c>
      <c r="B271" s="3" t="str">
        <f>LOWER(VLOOKUP(A271,Xtal_Templ!A:B,2,FALSE))</f>
        <v>5ht1b_human</v>
      </c>
      <c r="C271" s="3">
        <f>VLOOKUP($A271,'SegEnds_NonXtal_BW#'!$A:$Z,3,FALSE)+D271-50</f>
        <v>28</v>
      </c>
      <c r="D271" s="3">
        <v>49</v>
      </c>
      <c r="E271" s="3">
        <f>IF(ISERROR(VLOOKUP($A271,'SegEnds_NonXtal_BW#'!$A:$Z,4,FALSE)+VLOOKUP($A271,A:AL,4,FALSE)-50),"-",(VLOOKUP($A271,'SegEnds_NonXtal_BW#'!$A:$Z,4,FALSE)+VLOOKUP($A271,A:AL,4,FALSE)-50))</f>
        <v>59</v>
      </c>
      <c r="F271" s="3">
        <f t="shared" si="169"/>
        <v>60</v>
      </c>
      <c r="G271" s="3">
        <v>62</v>
      </c>
      <c r="H271" s="3">
        <f t="shared" si="170"/>
        <v>63</v>
      </c>
      <c r="I271" s="3">
        <f t="shared" si="170"/>
        <v>64</v>
      </c>
      <c r="J271" s="3">
        <v>77</v>
      </c>
      <c r="K271" s="3">
        <f>VLOOKUP($A271,'SegEnds_NonXtal_BW#'!$A:$Z,8,FALSE)+VLOOKUP($A271,A:AL,10,FALSE)-50</f>
        <v>94</v>
      </c>
      <c r="L271" s="3">
        <f t="shared" si="174"/>
        <v>96</v>
      </c>
      <c r="M271" s="3">
        <v>97</v>
      </c>
      <c r="N271" s="3">
        <f t="shared" si="175"/>
        <v>99</v>
      </c>
      <c r="O271" s="3">
        <f t="shared" si="176"/>
        <v>100</v>
      </c>
      <c r="P271" s="3">
        <v>129</v>
      </c>
      <c r="Q271" s="3">
        <f>VLOOKUP($A271,'SegEnds_NonXtal_BW#'!$A:$Z,12,FALSE)+VLOOKUP($A271,A:AL,16,FALSE)-50</f>
        <v>135</v>
      </c>
      <c r="R271" s="3">
        <f>IF(ISERROR(VLOOKUP($A271,'SegEnds_NonXtal_BW#'!$A:$Z,13,FALSE)+VLOOKUP($A271,A:AL,19,FALSE)-50),"-",VLOOKUP($A271,'SegEnds_NonXtal_BW#'!$A:$Z,13,FALSE)+VLOOKUP($A271,A:AL,19,FALSE)-50)</f>
        <v>136</v>
      </c>
      <c r="S271" s="3">
        <v>136</v>
      </c>
      <c r="T271" s="103">
        <f>IF(ISERROR(VLOOKUP($A271,'SegEnds_NonXtal_BW#'!$A:$Z,14,FALSE)+VLOOKUP($A271,A:AL,19,FALSE)-50),"-",(VLOOKUP($A271,'SegEnds_NonXtal_BW#'!$A:$Z,14,FALSE)+VLOOKUP($A271,A:AL,19,FALSE)-50))</f>
        <v>143</v>
      </c>
      <c r="U271" s="9">
        <f>IF(ISERROR(VLOOKUP($A271,'SegEnds_NonXtal_BW#'!$A:$Z,15,FALSE)+VLOOKUP($A271,A:AL,22,FALSE)-50),"-",VLOOKUP($A271,'SegEnds_NonXtal_BW#'!$A:$Z,15,FALSE)+VLOOKUP($A271,A:AL,22,FALSE)-50)</f>
        <v>144</v>
      </c>
      <c r="V271" s="3">
        <v>156</v>
      </c>
      <c r="W271" s="3">
        <f>IF(ISERROR(VLOOKUP($A271,'SegEnds_NonXtal_BW#'!$A:$Z,16,FALSE)+VLOOKUP($A271,A:AL,22,FALSE)-50),"-",(VLOOKUP($A271,'SegEnds_NonXtal_BW#'!$A:$Z,16,FALSE)+VLOOKUP($A271,A:AL,22,FALSE)-50))</f>
        <v>169</v>
      </c>
      <c r="X271" s="3">
        <f>IF(ISERROR(VLOOKUP($A271,'SegEnds_NonXtal_BW#'!$A:$Z,17,FALSE)+VLOOKUP($A271,A:AL,25,FALSE)-50),"-",(VLOOKUP($A271,'SegEnds_NonXtal_BW#'!$A:$Z,17,FALSE)+VLOOKUP($A271,A:AL,25,FALSE)-50))</f>
        <v>189</v>
      </c>
      <c r="Y271" s="3">
        <v>189</v>
      </c>
      <c r="Z271" s="3">
        <f t="shared" si="177"/>
        <v>191</v>
      </c>
      <c r="AA271" s="3">
        <f>IF(ISERROR(VLOOKUP($A271,'SegEnds_NonXtal_BW#'!$A:$Z,19,FALSE)+VLOOKUP($A271,A:AL,28,FALSE)-50),"-",(VLOOKUP($A271,'SegEnds_NonXtal_BW#'!$A:$Z,19,FALSE)+VLOOKUP($A271,A:AL,28,FALSE)-50))</f>
        <v>193</v>
      </c>
      <c r="AB271" s="3">
        <v>208</v>
      </c>
      <c r="AC271" s="3">
        <f>IF(ISERROR((VLOOKUP($A271,'SegEnds_NonXtal_BW#'!$A:$Z,20,FALSE)+VLOOKUP($A271,A:AL,28,FALSE)-50)),"-",(VLOOKUP($A271,'SegEnds_NonXtal_BW#'!$A:$Z,20,FALSE)+VLOOKUP($A271,A:AL,28,FALSE)-50))</f>
        <v>232</v>
      </c>
      <c r="AD271" s="3">
        <f>IF(ISERROR(VLOOKUP($A271,'SegEnds_NonXtal_BW#'!$A:$Z,21,FALSE)+VLOOKUP($A271,A:AL,31,FALSE)-50),"-",(VLOOKUP($A271,'SegEnds_NonXtal_BW#'!$A:$Z,21,FALSE)+VLOOKUP($A271,A:AL,31,FALSE)-50))</f>
        <v>243</v>
      </c>
      <c r="AE271" s="3">
        <v>272</v>
      </c>
      <c r="AF271" s="3">
        <f>IF(ISERROR((VLOOKUP($A271,'SegEnds_NonXtal_BW#'!$A:$Z,22,FALSE)+VLOOKUP($A271,A:AL,31,FALSE)-50)),"-",(VLOOKUP($A271,'SegEnds_NonXtal_BW#'!$A:$Z,22,FALSE)+VLOOKUP($A271,A:AL,31,FALSE)-50))</f>
        <v>283</v>
      </c>
      <c r="AG271" s="3">
        <f>IF(ISERROR(VLOOKUP($A271,'SegEnds_NonXtal_BW#'!$A:$Z,23,FALSE)+VLOOKUP($A271,A:AL,34,FALSE)-50),"-",(VLOOKUP($A271,'SegEnds_NonXtal_BW#'!$A:$Z,23,FALSE)+VLOOKUP($A271,A:AL,34,FALSE)-50))</f>
        <v>288</v>
      </c>
      <c r="AH271" s="3">
        <v>307</v>
      </c>
      <c r="AI271" s="3">
        <f>IF(ISERROR((VLOOKUP($A271,'SegEnds_NonXtal_BW#'!$A:$Z,24,FALSE)+VLOOKUP($A271,A:AL,34,FALSE)-50)),"-",(VLOOKUP($A271,'SegEnds_NonXtal_BW#'!$A:$Z,24,FALSE)+VLOOKUP($A271,A:AL,34,FALSE)-50))</f>
        <v>313</v>
      </c>
      <c r="AJ271" s="3">
        <f>IF(ISERROR(VLOOKUP($A271,'SegEnds_NonXtal_BW#'!$A:$Z,25,FALSE)+VLOOKUP($A271,A:AL,37,FALSE)-50),"-",(VLOOKUP($A271,'SegEnds_NonXtal_BW#'!$A:$Z,25,FALSE)+VLOOKUP($A271,A:AL,37,FALSE)-50))</f>
        <v>314</v>
      </c>
      <c r="AK271" s="3">
        <v>317</v>
      </c>
      <c r="AL271" s="3">
        <f>IF(ISERROR((VLOOKUP($A271,'SegEnds_NonXtal_BW#'!$A:$Z,26,FALSE)+VLOOKUP($A271,A:AL,37,FALSE)-50)),"-",(VLOOKUP($A271,'SegEnds_NonXtal_BW#'!$A:$Z,26,FALSE)+VLOOKUP($A271,A:AL,37,FALSE)-50))</f>
        <v>325</v>
      </c>
      <c r="AM271" s="28" t="str">
        <f>VLOOKUP(A271,Classification!A:B,2,FALSE)</f>
        <v>A</v>
      </c>
      <c r="AN271" s="28" t="b">
        <f t="shared" si="173"/>
        <v>1</v>
      </c>
      <c r="AO271" s="3" t="str">
        <f>IF(ISERROR(MATCH(A271,'SegEnds_Xtal_Prot#'!B:B, 0)), "NoXtal", "Xtal")</f>
        <v>NoXtal</v>
      </c>
      <c r="AP271" s="3">
        <f t="shared" si="153"/>
        <v>1</v>
      </c>
      <c r="AQ271" s="3">
        <f t="shared" si="154"/>
        <v>1</v>
      </c>
      <c r="AR271" s="3">
        <f t="shared" si="155"/>
        <v>2</v>
      </c>
      <c r="AS271" s="3">
        <f t="shared" si="156"/>
        <v>1</v>
      </c>
      <c r="AT271" s="3">
        <f t="shared" si="157"/>
        <v>1</v>
      </c>
      <c r="AU271" s="3">
        <f t="shared" si="158"/>
        <v>1</v>
      </c>
      <c r="AV271" s="3">
        <f t="shared" si="159"/>
        <v>20</v>
      </c>
      <c r="AW271" s="3">
        <f t="shared" si="160"/>
        <v>2</v>
      </c>
      <c r="AX271" s="3">
        <f t="shared" si="161"/>
        <v>11</v>
      </c>
      <c r="AY271" s="3">
        <f t="shared" si="162"/>
        <v>5</v>
      </c>
      <c r="AZ271" s="3">
        <f t="shared" si="163"/>
        <v>1</v>
      </c>
      <c r="BA271" s="3">
        <f>IF(ISERROR(LEN(VLOOKUP(A271,Seqs!A:E,2,FALSE))-AL271),"-",LEN(VLOOKUP(A271,Seqs!A:E,2,FALSE))-AL271)</f>
        <v>17</v>
      </c>
      <c r="BB271" s="16">
        <f t="shared" si="164"/>
        <v>28</v>
      </c>
      <c r="BC271" s="9">
        <f t="shared" si="165"/>
        <v>20</v>
      </c>
      <c r="BD271" s="3">
        <f t="shared" si="166"/>
        <v>28</v>
      </c>
      <c r="BE271" s="3">
        <f t="shared" si="167"/>
        <v>64</v>
      </c>
      <c r="BF271" s="3">
        <f t="shared" si="147"/>
        <v>35</v>
      </c>
    </row>
    <row r="272" spans="1:58" s="3" customFormat="1" x14ac:dyDescent="0.2">
      <c r="A272" s="3" t="s">
        <v>393</v>
      </c>
      <c r="B272" s="3" t="str">
        <f>LOWER(VLOOKUP(A272,Xtal_Templ!A:B,2,FALSE))</f>
        <v>5ht1b_human</v>
      </c>
      <c r="C272" s="3">
        <f>VLOOKUP($A272,'SegEnds_NonXtal_BW#'!$A:$Z,3,FALSE)+D272-50</f>
        <v>29</v>
      </c>
      <c r="D272" s="3">
        <v>50</v>
      </c>
      <c r="E272" s="3">
        <f>IF(ISERROR(VLOOKUP($A272,'SegEnds_NonXtal_BW#'!$A:$Z,4,FALSE)+VLOOKUP($A272,A:AL,4,FALSE)-50),"-",(VLOOKUP($A272,'SegEnds_NonXtal_BW#'!$A:$Z,4,FALSE)+VLOOKUP($A272,A:AL,4,FALSE)-50))</f>
        <v>60</v>
      </c>
      <c r="F272" s="3">
        <f t="shared" si="169"/>
        <v>61</v>
      </c>
      <c r="G272" s="3">
        <v>63</v>
      </c>
      <c r="H272" s="3">
        <f t="shared" si="170"/>
        <v>64</v>
      </c>
      <c r="I272" s="3">
        <f t="shared" si="170"/>
        <v>65</v>
      </c>
      <c r="J272" s="3">
        <v>78</v>
      </c>
      <c r="K272" s="3">
        <f>VLOOKUP($A272,'SegEnds_NonXtal_BW#'!$A:$Z,8,FALSE)+VLOOKUP($A272,A:AL,10,FALSE)-50</f>
        <v>95</v>
      </c>
      <c r="L272" s="3">
        <f t="shared" si="174"/>
        <v>97</v>
      </c>
      <c r="M272" s="3">
        <v>98</v>
      </c>
      <c r="N272" s="3">
        <f t="shared" si="175"/>
        <v>100</v>
      </c>
      <c r="O272" s="3">
        <f t="shared" si="176"/>
        <v>101</v>
      </c>
      <c r="P272" s="3">
        <v>130</v>
      </c>
      <c r="Q272" s="3">
        <f>VLOOKUP($A272,'SegEnds_NonXtal_BW#'!$A:$Z,12,FALSE)+VLOOKUP($A272,A:AL,16,FALSE)-50</f>
        <v>136</v>
      </c>
      <c r="R272" s="3">
        <f>IF(ISERROR(VLOOKUP($A272,'SegEnds_NonXtal_BW#'!$A:$Z,13,FALSE)+VLOOKUP($A272,A:AL,19,FALSE)-50),"-",VLOOKUP($A272,'SegEnds_NonXtal_BW#'!$A:$Z,13,FALSE)+VLOOKUP($A272,A:AL,19,FALSE)-50)</f>
        <v>137</v>
      </c>
      <c r="S272" s="3">
        <v>137</v>
      </c>
      <c r="T272" s="103">
        <f>IF(ISERROR(VLOOKUP($A272,'SegEnds_NonXtal_BW#'!$A:$Z,14,FALSE)+VLOOKUP($A272,A:AL,19,FALSE)-50),"-",(VLOOKUP($A272,'SegEnds_NonXtal_BW#'!$A:$Z,14,FALSE)+VLOOKUP($A272,A:AL,19,FALSE)-50))</f>
        <v>144</v>
      </c>
      <c r="U272" s="9">
        <f>IF(ISERROR(VLOOKUP($A272,'SegEnds_NonXtal_BW#'!$A:$Z,15,FALSE)+VLOOKUP($A272,A:AL,22,FALSE)-50),"-",VLOOKUP($A272,'SegEnds_NonXtal_BW#'!$A:$Z,15,FALSE)+VLOOKUP($A272,A:AL,22,FALSE)-50)</f>
        <v>145</v>
      </c>
      <c r="V272" s="3">
        <v>157</v>
      </c>
      <c r="W272" s="3">
        <f>IF(ISERROR(VLOOKUP($A272,'SegEnds_NonXtal_BW#'!$A:$Z,16,FALSE)+VLOOKUP($A272,A:AL,22,FALSE)-50),"-",(VLOOKUP($A272,'SegEnds_NonXtal_BW#'!$A:$Z,16,FALSE)+VLOOKUP($A272,A:AL,22,FALSE)-50))</f>
        <v>170</v>
      </c>
      <c r="X272" s="3">
        <f>IF(ISERROR(VLOOKUP($A272,'SegEnds_NonXtal_BW#'!$A:$Z,17,FALSE)+VLOOKUP($A272,A:AL,25,FALSE)-50),"-",(VLOOKUP($A272,'SegEnds_NonXtal_BW#'!$A:$Z,17,FALSE)+VLOOKUP($A272,A:AL,25,FALSE)-50))</f>
        <v>190</v>
      </c>
      <c r="Y272" s="3">
        <v>190</v>
      </c>
      <c r="Z272" s="3">
        <f t="shared" si="177"/>
        <v>192</v>
      </c>
      <c r="AA272" s="3">
        <f>IF(ISERROR(VLOOKUP($A272,'SegEnds_NonXtal_BW#'!$A:$Z,19,FALSE)+VLOOKUP($A272,A:AL,28,FALSE)-50),"-",(VLOOKUP($A272,'SegEnds_NonXtal_BW#'!$A:$Z,19,FALSE)+VLOOKUP($A272,A:AL,28,FALSE)-50))</f>
        <v>194</v>
      </c>
      <c r="AB272" s="3">
        <v>209</v>
      </c>
      <c r="AC272" s="3">
        <f>IF(ISERROR((VLOOKUP($A272,'SegEnds_NonXtal_BW#'!$A:$Z,20,FALSE)+VLOOKUP($A272,A:AL,28,FALSE)-50)),"-",(VLOOKUP($A272,'SegEnds_NonXtal_BW#'!$A:$Z,20,FALSE)+VLOOKUP($A272,A:AL,28,FALSE)-50))</f>
        <v>233</v>
      </c>
      <c r="AD272" s="3">
        <f>IF(ISERROR(VLOOKUP($A272,'SegEnds_NonXtal_BW#'!$A:$Z,21,FALSE)+VLOOKUP($A272,A:AL,31,FALSE)-50),"-",(VLOOKUP($A272,'SegEnds_NonXtal_BW#'!$A:$Z,21,FALSE)+VLOOKUP($A272,A:AL,31,FALSE)-50))</f>
        <v>244</v>
      </c>
      <c r="AE272" s="3">
        <v>273</v>
      </c>
      <c r="AF272" s="3">
        <f>IF(ISERROR((VLOOKUP($A272,'SegEnds_NonXtal_BW#'!$A:$Z,22,FALSE)+VLOOKUP($A272,A:AL,31,FALSE)-50)),"-",(VLOOKUP($A272,'SegEnds_NonXtal_BW#'!$A:$Z,22,FALSE)+VLOOKUP($A272,A:AL,31,FALSE)-50))</f>
        <v>284</v>
      </c>
      <c r="AG272" s="3">
        <f>IF(ISERROR(VLOOKUP($A272,'SegEnds_NonXtal_BW#'!$A:$Z,23,FALSE)+VLOOKUP($A272,A:AL,34,FALSE)-50),"-",(VLOOKUP($A272,'SegEnds_NonXtal_BW#'!$A:$Z,23,FALSE)+VLOOKUP($A272,A:AL,34,FALSE)-50))</f>
        <v>289</v>
      </c>
      <c r="AH272" s="3">
        <v>308</v>
      </c>
      <c r="AI272" s="3">
        <f>IF(ISERROR((VLOOKUP($A272,'SegEnds_NonXtal_BW#'!$A:$Z,24,FALSE)+VLOOKUP($A272,A:AL,34,FALSE)-50)),"-",(VLOOKUP($A272,'SegEnds_NonXtal_BW#'!$A:$Z,24,FALSE)+VLOOKUP($A272,A:AL,34,FALSE)-50))</f>
        <v>314</v>
      </c>
      <c r="AJ272" s="3">
        <f>IF(ISERROR(VLOOKUP($A272,'SegEnds_NonXtal_BW#'!$A:$Z,25,FALSE)+VLOOKUP($A272,A:AL,37,FALSE)-50),"-",(VLOOKUP($A272,'SegEnds_NonXtal_BW#'!$A:$Z,25,FALSE)+VLOOKUP($A272,A:AL,37,FALSE)-50))</f>
        <v>315</v>
      </c>
      <c r="AK272" s="3">
        <v>318</v>
      </c>
      <c r="AL272" s="3">
        <f>IF(ISERROR((VLOOKUP($A272,'SegEnds_NonXtal_BW#'!$A:$Z,26,FALSE)+VLOOKUP($A272,A:AL,37,FALSE)-50)),"-",(VLOOKUP($A272,'SegEnds_NonXtal_BW#'!$A:$Z,26,FALSE)+VLOOKUP($A272,A:AL,37,FALSE)-50))</f>
        <v>326</v>
      </c>
      <c r="AM272" s="28" t="str">
        <f>VLOOKUP(A272,Classification!A:B,2,FALSE)</f>
        <v>A</v>
      </c>
      <c r="AN272" s="28" t="b">
        <f t="shared" si="173"/>
        <v>1</v>
      </c>
      <c r="AO272" s="3" t="str">
        <f>IF(ISERROR(MATCH(A272,'SegEnds_Xtal_Prot#'!B:B, 0)), "NoXtal", "Xtal")</f>
        <v>NoXtal</v>
      </c>
      <c r="AP272" s="3">
        <f t="shared" si="153"/>
        <v>1</v>
      </c>
      <c r="AQ272" s="3">
        <f t="shared" si="154"/>
        <v>1</v>
      </c>
      <c r="AR272" s="3">
        <f t="shared" si="155"/>
        <v>2</v>
      </c>
      <c r="AS272" s="3">
        <f t="shared" si="156"/>
        <v>1</v>
      </c>
      <c r="AT272" s="3">
        <f t="shared" si="157"/>
        <v>1</v>
      </c>
      <c r="AU272" s="3">
        <f t="shared" si="158"/>
        <v>1</v>
      </c>
      <c r="AV272" s="3">
        <f t="shared" si="159"/>
        <v>20</v>
      </c>
      <c r="AW272" s="3">
        <f t="shared" si="160"/>
        <v>2</v>
      </c>
      <c r="AX272" s="3">
        <f t="shared" si="161"/>
        <v>11</v>
      </c>
      <c r="AY272" s="3">
        <f t="shared" si="162"/>
        <v>5</v>
      </c>
      <c r="AZ272" s="3">
        <f t="shared" si="163"/>
        <v>1</v>
      </c>
      <c r="BA272" s="3">
        <f>IF(ISERROR(LEN(VLOOKUP(A272,Seqs!A:E,2,FALSE))-AL272),"-",LEN(VLOOKUP(A272,Seqs!A:E,2,FALSE))-AL272)</f>
        <v>22</v>
      </c>
      <c r="BB272" s="16">
        <f t="shared" si="164"/>
        <v>28</v>
      </c>
      <c r="BC272" s="9">
        <f t="shared" si="165"/>
        <v>20</v>
      </c>
      <c r="BD272" s="3">
        <f t="shared" si="166"/>
        <v>28</v>
      </c>
      <c r="BE272" s="3">
        <f t="shared" si="167"/>
        <v>64</v>
      </c>
      <c r="BF272" s="3">
        <f t="shared" si="147"/>
        <v>35</v>
      </c>
    </row>
    <row r="273" spans="1:58" s="3" customFormat="1" x14ac:dyDescent="0.2">
      <c r="A273" s="3" t="s">
        <v>394</v>
      </c>
      <c r="B273" s="3" t="str">
        <f>LOWER(VLOOKUP(A273,Xtal_Templ!A:B,2,FALSE))</f>
        <v>oprx_human</v>
      </c>
      <c r="C273" s="3">
        <f>VLOOKUP($A273,'SegEnds_NonXtal_BW#'!$A:$Z,3,FALSE)+D273-50</f>
        <v>22</v>
      </c>
      <c r="D273" s="3">
        <v>43</v>
      </c>
      <c r="E273" s="3">
        <f>IF(ISERROR(VLOOKUP($A273,'SegEnds_NonXtal_BW#'!$A:$Z,4,FALSE)+VLOOKUP($A273,A:AL,4,FALSE)-50),"-",(VLOOKUP($A273,'SegEnds_NonXtal_BW#'!$A:$Z,4,FALSE)+VLOOKUP($A273,A:AL,4,FALSE)-50))</f>
        <v>53</v>
      </c>
      <c r="F273" s="3">
        <f t="shared" si="169"/>
        <v>54</v>
      </c>
      <c r="G273" s="3">
        <v>56</v>
      </c>
      <c r="H273" s="3">
        <f t="shared" si="170"/>
        <v>57</v>
      </c>
      <c r="I273" s="3">
        <f t="shared" si="170"/>
        <v>58</v>
      </c>
      <c r="J273" s="3">
        <v>71</v>
      </c>
      <c r="K273" s="3">
        <f>VLOOKUP($A273,'SegEnds_NonXtal_BW#'!$A:$Z,8,FALSE)+VLOOKUP($A273,A:AL,10,FALSE)-50</f>
        <v>87</v>
      </c>
      <c r="L273" s="3">
        <f t="shared" si="174"/>
        <v>90</v>
      </c>
      <c r="M273" s="3">
        <v>91</v>
      </c>
      <c r="N273" s="3">
        <f t="shared" si="175"/>
        <v>93</v>
      </c>
      <c r="O273" s="3">
        <f t="shared" si="176"/>
        <v>94</v>
      </c>
      <c r="P273" s="3">
        <v>123</v>
      </c>
      <c r="Q273" s="3">
        <f>VLOOKUP($A273,'SegEnds_NonXtal_BW#'!$A:$Z,12,FALSE)+VLOOKUP($A273,A:AL,16,FALSE)-50</f>
        <v>129</v>
      </c>
      <c r="R273" s="3">
        <f>IF(ISERROR(VLOOKUP($A273,'SegEnds_NonXtal_BW#'!$A:$Z,13,FALSE)+VLOOKUP($A273,A:AL,19,FALSE)-50),"-",VLOOKUP($A273,'SegEnds_NonXtal_BW#'!$A:$Z,13,FALSE)+VLOOKUP($A273,A:AL,19,FALSE)-50)</f>
        <v>130</v>
      </c>
      <c r="S273" s="3">
        <v>130</v>
      </c>
      <c r="T273" s="103">
        <f>IF(ISERROR(VLOOKUP($A273,'SegEnds_NonXtal_BW#'!$A:$Z,14,FALSE)+VLOOKUP($A273,A:AL,19,FALSE)-50),"-",(VLOOKUP($A273,'SegEnds_NonXtal_BW#'!$A:$Z,14,FALSE)+VLOOKUP($A273,A:AL,19,FALSE)-50))</f>
        <v>137</v>
      </c>
      <c r="U273" s="9">
        <f>IF(ISERROR(VLOOKUP($A273,'SegEnds_NonXtal_BW#'!$A:$Z,15,FALSE)+VLOOKUP($A273,A:AL,22,FALSE)-50),"-",VLOOKUP($A273,'SegEnds_NonXtal_BW#'!$A:$Z,15,FALSE)+VLOOKUP($A273,A:AL,22,FALSE)-50)</f>
        <v>138</v>
      </c>
      <c r="V273" s="3">
        <v>150</v>
      </c>
      <c r="W273" s="3">
        <f>IF(ISERROR(VLOOKUP($A273,'SegEnds_NonXtal_BW#'!$A:$Z,16,FALSE)+VLOOKUP($A273,A:AL,22,FALSE)-50),"-",(VLOOKUP($A273,'SegEnds_NonXtal_BW#'!$A:$Z,16,FALSE)+VLOOKUP($A273,A:AL,22,FALSE)-50))</f>
        <v>164</v>
      </c>
      <c r="X273" s="3">
        <f>IF(ISERROR(VLOOKUP($A273,'SegEnds_NonXtal_BW#'!$A:$Z,17,FALSE)+VLOOKUP($A273,A:AL,25,FALSE)-50),"-",(VLOOKUP($A273,'SegEnds_NonXtal_BW#'!$A:$Z,17,FALSE)+VLOOKUP($A273,A:AL,25,FALSE)-50))</f>
        <v>179</v>
      </c>
      <c r="Y273" s="3">
        <v>179</v>
      </c>
      <c r="Z273" s="3">
        <f t="shared" si="177"/>
        <v>181</v>
      </c>
      <c r="AA273" s="3">
        <f>IF(ISERROR(VLOOKUP($A273,'SegEnds_NonXtal_BW#'!$A:$Z,19,FALSE)+VLOOKUP($A273,A:AL,28,FALSE)-50),"-",(VLOOKUP($A273,'SegEnds_NonXtal_BW#'!$A:$Z,19,FALSE)+VLOOKUP($A273,A:AL,28,FALSE)-50))</f>
        <v>184</v>
      </c>
      <c r="AB273" s="3">
        <v>203</v>
      </c>
      <c r="AC273" s="3">
        <f>IF(ISERROR((VLOOKUP($A273,'SegEnds_NonXtal_BW#'!$A:$Z,20,FALSE)+VLOOKUP($A273,A:AL,28,FALSE)-50)),"-",(VLOOKUP($A273,'SegEnds_NonXtal_BW#'!$A:$Z,20,FALSE)+VLOOKUP($A273,A:AL,28,FALSE)-50))</f>
        <v>229</v>
      </c>
      <c r="AD273" s="3">
        <f>IF(ISERROR(VLOOKUP($A273,'SegEnds_NonXtal_BW#'!$A:$Z,21,FALSE)+VLOOKUP($A273,A:AL,31,FALSE)-50),"-",(VLOOKUP($A273,'SegEnds_NonXtal_BW#'!$A:$Z,21,FALSE)+VLOOKUP($A273,A:AL,31,FALSE)-50))</f>
        <v>255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336</v>
      </c>
      <c r="AM273" s="28" t="str">
        <f>VLOOKUP(A273,Classification!A:B,2,FALSE)</f>
        <v>A</v>
      </c>
      <c r="AN273" s="28" t="b">
        <f t="shared" si="173"/>
        <v>1</v>
      </c>
      <c r="AO273" s="3" t="str">
        <f>IF(ISERROR(MATCH(A273,'SegEnds_Xtal_Prot#'!B:B, 0)), "NoXtal", "Xtal")</f>
        <v>NoXtal</v>
      </c>
      <c r="AP273" s="3">
        <f t="shared" si="153"/>
        <v>1</v>
      </c>
      <c r="AQ273" s="3">
        <f t="shared" si="154"/>
        <v>1</v>
      </c>
      <c r="AR273" s="3">
        <f t="shared" si="155"/>
        <v>3</v>
      </c>
      <c r="AS273" s="3">
        <f t="shared" si="156"/>
        <v>1</v>
      </c>
      <c r="AT273" s="3">
        <f t="shared" si="157"/>
        <v>1</v>
      </c>
      <c r="AU273" s="3">
        <f t="shared" si="158"/>
        <v>1</v>
      </c>
      <c r="AV273" s="3">
        <f t="shared" si="159"/>
        <v>15</v>
      </c>
      <c r="AW273" s="3">
        <f t="shared" si="160"/>
        <v>3</v>
      </c>
      <c r="AX273" s="3">
        <f t="shared" si="161"/>
        <v>26</v>
      </c>
      <c r="AY273" s="3">
        <f t="shared" si="162"/>
        <v>6</v>
      </c>
      <c r="AZ273" s="3">
        <f t="shared" si="163"/>
        <v>1</v>
      </c>
      <c r="BA273" s="3">
        <f>IF(ISERROR(LEN(VLOOKUP(A273,Seqs!A:E,2,FALSE))-AL273),"-",LEN(VLOOKUP(A273,Seqs!A:E,2,FALSE))-AL273)</f>
        <v>62</v>
      </c>
      <c r="BB273" s="16">
        <f t="shared" si="164"/>
        <v>28</v>
      </c>
      <c r="BC273" s="9">
        <f t="shared" si="165"/>
        <v>20</v>
      </c>
      <c r="BD273" s="3">
        <f t="shared" si="166"/>
        <v>28</v>
      </c>
      <c r="BE273" s="3">
        <f t="shared" si="167"/>
        <v>78</v>
      </c>
    </row>
    <row r="274" spans="1:58" s="3" customFormat="1" x14ac:dyDescent="0.2">
      <c r="A274" s="3" t="s">
        <v>395</v>
      </c>
      <c r="B274" s="3" t="str">
        <f>LOWER(VLOOKUP(A274,Xtal_Templ!A:B,2,FALSE))</f>
        <v>aa2ar_human</v>
      </c>
      <c r="C274" s="3">
        <f>VLOOKUP($A274,'SegEnds_NonXtal_BW#'!$A:$Z,3,FALSE)+D274-50</f>
        <v>409</v>
      </c>
      <c r="D274" s="3">
        <v>432</v>
      </c>
      <c r="E274" s="3">
        <f>IF(ISERROR(VLOOKUP($A274,'SegEnds_NonXtal_BW#'!$A:$Z,4,FALSE)+VLOOKUP($A274,A:AL,4,FALSE)-50),"-",(VLOOKUP($A274,'SegEnds_NonXtal_BW#'!$A:$Z,4,FALSE)+VLOOKUP($A274,A:AL,4,FALSE)-50))</f>
        <v>442</v>
      </c>
      <c r="F274" s="3">
        <f t="shared" si="169"/>
        <v>444</v>
      </c>
      <c r="G274" s="3">
        <v>446</v>
      </c>
      <c r="H274" s="3">
        <f t="shared" si="170"/>
        <v>447</v>
      </c>
      <c r="I274" s="3">
        <f t="shared" si="170"/>
        <v>448</v>
      </c>
      <c r="J274" s="3">
        <v>460</v>
      </c>
      <c r="K274" s="3">
        <f>VLOOKUP($A274,'SegEnds_NonXtal_BW#'!$A:$Z,8,FALSE)+VLOOKUP($A274,A:AL,10,FALSE)-50</f>
        <v>477</v>
      </c>
      <c r="L274" s="3">
        <f t="shared" si="174"/>
        <v>487</v>
      </c>
      <c r="M274" s="3">
        <v>488</v>
      </c>
      <c r="N274" s="3">
        <f t="shared" si="175"/>
        <v>490</v>
      </c>
      <c r="O274" s="3">
        <f t="shared" si="176"/>
        <v>491</v>
      </c>
      <c r="P274" s="3">
        <v>519</v>
      </c>
      <c r="Q274" s="3">
        <f>VLOOKUP($A274,'SegEnds_NonXtal_BW#'!$A:$Z,12,FALSE)+VLOOKUP($A274,A:AL,16,FALSE)-50</f>
        <v>525</v>
      </c>
      <c r="R274" s="3">
        <f>IF(ISERROR(VLOOKUP($A274,'SegEnds_NonXtal_BW#'!$A:$Z,13,FALSE)+VLOOKUP($A274,A:AL,19,FALSE)-50),"-",VLOOKUP($A274,'SegEnds_NonXtal_BW#'!$A:$Z,13,FALSE)+VLOOKUP($A274,A:AL,19,FALSE)-50)</f>
        <v>526</v>
      </c>
      <c r="S274" s="3">
        <v>526</v>
      </c>
      <c r="T274" s="103">
        <f>IF(ISERROR(VLOOKUP($A274,'SegEnds_NonXtal_BW#'!$A:$Z,14,FALSE)+VLOOKUP($A274,A:AL,19,FALSE)-50),"-",(VLOOKUP($A274,'SegEnds_NonXtal_BW#'!$A:$Z,14,FALSE)+VLOOKUP($A274,A:AL,19,FALSE)-50))</f>
        <v>533</v>
      </c>
      <c r="U274" s="9">
        <f>IF(ISERROR(VLOOKUP($A274,'SegEnds_NonXtal_BW#'!$A:$Z,15,FALSE)+VLOOKUP($A274,A:AL,22,FALSE)-50),"-",VLOOKUP($A274,'SegEnds_NonXtal_BW#'!$A:$Z,15,FALSE)+VLOOKUP($A274,A:AL,22,FALSE)-50)</f>
        <v>534</v>
      </c>
      <c r="V274" s="3">
        <v>546</v>
      </c>
      <c r="W274" s="3">
        <f>IF(ISERROR(VLOOKUP($A274,'SegEnds_NonXtal_BW#'!$A:$Z,16,FALSE)+VLOOKUP($A274,A:AL,22,FALSE)-50),"-",(VLOOKUP($A274,'SegEnds_NonXtal_BW#'!$A:$Z,16,FALSE)+VLOOKUP($A274,A:AL,22,FALSE)-50))</f>
        <v>559</v>
      </c>
      <c r="X274" s="3">
        <f>IF(ISERROR(VLOOKUP($A274,'SegEnds_NonXtal_BW#'!$A:$Z,17,FALSE)+VLOOKUP($A274,A:AL,25,FALSE)-50),"-",(VLOOKUP($A274,'SegEnds_NonXtal_BW#'!$A:$Z,17,FALSE)+VLOOKUP($A274,A:AL,25,FALSE)-50))</f>
        <v>569</v>
      </c>
      <c r="Y274" s="3">
        <v>569</v>
      </c>
      <c r="Z274" s="3">
        <f t="shared" si="177"/>
        <v>571</v>
      </c>
      <c r="AA274" s="3">
        <f>IF(ISERROR(VLOOKUP($A274,'SegEnds_NonXtal_BW#'!$A:$Z,19,FALSE)+VLOOKUP($A274,A:AL,28,FALSE)-50),"-",(VLOOKUP($A274,'SegEnds_NonXtal_BW#'!$A:$Z,19,FALSE)+VLOOKUP($A274,A:AL,28,FALSE)-50))</f>
        <v>577</v>
      </c>
      <c r="AB274" s="3">
        <v>593</v>
      </c>
      <c r="AC274" s="3">
        <f>IF(ISERROR((VLOOKUP($A274,'SegEnds_NonXtal_BW#'!$A:$Z,20,FALSE)+VLOOKUP($A274,A:AL,28,FALSE)-50)),"-",(VLOOKUP($A274,'SegEnds_NonXtal_BW#'!$A:$Z,20,FALSE)+VLOOKUP($A274,A:AL,28,FALSE)-50))</f>
        <v>610</v>
      </c>
      <c r="AD274" s="3">
        <f>IF(ISERROR(VLOOKUP($A274,'SegEnds_NonXtal_BW#'!$A:$Z,21,FALSE)+VLOOKUP($A274,A:AL,31,FALSE)-50),"-",(VLOOKUP($A274,'SegEnds_NonXtal_BW#'!$A:$Z,21,FALSE)+VLOOKUP($A274,A:AL,31,FALSE)-50))</f>
        <v>615</v>
      </c>
      <c r="AE274" s="3">
        <v>639</v>
      </c>
      <c r="AF274" s="3">
        <f>IF(ISERROR((VLOOKUP($A274,'SegEnds_NonXtal_BW#'!$A:$Z,22,FALSE)+VLOOKUP($A274,A:AL,31,FALSE)-50)),"-",(VLOOKUP($A274,'SegEnds_NonXtal_BW#'!$A:$Z,22,FALSE)+VLOOKUP($A274,A:AL,31,FALSE)-50))</f>
        <v>650</v>
      </c>
      <c r="AG274" s="3">
        <f>IF(ISERROR(VLOOKUP($A274,'SegEnds_NonXtal_BW#'!$A:$Z,23,FALSE)+VLOOKUP($A274,A:AL,34,FALSE)-50),"-",(VLOOKUP($A274,'SegEnds_NonXtal_BW#'!$A:$Z,23,FALSE)+VLOOKUP($A274,A:AL,34,FALSE)-50))</f>
        <v>656</v>
      </c>
      <c r="AH274" s="3">
        <v>675</v>
      </c>
      <c r="AI274" s="3">
        <f>IF(ISERROR((VLOOKUP($A274,'SegEnds_NonXtal_BW#'!$A:$Z,24,FALSE)+VLOOKUP($A274,A:AL,34,FALSE)-50)),"-",(VLOOKUP($A274,'SegEnds_NonXtal_BW#'!$A:$Z,24,FALSE)+VLOOKUP($A274,A:AL,34,FALSE)-50))</f>
        <v>681</v>
      </c>
      <c r="AJ274" s="3">
        <f>IF(ISERROR(VLOOKUP($A274,'SegEnds_NonXtal_BW#'!$A:$Z,25,FALSE)+VLOOKUP($A274,A:AL,37,FALSE)-50),"-",(VLOOKUP($A274,'SegEnds_NonXtal_BW#'!$A:$Z,25,FALSE)+VLOOKUP($A274,A:AL,37,FALSE)-50))</f>
        <v>682</v>
      </c>
      <c r="AK274" s="3">
        <v>685</v>
      </c>
      <c r="AL274" s="3">
        <f>IF(ISERROR((VLOOKUP($A274,'SegEnds_NonXtal_BW#'!$A:$Z,26,FALSE)+VLOOKUP($A274,A:AL,37,FALSE)-50)),"-",(VLOOKUP($A274,'SegEnds_NonXtal_BW#'!$A:$Z,26,FALSE)+VLOOKUP($A274,A:AL,37,FALSE)-50))</f>
        <v>704</v>
      </c>
      <c r="AM274" s="28" t="str">
        <f>VLOOKUP(A274,Classification!A:B,2,FALSE)</f>
        <v>A</v>
      </c>
      <c r="AN274" s="28" t="b">
        <f t="shared" si="173"/>
        <v>1</v>
      </c>
      <c r="AO274" s="3" t="str">
        <f>IF(ISERROR(MATCH(A274,'SegEnds_Xtal_Prot#'!B:B, 0)), "NoXtal", "Xtal")</f>
        <v>NoXtal</v>
      </c>
      <c r="AP274" s="3">
        <f t="shared" si="153"/>
        <v>2</v>
      </c>
      <c r="AQ274" s="3">
        <f t="shared" si="154"/>
        <v>1</v>
      </c>
      <c r="AR274" s="3">
        <f t="shared" si="155"/>
        <v>10</v>
      </c>
      <c r="AS274" s="3">
        <f t="shared" si="156"/>
        <v>1</v>
      </c>
      <c r="AT274" s="3">
        <f t="shared" si="157"/>
        <v>1</v>
      </c>
      <c r="AU274" s="3">
        <f t="shared" si="158"/>
        <v>1</v>
      </c>
      <c r="AV274" s="3">
        <f t="shared" si="159"/>
        <v>10</v>
      </c>
      <c r="AW274" s="3">
        <f t="shared" si="160"/>
        <v>6</v>
      </c>
      <c r="AX274" s="3">
        <f t="shared" si="161"/>
        <v>5</v>
      </c>
      <c r="AY274" s="3">
        <f t="shared" si="162"/>
        <v>6</v>
      </c>
      <c r="AZ274" s="3">
        <f t="shared" si="163"/>
        <v>1</v>
      </c>
      <c r="BA274" s="3">
        <f>IF(ISERROR(LEN(VLOOKUP(A274,Seqs!A:E,2,FALSE))-AL274),"-",LEN(VLOOKUP(A274,Seqs!A:E,2,FALSE))-AL274)</f>
        <v>60</v>
      </c>
      <c r="BB274" s="16">
        <f t="shared" si="164"/>
        <v>28</v>
      </c>
      <c r="BC274" s="9">
        <f t="shared" si="165"/>
        <v>20</v>
      </c>
      <c r="BD274" s="3">
        <f t="shared" si="166"/>
        <v>28</v>
      </c>
      <c r="BE274" s="3">
        <f t="shared" si="167"/>
        <v>46</v>
      </c>
    </row>
    <row r="275" spans="1:58" s="3" customFormat="1" x14ac:dyDescent="0.2">
      <c r="A275" s="3" t="s">
        <v>399</v>
      </c>
      <c r="B275" s="3" t="str">
        <f>LOWER(VLOOKUP(A275,Xtal_Templ!A:B,2,FALSE))</f>
        <v>ntr1_rat</v>
      </c>
      <c r="C275" s="3">
        <f>VLOOKUP($A275,'SegEnds_NonXtal_BW#'!$A:$Z,3,FALSE)+D275-50</f>
        <v>34</v>
      </c>
      <c r="D275" s="3">
        <v>55</v>
      </c>
      <c r="E275" s="3">
        <f>IF(ISERROR(VLOOKUP($A275,'SegEnds_NonXtal_BW#'!$A:$Z,4,FALSE)+VLOOKUP($A275,A:AL,4,FALSE)-50),"-",(VLOOKUP($A275,'SegEnds_NonXtal_BW#'!$A:$Z,4,FALSE)+VLOOKUP($A275,A:AL,4,FALSE)-50))</f>
        <v>65</v>
      </c>
      <c r="F275" s="3">
        <f t="shared" si="169"/>
        <v>67</v>
      </c>
      <c r="G275" s="3">
        <v>69</v>
      </c>
      <c r="H275" s="3">
        <f t="shared" si="170"/>
        <v>70</v>
      </c>
      <c r="I275" s="3">
        <f t="shared" si="170"/>
        <v>71</v>
      </c>
      <c r="J275" s="3">
        <v>85</v>
      </c>
      <c r="K275" s="3">
        <f>VLOOKUP($A275,'SegEnds_NonXtal_BW#'!$A:$Z,8,FALSE)+VLOOKUP($A275,A:AL,10,FALSE)-50</f>
        <v>101</v>
      </c>
      <c r="L275" s="3">
        <f t="shared" si="174"/>
        <v>102</v>
      </c>
      <c r="M275" s="3">
        <v>103</v>
      </c>
      <c r="N275" s="3">
        <f t="shared" si="175"/>
        <v>105</v>
      </c>
      <c r="O275" s="3">
        <f t="shared" si="176"/>
        <v>106</v>
      </c>
      <c r="P275" s="3">
        <v>137</v>
      </c>
      <c r="Q275" s="3">
        <f>VLOOKUP($A275,'SegEnds_NonXtal_BW#'!$A:$Z,12,FALSE)+VLOOKUP($A275,A:AL,16,FALSE)-50</f>
        <v>143</v>
      </c>
      <c r="R275" s="3">
        <f>IF(ISERROR(VLOOKUP($A275,'SegEnds_NonXtal_BW#'!$A:$Z,13,FALSE)+VLOOKUP($A275,A:AL,19,FALSE)-50),"-",VLOOKUP($A275,'SegEnds_NonXtal_BW#'!$A:$Z,13,FALSE)+VLOOKUP($A275,A:AL,19,FALSE)-50)</f>
        <v>144</v>
      </c>
      <c r="S275" s="3">
        <v>144</v>
      </c>
      <c r="T275" s="103">
        <f>IF(ISERROR(VLOOKUP($A275,'SegEnds_NonXtal_BW#'!$A:$Z,14,FALSE)+VLOOKUP($A275,A:AL,19,FALSE)-50),"-",(VLOOKUP($A275,'SegEnds_NonXtal_BW#'!$A:$Z,14,FALSE)+VLOOKUP($A275,A:AL,19,FALSE)-50))</f>
        <v>151</v>
      </c>
      <c r="U275" s="9">
        <f>IF(ISERROR(VLOOKUP($A275,'SegEnds_NonXtal_BW#'!$A:$Z,15,FALSE)+VLOOKUP($A275,A:AL,22,FALSE)-50),"-",VLOOKUP($A275,'SegEnds_NonXtal_BW#'!$A:$Z,15,FALSE)+VLOOKUP($A275,A:AL,22,FALSE)-50)</f>
        <v>152</v>
      </c>
      <c r="V275" s="3">
        <v>164</v>
      </c>
      <c r="W275" s="3">
        <f>IF(ISERROR(VLOOKUP($A275,'SegEnds_NonXtal_BW#'!$A:$Z,16,FALSE)+VLOOKUP($A275,A:AL,22,FALSE)-50),"-",(VLOOKUP($A275,'SegEnds_NonXtal_BW#'!$A:$Z,16,FALSE)+VLOOKUP($A275,A:AL,22,FALSE)-50))</f>
        <v>178</v>
      </c>
      <c r="X275" s="3">
        <f>IF(ISERROR(VLOOKUP($A275,'SegEnds_NonXtal_BW#'!$A:$Z,17,FALSE)+VLOOKUP($A275,A:AL,25,FALSE)-50),"-",(VLOOKUP($A275,'SegEnds_NonXtal_BW#'!$A:$Z,17,FALSE)+VLOOKUP($A275,A:AL,25,FALSE)-50))</f>
        <v>192</v>
      </c>
      <c r="Y275" s="3">
        <v>192</v>
      </c>
      <c r="Z275" s="3">
        <f t="shared" si="177"/>
        <v>194</v>
      </c>
      <c r="AA275" s="3">
        <f>IF(ISERROR(VLOOKUP($A275,'SegEnds_NonXtal_BW#'!$A:$Z,19,FALSE)+VLOOKUP($A275,A:AL,28,FALSE)-50),"-",(VLOOKUP($A275,'SegEnds_NonXtal_BW#'!$A:$Z,19,FALSE)+VLOOKUP($A275,A:AL,28,FALSE)-50))</f>
        <v>199</v>
      </c>
      <c r="AB275" s="3">
        <v>217</v>
      </c>
      <c r="AC275" s="3">
        <f>IF(ISERROR((VLOOKUP($A275,'SegEnds_NonXtal_BW#'!$A:$Z,20,FALSE)+VLOOKUP($A275,A:AL,28,FALSE)-50)),"-",(VLOOKUP($A275,'SegEnds_NonXtal_BW#'!$A:$Z,20,FALSE)+VLOOKUP($A275,A:AL,28,FALSE)-50))</f>
        <v>243</v>
      </c>
      <c r="AD275" s="3">
        <f>IF(ISERROR(VLOOKUP($A275,'SegEnds_NonXtal_BW#'!$A:$Z,21,FALSE)+VLOOKUP($A275,A:AL,31,FALSE)-50),"-",(VLOOKUP($A275,'SegEnds_NonXtal_BW#'!$A:$Z,21,FALSE)+VLOOKUP($A275,A:AL,31,FALSE)-50))</f>
        <v>260</v>
      </c>
      <c r="AE275" s="3">
        <v>286</v>
      </c>
      <c r="AF275" s="3">
        <f>IF(ISERROR((VLOOKUP($A275,'SegEnds_NonXtal_BW#'!$A:$Z,22,FALSE)+VLOOKUP($A275,A:AL,31,FALSE)-50)),"-",(VLOOKUP($A275,'SegEnds_NonXtal_BW#'!$A:$Z,22,FALSE)+VLOOKUP($A275,A:AL,31,FALSE)-50))</f>
        <v>297</v>
      </c>
      <c r="AG275" s="3">
        <f>IF(ISERROR(VLOOKUP($A275,'SegEnds_NonXtal_BW#'!$A:$Z,23,FALSE)+VLOOKUP($A275,A:AL,34,FALSE)-50),"-",(VLOOKUP($A275,'SegEnds_NonXtal_BW#'!$A:$Z,23,FALSE)+VLOOKUP($A275,A:AL,34,FALSE)-50))</f>
        <v>303</v>
      </c>
      <c r="AH275" s="3">
        <v>322</v>
      </c>
      <c r="AI275" s="3">
        <f>IF(ISERROR((VLOOKUP($A275,'SegEnds_NonXtal_BW#'!$A:$Z,24,FALSE)+VLOOKUP($A275,A:AL,34,FALSE)-50)),"-",(VLOOKUP($A275,'SegEnds_NonXtal_BW#'!$A:$Z,24,FALSE)+VLOOKUP($A275,A:AL,34,FALSE)-50))</f>
        <v>328</v>
      </c>
      <c r="AJ275" s="3">
        <f>IF(ISERROR(VLOOKUP($A275,'SegEnds_NonXtal_BW#'!$A:$Z,25,FALSE)+VLOOKUP($A275,A:AL,37,FALSE)-50),"-",(VLOOKUP($A275,'SegEnds_NonXtal_BW#'!$A:$Z,25,FALSE)+VLOOKUP($A275,A:AL,37,FALSE)-50))</f>
        <v>329</v>
      </c>
      <c r="AK275" s="3">
        <v>332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73"/>
        <v>1</v>
      </c>
      <c r="AO275" s="3" t="str">
        <f>IF(ISERROR(MATCH(A275,'SegEnds_Xtal_Prot#'!B:B, 0)), "NoXtal", "Xtal")</f>
        <v>NoXtal</v>
      </c>
      <c r="AP275" s="3">
        <f t="shared" si="153"/>
        <v>2</v>
      </c>
      <c r="AQ275" s="3">
        <f t="shared" si="154"/>
        <v>1</v>
      </c>
      <c r="AR275" s="3">
        <f t="shared" si="155"/>
        <v>1</v>
      </c>
      <c r="AS275" s="3">
        <f t="shared" si="156"/>
        <v>1</v>
      </c>
      <c r="AT275" s="3">
        <f t="shared" si="157"/>
        <v>1</v>
      </c>
      <c r="AU275" s="3">
        <f t="shared" si="158"/>
        <v>1</v>
      </c>
      <c r="AV275" s="3">
        <f t="shared" si="159"/>
        <v>14</v>
      </c>
      <c r="AW275" s="3">
        <f t="shared" si="160"/>
        <v>5</v>
      </c>
      <c r="AX275" s="3">
        <f t="shared" si="161"/>
        <v>17</v>
      </c>
      <c r="AY275" s="3">
        <f t="shared" si="162"/>
        <v>6</v>
      </c>
      <c r="AZ275" s="3">
        <f t="shared" si="163"/>
        <v>1</v>
      </c>
      <c r="BA275" s="3">
        <f>IF(ISERROR(LEN(VLOOKUP(A275,Seqs!A:E,2,FALSE))-AL275),"-",LEN(VLOOKUP(A275,Seqs!A:E,2,FALSE))-AL275)</f>
        <v>31</v>
      </c>
      <c r="BB275" s="16">
        <f t="shared" si="164"/>
        <v>30</v>
      </c>
      <c r="BC275" s="9">
        <f t="shared" si="165"/>
        <v>20</v>
      </c>
      <c r="BD275" s="3">
        <f t="shared" si="166"/>
        <v>30</v>
      </c>
      <c r="BE275" s="3">
        <f t="shared" si="167"/>
        <v>69</v>
      </c>
    </row>
    <row r="276" spans="1:58" s="3" customFormat="1" x14ac:dyDescent="0.2">
      <c r="A276" s="3" t="s">
        <v>400</v>
      </c>
      <c r="B276" s="3" t="str">
        <f>LOWER(VLOOKUP(A276,Xtal_Templ!A:B,2,FALSE))</f>
        <v>ccr5_human</v>
      </c>
      <c r="C276" s="3">
        <f>VLOOKUP($A276,'SegEnds_NonXtal_BW#'!$A:$Z,3,FALSE)+D276-50</f>
        <v>23</v>
      </c>
      <c r="D276" s="3">
        <v>49</v>
      </c>
      <c r="E276" s="3">
        <f>IF(ISERROR(VLOOKUP($A276,'SegEnds_NonXtal_BW#'!$A:$Z,4,FALSE)+VLOOKUP($A276,A:AL,4,FALSE)-50),"-",(VLOOKUP($A276,'SegEnds_NonXtal_BW#'!$A:$Z,4,FALSE)+VLOOKUP($A276,A:AL,4,FALSE)-50))</f>
        <v>59</v>
      </c>
      <c r="F276" s="3">
        <f t="shared" si="169"/>
        <v>60</v>
      </c>
      <c r="G276" s="3">
        <v>62</v>
      </c>
      <c r="H276" s="3">
        <f t="shared" si="170"/>
        <v>63</v>
      </c>
      <c r="I276" s="3">
        <f t="shared" si="170"/>
        <v>64</v>
      </c>
      <c r="J276" s="3">
        <v>77</v>
      </c>
      <c r="K276" s="3">
        <f>VLOOKUP($A276,'SegEnds_NonXtal_BW#'!$A:$Z,8,FALSE)+VLOOKUP($A276,A:AL,10,FALSE)-50</f>
        <v>93</v>
      </c>
      <c r="L276" s="3">
        <f t="shared" si="174"/>
        <v>94</v>
      </c>
      <c r="M276" s="3">
        <v>95</v>
      </c>
      <c r="N276" s="3">
        <f t="shared" si="175"/>
        <v>97</v>
      </c>
      <c r="O276" s="3">
        <f t="shared" si="176"/>
        <v>98</v>
      </c>
      <c r="P276" s="3">
        <v>127</v>
      </c>
      <c r="Q276" s="3">
        <f>VLOOKUP($A276,'SegEnds_NonXtal_BW#'!$A:$Z,12,FALSE)+VLOOKUP($A276,A:AL,16,FALSE)-50</f>
        <v>133</v>
      </c>
      <c r="R276" s="3">
        <f>IF(ISERROR(VLOOKUP($A276,'SegEnds_NonXtal_BW#'!$A:$Z,13,FALSE)+VLOOKUP($A276,A:AL,19,FALSE)-50),"-",VLOOKUP($A276,'SegEnds_NonXtal_BW#'!$A:$Z,13,FALSE)+VLOOKUP($A276,A:AL,19,FALSE)-50)</f>
        <v>134</v>
      </c>
      <c r="S276" s="3">
        <v>134</v>
      </c>
      <c r="T276" s="103">
        <f>IF(ISERROR(VLOOKUP($A276,'SegEnds_NonXtal_BW#'!$A:$Z,14,FALSE)+VLOOKUP($A276,A:AL,19,FALSE)-50),"-",(VLOOKUP($A276,'SegEnds_NonXtal_BW#'!$A:$Z,14,FALSE)+VLOOKUP($A276,A:AL,19,FALSE)-50))</f>
        <v>141</v>
      </c>
      <c r="U276" s="9">
        <f>IF(ISERROR(VLOOKUP($A276,'SegEnds_NonXtal_BW#'!$A:$Z,15,FALSE)+VLOOKUP($A276,A:AL,22,FALSE)-50),"-",VLOOKUP($A276,'SegEnds_NonXtal_BW#'!$A:$Z,15,FALSE)+VLOOKUP($A276,A:AL,22,FALSE)-50)</f>
        <v>142</v>
      </c>
      <c r="V276" s="3">
        <v>154</v>
      </c>
      <c r="W276" s="3">
        <f>IF(ISERROR(VLOOKUP($A276,'SegEnds_NonXtal_BW#'!$A:$Z,16,FALSE)+VLOOKUP($A276,A:AL,22,FALSE)-50),"-",(VLOOKUP($A276,'SegEnds_NonXtal_BW#'!$A:$Z,16,FALSE)+VLOOKUP($A276,A:AL,22,FALSE)-50))</f>
        <v>168</v>
      </c>
      <c r="X276" s="3">
        <f>IF(ISERROR(VLOOKUP($A276,'SegEnds_NonXtal_BW#'!$A:$Z,17,FALSE)+VLOOKUP($A276,A:AL,25,FALSE)-50),"-",(VLOOKUP($A276,'SegEnds_NonXtal_BW#'!$A:$Z,17,FALSE)+VLOOKUP($A276,A:AL,25,FALSE)-50))</f>
        <v>175</v>
      </c>
      <c r="Y276" s="3">
        <v>175</v>
      </c>
      <c r="Z276" s="3">
        <f t="shared" si="177"/>
        <v>177</v>
      </c>
      <c r="AA276" s="3">
        <f>IF(ISERROR(VLOOKUP($A276,'SegEnds_NonXtal_BW#'!$A:$Z,19,FALSE)+VLOOKUP($A276,A:AL,28,FALSE)-50),"-",(VLOOKUP($A276,'SegEnds_NonXtal_BW#'!$A:$Z,19,FALSE)+VLOOKUP($A276,A:AL,28,FALSE)-50))</f>
        <v>182</v>
      </c>
      <c r="AB276" s="3">
        <v>197</v>
      </c>
      <c r="AC276" s="3">
        <f>IF(ISERROR((VLOOKUP($A276,'SegEnds_NonXtal_BW#'!$A:$Z,20,FALSE)+VLOOKUP($A276,A:AL,28,FALSE)-50)),"-",(VLOOKUP($A276,'SegEnds_NonXtal_BW#'!$A:$Z,20,FALSE)+VLOOKUP($A276,A:AL,28,FALSE)-50))</f>
        <v>215</v>
      </c>
      <c r="AD276" s="3">
        <f>IF(ISERROR(VLOOKUP($A276,'SegEnds_NonXtal_BW#'!$A:$Z,21,FALSE)+VLOOKUP($A276,A:AL,31,FALSE)-50),"-",(VLOOKUP($A276,'SegEnds_NonXtal_BW#'!$A:$Z,21,FALSE)+VLOOKUP($A276,A:AL,31,FALSE)-50))</f>
        <v>220</v>
      </c>
      <c r="AE276" s="3">
        <v>240</v>
      </c>
      <c r="AF276" s="3">
        <f>IF(ISERROR((VLOOKUP($A276,'SegEnds_NonXtal_BW#'!$A:$Z,22,FALSE)+VLOOKUP($A276,A:AL,31,FALSE)-50)),"-",(VLOOKUP($A276,'SegEnds_NonXtal_BW#'!$A:$Z,22,FALSE)+VLOOKUP($A276,A:AL,31,FALSE)-50))</f>
        <v>254</v>
      </c>
      <c r="AG276" s="3">
        <f>IF(ISERROR(VLOOKUP($A276,'SegEnds_NonXtal_BW#'!$A:$Z,23,FALSE)+VLOOKUP($A276,A:AL,34,FALSE)-50),"-",(VLOOKUP($A276,'SegEnds_NonXtal_BW#'!$A:$Z,23,FALSE)+VLOOKUP($A276,A:AL,34,FALSE)-50))</f>
        <v>258</v>
      </c>
      <c r="AH276" s="3">
        <v>284</v>
      </c>
      <c r="AI276" s="3">
        <f>IF(ISERROR((VLOOKUP($A276,'SegEnds_NonXtal_BW#'!$A:$Z,24,FALSE)+VLOOKUP($A276,A:AL,34,FALSE)-50)),"-",(VLOOKUP($A276,'SegEnds_NonXtal_BW#'!$A:$Z,24,FALSE)+VLOOKUP($A276,A:AL,34,FALSE)-50))</f>
        <v>290</v>
      </c>
      <c r="AJ276" s="3">
        <f>IF(ISERROR(VLOOKUP($A276,'SegEnds_NonXtal_BW#'!$A:$Z,25,FALSE)+VLOOKUP($A276,A:AL,37,FALSE)-50),"-",(VLOOKUP($A276,'SegEnds_NonXtal_BW#'!$A:$Z,25,FALSE)+VLOOKUP($A276,A:AL,37,FALSE)-50))</f>
        <v>291</v>
      </c>
      <c r="AK276" s="3">
        <v>294</v>
      </c>
      <c r="AL276" s="3">
        <f>IF(ISERROR((VLOOKUP($A276,'SegEnds_NonXtal_BW#'!$A:$Z,26,FALSE)+VLOOKUP($A276,A:AL,37,FALSE)-50)),"-",(VLOOKUP($A276,'SegEnds_NonXtal_BW#'!$A:$Z,26,FALSE)+VLOOKUP($A276,A:AL,37,FALSE)-50))</f>
        <v>303</v>
      </c>
      <c r="AM276" s="28" t="str">
        <f>VLOOKUP(A276,Classification!A:B,2,FALSE)</f>
        <v>A</v>
      </c>
      <c r="AN276" s="28" t="b">
        <f t="shared" si="173"/>
        <v>1</v>
      </c>
      <c r="AO276" s="3" t="str">
        <f>IF(ISERROR(MATCH(A276,'SegEnds_Xtal_Prot#'!B:B, 0)), "NoXtal", "Xtal")</f>
        <v>NoXtal</v>
      </c>
      <c r="AP276" s="3">
        <f t="shared" si="153"/>
        <v>1</v>
      </c>
      <c r="AQ276" s="3">
        <f t="shared" si="154"/>
        <v>1</v>
      </c>
      <c r="AR276" s="3">
        <f t="shared" si="155"/>
        <v>1</v>
      </c>
      <c r="AS276" s="3">
        <f t="shared" si="156"/>
        <v>1</v>
      </c>
      <c r="AT276" s="3">
        <f t="shared" si="157"/>
        <v>1</v>
      </c>
      <c r="AU276" s="3">
        <f t="shared" si="158"/>
        <v>1</v>
      </c>
      <c r="AV276" s="3">
        <f t="shared" si="159"/>
        <v>7</v>
      </c>
      <c r="AW276" s="3">
        <f t="shared" si="160"/>
        <v>5</v>
      </c>
      <c r="AX276" s="3">
        <f t="shared" si="161"/>
        <v>5</v>
      </c>
      <c r="AY276" s="3">
        <f t="shared" si="162"/>
        <v>4</v>
      </c>
      <c r="AZ276" s="3">
        <f t="shared" si="163"/>
        <v>1</v>
      </c>
      <c r="BA276" s="3">
        <f>IF(ISERROR(LEN(VLOOKUP(A276,Seqs!A:E,2,FALSE))-AL276),"-",LEN(VLOOKUP(A276,Seqs!A:E,2,FALSE))-AL276)</f>
        <v>30</v>
      </c>
      <c r="BB276" s="16">
        <f t="shared" si="164"/>
        <v>28</v>
      </c>
      <c r="BC276" s="9">
        <f t="shared" si="165"/>
        <v>20</v>
      </c>
      <c r="BD276" s="3">
        <f t="shared" si="166"/>
        <v>28</v>
      </c>
      <c r="BE276" s="3">
        <f t="shared" si="167"/>
        <v>43</v>
      </c>
    </row>
    <row r="277" spans="1:58" s="3" customFormat="1" x14ac:dyDescent="0.2">
      <c r="A277" s="3" t="s">
        <v>178</v>
      </c>
      <c r="B277" s="3" t="str">
        <f>LOWER(VLOOKUP(A277,Xtal_Templ!A:B,2,FALSE))</f>
        <v>ccr5_human</v>
      </c>
      <c r="C277" s="3">
        <f>VLOOKUP($A277,'SegEnds_NonXtal_BW#'!$A:$Z,3,FALSE)+D277-50</f>
        <v>30</v>
      </c>
      <c r="D277" s="3">
        <v>56</v>
      </c>
      <c r="E277" s="3">
        <f>IF(ISERROR(VLOOKUP($A277,'SegEnds_NonXtal_BW#'!$A:$Z,4,FALSE)+VLOOKUP($A277,A:AL,4,FALSE)-50),"-",(VLOOKUP($A277,'SegEnds_NonXtal_BW#'!$A:$Z,4,FALSE)+VLOOKUP($A277,A:AL,4,FALSE)-50))</f>
        <v>66</v>
      </c>
      <c r="F277" s="3">
        <f t="shared" si="169"/>
        <v>67</v>
      </c>
      <c r="G277" s="3">
        <v>69</v>
      </c>
      <c r="H277" s="3">
        <f t="shared" si="170"/>
        <v>70</v>
      </c>
      <c r="I277" s="3">
        <f t="shared" si="170"/>
        <v>71</v>
      </c>
      <c r="J277" s="3">
        <v>84</v>
      </c>
      <c r="K277" s="3">
        <f>VLOOKUP($A277,'SegEnds_NonXtal_BW#'!$A:$Z,8,FALSE)+VLOOKUP($A277,A:AL,10,FALSE)-50</f>
        <v>97</v>
      </c>
      <c r="L277" s="3" t="str">
        <f>IF(ISERROR(VLOOKUP($A277,'SegEnds_NonXtal_BW#'!$A:$Z,9,FALSE)+VLOOKUP($A277,A:AL,13,FALSE)-50),"-",(VLOOKUP($A277,'SegEnds_NonXtal_BW#'!$A:$Z,9,FALSE)+VLOOKUP($A277,A:AL,13,FALSE)-50))</f>
        <v>-</v>
      </c>
      <c r="M277" s="3" t="s">
        <v>23</v>
      </c>
      <c r="N277" s="3" t="str">
        <f>IF(ISERROR(VLOOKUP($A277,'SegEnds_NonXtal_BW#'!$A:$Z,10,FALSE)+VLOOKUP($A277,A:AL,13,FALSE)-50),"-",(VLOOKUP($A277,'SegEnds_NonXtal_BW#'!$A:$Z,10,FALSE)+VLOOKUP($A277,A:AL,13,FALSE)-50))</f>
        <v>-</v>
      </c>
      <c r="O277" s="3">
        <f>VLOOKUP($A277,'SegEnds_NonXtal_BW#'!$A:$Z,11,FALSE)+VLOOKUP($A277,A:AL,16,FALSE)-50</f>
        <v>104</v>
      </c>
      <c r="P277" s="3">
        <v>128</v>
      </c>
      <c r="Q277" s="3">
        <f>VLOOKUP($A277,'SegEnds_NonXtal_BW#'!$A:$Z,12,FALSE)+VLOOKUP($A277,A:AL,16,FALSE)-50</f>
        <v>134</v>
      </c>
      <c r="R277" s="3">
        <f>IF(ISERROR(VLOOKUP($A277,'SegEnds_NonXtal_BW#'!$A:$Z,13,FALSE)+VLOOKUP($A277,A:AL,19,FALSE)-50),"-",VLOOKUP($A277,'SegEnds_NonXtal_BW#'!$A:$Z,13,FALSE)+VLOOKUP($A277,A:AL,19,FALSE)-50)</f>
        <v>135</v>
      </c>
      <c r="S277" s="3">
        <v>135</v>
      </c>
      <c r="T277" s="103">
        <f>IF(ISERROR(VLOOKUP($A277,'SegEnds_NonXtal_BW#'!$A:$Z,14,FALSE)+VLOOKUP($A277,A:AL,19,FALSE)-50),"-",(VLOOKUP($A277,'SegEnds_NonXtal_BW#'!$A:$Z,14,FALSE)+VLOOKUP($A277,A:AL,19,FALSE)-50))</f>
        <v>143</v>
      </c>
      <c r="U277" s="9">
        <f>IF(ISERROR(VLOOKUP($A277,'SegEnds_NonXtal_BW#'!$A:$Z,15,FALSE)+VLOOKUP($A277,A:AL,22,FALSE)-50),"-",VLOOKUP($A277,'SegEnds_NonXtal_BW#'!$A:$Z,15,FALSE)+VLOOKUP($A277,A:AL,22,FALSE)-50)</f>
        <v>144</v>
      </c>
      <c r="V277" s="3">
        <v>156</v>
      </c>
      <c r="W277" s="3">
        <f>IF(ISERROR(VLOOKUP($A277,'SegEnds_NonXtal_BW#'!$A:$Z,16,FALSE)+VLOOKUP($A277,A:AL,22,FALSE)-50),"-",(VLOOKUP($A277,'SegEnds_NonXtal_BW#'!$A:$Z,16,FALSE)+VLOOKUP($A277,A:AL,22,FALSE)-50))</f>
        <v>170</v>
      </c>
      <c r="X277" s="3">
        <f>IF(ISERROR(VLOOKUP($A277,'SegEnds_NonXtal_BW#'!$A:$Z,17,FALSE)+VLOOKUP($A277,A:AL,25,FALSE)-50),"-",(VLOOKUP($A277,'SegEnds_NonXtal_BW#'!$A:$Z,17,FALSE)+VLOOKUP($A277,A:AL,25,FALSE)-50))</f>
        <v>181</v>
      </c>
      <c r="Y277" s="3">
        <v>181</v>
      </c>
      <c r="Z277" s="3">
        <f t="shared" si="177"/>
        <v>183</v>
      </c>
      <c r="AA277" s="3">
        <f>IF(ISERROR(VLOOKUP($A277,'SegEnds_NonXtal_BW#'!$A:$Z,19,FALSE)+VLOOKUP($A277,A:AL,28,FALSE)-50),"-",(VLOOKUP($A277,'SegEnds_NonXtal_BW#'!$A:$Z,19,FALSE)+VLOOKUP($A277,A:AL,28,FALSE)-50))</f>
        <v>192</v>
      </c>
      <c r="AB277" s="3">
        <v>212</v>
      </c>
      <c r="AC277" s="3">
        <f>IF(ISERROR((VLOOKUP($A277,'SegEnds_NonXtal_BW#'!$A:$Z,20,FALSE)+VLOOKUP($A277,A:AL,28,FALSE)-50)),"-",(VLOOKUP($A277,'SegEnds_NonXtal_BW#'!$A:$Z,20,FALSE)+VLOOKUP($A277,A:AL,28,FALSE)-50))</f>
        <v>229</v>
      </c>
      <c r="AD277" s="3">
        <f>IF(ISERROR(VLOOKUP($A277,'SegEnds_NonXtal_BW#'!$A:$Z,21,FALSE)+VLOOKUP($A277,A:AL,31,FALSE)-50),"-",(VLOOKUP($A277,'SegEnds_NonXtal_BW#'!$A:$Z,21,FALSE)+VLOOKUP($A277,A:AL,31,FALSE)-50))</f>
        <v>233</v>
      </c>
      <c r="AE277" s="3">
        <v>253</v>
      </c>
      <c r="AF277" s="3">
        <f>IF(ISERROR((VLOOKUP($A277,'SegEnds_NonXtal_BW#'!$A:$Z,22,FALSE)+VLOOKUP($A277,A:AL,31,FALSE)-50)),"-",(VLOOKUP($A277,'SegEnds_NonXtal_BW#'!$A:$Z,22,FALSE)+VLOOKUP($A277,A:AL,31,FALSE)-50))</f>
        <v>267</v>
      </c>
      <c r="AG277" s="3">
        <f>IF(ISERROR(VLOOKUP($A277,'SegEnds_NonXtal_BW#'!$A:$Z,23,FALSE)+VLOOKUP($A277,A:AL,34,FALSE)-50),"-",(VLOOKUP($A277,'SegEnds_NonXtal_BW#'!$A:$Z,23,FALSE)+VLOOKUP($A277,A:AL,34,FALSE)-50))</f>
        <v>271</v>
      </c>
      <c r="AH277" s="3">
        <v>297</v>
      </c>
      <c r="AI277" s="3">
        <f>IF(ISERROR((VLOOKUP($A277,'SegEnds_NonXtal_BW#'!$A:$Z,24,FALSE)+VLOOKUP($A277,A:AL,34,FALSE)-50)),"-",(VLOOKUP($A277,'SegEnds_NonXtal_BW#'!$A:$Z,24,FALSE)+VLOOKUP($A277,A:AL,34,FALSE)-50))</f>
        <v>303</v>
      </c>
      <c r="AJ277" s="3">
        <f>IF(ISERROR(VLOOKUP($A277,'SegEnds_NonXtal_BW#'!$A:$Z,25,FALSE)+VLOOKUP($A277,A:AL,37,FALSE)-50),"-",(VLOOKUP($A277,'SegEnds_NonXtal_BW#'!$A:$Z,25,FALSE)+VLOOKUP($A277,A:AL,37,FALSE)-50))</f>
        <v>304</v>
      </c>
      <c r="AK277" s="3">
        <v>307</v>
      </c>
      <c r="AL277" s="3">
        <f>IF(ISERROR((VLOOKUP($A277,'SegEnds_NonXtal_BW#'!$A:$Z,26,FALSE)+VLOOKUP($A277,A:AL,37,FALSE)-50)),"-",(VLOOKUP($A277,'SegEnds_NonXtal_BW#'!$A:$Z,26,FALSE)+VLOOKUP($A277,A:AL,37,FALSE)-50))</f>
        <v>316</v>
      </c>
      <c r="AM277" s="28" t="str">
        <f>VLOOKUP(A277,Classification!A:B,2,FALSE)</f>
        <v>A</v>
      </c>
      <c r="AN277" s="28" t="b">
        <f t="shared" si="173"/>
        <v>1</v>
      </c>
      <c r="AO277" s="3" t="str">
        <f>IF(ISERROR(MATCH(A277,'SegEnds_Xtal_Prot#'!B:B, 0)), "NoXtal", "Xtal")</f>
        <v>NoXtal</v>
      </c>
      <c r="AP277" s="3">
        <f t="shared" si="153"/>
        <v>1</v>
      </c>
      <c r="AQ277" s="3">
        <f t="shared" si="154"/>
        <v>1</v>
      </c>
      <c r="AR277" s="3" t="str">
        <f t="shared" si="155"/>
        <v>-</v>
      </c>
      <c r="AS277" s="3" t="str">
        <f t="shared" si="156"/>
        <v>-</v>
      </c>
      <c r="AT277" s="3">
        <f t="shared" si="157"/>
        <v>1</v>
      </c>
      <c r="AU277" s="3">
        <f t="shared" si="158"/>
        <v>1</v>
      </c>
      <c r="AV277" s="3">
        <f t="shared" si="159"/>
        <v>11</v>
      </c>
      <c r="AW277" s="3">
        <f t="shared" si="160"/>
        <v>9</v>
      </c>
      <c r="AX277" s="3">
        <f t="shared" si="161"/>
        <v>4</v>
      </c>
      <c r="AY277" s="3">
        <f t="shared" si="162"/>
        <v>4</v>
      </c>
      <c r="AZ277" s="3">
        <f t="shared" si="163"/>
        <v>1</v>
      </c>
      <c r="BA277" s="3">
        <f>IF(ISERROR(LEN(VLOOKUP(A277,Seqs!A:E,2,FALSE))-AL277),"-",LEN(VLOOKUP(A277,Seqs!A:E,2,FALSE))-AL277)</f>
        <v>28</v>
      </c>
      <c r="BB277" s="16">
        <f t="shared" si="164"/>
        <v>28</v>
      </c>
      <c r="BC277" s="9">
        <f t="shared" si="165"/>
        <v>21</v>
      </c>
      <c r="BD277" s="3">
        <f t="shared" si="166"/>
        <v>28</v>
      </c>
      <c r="BE277" s="3">
        <f t="shared" si="167"/>
        <v>41</v>
      </c>
      <c r="BF277" s="3">
        <f t="shared" ref="BF277:BF282" si="178">AH277-AE277</f>
        <v>44</v>
      </c>
    </row>
    <row r="278" spans="1:58" s="3" customFormat="1" x14ac:dyDescent="0.2">
      <c r="A278" s="3" t="s">
        <v>191</v>
      </c>
      <c r="B278" s="3" t="str">
        <f>LOWER(VLOOKUP(A278,Xtal_Templ!A:B,2,FALSE))</f>
        <v>drd3_human</v>
      </c>
      <c r="C278" s="3">
        <f>VLOOKUP($A278,'SegEnds_NonXtal_BW#'!$A:$Z,3,FALSE)+D278-50</f>
        <v>31</v>
      </c>
      <c r="D278" s="3">
        <v>52</v>
      </c>
      <c r="E278" s="3">
        <f>IF(ISERROR(VLOOKUP($A278,'SegEnds_NonXtal_BW#'!$A:$Z,4,FALSE)+VLOOKUP($A278,A:AL,4,FALSE)-50),"-",(VLOOKUP($A278,'SegEnds_NonXtal_BW#'!$A:$Z,4,FALSE)+VLOOKUP($A278,A:AL,4,FALSE)-50))</f>
        <v>62</v>
      </c>
      <c r="F278" s="3">
        <f t="shared" si="169"/>
        <v>63</v>
      </c>
      <c r="G278" s="3">
        <v>65</v>
      </c>
      <c r="H278" s="3">
        <f t="shared" si="170"/>
        <v>66</v>
      </c>
      <c r="I278" s="3">
        <f t="shared" si="170"/>
        <v>67</v>
      </c>
      <c r="J278" s="3">
        <v>80</v>
      </c>
      <c r="K278" s="3">
        <f>VLOOKUP($A278,'SegEnds_NonXtal_BW#'!$A:$Z,8,FALSE)+VLOOKUP($A278,A:AL,10,FALSE)-50</f>
        <v>97</v>
      </c>
      <c r="L278" s="3">
        <f>M278-1</f>
        <v>99</v>
      </c>
      <c r="M278" s="3">
        <v>100</v>
      </c>
      <c r="N278" s="3">
        <f>M278+2</f>
        <v>102</v>
      </c>
      <c r="O278" s="3">
        <f>N278+1</f>
        <v>103</v>
      </c>
      <c r="P278" s="3">
        <v>132</v>
      </c>
      <c r="Q278" s="3">
        <f>VLOOKUP($A278,'SegEnds_NonXtal_BW#'!$A:$Z,12,FALSE)+VLOOKUP($A278,A:AL,16,FALSE)-50</f>
        <v>138</v>
      </c>
      <c r="R278" s="3">
        <f>IF(ISERROR(VLOOKUP($A278,'SegEnds_NonXtal_BW#'!$A:$Z,13,FALSE)+VLOOKUP($A278,A:AL,19,FALSE)-50),"-",VLOOKUP($A278,'SegEnds_NonXtal_BW#'!$A:$Z,13,FALSE)+VLOOKUP($A278,A:AL,19,FALSE)-50)</f>
        <v>139</v>
      </c>
      <c r="S278" s="3">
        <v>139</v>
      </c>
      <c r="T278" s="103">
        <f>IF(ISERROR(VLOOKUP($A278,'SegEnds_NonXtal_BW#'!$A:$Z,14,FALSE)+VLOOKUP($A278,A:AL,19,FALSE)-50),"-",(VLOOKUP($A278,'SegEnds_NonXtal_BW#'!$A:$Z,14,FALSE)+VLOOKUP($A278,A:AL,19,FALSE)-50))</f>
        <v>147</v>
      </c>
      <c r="U278" s="9">
        <f>IF(ISERROR(VLOOKUP($A278,'SegEnds_NonXtal_BW#'!$A:$Z,15,FALSE)+VLOOKUP($A278,A:AL,22,FALSE)-50),"-",VLOOKUP($A278,'SegEnds_NonXtal_BW#'!$A:$Z,15,FALSE)+VLOOKUP($A278,A:AL,22,FALSE)-50)</f>
        <v>148</v>
      </c>
      <c r="V278" s="3">
        <v>160</v>
      </c>
      <c r="W278" s="3">
        <f>IF(ISERROR(VLOOKUP($A278,'SegEnds_NonXtal_BW#'!$A:$Z,16,FALSE)+VLOOKUP($A278,A:AL,22,FALSE)-50),"-",(VLOOKUP($A278,'SegEnds_NonXtal_BW#'!$A:$Z,16,FALSE)+VLOOKUP($A278,A:AL,22,FALSE)-50))</f>
        <v>173</v>
      </c>
      <c r="X278" s="3">
        <f>IF(ISERROR(VLOOKUP($A278,'SegEnds_NonXtal_BW#'!$A:$Z,17,FALSE)+VLOOKUP($A278,A:AL,25,FALSE)-50),"-",(VLOOKUP($A278,'SegEnds_NonXtal_BW#'!$A:$Z,17,FALSE)+VLOOKUP($A278,A:AL,25,FALSE)-50))</f>
        <v>182</v>
      </c>
      <c r="Y278" s="3">
        <v>182</v>
      </c>
      <c r="Z278" s="3">
        <f t="shared" si="177"/>
        <v>184</v>
      </c>
      <c r="AA278" s="3">
        <f>IF(ISERROR(VLOOKUP($A278,'SegEnds_NonXtal_BW#'!$A:$Z,19,FALSE)+VLOOKUP($A278,A:AL,28,FALSE)-50),"-",(VLOOKUP($A278,'SegEnds_NonXtal_BW#'!$A:$Z,19,FALSE)+VLOOKUP($A278,A:AL,28,FALSE)-50))</f>
        <v>186</v>
      </c>
      <c r="AB278" s="3">
        <v>201</v>
      </c>
      <c r="AC278" s="3">
        <f>IF(ISERROR((VLOOKUP($A278,'SegEnds_NonXtal_BW#'!$A:$Z,20,FALSE)+VLOOKUP($A278,A:AL,28,FALSE)-50)),"-",(VLOOKUP($A278,'SegEnds_NonXtal_BW#'!$A:$Z,20,FALSE)+VLOOKUP($A278,A:AL,28,FALSE)-50))</f>
        <v>226</v>
      </c>
      <c r="AD278" s="3">
        <f>IF(ISERROR(VLOOKUP($A278,'SegEnds_NonXtal_BW#'!$A:$Z,21,FALSE)+VLOOKUP($A278,A:AL,31,FALSE)-50),"-",(VLOOKUP($A278,'SegEnds_NonXtal_BW#'!$A:$Z,21,FALSE)+VLOOKUP($A278,A:AL,31,FALSE)-50))</f>
        <v>362</v>
      </c>
      <c r="AE278" s="3">
        <v>388</v>
      </c>
      <c r="AF278" s="3">
        <f>IF(ISERROR((VLOOKUP($A278,'SegEnds_NonXtal_BW#'!$A:$Z,22,FALSE)+VLOOKUP($A278,A:AL,31,FALSE)-50)),"-",(VLOOKUP($A278,'SegEnds_NonXtal_BW#'!$A:$Z,22,FALSE)+VLOOKUP($A278,A:AL,31,FALSE)-50))</f>
        <v>399</v>
      </c>
      <c r="AG278" s="3">
        <f>IF(ISERROR(VLOOKUP($A278,'SegEnds_NonXtal_BW#'!$A:$Z,23,FALSE)+VLOOKUP($A278,A:AL,34,FALSE)-50),"-",(VLOOKUP($A278,'SegEnds_NonXtal_BW#'!$A:$Z,23,FALSE)+VLOOKUP($A278,A:AL,34,FALSE)-50))</f>
        <v>404</v>
      </c>
      <c r="AH278" s="3">
        <v>423</v>
      </c>
      <c r="AI278" s="3">
        <f>IF(ISERROR((VLOOKUP($A278,'SegEnds_NonXtal_BW#'!$A:$Z,24,FALSE)+VLOOKUP($A278,A:AL,34,FALSE)-50)),"-",(VLOOKUP($A278,'SegEnds_NonXtal_BW#'!$A:$Z,24,FALSE)+VLOOKUP($A278,A:AL,34,FALSE)-50))</f>
        <v>429</v>
      </c>
      <c r="AJ278" s="3">
        <f>IF(ISERROR(VLOOKUP($A278,'SegEnds_NonXtal_BW#'!$A:$Z,25,FALSE)+VLOOKUP($A278,A:AL,37,FALSE)-50),"-",(VLOOKUP($A278,'SegEnds_NonXtal_BW#'!$A:$Z,25,FALSE)+VLOOKUP($A278,A:AL,37,FALSE)-50))</f>
        <v>430</v>
      </c>
      <c r="AK278" s="3">
        <v>433</v>
      </c>
      <c r="AL278" s="3">
        <f>IF(ISERROR((VLOOKUP($A278,'SegEnds_NonXtal_BW#'!$A:$Z,26,FALSE)+VLOOKUP($A278,A:AL,37,FALSE)-50)),"-",(VLOOKUP($A278,'SegEnds_NonXtal_BW#'!$A:$Z,26,FALSE)+VLOOKUP($A278,A:AL,37,FALSE)-50))</f>
        <v>442</v>
      </c>
      <c r="AM278" s="28" t="str">
        <f>VLOOKUP(A278,Classification!A:B,2,FALSE)</f>
        <v>A</v>
      </c>
      <c r="AN278" s="28" t="b">
        <f t="shared" si="173"/>
        <v>1</v>
      </c>
      <c r="AO278" s="3" t="str">
        <f>IF(ISERROR(MATCH(A278,'SegEnds_Xtal_Prot#'!B:B, 0)), "NoXtal", "Xtal")</f>
        <v>NoXtal</v>
      </c>
      <c r="AP278" s="3">
        <f t="shared" si="153"/>
        <v>1</v>
      </c>
      <c r="AQ278" s="3">
        <f t="shared" si="154"/>
        <v>1</v>
      </c>
      <c r="AR278" s="3">
        <f t="shared" si="155"/>
        <v>2</v>
      </c>
      <c r="AS278" s="3">
        <f t="shared" si="156"/>
        <v>1</v>
      </c>
      <c r="AT278" s="3">
        <f t="shared" si="157"/>
        <v>1</v>
      </c>
      <c r="AU278" s="3">
        <f t="shared" si="158"/>
        <v>1</v>
      </c>
      <c r="AV278" s="3">
        <f t="shared" si="159"/>
        <v>9</v>
      </c>
      <c r="AW278" s="3">
        <f t="shared" si="160"/>
        <v>2</v>
      </c>
      <c r="AX278" s="3">
        <f t="shared" si="161"/>
        <v>136</v>
      </c>
      <c r="AY278" s="3">
        <f t="shared" si="162"/>
        <v>5</v>
      </c>
      <c r="AZ278" s="3">
        <f t="shared" si="163"/>
        <v>1</v>
      </c>
      <c r="BA278" s="3">
        <f>IF(ISERROR(LEN(VLOOKUP(A278,Seqs!A:E,2,FALSE))-AL278),"-",LEN(VLOOKUP(A278,Seqs!A:E,2,FALSE))-AL278)</f>
        <v>1</v>
      </c>
      <c r="BB278" s="16">
        <f t="shared" si="164"/>
        <v>28</v>
      </c>
      <c r="BC278" s="9">
        <f t="shared" si="165"/>
        <v>21</v>
      </c>
      <c r="BD278" s="3">
        <f t="shared" si="166"/>
        <v>28</v>
      </c>
      <c r="BE278" s="3">
        <f t="shared" si="167"/>
        <v>187</v>
      </c>
      <c r="BF278" s="3">
        <f t="shared" si="178"/>
        <v>35</v>
      </c>
    </row>
    <row r="279" spans="1:58" s="3" customFormat="1" x14ac:dyDescent="0.2">
      <c r="A279" s="3" t="s">
        <v>248</v>
      </c>
      <c r="B279" s="3" t="str">
        <f>LOWER(VLOOKUP(A279,Xtal_Templ!A:B,2,FALSE))</f>
        <v>ox1r_human</v>
      </c>
      <c r="C279" s="3">
        <f>VLOOKUP($A279,'SegEnds_NonXtal_BW#'!$A:$Z,3,FALSE)+D279-50</f>
        <v>18</v>
      </c>
      <c r="D279" s="3">
        <v>36</v>
      </c>
      <c r="E279" s="3">
        <f>IF(ISERROR(VLOOKUP($A279,'SegEnds_NonXtal_BW#'!$A:$Z,4,FALSE)+VLOOKUP($A279,A:AL,4,FALSE)-50),"-",(VLOOKUP($A279,'SegEnds_NonXtal_BW#'!$A:$Z,4,FALSE)+VLOOKUP($A279,A:AL,4,FALSE)-50))</f>
        <v>46</v>
      </c>
      <c r="F279" s="3">
        <f t="shared" si="169"/>
        <v>47</v>
      </c>
      <c r="G279" s="3">
        <v>49</v>
      </c>
      <c r="H279" s="3">
        <f t="shared" si="170"/>
        <v>50</v>
      </c>
      <c r="I279" s="3">
        <f t="shared" si="170"/>
        <v>51</v>
      </c>
      <c r="J279" s="3">
        <v>64</v>
      </c>
      <c r="K279" s="3">
        <f>VLOOKUP($A279,'SegEnds_NonXtal_BW#'!$A:$Z,8,FALSE)+VLOOKUP($A279,A:AL,10,FALSE)-50</f>
        <v>81</v>
      </c>
      <c r="L279" s="3" t="str">
        <f>IF(ISERROR(VLOOKUP($A279,'SegEnds_NonXtal_BW#'!$A:$Z,9,FALSE)+VLOOKUP($A279,A:AL,13,FALSE)-50),"-",(VLOOKUP($A279,'SegEnds_NonXtal_BW#'!$A:$Z,9,FALSE)+VLOOKUP($A279,A:AL,13,FALSE)-50))</f>
        <v>-</v>
      </c>
      <c r="M279" s="3" t="s">
        <v>23</v>
      </c>
      <c r="N279" s="3" t="str">
        <f>IF(ISERROR(VLOOKUP($A279,'SegEnds_NonXtal_BW#'!$A:$Z,10,FALSE)+VLOOKUP($A279,A:AL,13,FALSE)-50),"-",(VLOOKUP($A279,'SegEnds_NonXtal_BW#'!$A:$Z,10,FALSE)+VLOOKUP($A279,A:AL,13,FALSE)-50))</f>
        <v>-</v>
      </c>
      <c r="O279" s="3">
        <f>VLOOKUP($A279,'SegEnds_NonXtal_BW#'!$A:$Z,11,FALSE)+VLOOKUP($A279,A:AL,16,FALSE)-50</f>
        <v>88</v>
      </c>
      <c r="P279" s="3">
        <v>120</v>
      </c>
      <c r="Q279" s="3">
        <f>VLOOKUP($A279,'SegEnds_NonXtal_BW#'!$A:$Z,12,FALSE)+VLOOKUP($A279,A:AL,16,FALSE)-50</f>
        <v>126</v>
      </c>
      <c r="R279" s="3">
        <f>IF(ISERROR(VLOOKUP($A279,'SegEnds_NonXtal_BW#'!$A:$Z,13,FALSE)+VLOOKUP($A279,A:AL,19,FALSE)-50),"-",VLOOKUP($A279,'SegEnds_NonXtal_BW#'!$A:$Z,13,FALSE)+VLOOKUP($A279,A:AL,19,FALSE)-50)</f>
        <v>127</v>
      </c>
      <c r="S279" s="3">
        <v>127</v>
      </c>
      <c r="T279" s="103">
        <f>IF(ISERROR(VLOOKUP($A279,'SegEnds_NonXtal_BW#'!$A:$Z,14,FALSE)+VLOOKUP($A279,A:AL,19,FALSE)-50),"-",(VLOOKUP($A279,'SegEnds_NonXtal_BW#'!$A:$Z,14,FALSE)+VLOOKUP($A279,A:AL,19,FALSE)-50))</f>
        <v>135</v>
      </c>
      <c r="U279" s="9">
        <f>IF(ISERROR(VLOOKUP($A279,'SegEnds_NonXtal_BW#'!$A:$Z,15,FALSE)+VLOOKUP($A279,A:AL,22,FALSE)-50),"-",VLOOKUP($A279,'SegEnds_NonXtal_BW#'!$A:$Z,15,FALSE)+VLOOKUP($A279,A:AL,22,FALSE)-50)</f>
        <v>136</v>
      </c>
      <c r="V279" s="3">
        <v>148</v>
      </c>
      <c r="W279" s="3">
        <f>IF(ISERROR(VLOOKUP($A279,'SegEnds_NonXtal_BW#'!$A:$Z,16,FALSE)+VLOOKUP($A279,A:AL,22,FALSE)-50),"-",(VLOOKUP($A279,'SegEnds_NonXtal_BW#'!$A:$Z,16,FALSE)+VLOOKUP($A279,A:AL,22,FALSE)-50))</f>
        <v>162</v>
      </c>
      <c r="X279" s="3">
        <f>IF(ISERROR(VLOOKUP($A279,'SegEnds_NonXtal_BW#'!$A:$Z,17,FALSE)+VLOOKUP($A279,A:AL,25,FALSE)-50),"-",(VLOOKUP($A279,'SegEnds_NonXtal_BW#'!$A:$Z,17,FALSE)+VLOOKUP($A279,A:AL,25,FALSE)-50))</f>
        <v>171</v>
      </c>
      <c r="Y279" s="3">
        <v>171</v>
      </c>
      <c r="Z279" s="3">
        <f t="shared" si="177"/>
        <v>173</v>
      </c>
      <c r="AA279" s="3">
        <f>IF(ISERROR(VLOOKUP($A279,'SegEnds_NonXtal_BW#'!$A:$Z,19,FALSE)+VLOOKUP($A279,A:AL,28,FALSE)-50),"-",(VLOOKUP($A279,'SegEnds_NonXtal_BW#'!$A:$Z,19,FALSE)+VLOOKUP($A279,A:AL,28,FALSE)-50))</f>
        <v>174</v>
      </c>
      <c r="AB279" s="3">
        <v>189</v>
      </c>
      <c r="AC279" s="3">
        <f>IF(ISERROR((VLOOKUP($A279,'SegEnds_NonXtal_BW#'!$A:$Z,20,FALSE)+VLOOKUP($A279,A:AL,28,FALSE)-50)),"-",(VLOOKUP($A279,'SegEnds_NonXtal_BW#'!$A:$Z,20,FALSE)+VLOOKUP($A279,A:AL,28,FALSE)-50))</f>
        <v>215</v>
      </c>
      <c r="AD279" s="3">
        <f>IF(ISERROR(VLOOKUP($A279,'SegEnds_NonXtal_BW#'!$A:$Z,21,FALSE)+VLOOKUP($A279,A:AL,31,FALSE)-50),"-",(VLOOKUP($A279,'SegEnds_NonXtal_BW#'!$A:$Z,21,FALSE)+VLOOKUP($A279,A:AL,31,FALSE)-50))</f>
        <v>273</v>
      </c>
      <c r="AE279" s="3">
        <v>299</v>
      </c>
      <c r="AF279" s="3">
        <f>IF(ISERROR((VLOOKUP($A279,'SegEnds_NonXtal_BW#'!$A:$Z,22,FALSE)+VLOOKUP($A279,A:AL,31,FALSE)-50)),"-",(VLOOKUP($A279,'SegEnds_NonXtal_BW#'!$A:$Z,22,FALSE)+VLOOKUP($A279,A:AL,31,FALSE)-50))</f>
        <v>310</v>
      </c>
      <c r="AG279" s="3">
        <f>IF(ISERROR(VLOOKUP($A279,'SegEnds_NonXtal_BW#'!$A:$Z,23,FALSE)+VLOOKUP($A279,A:AL,34,FALSE)-50),"-",(VLOOKUP($A279,'SegEnds_NonXtal_BW#'!$A:$Z,23,FALSE)+VLOOKUP($A279,A:AL,34,FALSE)-50))</f>
        <v>316</v>
      </c>
      <c r="AH279" s="3">
        <v>335</v>
      </c>
      <c r="AI279" s="3">
        <f>IF(ISERROR((VLOOKUP($A279,'SegEnds_NonXtal_BW#'!$A:$Z,24,FALSE)+VLOOKUP($A279,A:AL,34,FALSE)-50)),"-",(VLOOKUP($A279,'SegEnds_NonXtal_BW#'!$A:$Z,24,FALSE)+VLOOKUP($A279,A:AL,34,FALSE)-50))</f>
        <v>341</v>
      </c>
      <c r="AJ279" s="3">
        <f>IF(ISERROR(VLOOKUP($A279,'SegEnds_NonXtal_BW#'!$A:$Z,25,FALSE)+VLOOKUP($A279,A:AL,37,FALSE)-50),"-",(VLOOKUP($A279,'SegEnds_NonXtal_BW#'!$A:$Z,25,FALSE)+VLOOKUP($A279,A:AL,37,FALSE)-50))</f>
        <v>342</v>
      </c>
      <c r="AK279" s="3">
        <v>345</v>
      </c>
      <c r="AL279" s="3">
        <f>IF(ISERROR((VLOOKUP($A279,'SegEnds_NonXtal_BW#'!$A:$Z,26,FALSE)+VLOOKUP($A279,A:AL,37,FALSE)-50)),"-",(VLOOKUP($A279,'SegEnds_NonXtal_BW#'!$A:$Z,26,FALSE)+VLOOKUP($A279,A:AL,37,FALSE)-50))</f>
        <v>353</v>
      </c>
      <c r="AM279" s="28" t="str">
        <f>VLOOKUP(A279,Classification!A:B,2,FALSE)</f>
        <v>A</v>
      </c>
      <c r="AN279" s="28" t="b">
        <f t="shared" si="173"/>
        <v>1</v>
      </c>
      <c r="AO279" s="3" t="str">
        <f>IF(ISERROR(MATCH(A279,'SegEnds_Xtal_Prot#'!B:B, 0)), "NoXtal", "Xtal")</f>
        <v>NoXtal</v>
      </c>
      <c r="AP279" s="3">
        <f t="shared" si="153"/>
        <v>1</v>
      </c>
      <c r="AQ279" s="3">
        <f t="shared" si="154"/>
        <v>1</v>
      </c>
      <c r="AR279" s="3" t="str">
        <f t="shared" si="155"/>
        <v>-</v>
      </c>
      <c r="AS279" s="3" t="str">
        <f t="shared" si="156"/>
        <v>-</v>
      </c>
      <c r="AT279" s="3">
        <f t="shared" si="157"/>
        <v>1</v>
      </c>
      <c r="AU279" s="3">
        <f t="shared" si="158"/>
        <v>1</v>
      </c>
      <c r="AV279" s="3">
        <f t="shared" si="159"/>
        <v>9</v>
      </c>
      <c r="AW279" s="3">
        <f t="shared" si="160"/>
        <v>1</v>
      </c>
      <c r="AX279" s="3">
        <f t="shared" si="161"/>
        <v>58</v>
      </c>
      <c r="AY279" s="3">
        <f t="shared" si="162"/>
        <v>6</v>
      </c>
      <c r="AZ279" s="3">
        <f t="shared" si="163"/>
        <v>1</v>
      </c>
      <c r="BA279" s="3">
        <f>IF(ISERROR(LEN(VLOOKUP(A279,Seqs!A:E,2,FALSE))-AL279),"-",LEN(VLOOKUP(A279,Seqs!A:E,2,FALSE))-AL279)</f>
        <v>22</v>
      </c>
      <c r="BB279" s="16">
        <f t="shared" si="164"/>
        <v>28</v>
      </c>
      <c r="BC279" s="9">
        <f t="shared" si="165"/>
        <v>21</v>
      </c>
      <c r="BD279" s="3">
        <f t="shared" si="166"/>
        <v>28</v>
      </c>
      <c r="BE279" s="3">
        <f t="shared" si="167"/>
        <v>110</v>
      </c>
      <c r="BF279" s="3">
        <f t="shared" si="178"/>
        <v>36</v>
      </c>
    </row>
    <row r="280" spans="1:58" s="3" customFormat="1" x14ac:dyDescent="0.2">
      <c r="A280" s="3" t="s">
        <v>280</v>
      </c>
      <c r="B280" s="3" t="str">
        <f>LOWER(VLOOKUP(A280,Xtal_Templ!A:B,2,FALSE))</f>
        <v>hrh1_human</v>
      </c>
      <c r="C280" s="3">
        <f>VLOOKUP($A280,'SegEnds_NonXtal_BW#'!$A:$Z,3,FALSE)+D280-50</f>
        <v>36</v>
      </c>
      <c r="D280" s="3">
        <v>52</v>
      </c>
      <c r="E280" s="3">
        <f>IF(ISERROR(VLOOKUP($A280,'SegEnds_NonXtal_BW#'!$A:$Z,4,FALSE)+VLOOKUP($A280,A:AL,4,FALSE)-50),"-",(VLOOKUP($A280,'SegEnds_NonXtal_BW#'!$A:$Z,4,FALSE)+VLOOKUP($A280,A:AL,4,FALSE)-50))</f>
        <v>62</v>
      </c>
      <c r="F280" s="3">
        <f t="shared" si="169"/>
        <v>63</v>
      </c>
      <c r="G280" s="3">
        <v>65</v>
      </c>
      <c r="H280" s="3">
        <f t="shared" si="170"/>
        <v>66</v>
      </c>
      <c r="I280" s="3">
        <f t="shared" si="170"/>
        <v>67</v>
      </c>
      <c r="J280" s="3">
        <v>80</v>
      </c>
      <c r="K280" s="3">
        <f>VLOOKUP($A280,'SegEnds_NonXtal_BW#'!$A:$Z,8,FALSE)+VLOOKUP($A280,A:AL,10,FALSE)-50</f>
        <v>97</v>
      </c>
      <c r="L280" s="3">
        <f t="shared" ref="L280:L286" si="179">M280-1</f>
        <v>99</v>
      </c>
      <c r="M280" s="3">
        <v>100</v>
      </c>
      <c r="N280" s="3">
        <f t="shared" ref="N280:N286" si="180">M280+2</f>
        <v>102</v>
      </c>
      <c r="O280" s="3">
        <f t="shared" ref="O280:O286" si="181">N280+1</f>
        <v>103</v>
      </c>
      <c r="P280" s="3">
        <v>132</v>
      </c>
      <c r="Q280" s="3">
        <f>VLOOKUP($A280,'SegEnds_NonXtal_BW#'!$A:$Z,12,FALSE)+VLOOKUP($A280,A:AL,16,FALSE)-50</f>
        <v>138</v>
      </c>
      <c r="R280" s="3">
        <f>IF(ISERROR(VLOOKUP($A280,'SegEnds_NonXtal_BW#'!$A:$Z,13,FALSE)+VLOOKUP($A280,A:AL,19,FALSE)-50),"-",VLOOKUP($A280,'SegEnds_NonXtal_BW#'!$A:$Z,13,FALSE)+VLOOKUP($A280,A:AL,19,FALSE)-50)</f>
        <v>139</v>
      </c>
      <c r="S280" s="3">
        <v>139</v>
      </c>
      <c r="T280" s="103">
        <f>IF(ISERROR(VLOOKUP($A280,'SegEnds_NonXtal_BW#'!$A:$Z,14,FALSE)+VLOOKUP($A280,A:AL,19,FALSE)-50),"-",(VLOOKUP($A280,'SegEnds_NonXtal_BW#'!$A:$Z,14,FALSE)+VLOOKUP($A280,A:AL,19,FALSE)-50))</f>
        <v>147</v>
      </c>
      <c r="U280" s="9">
        <f>IF(ISERROR(VLOOKUP($A280,'SegEnds_NonXtal_BW#'!$A:$Z,15,FALSE)+VLOOKUP($A280,A:AL,22,FALSE)-50),"-",VLOOKUP($A280,'SegEnds_NonXtal_BW#'!$A:$Z,15,FALSE)+VLOOKUP($A280,A:AL,22,FALSE)-50)</f>
        <v>148</v>
      </c>
      <c r="V280" s="3">
        <v>160</v>
      </c>
      <c r="W280" s="3">
        <f>IF(ISERROR(VLOOKUP($A280,'SegEnds_NonXtal_BW#'!$A:$Z,16,FALSE)+VLOOKUP($A280,A:AL,22,FALSE)-50),"-",(VLOOKUP($A280,'SegEnds_NonXtal_BW#'!$A:$Z,16,FALSE)+VLOOKUP($A280,A:AL,22,FALSE)-50))</f>
        <v>173</v>
      </c>
      <c r="X280" s="3">
        <f>IF(ISERROR(VLOOKUP($A280,'SegEnds_NonXtal_BW#'!$A:$Z,17,FALSE)+VLOOKUP($A280,A:AL,25,FALSE)-50),"-",(VLOOKUP($A280,'SegEnds_NonXtal_BW#'!$A:$Z,17,FALSE)+VLOOKUP($A280,A:AL,25,FALSE)-50))</f>
        <v>188</v>
      </c>
      <c r="Y280" s="3">
        <v>188</v>
      </c>
      <c r="Z280" s="3">
        <f t="shared" si="177"/>
        <v>190</v>
      </c>
      <c r="AA280" s="3">
        <f>IF(ISERROR(VLOOKUP($A280,'SegEnds_NonXtal_BW#'!$A:$Z,19,FALSE)+VLOOKUP($A280,A:AL,28,FALSE)-50),"-",(VLOOKUP($A280,'SegEnds_NonXtal_BW#'!$A:$Z,19,FALSE)+VLOOKUP($A280,A:AL,28,FALSE)-50))</f>
        <v>195</v>
      </c>
      <c r="AB280" s="3">
        <v>210</v>
      </c>
      <c r="AC280" s="3">
        <f>IF(ISERROR((VLOOKUP($A280,'SegEnds_NonXtal_BW#'!$A:$Z,20,FALSE)+VLOOKUP($A280,A:AL,28,FALSE)-50)),"-",(VLOOKUP($A280,'SegEnds_NonXtal_BW#'!$A:$Z,20,FALSE)+VLOOKUP($A280,A:AL,28,FALSE)-50))</f>
        <v>235</v>
      </c>
      <c r="AD280" s="3">
        <f>IF(ISERROR(VLOOKUP($A280,'SegEnds_NonXtal_BW#'!$A:$Z,21,FALSE)+VLOOKUP($A280,A:AL,31,FALSE)-50),"-",(VLOOKUP($A280,'SegEnds_NonXtal_BW#'!$A:$Z,21,FALSE)+VLOOKUP($A280,A:AL,31,FALSE)-50))</f>
        <v>347</v>
      </c>
      <c r="AE280" s="3">
        <v>373</v>
      </c>
      <c r="AF280" s="3">
        <f>IF(ISERROR((VLOOKUP($A280,'SegEnds_NonXtal_BW#'!$A:$Z,22,FALSE)+VLOOKUP($A280,A:AL,31,FALSE)-50)),"-",(VLOOKUP($A280,'SegEnds_NonXtal_BW#'!$A:$Z,22,FALSE)+VLOOKUP($A280,A:AL,31,FALSE)-50))</f>
        <v>384</v>
      </c>
      <c r="AG280" s="3">
        <f>IF(ISERROR(VLOOKUP($A280,'SegEnds_NonXtal_BW#'!$A:$Z,23,FALSE)+VLOOKUP($A280,A:AL,34,FALSE)-50),"-",(VLOOKUP($A280,'SegEnds_NonXtal_BW#'!$A:$Z,23,FALSE)+VLOOKUP($A280,A:AL,34,FALSE)-50))</f>
        <v>390</v>
      </c>
      <c r="AH280" s="3">
        <v>409</v>
      </c>
      <c r="AI280" s="3">
        <f>IF(ISERROR((VLOOKUP($A280,'SegEnds_NonXtal_BW#'!$A:$Z,24,FALSE)+VLOOKUP($A280,A:AL,34,FALSE)-50)),"-",(VLOOKUP($A280,'SegEnds_NonXtal_BW#'!$A:$Z,24,FALSE)+VLOOKUP($A280,A:AL,34,FALSE)-50))</f>
        <v>415</v>
      </c>
      <c r="AJ280" s="3">
        <f>IF(ISERROR(VLOOKUP($A280,'SegEnds_NonXtal_BW#'!$A:$Z,25,FALSE)+VLOOKUP($A280,A:AL,37,FALSE)-50),"-",(VLOOKUP($A280,'SegEnds_NonXtal_BW#'!$A:$Z,25,FALSE)+VLOOKUP($A280,A:AL,37,FALSE)-50))</f>
        <v>416</v>
      </c>
      <c r="AK280" s="3">
        <v>419</v>
      </c>
      <c r="AL280" s="3">
        <f>IF(ISERROR((VLOOKUP($A280,'SegEnds_NonXtal_BW#'!$A:$Z,26,FALSE)+VLOOKUP($A280,A:AL,37,FALSE)-50)),"-",(VLOOKUP($A280,'SegEnds_NonXtal_BW#'!$A:$Z,26,FALSE)+VLOOKUP($A280,A:AL,37,FALSE)-50))</f>
        <v>428</v>
      </c>
      <c r="AM280" s="28" t="str">
        <f>VLOOKUP(A280,Classification!A:B,2,FALSE)</f>
        <v>A</v>
      </c>
      <c r="AN280" s="28" t="b">
        <f t="shared" si="173"/>
        <v>1</v>
      </c>
      <c r="AO280" s="3" t="str">
        <f>IF(ISERROR(MATCH(A280,'SegEnds_Xtal_Prot#'!B:B, 0)), "NoXtal", "Xtal")</f>
        <v>NoXtal</v>
      </c>
      <c r="AP280" s="3">
        <f t="shared" si="153"/>
        <v>1</v>
      </c>
      <c r="AQ280" s="3">
        <f t="shared" si="154"/>
        <v>1</v>
      </c>
      <c r="AR280" s="3">
        <f t="shared" si="155"/>
        <v>2</v>
      </c>
      <c r="AS280" s="3">
        <f t="shared" si="156"/>
        <v>1</v>
      </c>
      <c r="AT280" s="3">
        <f t="shared" si="157"/>
        <v>1</v>
      </c>
      <c r="AU280" s="3">
        <f t="shared" si="158"/>
        <v>1</v>
      </c>
      <c r="AV280" s="3">
        <f t="shared" si="159"/>
        <v>15</v>
      </c>
      <c r="AW280" s="3">
        <f t="shared" si="160"/>
        <v>5</v>
      </c>
      <c r="AX280" s="3">
        <f t="shared" si="161"/>
        <v>112</v>
      </c>
      <c r="AY280" s="3">
        <f t="shared" si="162"/>
        <v>6</v>
      </c>
      <c r="AZ280" s="3">
        <f t="shared" si="163"/>
        <v>1</v>
      </c>
      <c r="BA280" s="3">
        <f>IF(ISERROR(LEN(VLOOKUP(A280,Seqs!A:E,2,FALSE))-AL280),"-",LEN(VLOOKUP(A280,Seqs!A:E,2,FALSE))-AL280)</f>
        <v>17</v>
      </c>
      <c r="BB280" s="16">
        <f t="shared" si="164"/>
        <v>28</v>
      </c>
      <c r="BC280" s="9">
        <f t="shared" si="165"/>
        <v>21</v>
      </c>
      <c r="BD280" s="3">
        <f t="shared" si="166"/>
        <v>28</v>
      </c>
      <c r="BE280" s="3">
        <f t="shared" si="167"/>
        <v>163</v>
      </c>
      <c r="BF280" s="3">
        <f t="shared" si="178"/>
        <v>36</v>
      </c>
    </row>
    <row r="281" spans="1:58" s="3" customFormat="1" x14ac:dyDescent="0.2">
      <c r="A281" s="3" t="s">
        <v>281</v>
      </c>
      <c r="B281" s="3" t="str">
        <f>LOWER(VLOOKUP(A281,Xtal_Templ!A:B,2,FALSE))</f>
        <v>acm3_rat</v>
      </c>
      <c r="C281" s="3">
        <f>VLOOKUP($A281,'SegEnds_NonXtal_BW#'!$A:$Z,3,FALSE)+D281-50</f>
        <v>12</v>
      </c>
      <c r="D281" s="3">
        <v>33</v>
      </c>
      <c r="E281" s="3">
        <f>IF(ISERROR(VLOOKUP($A281,'SegEnds_NonXtal_BW#'!$A:$Z,4,FALSE)+VLOOKUP($A281,A:AL,4,FALSE)-50),"-",(VLOOKUP($A281,'SegEnds_NonXtal_BW#'!$A:$Z,4,FALSE)+VLOOKUP($A281,A:AL,4,FALSE)-50))</f>
        <v>43</v>
      </c>
      <c r="F281" s="3">
        <f t="shared" si="169"/>
        <v>44</v>
      </c>
      <c r="G281" s="3">
        <v>46</v>
      </c>
      <c r="H281" s="3">
        <f t="shared" si="170"/>
        <v>47</v>
      </c>
      <c r="I281" s="3">
        <f t="shared" si="170"/>
        <v>48</v>
      </c>
      <c r="J281" s="3">
        <v>61</v>
      </c>
      <c r="K281" s="3">
        <f>VLOOKUP($A281,'SegEnds_NonXtal_BW#'!$A:$Z,8,FALSE)+VLOOKUP($A281,A:AL,10,FALSE)-50</f>
        <v>77</v>
      </c>
      <c r="L281" s="3">
        <f t="shared" si="179"/>
        <v>79</v>
      </c>
      <c r="M281" s="3">
        <v>80</v>
      </c>
      <c r="N281" s="3">
        <f t="shared" si="180"/>
        <v>82</v>
      </c>
      <c r="O281" s="3">
        <f t="shared" si="181"/>
        <v>83</v>
      </c>
      <c r="P281" s="3">
        <v>112</v>
      </c>
      <c r="Q281" s="3">
        <f>VLOOKUP($A281,'SegEnds_NonXtal_BW#'!$A:$Z,12,FALSE)+VLOOKUP($A281,A:AL,16,FALSE)-50</f>
        <v>118</v>
      </c>
      <c r="R281" s="3">
        <f>IF(ISERROR(VLOOKUP($A281,'SegEnds_NonXtal_BW#'!$A:$Z,13,FALSE)+VLOOKUP($A281,A:AL,19,FALSE)-50),"-",VLOOKUP($A281,'SegEnds_NonXtal_BW#'!$A:$Z,13,FALSE)+VLOOKUP($A281,A:AL,19,FALSE)-50)</f>
        <v>119</v>
      </c>
      <c r="S281" s="3">
        <v>119</v>
      </c>
      <c r="T281" s="103">
        <f>IF(ISERROR(VLOOKUP($A281,'SegEnds_NonXtal_BW#'!$A:$Z,14,FALSE)+VLOOKUP($A281,A:AL,19,FALSE)-50),"-",(VLOOKUP($A281,'SegEnds_NonXtal_BW#'!$A:$Z,14,FALSE)+VLOOKUP($A281,A:AL,19,FALSE)-50))</f>
        <v>127</v>
      </c>
      <c r="U281" s="9">
        <f>IF(ISERROR(VLOOKUP($A281,'SegEnds_NonXtal_BW#'!$A:$Z,15,FALSE)+VLOOKUP($A281,A:AL,22,FALSE)-50),"-",VLOOKUP($A281,'SegEnds_NonXtal_BW#'!$A:$Z,15,FALSE)+VLOOKUP($A281,A:AL,22,FALSE)-50)</f>
        <v>128</v>
      </c>
      <c r="V281" s="3">
        <v>140</v>
      </c>
      <c r="W281" s="3">
        <f>IF(ISERROR(VLOOKUP($A281,'SegEnds_NonXtal_BW#'!$A:$Z,16,FALSE)+VLOOKUP($A281,A:AL,22,FALSE)-50),"-",(VLOOKUP($A281,'SegEnds_NonXtal_BW#'!$A:$Z,16,FALSE)+VLOOKUP($A281,A:AL,22,FALSE)-50))</f>
        <v>153</v>
      </c>
      <c r="X281" s="3">
        <f>IF(ISERROR(VLOOKUP($A281,'SegEnds_NonXtal_BW#'!$A:$Z,17,FALSE)+VLOOKUP($A281,A:AL,25,FALSE)-50),"-",(VLOOKUP($A281,'SegEnds_NonXtal_BW#'!$A:$Z,17,FALSE)+VLOOKUP($A281,A:AL,25,FALSE)-50))</f>
        <v>164</v>
      </c>
      <c r="Y281" s="3">
        <v>164</v>
      </c>
      <c r="Z281" s="3">
        <f t="shared" si="177"/>
        <v>166</v>
      </c>
      <c r="AA281" s="3">
        <f>IF(ISERROR(VLOOKUP($A281,'SegEnds_NonXtal_BW#'!$A:$Z,19,FALSE)+VLOOKUP($A281,A:AL,28,FALSE)-50),"-",(VLOOKUP($A281,'SegEnds_NonXtal_BW#'!$A:$Z,19,FALSE)+VLOOKUP($A281,A:AL,28,FALSE)-50))</f>
        <v>171</v>
      </c>
      <c r="AB281" s="3">
        <v>186</v>
      </c>
      <c r="AC281" s="3">
        <f>IF(ISERROR((VLOOKUP($A281,'SegEnds_NonXtal_BW#'!$A:$Z,20,FALSE)+VLOOKUP($A281,A:AL,28,FALSE)-50)),"-",(VLOOKUP($A281,'SegEnds_NonXtal_BW#'!$A:$Z,20,FALSE)+VLOOKUP($A281,A:AL,28,FALSE)-50))</f>
        <v>212</v>
      </c>
      <c r="AD281" s="3">
        <f>IF(ISERROR(VLOOKUP($A281,'SegEnds_NonXtal_BW#'!$A:$Z,21,FALSE)+VLOOKUP($A281,A:AL,31,FALSE)-50),"-",(VLOOKUP($A281,'SegEnds_NonXtal_BW#'!$A:$Z,21,FALSE)+VLOOKUP($A281,A:AL,31,FALSE)-50))</f>
        <v>292</v>
      </c>
      <c r="AE281" s="3">
        <v>318</v>
      </c>
      <c r="AF281" s="3">
        <f>IF(ISERROR((VLOOKUP($A281,'SegEnds_NonXtal_BW#'!$A:$Z,22,FALSE)+VLOOKUP($A281,A:AL,31,FALSE)-50)),"-",(VLOOKUP($A281,'SegEnds_NonXtal_BW#'!$A:$Z,22,FALSE)+VLOOKUP($A281,A:AL,31,FALSE)-50))</f>
        <v>329</v>
      </c>
      <c r="AG281" s="3">
        <f>IF(ISERROR(VLOOKUP($A281,'SegEnds_NonXtal_BW#'!$A:$Z,23,FALSE)+VLOOKUP($A281,A:AL,34,FALSE)-50),"-",(VLOOKUP($A281,'SegEnds_NonXtal_BW#'!$A:$Z,23,FALSE)+VLOOKUP($A281,A:AL,34,FALSE)-50))</f>
        <v>336</v>
      </c>
      <c r="AH281" s="3">
        <v>355</v>
      </c>
      <c r="AI281" s="3">
        <f>IF(ISERROR((VLOOKUP($A281,'SegEnds_NonXtal_BW#'!$A:$Z,24,FALSE)+VLOOKUP($A281,A:AL,34,FALSE)-50)),"-",(VLOOKUP($A281,'SegEnds_NonXtal_BW#'!$A:$Z,24,FALSE)+VLOOKUP($A281,A:AL,34,FALSE)-50))</f>
        <v>361</v>
      </c>
      <c r="AJ281" s="3">
        <f>IF(ISERROR(VLOOKUP($A281,'SegEnds_NonXtal_BW#'!$A:$Z,25,FALSE)+VLOOKUP($A281,A:AL,37,FALSE)-50),"-",(VLOOKUP($A281,'SegEnds_NonXtal_BW#'!$A:$Z,25,FALSE)+VLOOKUP($A281,A:AL,37,FALSE)-50))</f>
        <v>362</v>
      </c>
      <c r="AK281" s="3">
        <v>365</v>
      </c>
      <c r="AL281" s="3">
        <f>IF(ISERROR((VLOOKUP($A281,'SegEnds_NonXtal_BW#'!$A:$Z,26,FALSE)+VLOOKUP($A281,A:AL,37,FALSE)-50)),"-",(VLOOKUP($A281,'SegEnds_NonXtal_BW#'!$A:$Z,26,FALSE)+VLOOKUP($A281,A:AL,37,FALSE)-50))</f>
        <v>373</v>
      </c>
      <c r="AM281" s="28" t="str">
        <f>VLOOKUP(A281,Classification!A:B,2,FALSE)</f>
        <v>A</v>
      </c>
      <c r="AN281" s="28" t="b">
        <f t="shared" si="173"/>
        <v>1</v>
      </c>
      <c r="AO281" s="3" t="str">
        <f>IF(ISERROR(MATCH(A281,'SegEnds_Xtal_Prot#'!B:B, 0)), "NoXtal", "Xtal")</f>
        <v>NoXtal</v>
      </c>
      <c r="AP281" s="3">
        <f t="shared" si="153"/>
        <v>1</v>
      </c>
      <c r="AQ281" s="3">
        <f t="shared" si="154"/>
        <v>1</v>
      </c>
      <c r="AR281" s="3">
        <f t="shared" si="155"/>
        <v>2</v>
      </c>
      <c r="AS281" s="3">
        <f t="shared" si="156"/>
        <v>1</v>
      </c>
      <c r="AT281" s="3">
        <f t="shared" si="157"/>
        <v>1</v>
      </c>
      <c r="AU281" s="3">
        <f t="shared" si="158"/>
        <v>1</v>
      </c>
      <c r="AV281" s="3">
        <f t="shared" si="159"/>
        <v>11</v>
      </c>
      <c r="AW281" s="3">
        <f t="shared" si="160"/>
        <v>5</v>
      </c>
      <c r="AX281" s="3">
        <f t="shared" si="161"/>
        <v>80</v>
      </c>
      <c r="AY281" s="3">
        <f t="shared" si="162"/>
        <v>7</v>
      </c>
      <c r="AZ281" s="3">
        <f t="shared" si="163"/>
        <v>1</v>
      </c>
      <c r="BA281" s="3">
        <f>IF(ISERROR(LEN(VLOOKUP(A281,Seqs!A:E,2,FALSE))-AL281),"-",LEN(VLOOKUP(A281,Seqs!A:E,2,FALSE))-AL281)</f>
        <v>17</v>
      </c>
      <c r="BB281" s="16">
        <f t="shared" si="164"/>
        <v>28</v>
      </c>
      <c r="BC281" s="9">
        <f t="shared" si="165"/>
        <v>21</v>
      </c>
      <c r="BD281" s="3">
        <f t="shared" si="166"/>
        <v>28</v>
      </c>
      <c r="BE281" s="3">
        <f t="shared" si="167"/>
        <v>132</v>
      </c>
      <c r="BF281" s="3">
        <f t="shared" si="178"/>
        <v>37</v>
      </c>
    </row>
    <row r="282" spans="1:58" s="3" customFormat="1" x14ac:dyDescent="0.2">
      <c r="A282" s="3" t="s">
        <v>348</v>
      </c>
      <c r="B282" s="3" t="str">
        <f>LOWER(VLOOKUP(A282,Xtal_Templ!A:B,2,FALSE))</f>
        <v>p2ry1_human</v>
      </c>
      <c r="C282" s="3">
        <f>VLOOKUP($A282,'SegEnds_NonXtal_BW#'!$A:$Z,3,FALSE)+D282-50</f>
        <v>24</v>
      </c>
      <c r="D282" s="3">
        <v>44</v>
      </c>
      <c r="E282" s="3">
        <f>IF(ISERROR(VLOOKUP($A282,'SegEnds_NonXtal_BW#'!$A:$Z,4,FALSE)+VLOOKUP($A282,A:AL,4,FALSE)-50),"-",(VLOOKUP($A282,'SegEnds_NonXtal_BW#'!$A:$Z,4,FALSE)+VLOOKUP($A282,A:AL,4,FALSE)-50))</f>
        <v>54</v>
      </c>
      <c r="F282" s="3">
        <f t="shared" si="169"/>
        <v>55</v>
      </c>
      <c r="G282" s="3">
        <v>57</v>
      </c>
      <c r="H282" s="3">
        <f t="shared" si="170"/>
        <v>58</v>
      </c>
      <c r="I282" s="3">
        <f t="shared" si="170"/>
        <v>59</v>
      </c>
      <c r="J282" s="3">
        <v>72</v>
      </c>
      <c r="K282" s="3">
        <f>VLOOKUP($A282,'SegEnds_NonXtal_BW#'!$A:$Z,8,FALSE)+VLOOKUP($A282,A:AL,10,FALSE)-50</f>
        <v>88</v>
      </c>
      <c r="L282" s="3">
        <f t="shared" si="179"/>
        <v>91</v>
      </c>
      <c r="M282" s="3">
        <v>92</v>
      </c>
      <c r="N282" s="3">
        <f t="shared" si="180"/>
        <v>94</v>
      </c>
      <c r="O282" s="3">
        <f t="shared" si="181"/>
        <v>95</v>
      </c>
      <c r="P282" s="3">
        <v>124</v>
      </c>
      <c r="Q282" s="3">
        <f>VLOOKUP($A282,'SegEnds_NonXtal_BW#'!$A:$Z,12,FALSE)+VLOOKUP($A282,A:AL,16,FALSE)-50</f>
        <v>130</v>
      </c>
      <c r="R282" s="3">
        <f>IF(ISERROR(VLOOKUP($A282,'SegEnds_NonXtal_BW#'!$A:$Z,13,FALSE)+VLOOKUP($A282,A:AL,19,FALSE)-50),"-",VLOOKUP($A282,'SegEnds_NonXtal_BW#'!$A:$Z,13,FALSE)+VLOOKUP($A282,A:AL,19,FALSE)-50)</f>
        <v>131</v>
      </c>
      <c r="S282" s="3">
        <v>131</v>
      </c>
      <c r="T282" s="103">
        <f>IF(ISERROR(VLOOKUP($A282,'SegEnds_NonXtal_BW#'!$A:$Z,14,FALSE)+VLOOKUP($A282,A:AL,19,FALSE)-50),"-",(VLOOKUP($A282,'SegEnds_NonXtal_BW#'!$A:$Z,14,FALSE)+VLOOKUP($A282,A:AL,19,FALSE)-50))</f>
        <v>139</v>
      </c>
      <c r="U282" s="9">
        <f>IF(ISERROR(VLOOKUP($A282,'SegEnds_NonXtal_BW#'!$A:$Z,15,FALSE)+VLOOKUP($A282,A:AL,22,FALSE)-50),"-",VLOOKUP($A282,'SegEnds_NonXtal_BW#'!$A:$Z,15,FALSE)+VLOOKUP($A282,A:AL,22,FALSE)-50)</f>
        <v>140</v>
      </c>
      <c r="V282" s="3">
        <v>152</v>
      </c>
      <c r="W282" s="3">
        <f>IF(ISERROR(VLOOKUP($A282,'SegEnds_NonXtal_BW#'!$A:$Z,16,FALSE)+VLOOKUP($A282,A:AL,22,FALSE)-50),"-",(VLOOKUP($A282,'SegEnds_NonXtal_BW#'!$A:$Z,16,FALSE)+VLOOKUP($A282,A:AL,22,FALSE)-50))</f>
        <v>166</v>
      </c>
      <c r="X282" s="3">
        <f>IF(ISERROR(VLOOKUP($A282,'SegEnds_NonXtal_BW#'!$A:$Z,17,FALSE)+VLOOKUP($A282,A:AL,25,FALSE)-50),"-",(VLOOKUP($A282,'SegEnds_NonXtal_BW#'!$A:$Z,17,FALSE)+VLOOKUP($A282,A:AL,25,FALSE)-50))</f>
        <v>177</v>
      </c>
      <c r="Y282" s="3">
        <v>177</v>
      </c>
      <c r="Z282" s="3">
        <f t="shared" si="177"/>
        <v>179</v>
      </c>
      <c r="AA282" s="3">
        <f>IF(ISERROR(VLOOKUP($A282,'SegEnds_NonXtal_BW#'!$A:$Z,19,FALSE)+VLOOKUP($A282,A:AL,28,FALSE)-50),"-",(VLOOKUP($A282,'SegEnds_NonXtal_BW#'!$A:$Z,19,FALSE)+VLOOKUP($A282,A:AL,28,FALSE)-50))</f>
        <v>186</v>
      </c>
      <c r="AB282" s="3">
        <v>204</v>
      </c>
      <c r="AC282" s="3">
        <f>IF(ISERROR((VLOOKUP($A282,'SegEnds_NonXtal_BW#'!$A:$Z,20,FALSE)+VLOOKUP($A282,A:AL,28,FALSE)-50)),"-",(VLOOKUP($A282,'SegEnds_NonXtal_BW#'!$A:$Z,20,FALSE)+VLOOKUP($A282,A:AL,28,FALSE)-50))</f>
        <v>226</v>
      </c>
      <c r="AD282" s="3">
        <f>IF(ISERROR(VLOOKUP($A282,'SegEnds_NonXtal_BW#'!$A:$Z,21,FALSE)+VLOOKUP($A282,A:AL,31,FALSE)-50),"-",(VLOOKUP($A282,'SegEnds_NonXtal_BW#'!$A:$Z,21,FALSE)+VLOOKUP($A282,A:AL,31,FALSE)-50))</f>
        <v>233</v>
      </c>
      <c r="AE282" s="3">
        <v>254</v>
      </c>
      <c r="AF282" s="3">
        <f>IF(ISERROR((VLOOKUP($A282,'SegEnds_NonXtal_BW#'!$A:$Z,22,FALSE)+VLOOKUP($A282,A:AL,31,FALSE)-50)),"-",(VLOOKUP($A282,'SegEnds_NonXtal_BW#'!$A:$Z,22,FALSE)+VLOOKUP($A282,A:AL,31,FALSE)-50))</f>
        <v>268</v>
      </c>
      <c r="AG282" s="3">
        <f>IF(ISERROR(VLOOKUP($A282,'SegEnds_NonXtal_BW#'!$A:$Z,23,FALSE)+VLOOKUP($A282,A:AL,34,FALSE)-50),"-",(VLOOKUP($A282,'SegEnds_NonXtal_BW#'!$A:$Z,23,FALSE)+VLOOKUP($A282,A:AL,34,FALSE)-50))</f>
        <v>272</v>
      </c>
      <c r="AH282" s="3">
        <v>298</v>
      </c>
      <c r="AI282" s="3">
        <f>IF(ISERROR((VLOOKUP($A282,'SegEnds_NonXtal_BW#'!$A:$Z,24,FALSE)+VLOOKUP($A282,A:AL,34,FALSE)-50)),"-",(VLOOKUP($A282,'SegEnds_NonXtal_BW#'!$A:$Z,24,FALSE)+VLOOKUP($A282,A:AL,34,FALSE)-50))</f>
        <v>304</v>
      </c>
      <c r="AJ282" s="3">
        <f>IF(ISERROR(VLOOKUP($A282,'SegEnds_NonXtal_BW#'!$A:$Z,25,FALSE)+VLOOKUP($A282,A:AL,37,FALSE)-50),"-",(VLOOKUP($A282,'SegEnds_NonXtal_BW#'!$A:$Z,25,FALSE)+VLOOKUP($A282,A:AL,37,FALSE)-50))</f>
        <v>305</v>
      </c>
      <c r="AK282" s="3">
        <v>308</v>
      </c>
      <c r="AL282" s="3">
        <f>IF(ISERROR((VLOOKUP($A282,'SegEnds_NonXtal_BW#'!$A:$Z,26,FALSE)+VLOOKUP($A282,A:AL,37,FALSE)-50)),"-",(VLOOKUP($A282,'SegEnds_NonXtal_BW#'!$A:$Z,26,FALSE)+VLOOKUP($A282,A:AL,37,FALSE)-50))</f>
        <v>317</v>
      </c>
      <c r="AM282" s="28" t="str">
        <f>VLOOKUP(A282,Classification!A:B,2,FALSE)</f>
        <v>A</v>
      </c>
      <c r="AN282" s="28" t="b">
        <f t="shared" si="173"/>
        <v>1</v>
      </c>
      <c r="AO282" s="3" t="str">
        <f>IF(ISERROR(MATCH(A282,'SegEnds_Xtal_Prot#'!B:B, 0)), "NoXtal", "Xtal")</f>
        <v>NoXtal</v>
      </c>
      <c r="AP282" s="3">
        <f t="shared" si="153"/>
        <v>1</v>
      </c>
      <c r="AQ282" s="3">
        <f t="shared" si="154"/>
        <v>1</v>
      </c>
      <c r="AR282" s="3">
        <f t="shared" si="155"/>
        <v>3</v>
      </c>
      <c r="AS282" s="3">
        <f t="shared" si="156"/>
        <v>1</v>
      </c>
      <c r="AT282" s="3">
        <f t="shared" si="157"/>
        <v>1</v>
      </c>
      <c r="AU282" s="3">
        <f t="shared" si="158"/>
        <v>1</v>
      </c>
      <c r="AV282" s="3">
        <f t="shared" si="159"/>
        <v>11</v>
      </c>
      <c r="AW282" s="3">
        <f t="shared" si="160"/>
        <v>7</v>
      </c>
      <c r="AX282" s="3">
        <f t="shared" si="161"/>
        <v>7</v>
      </c>
      <c r="AY282" s="3">
        <f t="shared" si="162"/>
        <v>4</v>
      </c>
      <c r="AZ282" s="3">
        <f t="shared" si="163"/>
        <v>1</v>
      </c>
      <c r="BA282" s="3">
        <f>IF(ISERROR(LEN(VLOOKUP(A282,Seqs!A:E,2,FALSE))-AL282),"-",LEN(VLOOKUP(A282,Seqs!A:E,2,FALSE))-AL282)</f>
        <v>11</v>
      </c>
      <c r="BB282" s="16">
        <f t="shared" si="164"/>
        <v>28</v>
      </c>
      <c r="BC282" s="9">
        <f t="shared" si="165"/>
        <v>21</v>
      </c>
      <c r="BD282" s="3">
        <f t="shared" si="166"/>
        <v>28</v>
      </c>
      <c r="BE282" s="3">
        <f t="shared" si="167"/>
        <v>50</v>
      </c>
      <c r="BF282" s="3">
        <f t="shared" si="178"/>
        <v>44</v>
      </c>
    </row>
    <row r="283" spans="1:58" s="3" customFormat="1" x14ac:dyDescent="0.2">
      <c r="A283" s="3" t="s">
        <v>174</v>
      </c>
      <c r="B283" s="3" t="str">
        <f>LOWER(VLOOKUP(A283,Xtal_Templ!A:B,2,FALSE))</f>
        <v>ccr9_human</v>
      </c>
      <c r="C283" s="3">
        <f>VLOOKUP($A283,'SegEnds_NonXtal_BW#'!$A:$Z,3,FALSE)+D283-50</f>
        <v>41</v>
      </c>
      <c r="D283" s="3">
        <v>64</v>
      </c>
      <c r="E283" s="3">
        <f>IF(ISERROR(VLOOKUP($A283,'SegEnds_NonXtal_BW#'!$A:$Z,4,FALSE)+VLOOKUP($A283,A:AL,4,FALSE)-50),"-",(VLOOKUP($A283,'SegEnds_NonXtal_BW#'!$A:$Z,4,FALSE)+VLOOKUP($A283,A:AL,4,FALSE)-50))</f>
        <v>74</v>
      </c>
      <c r="F283" s="3">
        <f t="shared" si="169"/>
        <v>75</v>
      </c>
      <c r="G283" s="3">
        <v>77</v>
      </c>
      <c r="H283" s="3">
        <f t="shared" si="170"/>
        <v>78</v>
      </c>
      <c r="I283" s="3">
        <f t="shared" si="170"/>
        <v>79</v>
      </c>
      <c r="J283" s="3">
        <v>92</v>
      </c>
      <c r="K283" s="3">
        <f>VLOOKUP($A283,'SegEnds_NonXtal_BW#'!$A:$Z,8,FALSE)+VLOOKUP($A283,A:AL,10,FALSE)-50</f>
        <v>108</v>
      </c>
      <c r="L283" s="3">
        <f t="shared" si="179"/>
        <v>110</v>
      </c>
      <c r="M283" s="3">
        <v>111</v>
      </c>
      <c r="N283" s="3">
        <f t="shared" si="180"/>
        <v>113</v>
      </c>
      <c r="O283" s="3">
        <f t="shared" si="181"/>
        <v>114</v>
      </c>
      <c r="P283" s="3">
        <v>143</v>
      </c>
      <c r="Q283" s="3">
        <f>VLOOKUP($A283,'SegEnds_NonXtal_BW#'!$A:$Z,12,FALSE)+VLOOKUP($A283,A:AL,16,FALSE)-50</f>
        <v>149</v>
      </c>
      <c r="R283" s="3">
        <f>IF(ISERROR(VLOOKUP($A283,'SegEnds_NonXtal_BW#'!$A:$Z,13,FALSE)+VLOOKUP($A283,A:AL,19,FALSE)-50),"-",VLOOKUP($A283,'SegEnds_NonXtal_BW#'!$A:$Z,13,FALSE)+VLOOKUP($A283,A:AL,19,FALSE)-50)</f>
        <v>150</v>
      </c>
      <c r="S283" s="3">
        <v>150</v>
      </c>
      <c r="T283" s="103">
        <f>IF(ISERROR(VLOOKUP($A283,'SegEnds_NonXtal_BW#'!$A:$Z,14,FALSE)+VLOOKUP($A283,A:AL,19,FALSE)-50),"-",(VLOOKUP($A283,'SegEnds_NonXtal_BW#'!$A:$Z,14,FALSE)+VLOOKUP($A283,A:AL,19,FALSE)-50))</f>
        <v>158</v>
      </c>
      <c r="U283" s="9">
        <f>IF(ISERROR(VLOOKUP($A283,'SegEnds_NonXtal_BW#'!$A:$Z,15,FALSE)+VLOOKUP($A283,A:AL,22,FALSE)-50),"-",VLOOKUP($A283,'SegEnds_NonXtal_BW#'!$A:$Z,15,FALSE)+VLOOKUP($A283,A:AL,22,FALSE)-50)</f>
        <v>160</v>
      </c>
      <c r="V283" s="3">
        <v>172</v>
      </c>
      <c r="W283" s="3">
        <f>IF(ISERROR(VLOOKUP($A283,'SegEnds_NonXtal_BW#'!$A:$Z,16,FALSE)+VLOOKUP($A283,A:AL,22,FALSE)-50),"-",(VLOOKUP($A283,'SegEnds_NonXtal_BW#'!$A:$Z,16,FALSE)+VLOOKUP($A283,A:AL,22,FALSE)-50))</f>
        <v>186</v>
      </c>
      <c r="X283" s="3">
        <f>IF(ISERROR(VLOOKUP($A283,'SegEnds_NonXtal_BW#'!$A:$Z,17,FALSE)+VLOOKUP($A283,A:AL,25,FALSE)-50),"-",(VLOOKUP($A283,'SegEnds_NonXtal_BW#'!$A:$Z,17,FALSE)+VLOOKUP($A283,A:AL,25,FALSE)-50))</f>
        <v>197</v>
      </c>
      <c r="Y283" s="3">
        <v>197</v>
      </c>
      <c r="Z283" s="3">
        <f t="shared" si="177"/>
        <v>199</v>
      </c>
      <c r="AA283" s="3">
        <f>IF(ISERROR(VLOOKUP($A283,'SegEnds_NonXtal_BW#'!$A:$Z,19,FALSE)+VLOOKUP($A283,A:AL,28,FALSE)-50),"-",(VLOOKUP($A283,'SegEnds_NonXtal_BW#'!$A:$Z,19,FALSE)+VLOOKUP($A283,A:AL,28,FALSE)-50))</f>
        <v>209</v>
      </c>
      <c r="AB283" s="3">
        <v>226</v>
      </c>
      <c r="AC283" s="3">
        <f>IF(ISERROR((VLOOKUP($A283,'SegEnds_NonXtal_BW#'!$A:$Z,20,FALSE)+VLOOKUP($A283,A:AL,28,FALSE)-50)),"-",(VLOOKUP($A283,'SegEnds_NonXtal_BW#'!$A:$Z,20,FALSE)+VLOOKUP($A283,A:AL,28,FALSE)-50))</f>
        <v>244</v>
      </c>
      <c r="AD283" s="3">
        <f>IF(ISERROR(VLOOKUP($A283,'SegEnds_NonXtal_BW#'!$A:$Z,21,FALSE)+VLOOKUP($A283,A:AL,31,FALSE)-50),"-",(VLOOKUP($A283,'SegEnds_NonXtal_BW#'!$A:$Z,21,FALSE)+VLOOKUP($A283,A:AL,31,FALSE)-50))</f>
        <v>249</v>
      </c>
      <c r="AE283" s="3">
        <v>269</v>
      </c>
      <c r="AF283" s="3">
        <f>IF(ISERROR((VLOOKUP($A283,'SegEnds_NonXtal_BW#'!$A:$Z,22,FALSE)+VLOOKUP($A283,A:AL,31,FALSE)-50)),"-",(VLOOKUP($A283,'SegEnds_NonXtal_BW#'!$A:$Z,22,FALSE)+VLOOKUP($A283,A:AL,31,FALSE)-50))</f>
        <v>284</v>
      </c>
      <c r="AG283" s="3">
        <f>IF(ISERROR(VLOOKUP($A283,'SegEnds_NonXtal_BW#'!$A:$Z,23,FALSE)+VLOOKUP($A283,A:AL,34,FALSE)-50),"-",(VLOOKUP($A283,'SegEnds_NonXtal_BW#'!$A:$Z,23,FALSE)+VLOOKUP($A283,A:AL,34,FALSE)-50))</f>
        <v>287</v>
      </c>
      <c r="AH283" s="3">
        <v>313</v>
      </c>
      <c r="AI283" s="3">
        <f>IF(ISERROR((VLOOKUP($A283,'SegEnds_NonXtal_BW#'!$A:$Z,24,FALSE)+VLOOKUP($A283,A:AL,34,FALSE)-50)),"-",(VLOOKUP($A283,'SegEnds_NonXtal_BW#'!$A:$Z,24,FALSE)+VLOOKUP($A283,A:AL,34,FALSE)-50))</f>
        <v>319</v>
      </c>
      <c r="AJ283" s="3">
        <f>IF(ISERROR(VLOOKUP($A283,'SegEnds_NonXtal_BW#'!$A:$Z,25,FALSE)+VLOOKUP($A283,A:AL,37,FALSE)-50),"-",(VLOOKUP($A283,'SegEnds_NonXtal_BW#'!$A:$Z,25,FALSE)+VLOOKUP($A283,A:AL,37,FALSE)-50))</f>
        <v>320</v>
      </c>
      <c r="AK283" s="3">
        <v>323</v>
      </c>
      <c r="AL283" s="3">
        <f>IF(ISERROR((VLOOKUP($A283,'SegEnds_NonXtal_BW#'!$A:$Z,26,FALSE)+VLOOKUP($A283,A:AL,37,FALSE)-50)),"-",(VLOOKUP($A283,'SegEnds_NonXtal_BW#'!$A:$Z,26,FALSE)+VLOOKUP($A283,A:AL,37,FALSE)-50))</f>
        <v>340</v>
      </c>
      <c r="AM283" s="28" t="str">
        <f>VLOOKUP(A283,Classification!A:B,2,FALSE)</f>
        <v>A</v>
      </c>
      <c r="AN283" s="28" t="b">
        <f t="shared" si="173"/>
        <v>1</v>
      </c>
      <c r="AO283" s="3" t="str">
        <f>IF(ISERROR(MATCH(A283,'SegEnds_Xtal_Prot#'!B:B, 0)), "NoXtal", "Xtal")</f>
        <v>NoXtal</v>
      </c>
      <c r="AP283" s="3">
        <f t="shared" si="153"/>
        <v>1</v>
      </c>
      <c r="AQ283" s="3">
        <f t="shared" si="154"/>
        <v>1</v>
      </c>
      <c r="AR283" s="3">
        <f t="shared" si="155"/>
        <v>2</v>
      </c>
      <c r="AS283" s="3">
        <f t="shared" si="156"/>
        <v>1</v>
      </c>
      <c r="AT283" s="3">
        <f t="shared" si="157"/>
        <v>1</v>
      </c>
      <c r="AU283" s="3">
        <f t="shared" si="158"/>
        <v>2</v>
      </c>
      <c r="AV283" s="3">
        <f t="shared" si="159"/>
        <v>11</v>
      </c>
      <c r="AW283" s="3">
        <f t="shared" si="160"/>
        <v>10</v>
      </c>
      <c r="AX283" s="3">
        <f t="shared" si="161"/>
        <v>5</v>
      </c>
      <c r="AY283" s="3">
        <f t="shared" si="162"/>
        <v>3</v>
      </c>
      <c r="AZ283" s="3">
        <f t="shared" si="163"/>
        <v>1</v>
      </c>
      <c r="BA283" s="3">
        <f>IF(ISERROR(LEN(VLOOKUP(A283,Seqs!A:E,2,FALSE))-AL283),"-",LEN(VLOOKUP(A283,Seqs!A:E,2,FALSE))-AL283)</f>
        <v>34</v>
      </c>
      <c r="BB283" s="16">
        <f t="shared" si="164"/>
        <v>28</v>
      </c>
      <c r="BC283" s="9">
        <f t="shared" si="165"/>
        <v>22</v>
      </c>
      <c r="BD283" s="3">
        <f t="shared" si="166"/>
        <v>28</v>
      </c>
      <c r="BE283" s="3">
        <f t="shared" si="167"/>
        <v>43</v>
      </c>
    </row>
    <row r="284" spans="1:58" s="3" customFormat="1" x14ac:dyDescent="0.2">
      <c r="A284" s="3" t="s">
        <v>175</v>
      </c>
      <c r="B284" s="3" t="str">
        <f>LOWER(VLOOKUP(A284,Xtal_Templ!A:B,2,FALSE))</f>
        <v>ccr9_human</v>
      </c>
      <c r="C284" s="3">
        <f>VLOOKUP($A284,'SegEnds_NonXtal_BW#'!$A:$Z,3,FALSE)+D284-50</f>
        <v>53</v>
      </c>
      <c r="D284" s="3">
        <v>76</v>
      </c>
      <c r="E284" s="3">
        <f>IF(ISERROR(VLOOKUP($A284,'SegEnds_NonXtal_BW#'!$A:$Z,4,FALSE)+VLOOKUP($A284,A:AL,4,FALSE)-50),"-",(VLOOKUP($A284,'SegEnds_NonXtal_BW#'!$A:$Z,4,FALSE)+VLOOKUP($A284,A:AL,4,FALSE)-50))</f>
        <v>86</v>
      </c>
      <c r="F284" s="3">
        <f t="shared" si="169"/>
        <v>87</v>
      </c>
      <c r="G284" s="3">
        <v>89</v>
      </c>
      <c r="H284" s="3">
        <f t="shared" si="170"/>
        <v>90</v>
      </c>
      <c r="I284" s="3">
        <f t="shared" si="170"/>
        <v>91</v>
      </c>
      <c r="J284" s="3">
        <v>104</v>
      </c>
      <c r="K284" s="3">
        <f>VLOOKUP($A284,'SegEnds_NonXtal_BW#'!$A:$Z,8,FALSE)+VLOOKUP($A284,A:AL,10,FALSE)-50</f>
        <v>120</v>
      </c>
      <c r="L284" s="3">
        <f t="shared" si="179"/>
        <v>121</v>
      </c>
      <c r="M284" s="3">
        <v>122</v>
      </c>
      <c r="N284" s="3">
        <f t="shared" si="180"/>
        <v>124</v>
      </c>
      <c r="O284" s="3">
        <f t="shared" si="181"/>
        <v>125</v>
      </c>
      <c r="P284" s="3">
        <v>154</v>
      </c>
      <c r="Q284" s="3">
        <f>VLOOKUP($A284,'SegEnds_NonXtal_BW#'!$A:$Z,12,FALSE)+VLOOKUP($A284,A:AL,16,FALSE)-50</f>
        <v>160</v>
      </c>
      <c r="R284" s="3">
        <f>IF(ISERROR(VLOOKUP($A284,'SegEnds_NonXtal_BW#'!$A:$Z,13,FALSE)+VLOOKUP($A284,A:AL,19,FALSE)-50),"-",VLOOKUP($A284,'SegEnds_NonXtal_BW#'!$A:$Z,13,FALSE)+VLOOKUP($A284,A:AL,19,FALSE)-50)</f>
        <v>161</v>
      </c>
      <c r="S284" s="3">
        <v>161</v>
      </c>
      <c r="T284" s="103">
        <f>IF(ISERROR(VLOOKUP($A284,'SegEnds_NonXtal_BW#'!$A:$Z,14,FALSE)+VLOOKUP($A284,A:AL,19,FALSE)-50),"-",(VLOOKUP($A284,'SegEnds_NonXtal_BW#'!$A:$Z,14,FALSE)+VLOOKUP($A284,A:AL,19,FALSE)-50))</f>
        <v>169</v>
      </c>
      <c r="U284" s="9">
        <f>IF(ISERROR(VLOOKUP($A284,'SegEnds_NonXtal_BW#'!$A:$Z,15,FALSE)+VLOOKUP($A284,A:AL,22,FALSE)-50),"-",VLOOKUP($A284,'SegEnds_NonXtal_BW#'!$A:$Z,15,FALSE)+VLOOKUP($A284,A:AL,22,FALSE)-50)</f>
        <v>171</v>
      </c>
      <c r="V284" s="3">
        <v>183</v>
      </c>
      <c r="W284" s="3">
        <f>IF(ISERROR(VLOOKUP($A284,'SegEnds_NonXtal_BW#'!$A:$Z,16,FALSE)+VLOOKUP($A284,A:AL,22,FALSE)-50),"-",(VLOOKUP($A284,'SegEnds_NonXtal_BW#'!$A:$Z,16,FALSE)+VLOOKUP($A284,A:AL,22,FALSE)-50))</f>
        <v>197</v>
      </c>
      <c r="X284" s="3">
        <f>IF(ISERROR(VLOOKUP($A284,'SegEnds_NonXtal_BW#'!$A:$Z,17,FALSE)+VLOOKUP($A284,A:AL,25,FALSE)-50),"-",(VLOOKUP($A284,'SegEnds_NonXtal_BW#'!$A:$Z,17,FALSE)+VLOOKUP($A284,A:AL,25,FALSE)-50))</f>
        <v>210</v>
      </c>
      <c r="Y284" s="3">
        <v>210</v>
      </c>
      <c r="Z284" s="3">
        <f t="shared" si="177"/>
        <v>212</v>
      </c>
      <c r="AA284" s="3">
        <f>IF(ISERROR(VLOOKUP($A284,'SegEnds_NonXtal_BW#'!$A:$Z,19,FALSE)+VLOOKUP($A284,A:AL,28,FALSE)-50),"-",(VLOOKUP($A284,'SegEnds_NonXtal_BW#'!$A:$Z,19,FALSE)+VLOOKUP($A284,A:AL,28,FALSE)-50))</f>
        <v>218</v>
      </c>
      <c r="AB284" s="3">
        <v>235</v>
      </c>
      <c r="AC284" s="3">
        <f>IF(ISERROR((VLOOKUP($A284,'SegEnds_NonXtal_BW#'!$A:$Z,20,FALSE)+VLOOKUP($A284,A:AL,28,FALSE)-50)),"-",(VLOOKUP($A284,'SegEnds_NonXtal_BW#'!$A:$Z,20,FALSE)+VLOOKUP($A284,A:AL,28,FALSE)-50))</f>
        <v>253</v>
      </c>
      <c r="AD284" s="3">
        <f>IF(ISERROR(VLOOKUP($A284,'SegEnds_NonXtal_BW#'!$A:$Z,21,FALSE)+VLOOKUP($A284,A:AL,31,FALSE)-50),"-",(VLOOKUP($A284,'SegEnds_NonXtal_BW#'!$A:$Z,21,FALSE)+VLOOKUP($A284,A:AL,31,FALSE)-50))</f>
        <v>258</v>
      </c>
      <c r="AE284" s="3">
        <v>278</v>
      </c>
      <c r="AF284" s="3">
        <f>IF(ISERROR((VLOOKUP($A284,'SegEnds_NonXtal_BW#'!$A:$Z,22,FALSE)+VLOOKUP($A284,A:AL,31,FALSE)-50)),"-",(VLOOKUP($A284,'SegEnds_NonXtal_BW#'!$A:$Z,22,FALSE)+VLOOKUP($A284,A:AL,31,FALSE)-50))</f>
        <v>293</v>
      </c>
      <c r="AG284" s="3">
        <f>IF(ISERROR(VLOOKUP($A284,'SegEnds_NonXtal_BW#'!$A:$Z,23,FALSE)+VLOOKUP($A284,A:AL,34,FALSE)-50),"-",(VLOOKUP($A284,'SegEnds_NonXtal_BW#'!$A:$Z,23,FALSE)+VLOOKUP($A284,A:AL,34,FALSE)-50))</f>
        <v>297</v>
      </c>
      <c r="AH284" s="3">
        <v>323</v>
      </c>
      <c r="AI284" s="3">
        <f>IF(ISERROR((VLOOKUP($A284,'SegEnds_NonXtal_BW#'!$A:$Z,24,FALSE)+VLOOKUP($A284,A:AL,34,FALSE)-50)),"-",(VLOOKUP($A284,'SegEnds_NonXtal_BW#'!$A:$Z,24,FALSE)+VLOOKUP($A284,A:AL,34,FALSE)-50))</f>
        <v>329</v>
      </c>
      <c r="AJ284" s="3">
        <f>IF(ISERROR(VLOOKUP($A284,'SegEnds_NonXtal_BW#'!$A:$Z,25,FALSE)+VLOOKUP($A284,A:AL,37,FALSE)-50),"-",(VLOOKUP($A284,'SegEnds_NonXtal_BW#'!$A:$Z,25,FALSE)+VLOOKUP($A284,A:AL,37,FALSE)-50))</f>
        <v>330</v>
      </c>
      <c r="AK284" s="3">
        <v>333</v>
      </c>
      <c r="AL284" s="3">
        <f>IF(ISERROR((VLOOKUP($A284,'SegEnds_NonXtal_BW#'!$A:$Z,26,FALSE)+VLOOKUP($A284,A:AL,37,FALSE)-50)),"-",(VLOOKUP($A284,'SegEnds_NonXtal_BW#'!$A:$Z,26,FALSE)+VLOOKUP($A284,A:AL,37,FALSE)-50))</f>
        <v>350</v>
      </c>
      <c r="AM284" s="28" t="str">
        <f>VLOOKUP(A284,Classification!A:B,2,FALSE)</f>
        <v>A</v>
      </c>
      <c r="AN284" s="28" t="b">
        <f t="shared" si="173"/>
        <v>1</v>
      </c>
      <c r="AO284" s="3" t="str">
        <f>IF(ISERROR(MATCH(A284,'SegEnds_Xtal_Prot#'!B:B, 0)), "NoXtal", "Xtal")</f>
        <v>NoXtal</v>
      </c>
      <c r="AP284" s="3">
        <f t="shared" si="153"/>
        <v>1</v>
      </c>
      <c r="AQ284" s="3">
        <f t="shared" si="154"/>
        <v>1</v>
      </c>
      <c r="AR284" s="3">
        <f t="shared" si="155"/>
        <v>1</v>
      </c>
      <c r="AS284" s="3">
        <f t="shared" si="156"/>
        <v>1</v>
      </c>
      <c r="AT284" s="3">
        <f t="shared" si="157"/>
        <v>1</v>
      </c>
      <c r="AU284" s="3">
        <f t="shared" si="158"/>
        <v>2</v>
      </c>
      <c r="AV284" s="3">
        <f t="shared" si="159"/>
        <v>13</v>
      </c>
      <c r="AW284" s="3">
        <f t="shared" si="160"/>
        <v>6</v>
      </c>
      <c r="AX284" s="3">
        <f t="shared" si="161"/>
        <v>5</v>
      </c>
      <c r="AY284" s="3">
        <f t="shared" si="162"/>
        <v>4</v>
      </c>
      <c r="AZ284" s="3">
        <f t="shared" si="163"/>
        <v>1</v>
      </c>
      <c r="BA284" s="3">
        <f>IF(ISERROR(LEN(VLOOKUP(A284,Seqs!A:E,2,FALSE))-AL284),"-",LEN(VLOOKUP(A284,Seqs!A:E,2,FALSE))-AL284)</f>
        <v>28</v>
      </c>
      <c r="BB284" s="16">
        <f t="shared" si="164"/>
        <v>28</v>
      </c>
      <c r="BC284" s="9">
        <f t="shared" si="165"/>
        <v>22</v>
      </c>
      <c r="BD284" s="3">
        <f t="shared" si="166"/>
        <v>28</v>
      </c>
      <c r="BE284" s="3">
        <f t="shared" si="167"/>
        <v>43</v>
      </c>
    </row>
    <row r="285" spans="1:58" s="3" customFormat="1" x14ac:dyDescent="0.2">
      <c r="A285" s="3" t="s">
        <v>189</v>
      </c>
      <c r="B285" s="3" t="str">
        <f>LOWER(VLOOKUP(A285,Xtal_Templ!A:B,2,FALSE))</f>
        <v>ccr9_human</v>
      </c>
      <c r="C285" s="3">
        <f>VLOOKUP($A285,'SegEnds_NonXtal_BW#'!$A:$Z,3,FALSE)+D285-50</f>
        <v>26</v>
      </c>
      <c r="D285" s="3">
        <v>49</v>
      </c>
      <c r="E285" s="3">
        <f>IF(ISERROR(VLOOKUP($A285,'SegEnds_NonXtal_BW#'!$A:$Z,4,FALSE)+VLOOKUP($A285,A:AL,4,FALSE)-50),"-",(VLOOKUP($A285,'SegEnds_NonXtal_BW#'!$A:$Z,4,FALSE)+VLOOKUP($A285,A:AL,4,FALSE)-50))</f>
        <v>59</v>
      </c>
      <c r="F285" s="3">
        <f t="shared" si="169"/>
        <v>60</v>
      </c>
      <c r="G285" s="3">
        <v>62</v>
      </c>
      <c r="H285" s="3">
        <f t="shared" si="170"/>
        <v>63</v>
      </c>
      <c r="I285" s="3">
        <f t="shared" si="170"/>
        <v>64</v>
      </c>
      <c r="J285" s="3">
        <v>77</v>
      </c>
      <c r="K285" s="3">
        <f>VLOOKUP($A285,'SegEnds_NonXtal_BW#'!$A:$Z,8,FALSE)+VLOOKUP($A285,A:AL,10,FALSE)-50</f>
        <v>93</v>
      </c>
      <c r="L285" s="3">
        <f t="shared" si="179"/>
        <v>94</v>
      </c>
      <c r="M285" s="3">
        <v>95</v>
      </c>
      <c r="N285" s="3">
        <f t="shared" si="180"/>
        <v>97</v>
      </c>
      <c r="O285" s="3">
        <f t="shared" si="181"/>
        <v>98</v>
      </c>
      <c r="P285" s="3">
        <v>127</v>
      </c>
      <c r="Q285" s="3">
        <f>VLOOKUP($A285,'SegEnds_NonXtal_BW#'!$A:$Z,12,FALSE)+VLOOKUP($A285,A:AL,16,FALSE)-50</f>
        <v>133</v>
      </c>
      <c r="R285" s="3">
        <f>IF(ISERROR(VLOOKUP($A285,'SegEnds_NonXtal_BW#'!$A:$Z,13,FALSE)+VLOOKUP($A285,A:AL,19,FALSE)-50),"-",VLOOKUP($A285,'SegEnds_NonXtal_BW#'!$A:$Z,13,FALSE)+VLOOKUP($A285,A:AL,19,FALSE)-50)</f>
        <v>134</v>
      </c>
      <c r="S285" s="3">
        <v>134</v>
      </c>
      <c r="T285" s="103">
        <f>IF(ISERROR(VLOOKUP($A285,'SegEnds_NonXtal_BW#'!$A:$Z,14,FALSE)+VLOOKUP($A285,A:AL,19,FALSE)-50),"-",(VLOOKUP($A285,'SegEnds_NonXtal_BW#'!$A:$Z,14,FALSE)+VLOOKUP($A285,A:AL,19,FALSE)-50))</f>
        <v>142</v>
      </c>
      <c r="U285" s="9">
        <f>IF(ISERROR(VLOOKUP($A285,'SegEnds_NonXtal_BW#'!$A:$Z,15,FALSE)+VLOOKUP($A285,A:AL,22,FALSE)-50),"-",VLOOKUP($A285,'SegEnds_NonXtal_BW#'!$A:$Z,15,FALSE)+VLOOKUP($A285,A:AL,22,FALSE)-50)</f>
        <v>144</v>
      </c>
      <c r="V285" s="3">
        <v>156</v>
      </c>
      <c r="W285" s="3">
        <f>IF(ISERROR(VLOOKUP($A285,'SegEnds_NonXtal_BW#'!$A:$Z,16,FALSE)+VLOOKUP($A285,A:AL,22,FALSE)-50),"-",(VLOOKUP($A285,'SegEnds_NonXtal_BW#'!$A:$Z,16,FALSE)+VLOOKUP($A285,A:AL,22,FALSE)-50))</f>
        <v>170</v>
      </c>
      <c r="X285" s="3">
        <f>IF(ISERROR(VLOOKUP($A285,'SegEnds_NonXtal_BW#'!$A:$Z,17,FALSE)+VLOOKUP($A285,A:AL,25,FALSE)-50),"-",(VLOOKUP($A285,'SegEnds_NonXtal_BW#'!$A:$Z,17,FALSE)+VLOOKUP($A285,A:AL,25,FALSE)-50))</f>
        <v>180</v>
      </c>
      <c r="Y285" s="3">
        <v>180</v>
      </c>
      <c r="Z285" s="3">
        <f t="shared" si="177"/>
        <v>182</v>
      </c>
      <c r="AA285" s="3">
        <f>IF(ISERROR(VLOOKUP($A285,'SegEnds_NonXtal_BW#'!$A:$Z,19,FALSE)+VLOOKUP($A285,A:AL,28,FALSE)-50),"-",(VLOOKUP($A285,'SegEnds_NonXtal_BW#'!$A:$Z,19,FALSE)+VLOOKUP($A285,A:AL,28,FALSE)-50))</f>
        <v>186</v>
      </c>
      <c r="AB285" s="3">
        <v>203</v>
      </c>
      <c r="AC285" s="3">
        <f>IF(ISERROR((VLOOKUP($A285,'SegEnds_NonXtal_BW#'!$A:$Z,20,FALSE)+VLOOKUP($A285,A:AL,28,FALSE)-50)),"-",(VLOOKUP($A285,'SegEnds_NonXtal_BW#'!$A:$Z,20,FALSE)+VLOOKUP($A285,A:AL,28,FALSE)-50))</f>
        <v>221</v>
      </c>
      <c r="AD285" s="3">
        <f>IF(ISERROR(VLOOKUP($A285,'SegEnds_NonXtal_BW#'!$A:$Z,21,FALSE)+VLOOKUP($A285,A:AL,31,FALSE)-50),"-",(VLOOKUP($A285,'SegEnds_NonXtal_BW#'!$A:$Z,21,FALSE)+VLOOKUP($A285,A:AL,31,FALSE)-50))</f>
        <v>226</v>
      </c>
      <c r="AE285" s="3">
        <v>246</v>
      </c>
      <c r="AF285" s="3">
        <f>IF(ISERROR((VLOOKUP($A285,'SegEnds_NonXtal_BW#'!$A:$Z,22,FALSE)+VLOOKUP($A285,A:AL,31,FALSE)-50)),"-",(VLOOKUP($A285,'SegEnds_NonXtal_BW#'!$A:$Z,22,FALSE)+VLOOKUP($A285,A:AL,31,FALSE)-50))</f>
        <v>257</v>
      </c>
      <c r="AG285" s="3">
        <f>IF(ISERROR(VLOOKUP($A285,'SegEnds_NonXtal_BW#'!$A:$Z,23,FALSE)+VLOOKUP($A285,A:AL,34,FALSE)-50),"-",(VLOOKUP($A285,'SegEnds_NonXtal_BW#'!$A:$Z,23,FALSE)+VLOOKUP($A285,A:AL,34,FALSE)-50))</f>
        <v>263</v>
      </c>
      <c r="AH285" s="3">
        <v>285</v>
      </c>
      <c r="AI285" s="3">
        <f>IF(ISERROR((VLOOKUP($A285,'SegEnds_NonXtal_BW#'!$A:$Z,24,FALSE)+VLOOKUP($A285,A:AL,34,FALSE)-50)),"-",(VLOOKUP($A285,'SegEnds_NonXtal_BW#'!$A:$Z,24,FALSE)+VLOOKUP($A285,A:AL,34,FALSE)-50))</f>
        <v>291</v>
      </c>
      <c r="AJ285" s="3">
        <f>IF(ISERROR(VLOOKUP($A285,'SegEnds_NonXtal_BW#'!$A:$Z,25,FALSE)+VLOOKUP($A285,A:AL,37,FALSE)-50),"-",(VLOOKUP($A285,'SegEnds_NonXtal_BW#'!$A:$Z,25,FALSE)+VLOOKUP($A285,A:AL,37,FALSE)-50))</f>
        <v>292</v>
      </c>
      <c r="AK285" s="3">
        <v>295</v>
      </c>
      <c r="AL285" s="3">
        <f>IF(ISERROR((VLOOKUP($A285,'SegEnds_NonXtal_BW#'!$A:$Z,26,FALSE)+VLOOKUP($A285,A:AL,37,FALSE)-50)),"-",(VLOOKUP($A285,'SegEnds_NonXtal_BW#'!$A:$Z,26,FALSE)+VLOOKUP($A285,A:AL,37,FALSE)-50))</f>
        <v>312</v>
      </c>
      <c r="AM285" s="28" t="str">
        <f>VLOOKUP(A285,Classification!A:B,2,FALSE)</f>
        <v>A</v>
      </c>
      <c r="AN285" s="28" t="b">
        <f t="shared" si="173"/>
        <v>1</v>
      </c>
      <c r="AO285" s="3" t="str">
        <f>IF(ISERROR(MATCH(A285,'SegEnds_Xtal_Prot#'!B:B, 0)), "NoXtal", "Xtal")</f>
        <v>NoXtal</v>
      </c>
      <c r="AP285" s="3">
        <f t="shared" si="153"/>
        <v>1</v>
      </c>
      <c r="AQ285" s="3">
        <f t="shared" si="154"/>
        <v>1</v>
      </c>
      <c r="AR285" s="3">
        <f t="shared" si="155"/>
        <v>1</v>
      </c>
      <c r="AS285" s="3">
        <f t="shared" si="156"/>
        <v>1</v>
      </c>
      <c r="AT285" s="3">
        <f t="shared" si="157"/>
        <v>1</v>
      </c>
      <c r="AU285" s="3">
        <f t="shared" si="158"/>
        <v>2</v>
      </c>
      <c r="AV285" s="3">
        <f t="shared" si="159"/>
        <v>10</v>
      </c>
      <c r="AW285" s="3">
        <f t="shared" si="160"/>
        <v>4</v>
      </c>
      <c r="AX285" s="3">
        <f t="shared" si="161"/>
        <v>5</v>
      </c>
      <c r="AY285" s="3">
        <f t="shared" si="162"/>
        <v>6</v>
      </c>
      <c r="AZ285" s="3">
        <f t="shared" si="163"/>
        <v>1</v>
      </c>
      <c r="BA285" s="3">
        <f>IF(ISERROR(LEN(VLOOKUP(A285,Seqs!A:E,2,FALSE))-AL285),"-",LEN(VLOOKUP(A285,Seqs!A:E,2,FALSE))-AL285)</f>
        <v>30</v>
      </c>
      <c r="BB285" s="16">
        <f t="shared" si="164"/>
        <v>28</v>
      </c>
      <c r="BC285" s="9">
        <f t="shared" si="165"/>
        <v>22</v>
      </c>
      <c r="BD285" s="3">
        <f t="shared" si="166"/>
        <v>28</v>
      </c>
      <c r="BE285" s="3">
        <f t="shared" si="167"/>
        <v>43</v>
      </c>
    </row>
    <row r="286" spans="1:58" s="3" customFormat="1" x14ac:dyDescent="0.2">
      <c r="A286" s="3" t="s">
        <v>192</v>
      </c>
      <c r="B286" s="3" t="str">
        <f>LOWER(VLOOKUP(A286,Xtal_Templ!A:B,2,FALSE))</f>
        <v>drd3_human</v>
      </c>
      <c r="C286" s="3">
        <f>VLOOKUP($A286,'SegEnds_NonXtal_BW#'!$A:$Z,3,FALSE)+D286-50</f>
        <v>26</v>
      </c>
      <c r="D286" s="3">
        <v>47</v>
      </c>
      <c r="E286" s="3">
        <f>IF(ISERROR(VLOOKUP($A286,'SegEnds_NonXtal_BW#'!$A:$Z,4,FALSE)+VLOOKUP($A286,A:AL,4,FALSE)-50),"-",(VLOOKUP($A286,'SegEnds_NonXtal_BW#'!$A:$Z,4,FALSE)+VLOOKUP($A286,A:AL,4,FALSE)-50))</f>
        <v>57</v>
      </c>
      <c r="F286" s="3">
        <f t="shared" si="169"/>
        <v>58</v>
      </c>
      <c r="G286" s="3">
        <v>60</v>
      </c>
      <c r="H286" s="3">
        <f t="shared" si="170"/>
        <v>61</v>
      </c>
      <c r="I286" s="3">
        <f t="shared" si="170"/>
        <v>62</v>
      </c>
      <c r="J286" s="3">
        <v>75</v>
      </c>
      <c r="K286" s="3">
        <f>VLOOKUP($A286,'SegEnds_NonXtal_BW#'!$A:$Z,8,FALSE)+VLOOKUP($A286,A:AL,10,FALSE)-50</f>
        <v>92</v>
      </c>
      <c r="L286" s="3">
        <f t="shared" si="179"/>
        <v>95</v>
      </c>
      <c r="M286" s="3">
        <v>96</v>
      </c>
      <c r="N286" s="3">
        <f t="shared" si="180"/>
        <v>98</v>
      </c>
      <c r="O286" s="3">
        <f t="shared" si="181"/>
        <v>99</v>
      </c>
      <c r="P286" s="3">
        <v>128</v>
      </c>
      <c r="Q286" s="3">
        <f>VLOOKUP($A286,'SegEnds_NonXtal_BW#'!$A:$Z,12,FALSE)+VLOOKUP($A286,A:AL,16,FALSE)-50</f>
        <v>134</v>
      </c>
      <c r="R286" s="3">
        <f>IF(ISERROR(VLOOKUP($A286,'SegEnds_NonXtal_BW#'!$A:$Z,13,FALSE)+VLOOKUP($A286,A:AL,19,FALSE)-50),"-",VLOOKUP($A286,'SegEnds_NonXtal_BW#'!$A:$Z,13,FALSE)+VLOOKUP($A286,A:AL,19,FALSE)-50)</f>
        <v>135</v>
      </c>
      <c r="S286" s="3">
        <v>135</v>
      </c>
      <c r="T286" s="103">
        <f>IF(ISERROR(VLOOKUP($A286,'SegEnds_NonXtal_BW#'!$A:$Z,14,FALSE)+VLOOKUP($A286,A:AL,19,FALSE)-50),"-",(VLOOKUP($A286,'SegEnds_NonXtal_BW#'!$A:$Z,14,FALSE)+VLOOKUP($A286,A:AL,19,FALSE)-50))</f>
        <v>143</v>
      </c>
      <c r="U286" s="9">
        <f>IF(ISERROR(VLOOKUP($A286,'SegEnds_NonXtal_BW#'!$A:$Z,15,FALSE)+VLOOKUP($A286,A:AL,22,FALSE)-50),"-",VLOOKUP($A286,'SegEnds_NonXtal_BW#'!$A:$Z,15,FALSE)+VLOOKUP($A286,A:AL,22,FALSE)-50)</f>
        <v>146</v>
      </c>
      <c r="V286" s="3">
        <v>158</v>
      </c>
      <c r="W286" s="3">
        <f>IF(ISERROR(VLOOKUP($A286,'SegEnds_NonXtal_BW#'!$A:$Z,16,FALSE)+VLOOKUP($A286,A:AL,22,FALSE)-50),"-",(VLOOKUP($A286,'SegEnds_NonXtal_BW#'!$A:$Z,16,FALSE)+VLOOKUP($A286,A:AL,22,FALSE)-50))</f>
        <v>171</v>
      </c>
      <c r="X286" s="3">
        <f>IF(ISERROR(VLOOKUP($A286,'SegEnds_NonXtal_BW#'!$A:$Z,17,FALSE)+VLOOKUP($A286,A:AL,25,FALSE)-50),"-",(VLOOKUP($A286,'SegEnds_NonXtal_BW#'!$A:$Z,17,FALSE)+VLOOKUP($A286,A:AL,25,FALSE)-50))</f>
        <v>181</v>
      </c>
      <c r="Y286" s="3">
        <v>181</v>
      </c>
      <c r="Z286" s="3">
        <f t="shared" si="177"/>
        <v>183</v>
      </c>
      <c r="AA286" s="3">
        <f>IF(ISERROR(VLOOKUP($A286,'SegEnds_NonXtal_BW#'!$A:$Z,19,FALSE)+VLOOKUP($A286,A:AL,28,FALSE)-50),"-",(VLOOKUP($A286,'SegEnds_NonXtal_BW#'!$A:$Z,19,FALSE)+VLOOKUP($A286,A:AL,28,FALSE)-50))</f>
        <v>185</v>
      </c>
      <c r="AB286" s="3">
        <v>200</v>
      </c>
      <c r="AC286" s="3">
        <f>IF(ISERROR((VLOOKUP($A286,'SegEnds_NonXtal_BW#'!$A:$Z,20,FALSE)+VLOOKUP($A286,A:AL,28,FALSE)-50)),"-",(VLOOKUP($A286,'SegEnds_NonXtal_BW#'!$A:$Z,20,FALSE)+VLOOKUP($A286,A:AL,28,FALSE)-50))</f>
        <v>226</v>
      </c>
      <c r="AD286" s="3">
        <f>IF(ISERROR(VLOOKUP($A286,'SegEnds_NonXtal_BW#'!$A:$Z,21,FALSE)+VLOOKUP($A286,A:AL,31,FALSE)-50),"-",(VLOOKUP($A286,'SegEnds_NonXtal_BW#'!$A:$Z,21,FALSE)+VLOOKUP($A286,A:AL,31,FALSE)-50))</f>
        <v>318</v>
      </c>
      <c r="AE286" s="3">
        <v>344</v>
      </c>
      <c r="AF286" s="3">
        <f>IF(ISERROR((VLOOKUP($A286,'SegEnds_NonXtal_BW#'!$A:$Z,22,FALSE)+VLOOKUP($A286,A:AL,31,FALSE)-50)),"-",(VLOOKUP($A286,'SegEnds_NonXtal_BW#'!$A:$Z,22,FALSE)+VLOOKUP($A286,A:AL,31,FALSE)-50))</f>
        <v>354</v>
      </c>
      <c r="AG286" s="3">
        <f>IF(ISERROR(VLOOKUP($A286,'SegEnds_NonXtal_BW#'!$A:$Z,23,FALSE)+VLOOKUP($A286,A:AL,34,FALSE)-50),"-",(VLOOKUP($A286,'SegEnds_NonXtal_BW#'!$A:$Z,23,FALSE)+VLOOKUP($A286,A:AL,34,FALSE)-50))</f>
        <v>361</v>
      </c>
      <c r="AH286" s="3">
        <v>380</v>
      </c>
      <c r="AI286" s="3">
        <f>IF(ISERROR((VLOOKUP($A286,'SegEnds_NonXtal_BW#'!$A:$Z,24,FALSE)+VLOOKUP($A286,A:AL,34,FALSE)-50)),"-",(VLOOKUP($A286,'SegEnds_NonXtal_BW#'!$A:$Z,24,FALSE)+VLOOKUP($A286,A:AL,34,FALSE)-50))</f>
        <v>386</v>
      </c>
      <c r="AJ286" s="3">
        <f>IF(ISERROR(VLOOKUP($A286,'SegEnds_NonXtal_BW#'!$A:$Z,25,FALSE)+VLOOKUP($A286,A:AL,37,FALSE)-50),"-",(VLOOKUP($A286,'SegEnds_NonXtal_BW#'!$A:$Z,25,FALSE)+VLOOKUP($A286,A:AL,37,FALSE)-50))</f>
        <v>387</v>
      </c>
      <c r="AK286" s="3">
        <v>390</v>
      </c>
      <c r="AL286" s="3">
        <f>IF(ISERROR((VLOOKUP($A286,'SegEnds_NonXtal_BW#'!$A:$Z,26,FALSE)+VLOOKUP($A286,A:AL,37,FALSE)-50)),"-",(VLOOKUP($A286,'SegEnds_NonXtal_BW#'!$A:$Z,26,FALSE)+VLOOKUP($A286,A:AL,37,FALSE)-50))</f>
        <v>399</v>
      </c>
      <c r="AM286" s="28" t="str">
        <f>VLOOKUP(A286,Classification!A:B,2,FALSE)</f>
        <v>A</v>
      </c>
      <c r="AN286" s="28" t="b">
        <f t="shared" si="173"/>
        <v>1</v>
      </c>
      <c r="AO286" s="3" t="str">
        <f>IF(ISERROR(MATCH(A286,'SegEnds_Xtal_Prot#'!B:B, 0)), "NoXtal", "Xtal")</f>
        <v>Xtal</v>
      </c>
      <c r="AP286" s="3">
        <f t="shared" si="153"/>
        <v>1</v>
      </c>
      <c r="AQ286" s="3">
        <f t="shared" si="154"/>
        <v>1</v>
      </c>
      <c r="AR286" s="3">
        <f t="shared" si="155"/>
        <v>3</v>
      </c>
      <c r="AS286" s="3">
        <f t="shared" si="156"/>
        <v>1</v>
      </c>
      <c r="AT286" s="3">
        <f t="shared" si="157"/>
        <v>1</v>
      </c>
      <c r="AU286" s="3">
        <f t="shared" si="158"/>
        <v>3</v>
      </c>
      <c r="AV286" s="3">
        <f t="shared" si="159"/>
        <v>10</v>
      </c>
      <c r="AW286" s="3">
        <f t="shared" si="160"/>
        <v>2</v>
      </c>
      <c r="AX286" s="3">
        <f t="shared" si="161"/>
        <v>92</v>
      </c>
      <c r="AY286" s="3">
        <f t="shared" si="162"/>
        <v>7</v>
      </c>
      <c r="AZ286" s="3">
        <f t="shared" si="163"/>
        <v>1</v>
      </c>
      <c r="BA286" s="3">
        <f>IF(ISERROR(LEN(VLOOKUP(A286,Seqs!A:E,2,FALSE))-AL286),"-",LEN(VLOOKUP(A286,Seqs!A:E,2,FALSE))-AL286)</f>
        <v>1</v>
      </c>
      <c r="BB286" s="16">
        <f t="shared" si="164"/>
        <v>28</v>
      </c>
      <c r="BC286" s="9">
        <f t="shared" si="165"/>
        <v>23</v>
      </c>
      <c r="BD286" s="3">
        <f t="shared" si="166"/>
        <v>28</v>
      </c>
      <c r="BE286" s="3">
        <f t="shared" si="167"/>
        <v>144</v>
      </c>
      <c r="BF286" s="3">
        <f>AH286-AE286</f>
        <v>36</v>
      </c>
    </row>
    <row r="287" spans="1:58" s="3" customFormat="1" x14ac:dyDescent="0.2">
      <c r="A287" s="3" t="s">
        <v>142</v>
      </c>
      <c r="B287" s="3" t="str">
        <f>LOWER(VLOOKUP(A287,Xtal_Templ!A:B,2,FALSE))</f>
        <v>ccr9_human</v>
      </c>
      <c r="C287" s="3">
        <f>VLOOKUP($A287,'SegEnds_NonXtal_BW#'!$A:$Z,3,FALSE)+D287-50</f>
        <v>53</v>
      </c>
      <c r="D287" s="3">
        <v>76</v>
      </c>
      <c r="E287" s="3">
        <f>IF(ISERROR(VLOOKUP($A287,'SegEnds_NonXtal_BW#'!$A:$Z,4,FALSE)+VLOOKUP($A287,A:AL,4,FALSE)-50),"-",(VLOOKUP($A287,'SegEnds_NonXtal_BW#'!$A:$Z,4,FALSE)+VLOOKUP($A287,A:AL,4,FALSE)-50))</f>
        <v>86</v>
      </c>
      <c r="F287" s="3" t="str">
        <f>IF(ISERROR(VLOOKUP($A287,'SegEnds_NonXtal_BW#'!$A:$Z,5,FALSE)+VLOOKUP($A287,A:AL,7,FALSE)-50),"-",(VLOOKUP($A287,'SegEnds_NonXtal_BW#'!$A:$Z,5,FALSE)+VLOOKUP($A287,A:AL,7,FALSE)-50))</f>
        <v>-</v>
      </c>
      <c r="G287" s="3" t="s">
        <v>23</v>
      </c>
      <c r="H287" s="3" t="str">
        <f>IF(ISERROR(VLOOKUP($A287,'SegEnds_NonXtal_BW#'!$A:$Z,6,FALSE)+VLOOKUP($A287,A:AL,7,FALSE)-50),"-",(VLOOKUP($A287,'SegEnds_NonXtal_BW#'!$A:$Z,6,FALSE)+VLOOKUP($A287,A:AL,7,FALSE)-50))</f>
        <v>-</v>
      </c>
      <c r="I287" s="3">
        <f>VLOOKUP($A287,'SegEnds_NonXtal_BW#'!$A:$Z,7,FALSE)+J287-50</f>
        <v>93</v>
      </c>
      <c r="J287" s="3">
        <v>106</v>
      </c>
      <c r="K287" s="3">
        <f>VLOOKUP($A287,'SegEnds_NonXtal_BW#'!$A:$Z,8,FALSE)+VLOOKUP($A287,A:AL,10,FALSE)-50</f>
        <v>122</v>
      </c>
      <c r="L287" s="3" t="str">
        <f>IF(ISERROR(VLOOKUP($A287,'SegEnds_NonXtal_BW#'!$A:$Z,9,FALSE)+VLOOKUP($A287,A:AL,13,FALSE)-50),"-",(VLOOKUP($A287,'SegEnds_NonXtal_BW#'!$A:$Z,9,FALSE)+VLOOKUP($A287,A:AL,13,FALSE)-50))</f>
        <v>-</v>
      </c>
      <c r="M287" s="3" t="s">
        <v>23</v>
      </c>
      <c r="N287" s="3" t="str">
        <f>IF(ISERROR(VLOOKUP($A287,'SegEnds_NonXtal_BW#'!$A:$Z,10,FALSE)+VLOOKUP($A287,A:AL,13,FALSE)-50),"-",(VLOOKUP($A287,'SegEnds_NonXtal_BW#'!$A:$Z,10,FALSE)+VLOOKUP($A287,A:AL,13,FALSE)-50))</f>
        <v>-</v>
      </c>
      <c r="O287" s="3">
        <f>VLOOKUP($A287,'SegEnds_NonXtal_BW#'!$A:$Z,11,FALSE)+VLOOKUP($A287,A:AL,16,FALSE)-50</f>
        <v>128</v>
      </c>
      <c r="P287" s="3">
        <v>154</v>
      </c>
      <c r="Q287" s="3">
        <f>VLOOKUP($A287,'SegEnds_NonXtal_BW#'!$A:$Z,12,FALSE)+VLOOKUP($A287,A:AL,16,FALSE)-50</f>
        <v>160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3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162</v>
      </c>
      <c r="V287" s="3">
        <v>174</v>
      </c>
      <c r="W287" s="3">
        <f>IF(ISERROR(VLOOKUP($A287,'SegEnds_NonXtal_BW#'!$A:$Z,16,FALSE)+VLOOKUP($A287,A:AL,22,FALSE)-50),"-",(VLOOKUP($A287,'SegEnds_NonXtal_BW#'!$A:$Z,16,FALSE)+VLOOKUP($A287,A:AL,22,FALSE)-50))</f>
        <v>188</v>
      </c>
      <c r="X287" s="3">
        <f>IF(ISERROR(VLOOKUP($A287,'SegEnds_NonXtal_BW#'!$A:$Z,17,FALSE)+VLOOKUP($A287,A:AL,25,FALSE)-50),"-",(VLOOKUP($A287,'SegEnds_NonXtal_BW#'!$A:$Z,17,FALSE)+VLOOKUP($A287,A:AL,25,FALSE)-50))</f>
        <v>195</v>
      </c>
      <c r="Y287" s="3">
        <v>195</v>
      </c>
      <c r="Z287" s="3">
        <f t="shared" si="177"/>
        <v>197</v>
      </c>
      <c r="AA287" s="3">
        <f>IF(ISERROR(VLOOKUP($A287,'SegEnds_NonXtal_BW#'!$A:$Z,19,FALSE)+VLOOKUP($A287,A:AL,28,FALSE)-50),"-",(VLOOKUP($A287,'SegEnds_NonXtal_BW#'!$A:$Z,19,FALSE)+VLOOKUP($A287,A:AL,28,FALSE)-50))</f>
        <v>201</v>
      </c>
      <c r="AB287" s="3">
        <v>218</v>
      </c>
      <c r="AC287" s="3">
        <f>IF(ISERROR((VLOOKUP($A287,'SegEnds_NonXtal_BW#'!$A:$Z,20,FALSE)+VLOOKUP($A287,A:AL,28,FALSE)-50)),"-",(VLOOKUP($A287,'SegEnds_NonXtal_BW#'!$A:$Z,20,FALSE)+VLOOKUP($A287,A:AL,28,FALSE)-50))</f>
        <v>232</v>
      </c>
      <c r="AD287" s="3">
        <f>IF(ISERROR(VLOOKUP($A287,'SegEnds_NonXtal_BW#'!$A:$Z,21,FALSE)+VLOOKUP($A287,A:AL,31,FALSE)-50),"-",(VLOOKUP($A287,'SegEnds_NonXtal_BW#'!$A:$Z,21,FALSE)+VLOOKUP($A287,A:AL,31,FALSE)-50))</f>
        <v>239</v>
      </c>
      <c r="AE287" s="3">
        <v>255</v>
      </c>
      <c r="AF287" s="3">
        <f>IF(ISERROR((VLOOKUP($A287,'SegEnds_NonXtal_BW#'!$A:$Z,22,FALSE)+VLOOKUP($A287,A:AL,31,FALSE)-50)),"-",(VLOOKUP($A287,'SegEnds_NonXtal_BW#'!$A:$Z,22,FALSE)+VLOOKUP($A287,A:AL,31,FALSE)-50))</f>
        <v>269</v>
      </c>
      <c r="AG287" s="3">
        <f>IF(ISERROR(VLOOKUP($A287,'SegEnds_NonXtal_BW#'!$A:$Z,23,FALSE)+VLOOKUP($A287,A:AL,34,FALSE)-50),"-",(VLOOKUP($A287,'SegEnds_NonXtal_BW#'!$A:$Z,23,FALSE)+VLOOKUP($A287,A:AL,34,FALSE)-50))</f>
        <v>275</v>
      </c>
      <c r="AH287" s="3">
        <v>301</v>
      </c>
      <c r="AI287" s="3">
        <f>IF(ISERROR((VLOOKUP($A287,'SegEnds_NonXtal_BW#'!$A:$Z,24,FALSE)+VLOOKUP($A287,A:AL,34,FALSE)-50)),"-",(VLOOKUP($A287,'SegEnds_NonXtal_BW#'!$A:$Z,24,FALSE)+VLOOKUP($A287,A:AL,34,FALSE)-50))</f>
        <v>307</v>
      </c>
      <c r="AJ287" s="3">
        <f>IF(ISERROR(VLOOKUP($A287,'SegEnds_NonXtal_BW#'!$A:$Z,25,FALSE)+VLOOKUP($A287,A:AL,37,FALSE)-50),"-",(VLOOKUP($A287,'SegEnds_NonXtal_BW#'!$A:$Z,25,FALSE)+VLOOKUP($A287,A:AL,37,FALSE)-50))</f>
        <v>308</v>
      </c>
      <c r="AK287" s="3">
        <v>311</v>
      </c>
      <c r="AL287" s="3">
        <f>IF(ISERROR((VLOOKUP($A287,'SegEnds_NonXtal_BW#'!$A:$Z,26,FALSE)+VLOOKUP($A287,A:AL,37,FALSE)-50)),"-",(VLOOKUP($A287,'SegEnds_NonXtal_BW#'!$A:$Z,26,FALSE)+VLOOKUP($A287,A:AL,37,FALSE)-50))</f>
        <v>328</v>
      </c>
      <c r="AM287" s="28" t="str">
        <f>VLOOKUP(A287,Classification!A:B,2,FALSE)</f>
        <v>A</v>
      </c>
      <c r="AN287" s="28" t="b">
        <f t="shared" si="173"/>
        <v>1</v>
      </c>
      <c r="AO287" s="3" t="str">
        <f>IF(ISERROR(MATCH(A287,'SegEnds_Xtal_Prot#'!B:B, 0)), "NoXtal", "Xtal")</f>
        <v>NoXtal</v>
      </c>
      <c r="AP287" s="3" t="str">
        <f t="shared" si="153"/>
        <v>-</v>
      </c>
      <c r="AQ287" s="3" t="str">
        <f t="shared" si="154"/>
        <v>-</v>
      </c>
      <c r="AR287" s="3" t="str">
        <f t="shared" si="155"/>
        <v>-</v>
      </c>
      <c r="AS287" s="3" t="str">
        <f t="shared" si="156"/>
        <v>-</v>
      </c>
      <c r="AT287" s="3" t="str">
        <f t="shared" si="157"/>
        <v>-</v>
      </c>
      <c r="AU287" s="3" t="str">
        <f t="shared" si="158"/>
        <v>-</v>
      </c>
      <c r="AV287" s="3">
        <f t="shared" si="159"/>
        <v>7</v>
      </c>
      <c r="AW287" s="3">
        <f t="shared" si="160"/>
        <v>4</v>
      </c>
      <c r="AX287" s="3">
        <f t="shared" si="161"/>
        <v>7</v>
      </c>
      <c r="AY287" s="3">
        <f t="shared" si="162"/>
        <v>6</v>
      </c>
      <c r="AZ287" s="3">
        <f t="shared" si="163"/>
        <v>1</v>
      </c>
      <c r="BA287" s="3">
        <f>IF(ISERROR(LEN(VLOOKUP(A287,Seqs!A:E,2,FALSE))-AL287),"-",LEN(VLOOKUP(A287,Seqs!A:E,2,FALSE))-AL287)</f>
        <v>8</v>
      </c>
      <c r="BB287" s="16">
        <f t="shared" si="164"/>
        <v>30</v>
      </c>
      <c r="BC287" s="9" t="str">
        <f t="shared" si="165"/>
        <v>-</v>
      </c>
      <c r="BD287" s="3">
        <f t="shared" si="166"/>
        <v>30</v>
      </c>
      <c r="BE287" s="3">
        <f t="shared" si="167"/>
        <v>37</v>
      </c>
      <c r="BF287" s="3">
        <f>AH287-AE287</f>
        <v>46</v>
      </c>
    </row>
    <row r="288" spans="1:58" s="3" customFormat="1" x14ac:dyDescent="0.2">
      <c r="A288" s="3" t="s">
        <v>144</v>
      </c>
      <c r="B288" s="3" t="str">
        <f>LOWER(VLOOKUP(A288,Xtal_Templ!A:B,2,FALSE))</f>
        <v>agtr1_human</v>
      </c>
      <c r="C288" s="3">
        <f>VLOOKUP($A288,'SegEnds_NonXtal_BW#'!$A:$Z,3,FALSE)+D288-50</f>
        <v>42</v>
      </c>
      <c r="D288" s="3">
        <v>62</v>
      </c>
      <c r="E288" s="3">
        <f>IF(ISERROR(VLOOKUP($A288,'SegEnds_NonXtal_BW#'!$A:$Z,4,FALSE)+VLOOKUP($A288,A:AL,4,FALSE)-50),"-",(VLOOKUP($A288,'SegEnds_NonXtal_BW#'!$A:$Z,4,FALSE)+VLOOKUP($A288,A:AL,4,FALSE)-50))</f>
        <v>72</v>
      </c>
      <c r="F288" s="3">
        <f>G288-2</f>
        <v>73</v>
      </c>
      <c r="G288" s="3">
        <v>75</v>
      </c>
      <c r="H288" s="3">
        <f>G288+1</f>
        <v>76</v>
      </c>
      <c r="I288" s="3">
        <f>H288+1</f>
        <v>77</v>
      </c>
      <c r="J288" s="3">
        <v>90</v>
      </c>
      <c r="K288" s="3">
        <f>VLOOKUP($A288,'SegEnds_NonXtal_BW#'!$A:$Z,8,FALSE)+VLOOKUP($A288,A:AL,10,FALSE)-50</f>
        <v>106</v>
      </c>
      <c r="L288" s="3">
        <f>IF(ISERROR(VLOOKUP($A288,'SegEnds_NonXtal_BW#'!$A:$Z,9,FALSE)+VLOOKUP($A288,A:AL,13,FALSE)-50),"-",(VLOOKUP($A288,'SegEnds_NonXtal_BW#'!$A:$Z,9,FALSE)+VLOOKUP($A288,A:AL,13,FALSE)-50))</f>
        <v>109</v>
      </c>
      <c r="M288" s="3">
        <v>110</v>
      </c>
      <c r="N288" s="3">
        <f>IF(ISERROR(VLOOKUP($A288,'SegEnds_NonXtal_BW#'!$A:$Z,10,FALSE)+VLOOKUP($A288,A:AL,13,FALSE)-50),"-",(VLOOKUP($A288,'SegEnds_NonXtal_BW#'!$A:$Z,10,FALSE)+VLOOKUP($A288,A:AL,13,FALSE)-50))</f>
        <v>112</v>
      </c>
      <c r="O288" s="3">
        <f>VLOOKUP($A288,'SegEnds_NonXtal_BW#'!$A:$Z,11,FALSE)+VLOOKUP($A288,A:AL,16,FALSE)-50</f>
        <v>113</v>
      </c>
      <c r="P288" s="3">
        <v>142</v>
      </c>
      <c r="Q288" s="3">
        <f>VLOOKUP($A288,'SegEnds_NonXtal_BW#'!$A:$Z,12,FALSE)+VLOOKUP($A288,A:AL,16,FALSE)-50</f>
        <v>148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3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157</v>
      </c>
      <c r="V288" s="3">
        <v>169</v>
      </c>
      <c r="W288" s="3">
        <f>IF(ISERROR(VLOOKUP($A288,'SegEnds_NonXtal_BW#'!$A:$Z,16,FALSE)+VLOOKUP($A288,A:AL,22,FALSE)-50),"-",(VLOOKUP($A288,'SegEnds_NonXtal_BW#'!$A:$Z,16,FALSE)+VLOOKUP($A288,A:AL,22,FALSE)-50))</f>
        <v>183</v>
      </c>
      <c r="X288" s="3">
        <f>IF(ISERROR(VLOOKUP($A288,'SegEnds_NonXtal_BW#'!$A:$Z,17,FALSE)+VLOOKUP($A288,A:AL,25,FALSE)-50),"-",(VLOOKUP($A288,'SegEnds_NonXtal_BW#'!$A:$Z,17,FALSE)+VLOOKUP($A288,A:AL,25,FALSE)-50))</f>
        <v>196</v>
      </c>
      <c r="Y288" s="3">
        <v>196</v>
      </c>
      <c r="Z288" s="3">
        <f t="shared" si="177"/>
        <v>198</v>
      </c>
      <c r="AA288" s="3">
        <f>IF(ISERROR(VLOOKUP($A288,'SegEnds_NonXtal_BW#'!$A:$Z,19,FALSE)+VLOOKUP($A288,A:AL,28,FALSE)-50),"-",(VLOOKUP($A288,'SegEnds_NonXtal_BW#'!$A:$Z,19,FALSE)+VLOOKUP($A288,A:AL,28,FALSE)-50))</f>
        <v>208</v>
      </c>
      <c r="AB288" s="3">
        <v>224</v>
      </c>
      <c r="AC288" s="3">
        <f>IF(ISERROR((VLOOKUP($A288,'SegEnds_NonXtal_BW#'!$A:$Z,20,FALSE)+VLOOKUP($A288,A:AL,28,FALSE)-50)),"-",(VLOOKUP($A288,'SegEnds_NonXtal_BW#'!$A:$Z,20,FALSE)+VLOOKUP($A288,A:AL,28,FALSE)-50))</f>
        <v>242</v>
      </c>
      <c r="AD288" s="3">
        <f>IF(ISERROR(VLOOKUP($A288,'SegEnds_NonXtal_BW#'!$A:$Z,21,FALSE)+VLOOKUP($A288,A:AL,31,FALSE)-50),"-",(VLOOKUP($A288,'SegEnds_NonXtal_BW#'!$A:$Z,21,FALSE)+VLOOKUP($A288,A:AL,31,FALSE)-50))</f>
        <v>247</v>
      </c>
      <c r="AE288" s="3">
        <v>267</v>
      </c>
      <c r="AF288" s="3">
        <f>IF(ISERROR((VLOOKUP($A288,'SegEnds_NonXtal_BW#'!$A:$Z,22,FALSE)+VLOOKUP($A288,A:AL,31,FALSE)-50)),"-",(VLOOKUP($A288,'SegEnds_NonXtal_BW#'!$A:$Z,22,FALSE)+VLOOKUP($A288,A:AL,31,FALSE)-50))</f>
        <v>281</v>
      </c>
      <c r="AG288" s="3">
        <f>IF(ISERROR(VLOOKUP($A288,'SegEnds_NonXtal_BW#'!$A:$Z,23,FALSE)+VLOOKUP($A288,A:AL,34,FALSE)-50),"-",(VLOOKUP($A288,'SegEnds_NonXtal_BW#'!$A:$Z,23,FALSE)+VLOOKUP($A288,A:AL,34,FALSE)-50))</f>
        <v>286</v>
      </c>
      <c r="AH288" s="3">
        <v>312</v>
      </c>
      <c r="AI288" s="3">
        <f>IF(ISERROR((VLOOKUP($A288,'SegEnds_NonXtal_BW#'!$A:$Z,24,FALSE)+VLOOKUP($A288,A:AL,34,FALSE)-50)),"-",(VLOOKUP($A288,'SegEnds_NonXtal_BW#'!$A:$Z,24,FALSE)+VLOOKUP($A288,A:AL,34,FALSE)-50))</f>
        <v>318</v>
      </c>
      <c r="AJ288" s="3">
        <f>IF(ISERROR(VLOOKUP($A288,'SegEnds_NonXtal_BW#'!$A:$Z,25,FALSE)+VLOOKUP($A288,A:AL,37,FALSE)-50),"-",(VLOOKUP($A288,'SegEnds_NonXtal_BW#'!$A:$Z,25,FALSE)+VLOOKUP($A288,A:AL,37,FALSE)-50))</f>
        <v>319</v>
      </c>
      <c r="AK288" s="3">
        <v>322</v>
      </c>
      <c r="AL288" s="3">
        <f>IF(ISERROR((VLOOKUP($A288,'SegEnds_NonXtal_BW#'!$A:$Z,26,FALSE)+VLOOKUP($A288,A:AL,37,FALSE)-50)),"-",(VLOOKUP($A288,'SegEnds_NonXtal_BW#'!$A:$Z,26,FALSE)+VLOOKUP($A288,A:AL,37,FALSE)-50))</f>
        <v>333</v>
      </c>
      <c r="AM288" s="28" t="str">
        <f>VLOOKUP(A288,Classification!A:B,2,FALSE)</f>
        <v>A</v>
      </c>
      <c r="AN288" s="28" t="b">
        <f t="shared" si="173"/>
        <v>1</v>
      </c>
      <c r="AO288" s="3" t="str">
        <f>IF(ISERROR(MATCH(A288,'SegEnds_Xtal_Prot#'!B:B, 0)), "NoXtal", "Xtal")</f>
        <v>NoXtal</v>
      </c>
      <c r="AP288" s="3">
        <f t="shared" si="153"/>
        <v>1</v>
      </c>
      <c r="AQ288" s="3">
        <f t="shared" si="154"/>
        <v>1</v>
      </c>
      <c r="AR288" s="3">
        <f t="shared" si="155"/>
        <v>3</v>
      </c>
      <c r="AS288" s="3">
        <f t="shared" si="156"/>
        <v>1</v>
      </c>
      <c r="AT288" s="3" t="str">
        <f t="shared" si="157"/>
        <v>-</v>
      </c>
      <c r="AU288" s="3" t="str">
        <f t="shared" si="158"/>
        <v>-</v>
      </c>
      <c r="AV288" s="3">
        <f t="shared" si="159"/>
        <v>13</v>
      </c>
      <c r="AW288" s="3">
        <f t="shared" si="160"/>
        <v>10</v>
      </c>
      <c r="AX288" s="3">
        <f t="shared" si="161"/>
        <v>5</v>
      </c>
      <c r="AY288" s="3">
        <f t="shared" si="162"/>
        <v>5</v>
      </c>
      <c r="AZ288" s="3">
        <f t="shared" si="163"/>
        <v>1</v>
      </c>
      <c r="BA288" s="3">
        <f>IF(ISERROR(LEN(VLOOKUP(A288,Seqs!A:E,2,FALSE))-AL288),"-",LEN(VLOOKUP(A288,Seqs!A:E,2,FALSE))-AL288)</f>
        <v>29</v>
      </c>
      <c r="BB288" s="16">
        <f t="shared" si="164"/>
        <v>28</v>
      </c>
      <c r="BC288" s="9" t="str">
        <f t="shared" si="165"/>
        <v>-</v>
      </c>
      <c r="BD288" s="3">
        <f t="shared" si="166"/>
        <v>28</v>
      </c>
      <c r="BE288" s="3">
        <f t="shared" si="167"/>
        <v>43</v>
      </c>
      <c r="BF288" s="3">
        <f>AH288-AE288</f>
        <v>45</v>
      </c>
    </row>
    <row r="289" spans="1:59" s="3" customFormat="1" x14ac:dyDescent="0.2">
      <c r="A289" s="3" t="s">
        <v>145</v>
      </c>
      <c r="B289" s="3" t="str">
        <f>LOWER(VLOOKUP(A289,Xtal_Templ!A:B,2,FALSE))</f>
        <v>ccr9_human</v>
      </c>
      <c r="C289" s="3">
        <f>VLOOKUP($A289,'SegEnds_NonXtal_BW#'!$A:$Z,3,FALSE)+D289-50</f>
        <v>36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>G289-2</f>
        <v>70</v>
      </c>
      <c r="G289" s="3">
        <v>72</v>
      </c>
      <c r="H289" s="3">
        <f>G289+1</f>
        <v>73</v>
      </c>
      <c r="I289" s="3">
        <f>H289+1</f>
        <v>74</v>
      </c>
      <c r="J289" s="3">
        <v>87</v>
      </c>
      <c r="K289" s="3">
        <f>VLOOKUP($A289,'SegEnds_NonXtal_BW#'!$A:$Z,8,FALSE)+VLOOKUP($A289,A:AL,10,FALSE)-50</f>
        <v>103</v>
      </c>
      <c r="L289" s="3">
        <f>IF(ISERROR(VLOOKUP($A289,'SegEnds_NonXtal_BW#'!$A:$Z,9,FALSE)+VLOOKUP($A289,A:AL,13,FALSE)-50),"-",(VLOOKUP($A289,'SegEnds_NonXtal_BW#'!$A:$Z,9,FALSE)+VLOOKUP($A289,A:AL,13,FALSE)-50))</f>
        <v>104</v>
      </c>
      <c r="M289" s="3">
        <v>105</v>
      </c>
      <c r="N289" s="3">
        <f>IF(ISERROR(VLOOKUP($A289,'SegEnds_NonXtal_BW#'!$A:$Z,10,FALSE)+VLOOKUP($A289,A:AL,13,FALSE)-50),"-",(VLOOKUP($A289,'SegEnds_NonXtal_BW#'!$A:$Z,10,FALSE)+VLOOKUP($A289,A:AL,13,FALSE)-50))</f>
        <v>107</v>
      </c>
      <c r="O289" s="3">
        <f>VLOOKUP($A289,'SegEnds_NonXtal_BW#'!$A:$Z,11,FALSE)+VLOOKUP($A289,A:AL,16,FALSE)-50</f>
        <v>108</v>
      </c>
      <c r="P289" s="3">
        <v>137</v>
      </c>
      <c r="Q289" s="3">
        <f>VLOOKUP($A289,'SegEnds_NonXtal_BW#'!$A:$Z,12,FALSE)+VLOOKUP($A289,A:AL,16,FALSE)-50</f>
        <v>143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3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150</v>
      </c>
      <c r="V289" s="3">
        <v>162</v>
      </c>
      <c r="W289" s="3">
        <f>IF(ISERROR(VLOOKUP($A289,'SegEnds_NonXtal_BW#'!$A:$Z,16,FALSE)+VLOOKUP($A289,A:AL,22,FALSE)-50),"-",(VLOOKUP($A289,'SegEnds_NonXtal_BW#'!$A:$Z,16,FALSE)+VLOOKUP($A289,A:AL,22,FALSE)-50))</f>
        <v>176</v>
      </c>
      <c r="X289" s="3">
        <f>IF(ISERROR(VLOOKUP($A289,'SegEnds_NonXtal_BW#'!$A:$Z,17,FALSE)+VLOOKUP($A289,A:AL,25,FALSE)-50),"-",(VLOOKUP($A289,'SegEnds_NonXtal_BW#'!$A:$Z,17,FALSE)+VLOOKUP($A289,A:AL,25,FALSE)-50))</f>
        <v>184</v>
      </c>
      <c r="Y289" s="3">
        <v>184</v>
      </c>
      <c r="Z289" s="3">
        <f t="shared" si="177"/>
        <v>186</v>
      </c>
      <c r="AA289" s="3">
        <f>IF(ISERROR(VLOOKUP($A289,'SegEnds_NonXtal_BW#'!$A:$Z,19,FALSE)+VLOOKUP($A289,A:AL,28,FALSE)-50),"-",(VLOOKUP($A289,'SegEnds_NonXtal_BW#'!$A:$Z,19,FALSE)+VLOOKUP($A289,A:AL,28,FALSE)-50))</f>
        <v>195</v>
      </c>
      <c r="AB289" s="3">
        <v>212</v>
      </c>
      <c r="AC289" s="3">
        <f>IF(ISERROR((VLOOKUP($A289,'SegEnds_NonXtal_BW#'!$A:$Z,20,FALSE)+VLOOKUP($A289,A:AL,28,FALSE)-50)),"-",(VLOOKUP($A289,'SegEnds_NonXtal_BW#'!$A:$Z,20,FALSE)+VLOOKUP($A289,A:AL,28,FALSE)-50))</f>
        <v>230</v>
      </c>
      <c r="AD289" s="3">
        <f>IF(ISERROR(VLOOKUP($A289,'SegEnds_NonXtal_BW#'!$A:$Z,21,FALSE)+VLOOKUP($A289,A:AL,31,FALSE)-50),"-",(VLOOKUP($A289,'SegEnds_NonXtal_BW#'!$A:$Z,21,FALSE)+VLOOKUP($A289,A:AL,31,FALSE)-50))</f>
        <v>235</v>
      </c>
      <c r="AE289" s="3">
        <v>255</v>
      </c>
      <c r="AF289" s="3">
        <f>IF(ISERROR((VLOOKUP($A289,'SegEnds_NonXtal_BW#'!$A:$Z,22,FALSE)+VLOOKUP($A289,A:AL,31,FALSE)-50)),"-",(VLOOKUP($A289,'SegEnds_NonXtal_BW#'!$A:$Z,22,FALSE)+VLOOKUP($A289,A:AL,31,FALSE)-50))</f>
        <v>269</v>
      </c>
      <c r="AG289" s="3">
        <f>IF(ISERROR(VLOOKUP($A289,'SegEnds_NonXtal_BW#'!$A:$Z,23,FALSE)+VLOOKUP($A289,A:AL,34,FALSE)-50),"-",(VLOOKUP($A289,'SegEnds_NonXtal_BW#'!$A:$Z,23,FALSE)+VLOOKUP($A289,A:AL,34,FALSE)-50))</f>
        <v>274</v>
      </c>
      <c r="AH289" s="3">
        <v>300</v>
      </c>
      <c r="AI289" s="3">
        <f>IF(ISERROR((VLOOKUP($A289,'SegEnds_NonXtal_BW#'!$A:$Z,24,FALSE)+VLOOKUP($A289,A:AL,34,FALSE)-50)),"-",(VLOOKUP($A289,'SegEnds_NonXtal_BW#'!$A:$Z,24,FALSE)+VLOOKUP($A289,A:AL,34,FALSE)-50))</f>
        <v>306</v>
      </c>
      <c r="AJ289" s="3">
        <f>IF(ISERROR(VLOOKUP($A289,'SegEnds_NonXtal_BW#'!$A:$Z,25,FALSE)+VLOOKUP($A289,A:AL,37,FALSE)-50),"-",(VLOOKUP($A289,'SegEnds_NonXtal_BW#'!$A:$Z,25,FALSE)+VLOOKUP($A289,A:AL,37,FALSE)-50))</f>
        <v>307</v>
      </c>
      <c r="AK289" s="3">
        <v>310</v>
      </c>
      <c r="AL289" s="3">
        <f>IF(ISERROR((VLOOKUP($A289,'SegEnds_NonXtal_BW#'!$A:$Z,26,FALSE)+VLOOKUP($A289,A:AL,37,FALSE)-50)),"-",(VLOOKUP($A289,'SegEnds_NonXtal_BW#'!$A:$Z,26,FALSE)+VLOOKUP($A289,A:AL,37,FALSE)-50))</f>
        <v>327</v>
      </c>
      <c r="AM289" s="28" t="str">
        <f>VLOOKUP(A289,Classification!A:B,2,FALSE)</f>
        <v>A</v>
      </c>
      <c r="AN289" s="28" t="b">
        <f t="shared" si="173"/>
        <v>1</v>
      </c>
      <c r="AO289" s="3" t="str">
        <f>IF(ISERROR(MATCH(A289,'SegEnds_Xtal_Prot#'!B:B, 0)), "NoXtal", "Xtal")</f>
        <v>NoXtal</v>
      </c>
      <c r="AP289" s="3">
        <f t="shared" si="153"/>
        <v>1</v>
      </c>
      <c r="AQ289" s="3">
        <f t="shared" si="154"/>
        <v>1</v>
      </c>
      <c r="AR289" s="3">
        <f t="shared" si="155"/>
        <v>1</v>
      </c>
      <c r="AS289" s="3">
        <f t="shared" si="156"/>
        <v>1</v>
      </c>
      <c r="AT289" s="3" t="str">
        <f t="shared" si="157"/>
        <v>-</v>
      </c>
      <c r="AU289" s="3" t="str">
        <f t="shared" si="158"/>
        <v>-</v>
      </c>
      <c r="AV289" s="3">
        <f t="shared" si="159"/>
        <v>8</v>
      </c>
      <c r="AW289" s="3">
        <f t="shared" si="160"/>
        <v>9</v>
      </c>
      <c r="AX289" s="3">
        <f t="shared" si="161"/>
        <v>5</v>
      </c>
      <c r="AY289" s="3">
        <f t="shared" si="162"/>
        <v>5</v>
      </c>
      <c r="AZ289" s="3">
        <f t="shared" si="163"/>
        <v>1</v>
      </c>
      <c r="BA289" s="3">
        <f>IF(ISERROR(LEN(VLOOKUP(A289,Seqs!A:E,2,FALSE))-AL289),"-",LEN(VLOOKUP(A289,Seqs!A:E,2,FALSE))-AL289)</f>
        <v>23</v>
      </c>
      <c r="BB289" s="16">
        <f t="shared" si="164"/>
        <v>28</v>
      </c>
      <c r="BC289" s="9" t="str">
        <f t="shared" si="165"/>
        <v>-</v>
      </c>
      <c r="BD289" s="3">
        <f t="shared" si="166"/>
        <v>28</v>
      </c>
      <c r="BE289" s="3">
        <f t="shared" si="167"/>
        <v>43</v>
      </c>
    </row>
    <row r="290" spans="1:59" s="3" customFormat="1" x14ac:dyDescent="0.2">
      <c r="A290" s="3" t="s">
        <v>1177</v>
      </c>
      <c r="B290" s="3" t="str">
        <f>LOWER(VLOOKUP(A290,Xtal_Templ!A:B,2,FALSE))</f>
        <v>crfr1_human</v>
      </c>
      <c r="C290" s="3">
        <f>VLOOKUP($A290,'SegEnds_NonXtal_BW#'!$A:$Z,3,FALSE)+D290-50</f>
        <v>8</v>
      </c>
      <c r="D290" s="3">
        <v>35</v>
      </c>
      <c r="E290" s="3">
        <f>IF(ISERROR(VLOOKUP($A290,'SegEnds_NonXtal_BW#'!$A:$Z,4,FALSE)+VLOOKUP($A290,A:AL,4,FALSE)-50),"-",(VLOOKUP($A290,'SegEnds_NonXtal_BW#'!$A:$Z,4,FALSE)+VLOOKUP($A290,A:AL,4,FALSE)-50))</f>
        <v>45</v>
      </c>
      <c r="F290" s="3" t="s">
        <v>23</v>
      </c>
      <c r="G290" s="3" t="s">
        <v>23</v>
      </c>
      <c r="H290" s="3" t="s">
        <v>23</v>
      </c>
      <c r="I290" s="3">
        <f>VLOOKUP($A290,'SegEnds_NonXtal_BW#'!$A:$Z,7,FALSE)+J290-50</f>
        <v>48</v>
      </c>
      <c r="J290" s="3">
        <v>61</v>
      </c>
      <c r="K290" s="3">
        <f>VLOOKUP($A290,'SegEnds_NonXtal_BW#'!$A:$Z,8,FALSE)+VLOOKUP($A290,A:AL,10,FALSE)-50</f>
        <v>74</v>
      </c>
      <c r="L290" s="3" t="str">
        <f>IF(ISERROR(VLOOKUP($A290,'SegEnds_NonXtal_BW#'!$A:$Z,9,FALSE)+VLOOKUP($A290,A:AL,13,FALSE)-50),"-",(VLOOKUP($A290,'SegEnds_NonXtal_BW#'!$A:$Z,9,FALSE)+VLOOKUP($A290,A:AL,13,FALSE)-50))</f>
        <v>-</v>
      </c>
      <c r="M290" s="3" t="s">
        <v>23</v>
      </c>
      <c r="N290" s="3" t="str">
        <f>IF(ISERROR(VLOOKUP($A290,'SegEnds_NonXtal_BW#'!$A:$Z,10,FALSE)+VLOOKUP($A290,A:AL,13,FALSE)-50),"-",(VLOOKUP($A290,'SegEnds_NonXtal_BW#'!$A:$Z,10,FALSE)+VLOOKUP($A290,A:AL,13,FALSE)-50))</f>
        <v>-</v>
      </c>
      <c r="O290" s="3">
        <f>VLOOKUP($A290,'SegEnds_NonXtal_BW#'!$A:$Z,11,FALSE)+VLOOKUP($A290,A:AL,16,FALSE)-50</f>
        <v>81</v>
      </c>
      <c r="P290" s="3">
        <v>108</v>
      </c>
      <c r="Q290" s="3">
        <f>VLOOKUP($A290,'SegEnds_NonXtal_BW#'!$A:$Z,12,FALSE)+VLOOKUP($A290,A:AL,16,FALSE)-50</f>
        <v>114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3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130</v>
      </c>
      <c r="V290" s="3">
        <v>140</v>
      </c>
      <c r="W290" s="3">
        <f>IF(ISERROR(VLOOKUP($A290,'SegEnds_NonXtal_BW#'!$A:$Z,16,FALSE)+VLOOKUP($A290,A:AL,22,FALSE)-50),"-",(VLOOKUP($A290,'SegEnds_NonXtal_BW#'!$A:$Z,16,FALSE)+VLOOKUP($A290,A:AL,22,FALSE)-50))</f>
        <v>158</v>
      </c>
      <c r="X290" s="3">
        <f>IF(ISERROR(VLOOKUP($A290,'SegEnds_NonXtal_BW#'!$A:$Z,17,FALSE)+VLOOKUP($A290,A:AL,25,FALSE)-50),"-",(VLOOKUP($A290,'SegEnds_NonXtal_BW#'!$A:$Z,17,FALSE)+VLOOKUP($A290,A:AL,25,FALSE)-50))</f>
        <v>168</v>
      </c>
      <c r="Y290" s="3">
        <v>168</v>
      </c>
      <c r="Z290" s="3">
        <f t="shared" si="177"/>
        <v>170</v>
      </c>
      <c r="AA290" s="3">
        <f>IF(ISERROR(VLOOKUP($A290,'SegEnds_NonXtal_BW#'!$A:$Z,19,FALSE)+VLOOKUP($A290,A:AL,28,FALSE)-50),"-",(VLOOKUP($A290,'SegEnds_NonXtal_BW#'!$A:$Z,19,FALSE)+VLOOKUP($A290,A:AL,28,FALSE)-50))</f>
        <v>172</v>
      </c>
      <c r="AB290" s="3">
        <v>186</v>
      </c>
      <c r="AC290" s="3">
        <f>IF(ISERROR((VLOOKUP($A290,'SegEnds_NonXtal_BW#'!$A:$Z,20,FALSE)+VLOOKUP($A290,A:AL,28,FALSE)-50)),"-",(VLOOKUP($A290,'SegEnds_NonXtal_BW#'!$A:$Z,20,FALSE)+VLOOKUP($A290,A:AL,28,FALSE)-50))</f>
        <v>205</v>
      </c>
      <c r="AD290" s="3">
        <f>IF(ISERROR(VLOOKUP($A290,'SegEnds_NonXtal_BW#'!$A:$Z,21,FALSE)+VLOOKUP($A290,A:AL,31,FALSE)-50),"-",(VLOOKUP($A290,'SegEnds_NonXtal_BW#'!$A:$Z,21,FALSE)+VLOOKUP($A290,A:AL,31,FALSE)-50))</f>
        <v>251</v>
      </c>
      <c r="AE290" s="3">
        <v>272</v>
      </c>
      <c r="AF290" s="3">
        <f>IF(ISERROR((VLOOKUP($A290,'SegEnds_NonXtal_BW#'!$A:$Z,22,FALSE)+VLOOKUP($A290,A:AL,31,FALSE)-50)),"-",(VLOOKUP($A290,'SegEnds_NonXtal_BW#'!$A:$Z,22,FALSE)+VLOOKUP($A290,A:AL,31,FALSE)-50))</f>
        <v>275</v>
      </c>
      <c r="AG290" s="3">
        <f>IF(ISERROR(VLOOKUP($A290,'SegEnds_NonXtal_BW#'!$A:$Z,23,FALSE)+VLOOKUP($A290,A:AL,34,FALSE)-50),"-",(VLOOKUP($A290,'SegEnds_NonXtal_BW#'!$A:$Z,23,FALSE)+VLOOKUP($A290,A:AL,34,FALSE)-50))</f>
        <v>282</v>
      </c>
      <c r="AH290" s="3">
        <v>303</v>
      </c>
      <c r="AI290" s="3">
        <f>IF(ISERROR((VLOOKUP($A290,'SegEnds_NonXtal_BW#'!$A:$Z,24,FALSE)+VLOOKUP($A290,A:AL,34,FALSE)-50)),"-",(VLOOKUP($A290,'SegEnds_NonXtal_BW#'!$A:$Z,24,FALSE)+VLOOKUP($A290,A:AL,34,FALSE)-50))</f>
        <v>309</v>
      </c>
      <c r="AJ290" s="3">
        <f>IF(ISERROR(VLOOKUP($A290,'SegEnds_NonXtal_BW#'!$A:$Z,25,FALSE)+VLOOKUP($A290,A:AL,37,FALSE)-50),"-",(VLOOKUP($A290,'SegEnds_NonXtal_BW#'!$A:$Z,25,FALSE)+VLOOKUP($A290,A:AL,37,FALSE)-50))</f>
        <v>310</v>
      </c>
      <c r="AK290" s="3">
        <v>313</v>
      </c>
      <c r="AL290" s="3">
        <f>IF(ISERROR((VLOOKUP($A290,'SegEnds_NonXtal_BW#'!$A:$Z,26,FALSE)+VLOOKUP($A290,A:AL,37,FALSE)-50)),"-",(VLOOKUP($A290,'SegEnds_NonXtal_BW#'!$A:$Z,26,FALSE)+VLOOKUP($A290,A:AL,37,FALSE)-50))</f>
        <v>326</v>
      </c>
      <c r="AM290" s="28" t="str">
        <f>VLOOKUP(A290,Classification!A:B,2,FALSE)</f>
        <v>B2</v>
      </c>
      <c r="AN290" s="28" t="b">
        <f t="shared" si="173"/>
        <v>1</v>
      </c>
      <c r="AO290" s="3" t="str">
        <f>IF(ISERROR(MATCH(A290,'SegEnds_Xtal_Prot#'!B:B, 0)), "NoXtal", "Xtal")</f>
        <v>NoXtal</v>
      </c>
      <c r="AP290" s="3" t="str">
        <f t="shared" si="153"/>
        <v>-</v>
      </c>
      <c r="AQ290" s="3" t="str">
        <f t="shared" si="154"/>
        <v>-</v>
      </c>
      <c r="AR290" s="3" t="str">
        <f t="shared" si="155"/>
        <v>-</v>
      </c>
      <c r="AS290" s="3" t="str">
        <f t="shared" si="156"/>
        <v>-</v>
      </c>
      <c r="AT290" s="3" t="str">
        <f t="shared" si="157"/>
        <v>-</v>
      </c>
      <c r="AU290" s="3" t="str">
        <f t="shared" si="158"/>
        <v>-</v>
      </c>
      <c r="AV290" s="3">
        <f t="shared" si="159"/>
        <v>10</v>
      </c>
      <c r="AW290" s="3">
        <f t="shared" si="160"/>
        <v>2</v>
      </c>
      <c r="AX290" s="3">
        <f t="shared" si="161"/>
        <v>46</v>
      </c>
      <c r="AY290" s="3">
        <f t="shared" si="162"/>
        <v>7</v>
      </c>
      <c r="AZ290" s="3">
        <f t="shared" si="163"/>
        <v>1</v>
      </c>
      <c r="BA290" s="3">
        <f>IF(ISERROR(LEN(VLOOKUP(A290,Seqs!A:E,2,FALSE))-AL290),"-",LEN(VLOOKUP(A290,Seqs!A:E,2,FALSE))-AL290)</f>
        <v>234</v>
      </c>
      <c r="BB290" s="16">
        <f t="shared" si="164"/>
        <v>26</v>
      </c>
      <c r="BC290" s="9" t="str">
        <f t="shared" si="165"/>
        <v>-</v>
      </c>
      <c r="BD290" s="3">
        <f t="shared" si="166"/>
        <v>26</v>
      </c>
      <c r="BE290" s="3">
        <f t="shared" si="167"/>
        <v>86</v>
      </c>
    </row>
    <row r="291" spans="1:59" s="3" customFormat="1" x14ac:dyDescent="0.2">
      <c r="A291" s="3" t="s">
        <v>1178</v>
      </c>
      <c r="B291" s="3" t="str">
        <f>LOWER(VLOOKUP(A291,Xtal_Templ!A:B,2,FALSE))</f>
        <v>crfr1_human</v>
      </c>
      <c r="C291" s="3">
        <f>VLOOKUP($A291,'SegEnds_NonXtal_BW#'!$A:$Z,3,FALSE)+D291-50</f>
        <v>760</v>
      </c>
      <c r="D291" s="3">
        <v>787</v>
      </c>
      <c r="E291" s="3">
        <f>IF(ISERROR(VLOOKUP($A291,'SegEnds_NonXtal_BW#'!$A:$Z,4,FALSE)+VLOOKUP($A291,A:AL,4,FALSE)-50),"-",(VLOOKUP($A291,'SegEnds_NonXtal_BW#'!$A:$Z,4,FALSE)+VLOOKUP($A291,A:AL,4,FALSE)-50))</f>
        <v>797</v>
      </c>
      <c r="F291" s="3" t="s">
        <v>23</v>
      </c>
      <c r="G291" s="3" t="s">
        <v>23</v>
      </c>
      <c r="H291" s="3" t="s">
        <v>23</v>
      </c>
      <c r="I291" s="3">
        <f>VLOOKUP($A291,'SegEnds_NonXtal_BW#'!$A:$Z,7,FALSE)+J291-50</f>
        <v>800</v>
      </c>
      <c r="J291" s="3">
        <v>813</v>
      </c>
      <c r="K291" s="3">
        <f>VLOOKUP($A291,'SegEnds_NonXtal_BW#'!$A:$Z,8,FALSE)+VLOOKUP($A291,A:AL,10,FALSE)-50</f>
        <v>826</v>
      </c>
      <c r="L291" s="3" t="str">
        <f>IF(ISERROR(VLOOKUP($A291,'SegEnds_NonXtal_BW#'!$A:$Z,9,FALSE)+VLOOKUP($A291,A:AL,13,FALSE)-50),"-",(VLOOKUP($A291,'SegEnds_NonXtal_BW#'!$A:$Z,9,FALSE)+VLOOKUP($A291,A:AL,13,FALSE)-50))</f>
        <v>-</v>
      </c>
      <c r="M291" s="3" t="s">
        <v>23</v>
      </c>
      <c r="N291" s="3" t="str">
        <f>IF(ISERROR(VLOOKUP($A291,'SegEnds_NonXtal_BW#'!$A:$Z,10,FALSE)+VLOOKUP($A291,A:AL,13,FALSE)-50),"-",(VLOOKUP($A291,'SegEnds_NonXtal_BW#'!$A:$Z,10,FALSE)+VLOOKUP($A291,A:AL,13,FALSE)-50))</f>
        <v>-</v>
      </c>
      <c r="O291" s="3">
        <f>VLOOKUP($A291,'SegEnds_NonXtal_BW#'!$A:$Z,11,FALSE)+VLOOKUP($A291,A:AL,16,FALSE)-50</f>
        <v>833</v>
      </c>
      <c r="P291" s="3">
        <v>860</v>
      </c>
      <c r="Q291" s="3">
        <f>VLOOKUP($A291,'SegEnds_NonXtal_BW#'!$A:$Z,12,FALSE)+VLOOKUP($A291,A:AL,16,FALSE)-50</f>
        <v>866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3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882</v>
      </c>
      <c r="V291" s="3">
        <v>892</v>
      </c>
      <c r="W291" s="3">
        <f>IF(ISERROR(VLOOKUP($A291,'SegEnds_NonXtal_BW#'!$A:$Z,16,FALSE)+VLOOKUP($A291,A:AL,22,FALSE)-50),"-",(VLOOKUP($A291,'SegEnds_NonXtal_BW#'!$A:$Z,16,FALSE)+VLOOKUP($A291,A:AL,22,FALSE)-50))</f>
        <v>910</v>
      </c>
      <c r="X291" s="3">
        <f>IF(ISERROR(VLOOKUP($A291,'SegEnds_NonXtal_BW#'!$A:$Z,17,FALSE)+VLOOKUP($A291,A:AL,25,FALSE)-50),"-",(VLOOKUP($A291,'SegEnds_NonXtal_BW#'!$A:$Z,17,FALSE)+VLOOKUP($A291,A:AL,25,FALSE)-50))</f>
        <v>917</v>
      </c>
      <c r="Y291" s="3">
        <v>917</v>
      </c>
      <c r="Z291" s="3">
        <f t="shared" si="177"/>
        <v>919</v>
      </c>
      <c r="AA291" s="3">
        <f>IF(ISERROR(VLOOKUP($A291,'SegEnds_NonXtal_BW#'!$A:$Z,19,FALSE)+VLOOKUP($A291,A:AL,28,FALSE)-50),"-",(VLOOKUP($A291,'SegEnds_NonXtal_BW#'!$A:$Z,19,FALSE)+VLOOKUP($A291,A:AL,28,FALSE)-50))</f>
        <v>921</v>
      </c>
      <c r="AB291" s="3">
        <v>935</v>
      </c>
      <c r="AC291" s="3">
        <f>IF(ISERROR((VLOOKUP($A291,'SegEnds_NonXtal_BW#'!$A:$Z,20,FALSE)+VLOOKUP($A291,A:AL,28,FALSE)-50)),"-",(VLOOKUP($A291,'SegEnds_NonXtal_BW#'!$A:$Z,20,FALSE)+VLOOKUP($A291,A:AL,28,FALSE)-50))</f>
        <v>954</v>
      </c>
      <c r="AD291" s="3">
        <f>IF(ISERROR(VLOOKUP($A291,'SegEnds_NonXtal_BW#'!$A:$Z,21,FALSE)+VLOOKUP($A291,A:AL,31,FALSE)-50),"-",(VLOOKUP($A291,'SegEnds_NonXtal_BW#'!$A:$Z,21,FALSE)+VLOOKUP($A291,A:AL,31,FALSE)-50))</f>
        <v>1014</v>
      </c>
      <c r="AE291" s="3">
        <v>1035</v>
      </c>
      <c r="AF291" s="3">
        <f>IF(ISERROR((VLOOKUP($A291,'SegEnds_NonXtal_BW#'!$A:$Z,22,FALSE)+VLOOKUP($A291,A:AL,31,FALSE)-50)),"-",(VLOOKUP($A291,'SegEnds_NonXtal_BW#'!$A:$Z,22,FALSE)+VLOOKUP($A291,A:AL,31,FALSE)-50))</f>
        <v>1038</v>
      </c>
      <c r="AG291" s="3">
        <f>IF(ISERROR(VLOOKUP($A291,'SegEnds_NonXtal_BW#'!$A:$Z,23,FALSE)+VLOOKUP($A291,A:AL,34,FALSE)-50),"-",(VLOOKUP($A291,'SegEnds_NonXtal_BW#'!$A:$Z,23,FALSE)+VLOOKUP($A291,A:AL,34,FALSE)-50))</f>
        <v>1045</v>
      </c>
      <c r="AH291" s="3">
        <v>1066</v>
      </c>
      <c r="AI291" s="3">
        <f>IF(ISERROR((VLOOKUP($A291,'SegEnds_NonXtal_BW#'!$A:$Z,24,FALSE)+VLOOKUP($A291,A:AL,34,FALSE)-50)),"-",(VLOOKUP($A291,'SegEnds_NonXtal_BW#'!$A:$Z,24,FALSE)+VLOOKUP($A291,A:AL,34,FALSE)-50))</f>
        <v>1072</v>
      </c>
      <c r="AJ291" s="3">
        <f>IF(ISERROR(VLOOKUP($A291,'SegEnds_NonXtal_BW#'!$A:$Z,25,FALSE)+VLOOKUP($A291,A:AL,37,FALSE)-50),"-",(VLOOKUP($A291,'SegEnds_NonXtal_BW#'!$A:$Z,25,FALSE)+VLOOKUP($A291,A:AL,37,FALSE)-50))</f>
        <v>1073</v>
      </c>
      <c r="AK291" s="3">
        <v>1076</v>
      </c>
      <c r="AL291" s="3">
        <f>IF(ISERROR((VLOOKUP($A291,'SegEnds_NonXtal_BW#'!$A:$Z,26,FALSE)+VLOOKUP($A291,A:AL,37,FALSE)-50)),"-",(VLOOKUP($A291,'SegEnds_NonXtal_BW#'!$A:$Z,26,FALSE)+VLOOKUP($A291,A:AL,37,FALSE)-50))</f>
        <v>1089</v>
      </c>
      <c r="AM291" s="28" t="str">
        <f>VLOOKUP(A291,Classification!A:B,2,FALSE)</f>
        <v>B2</v>
      </c>
      <c r="AN291" s="28" t="b">
        <f t="shared" si="173"/>
        <v>1</v>
      </c>
      <c r="AO291" s="3" t="str">
        <f>IF(ISERROR(MATCH(A291,'SegEnds_Xtal_Prot#'!B:B, 0)), "NoXtal", "Xtal")</f>
        <v>NoXtal</v>
      </c>
      <c r="AP291" s="3" t="str">
        <f t="shared" si="153"/>
        <v>-</v>
      </c>
      <c r="AQ291" s="3" t="str">
        <f t="shared" si="154"/>
        <v>-</v>
      </c>
      <c r="AR291" s="3" t="str">
        <f t="shared" si="155"/>
        <v>-</v>
      </c>
      <c r="AS291" s="3" t="str">
        <f t="shared" si="156"/>
        <v>-</v>
      </c>
      <c r="AT291" s="3" t="str">
        <f t="shared" si="157"/>
        <v>-</v>
      </c>
      <c r="AU291" s="3" t="str">
        <f t="shared" si="158"/>
        <v>-</v>
      </c>
      <c r="AV291" s="3">
        <f t="shared" si="159"/>
        <v>7</v>
      </c>
      <c r="AW291" s="3">
        <f t="shared" si="160"/>
        <v>2</v>
      </c>
      <c r="AX291" s="3">
        <f t="shared" si="161"/>
        <v>60</v>
      </c>
      <c r="AY291" s="3">
        <f t="shared" si="162"/>
        <v>7</v>
      </c>
      <c r="AZ291" s="3">
        <f t="shared" si="163"/>
        <v>1</v>
      </c>
      <c r="BA291" s="3">
        <f>IF(ISERROR(LEN(VLOOKUP(A291,Seqs!A:E,2,FALSE))-AL291),"-",LEN(VLOOKUP(A291,Seqs!A:E,2,FALSE))-AL291)</f>
        <v>249</v>
      </c>
      <c r="BB291" s="16">
        <f t="shared" si="164"/>
        <v>26</v>
      </c>
      <c r="BC291" s="9" t="str">
        <f t="shared" si="165"/>
        <v>-</v>
      </c>
      <c r="BD291" s="3">
        <f t="shared" si="166"/>
        <v>26</v>
      </c>
      <c r="BE291" s="3">
        <f t="shared" si="167"/>
        <v>100</v>
      </c>
    </row>
    <row r="292" spans="1:59" s="3" customFormat="1" x14ac:dyDescent="0.2">
      <c r="A292" s="3" t="s">
        <v>1179</v>
      </c>
      <c r="B292" s="3" t="str">
        <f>LOWER(VLOOKUP(A292,Xtal_Templ!A:B,2,FALSE))</f>
        <v>crfr1_human</v>
      </c>
      <c r="C292" s="3">
        <f>VLOOKUP($A292,'SegEnds_NonXtal_BW#'!$A:$Z,3,FALSE)+D292-50</f>
        <v>750</v>
      </c>
      <c r="D292" s="3">
        <v>777</v>
      </c>
      <c r="E292" s="3">
        <f>IF(ISERROR(VLOOKUP($A292,'SegEnds_NonXtal_BW#'!$A:$Z,4,FALSE)+VLOOKUP($A292,A:AL,4,FALSE)-50),"-",(VLOOKUP($A292,'SegEnds_NonXtal_BW#'!$A:$Z,4,FALSE)+VLOOKUP($A292,A:AL,4,FALSE)-50))</f>
        <v>787</v>
      </c>
      <c r="F292" s="3" t="s">
        <v>23</v>
      </c>
      <c r="G292" s="3" t="s">
        <v>23</v>
      </c>
      <c r="H292" s="3" t="s">
        <v>23</v>
      </c>
      <c r="I292" s="3">
        <f>VLOOKUP($A292,'SegEnds_NonXtal_BW#'!$A:$Z,7,FALSE)+J292-50</f>
        <v>790</v>
      </c>
      <c r="J292" s="3">
        <v>803</v>
      </c>
      <c r="K292" s="3">
        <f>VLOOKUP($A292,'SegEnds_NonXtal_BW#'!$A:$Z,8,FALSE)+VLOOKUP($A292,A:AL,10,FALSE)-50</f>
        <v>816</v>
      </c>
      <c r="L292" s="3" t="str">
        <f>IF(ISERROR(VLOOKUP($A292,'SegEnds_NonXtal_BW#'!$A:$Z,9,FALSE)+VLOOKUP($A292,A:AL,13,FALSE)-50),"-",(VLOOKUP($A292,'SegEnds_NonXtal_BW#'!$A:$Z,9,FALSE)+VLOOKUP($A292,A:AL,13,FALSE)-50))</f>
        <v>-</v>
      </c>
      <c r="M292" s="3" t="s">
        <v>23</v>
      </c>
      <c r="N292" s="3" t="str">
        <f>IF(ISERROR(VLOOKUP($A292,'SegEnds_NonXtal_BW#'!$A:$Z,10,FALSE)+VLOOKUP($A292,A:AL,13,FALSE)-50),"-",(VLOOKUP($A292,'SegEnds_NonXtal_BW#'!$A:$Z,10,FALSE)+VLOOKUP($A292,A:AL,13,FALSE)-50))</f>
        <v>-</v>
      </c>
      <c r="O292" s="3">
        <f>VLOOKUP($A292,'SegEnds_NonXtal_BW#'!$A:$Z,11,FALSE)+VLOOKUP($A292,A:AL,16,FALSE)-50</f>
        <v>823</v>
      </c>
      <c r="P292" s="3">
        <v>850</v>
      </c>
      <c r="Q292" s="3">
        <f>VLOOKUP($A292,'SegEnds_NonXtal_BW#'!$A:$Z,12,FALSE)+VLOOKUP($A292,A:AL,16,FALSE)-50</f>
        <v>856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3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872</v>
      </c>
      <c r="V292" s="3">
        <v>882</v>
      </c>
      <c r="W292" s="3">
        <f>IF(ISERROR(VLOOKUP($A292,'SegEnds_NonXtal_BW#'!$A:$Z,16,FALSE)+VLOOKUP($A292,A:AL,22,FALSE)-50),"-",(VLOOKUP($A292,'SegEnds_NonXtal_BW#'!$A:$Z,16,FALSE)+VLOOKUP($A292,A:AL,22,FALSE)-50))</f>
        <v>900</v>
      </c>
      <c r="X292" s="3">
        <f>IF(ISERROR(VLOOKUP($A292,'SegEnds_NonXtal_BW#'!$A:$Z,17,FALSE)+VLOOKUP($A292,A:AL,25,FALSE)-50),"-",(VLOOKUP($A292,'SegEnds_NonXtal_BW#'!$A:$Z,17,FALSE)+VLOOKUP($A292,A:AL,25,FALSE)-50))</f>
        <v>909</v>
      </c>
      <c r="Y292" s="3">
        <v>909</v>
      </c>
      <c r="Z292" s="3">
        <f t="shared" si="177"/>
        <v>911</v>
      </c>
      <c r="AA292" s="3">
        <f>IF(ISERROR(VLOOKUP($A292,'SegEnds_NonXtal_BW#'!$A:$Z,19,FALSE)+VLOOKUP($A292,A:AL,28,FALSE)-50),"-",(VLOOKUP($A292,'SegEnds_NonXtal_BW#'!$A:$Z,19,FALSE)+VLOOKUP($A292,A:AL,28,FALSE)-50))</f>
        <v>913</v>
      </c>
      <c r="AB292" s="3">
        <v>927</v>
      </c>
      <c r="AC292" s="3">
        <f>IF(ISERROR((VLOOKUP($A292,'SegEnds_NonXtal_BW#'!$A:$Z,20,FALSE)+VLOOKUP($A292,A:AL,28,FALSE)-50)),"-",(VLOOKUP($A292,'SegEnds_NonXtal_BW#'!$A:$Z,20,FALSE)+VLOOKUP($A292,A:AL,28,FALSE)-50))</f>
        <v>946</v>
      </c>
      <c r="AD292" s="3">
        <f>IF(ISERROR(VLOOKUP($A292,'SegEnds_NonXtal_BW#'!$A:$Z,21,FALSE)+VLOOKUP($A292,A:AL,31,FALSE)-50),"-",(VLOOKUP($A292,'SegEnds_NonXtal_BW#'!$A:$Z,21,FALSE)+VLOOKUP($A292,A:AL,31,FALSE)-50))</f>
        <v>991</v>
      </c>
      <c r="AE292" s="3">
        <v>1012</v>
      </c>
      <c r="AF292" s="3">
        <f>IF(ISERROR((VLOOKUP($A292,'SegEnds_NonXtal_BW#'!$A:$Z,22,FALSE)+VLOOKUP($A292,A:AL,31,FALSE)-50)),"-",(VLOOKUP($A292,'SegEnds_NonXtal_BW#'!$A:$Z,22,FALSE)+VLOOKUP($A292,A:AL,31,FALSE)-50))</f>
        <v>1015</v>
      </c>
      <c r="AG292" s="3">
        <f>IF(ISERROR(VLOOKUP($A292,'SegEnds_NonXtal_BW#'!$A:$Z,23,FALSE)+VLOOKUP($A292,A:AL,34,FALSE)-50),"-",(VLOOKUP($A292,'SegEnds_NonXtal_BW#'!$A:$Z,23,FALSE)+VLOOKUP($A292,A:AL,34,FALSE)-50))</f>
        <v>1022</v>
      </c>
      <c r="AH292" s="3">
        <v>1043</v>
      </c>
      <c r="AI292" s="3">
        <f>IF(ISERROR((VLOOKUP($A292,'SegEnds_NonXtal_BW#'!$A:$Z,24,FALSE)+VLOOKUP($A292,A:AL,34,FALSE)-50)),"-",(VLOOKUP($A292,'SegEnds_NonXtal_BW#'!$A:$Z,24,FALSE)+VLOOKUP($A292,A:AL,34,FALSE)-50))</f>
        <v>1049</v>
      </c>
      <c r="AJ292" s="3">
        <f>IF(ISERROR(VLOOKUP($A292,'SegEnds_NonXtal_BW#'!$A:$Z,25,FALSE)+VLOOKUP($A292,A:AL,37,FALSE)-50),"-",(VLOOKUP($A292,'SegEnds_NonXtal_BW#'!$A:$Z,25,FALSE)+VLOOKUP($A292,A:AL,37,FALSE)-50))</f>
        <v>1050</v>
      </c>
      <c r="AK292" s="3">
        <v>1053</v>
      </c>
      <c r="AL292" s="3">
        <f>IF(ISERROR((VLOOKUP($A292,'SegEnds_NonXtal_BW#'!$A:$Z,26,FALSE)+VLOOKUP($A292,A:AL,37,FALSE)-50)),"-",(VLOOKUP($A292,'SegEnds_NonXtal_BW#'!$A:$Z,26,FALSE)+VLOOKUP($A292,A:AL,37,FALSE)-50))</f>
        <v>1066</v>
      </c>
      <c r="AM292" s="28" t="str">
        <f>VLOOKUP(A292,Classification!A:B,2,FALSE)</f>
        <v>B2</v>
      </c>
      <c r="AN292" s="28" t="b">
        <f t="shared" si="173"/>
        <v>1</v>
      </c>
      <c r="AO292" s="3" t="str">
        <f>IF(ISERROR(MATCH(A292,'SegEnds_Xtal_Prot#'!B:B, 0)), "NoXtal", "Xtal")</f>
        <v>NoXtal</v>
      </c>
      <c r="AP292" s="3" t="str">
        <f t="shared" si="153"/>
        <v>-</v>
      </c>
      <c r="AQ292" s="3" t="str">
        <f t="shared" si="154"/>
        <v>-</v>
      </c>
      <c r="AR292" s="3" t="str">
        <f t="shared" si="155"/>
        <v>-</v>
      </c>
      <c r="AS292" s="3" t="str">
        <f t="shared" si="156"/>
        <v>-</v>
      </c>
      <c r="AT292" s="3" t="str">
        <f t="shared" si="157"/>
        <v>-</v>
      </c>
      <c r="AU292" s="3" t="str">
        <f t="shared" si="158"/>
        <v>-</v>
      </c>
      <c r="AV292" s="3">
        <f t="shared" si="159"/>
        <v>9</v>
      </c>
      <c r="AW292" s="3">
        <f t="shared" si="160"/>
        <v>2</v>
      </c>
      <c r="AX292" s="3">
        <f t="shared" si="161"/>
        <v>45</v>
      </c>
      <c r="AY292" s="3">
        <f t="shared" si="162"/>
        <v>7</v>
      </c>
      <c r="AZ292" s="3">
        <f t="shared" si="163"/>
        <v>1</v>
      </c>
      <c r="BA292" s="3">
        <f>IF(ISERROR(LEN(VLOOKUP(A292,Seqs!A:E,2,FALSE))-AL292),"-",LEN(VLOOKUP(A292,Seqs!A:E,2,FALSE))-AL292)</f>
        <v>255</v>
      </c>
      <c r="BB292" s="16">
        <f t="shared" si="164"/>
        <v>26</v>
      </c>
      <c r="BC292" s="9" t="str">
        <f t="shared" si="165"/>
        <v>-</v>
      </c>
      <c r="BD292" s="3">
        <f t="shared" si="166"/>
        <v>26</v>
      </c>
      <c r="BE292" s="3">
        <f t="shared" si="167"/>
        <v>85</v>
      </c>
    </row>
    <row r="293" spans="1:59" s="3" customFormat="1" x14ac:dyDescent="0.2">
      <c r="A293" s="3" t="s">
        <v>1180</v>
      </c>
      <c r="B293" s="3" t="str">
        <f>LOWER(VLOOKUP(A293,Xtal_Templ!A:B,2,FALSE))</f>
        <v>crfr1_human</v>
      </c>
      <c r="C293" s="3">
        <f>VLOOKUP($A293,'SegEnds_NonXtal_BW#'!$A:$Z,3,FALSE)+D293-50</f>
        <v>920</v>
      </c>
      <c r="D293" s="3">
        <v>947</v>
      </c>
      <c r="E293" s="3">
        <f>IF(ISERROR(VLOOKUP($A293,'SegEnds_NonXtal_BW#'!$A:$Z,4,FALSE)+VLOOKUP($A293,A:AL,4,FALSE)-50),"-",(VLOOKUP($A293,'SegEnds_NonXtal_BW#'!$A:$Z,4,FALSE)+VLOOKUP($A293,A:AL,4,FALSE)-50))</f>
        <v>957</v>
      </c>
      <c r="F293" s="3" t="s">
        <v>23</v>
      </c>
      <c r="G293" s="3" t="s">
        <v>23</v>
      </c>
      <c r="H293" s="3" t="s">
        <v>23</v>
      </c>
      <c r="I293" s="3">
        <f>VLOOKUP($A293,'SegEnds_NonXtal_BW#'!$A:$Z,7,FALSE)+J293-50</f>
        <v>963</v>
      </c>
      <c r="J293" s="3">
        <v>976</v>
      </c>
      <c r="K293" s="3">
        <f>VLOOKUP($A293,'SegEnds_NonXtal_BW#'!$A:$Z,8,FALSE)+VLOOKUP($A293,A:AL,10,FALSE)-50</f>
        <v>989</v>
      </c>
      <c r="L293" s="3" t="str">
        <f>IF(ISERROR(VLOOKUP($A293,'SegEnds_NonXtal_BW#'!$A:$Z,9,FALSE)+VLOOKUP($A293,A:AL,13,FALSE)-50),"-",(VLOOKUP($A293,'SegEnds_NonXtal_BW#'!$A:$Z,9,FALSE)+VLOOKUP($A293,A:AL,13,FALSE)-50))</f>
        <v>-</v>
      </c>
      <c r="M293" s="3" t="s">
        <v>23</v>
      </c>
      <c r="N293" s="3" t="str">
        <f>IF(ISERROR(VLOOKUP($A293,'SegEnds_NonXtal_BW#'!$A:$Z,10,FALSE)+VLOOKUP($A293,A:AL,13,FALSE)-50),"-",(VLOOKUP($A293,'SegEnds_NonXtal_BW#'!$A:$Z,10,FALSE)+VLOOKUP($A293,A:AL,13,FALSE)-50))</f>
        <v>-</v>
      </c>
      <c r="O293" s="3">
        <f>VLOOKUP($A293,'SegEnds_NonXtal_BW#'!$A:$Z,11,FALSE)+VLOOKUP($A293,A:AL,16,FALSE)-50</f>
        <v>994</v>
      </c>
      <c r="P293" s="3">
        <v>1021</v>
      </c>
      <c r="Q293" s="3">
        <f>VLOOKUP($A293,'SegEnds_NonXtal_BW#'!$A:$Z,12,FALSE)+VLOOKUP($A293,A:AL,16,FALSE)-50</f>
        <v>1027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3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1033</v>
      </c>
      <c r="V293" s="3">
        <v>1043</v>
      </c>
      <c r="W293" s="3">
        <f>IF(ISERROR(VLOOKUP($A293,'SegEnds_NonXtal_BW#'!$A:$Z,16,FALSE)+VLOOKUP($A293,A:AL,22,FALSE)-50),"-",(VLOOKUP($A293,'SegEnds_NonXtal_BW#'!$A:$Z,16,FALSE)+VLOOKUP($A293,A:AL,22,FALSE)-50))</f>
        <v>1061</v>
      </c>
      <c r="X293" s="3">
        <f>IF(ISERROR(VLOOKUP($A293,'SegEnds_NonXtal_BW#'!$A:$Z,17,FALSE)+VLOOKUP($A293,A:AL,25,FALSE)-50),"-",(VLOOKUP($A293,'SegEnds_NonXtal_BW#'!$A:$Z,17,FALSE)+VLOOKUP($A293,A:AL,25,FALSE)-50))</f>
        <v>1068</v>
      </c>
      <c r="Y293" s="3">
        <v>1068</v>
      </c>
      <c r="Z293" s="3">
        <f t="shared" si="177"/>
        <v>1070</v>
      </c>
      <c r="AA293" s="3">
        <f>IF(ISERROR(VLOOKUP($A293,'SegEnds_NonXtal_BW#'!$A:$Z,19,FALSE)+VLOOKUP($A293,A:AL,28,FALSE)-50),"-",(VLOOKUP($A293,'SegEnds_NonXtal_BW#'!$A:$Z,19,FALSE)+VLOOKUP($A293,A:AL,28,FALSE)-50))</f>
        <v>1073</v>
      </c>
      <c r="AB293" s="3">
        <v>1087</v>
      </c>
      <c r="AC293" s="3">
        <f>IF(ISERROR((VLOOKUP($A293,'SegEnds_NonXtal_BW#'!$A:$Z,20,FALSE)+VLOOKUP($A293,A:AL,28,FALSE)-50)),"-",(VLOOKUP($A293,'SegEnds_NonXtal_BW#'!$A:$Z,20,FALSE)+VLOOKUP($A293,A:AL,28,FALSE)-50))</f>
        <v>1106</v>
      </c>
      <c r="AD293" s="3">
        <f>IF(ISERROR(VLOOKUP($A293,'SegEnds_NonXtal_BW#'!$A:$Z,21,FALSE)+VLOOKUP($A293,A:AL,31,FALSE)-50),"-",(VLOOKUP($A293,'SegEnds_NonXtal_BW#'!$A:$Z,21,FALSE)+VLOOKUP($A293,A:AL,31,FALSE)-50))</f>
        <v>1149</v>
      </c>
      <c r="AE293" s="3">
        <v>1170</v>
      </c>
      <c r="AF293" s="3">
        <f>IF(ISERROR((VLOOKUP($A293,'SegEnds_NonXtal_BW#'!$A:$Z,22,FALSE)+VLOOKUP($A293,A:AL,31,FALSE)-50)),"-",(VLOOKUP($A293,'SegEnds_NonXtal_BW#'!$A:$Z,22,FALSE)+VLOOKUP($A293,A:AL,31,FALSE)-50))</f>
        <v>1173</v>
      </c>
      <c r="AG293" s="3">
        <f>IF(ISERROR(VLOOKUP($A293,'SegEnds_NonXtal_BW#'!$A:$Z,23,FALSE)+VLOOKUP($A293,A:AL,34,FALSE)-50),"-",(VLOOKUP($A293,'SegEnds_NonXtal_BW#'!$A:$Z,23,FALSE)+VLOOKUP($A293,A:AL,34,FALSE)-50))</f>
        <v>1180</v>
      </c>
      <c r="AH293" s="3">
        <v>1199</v>
      </c>
      <c r="AI293" s="3">
        <f>IF(ISERROR((VLOOKUP($A293,'SegEnds_NonXtal_BW#'!$A:$Z,24,FALSE)+VLOOKUP($A293,A:AL,34,FALSE)-50)),"-",(VLOOKUP($A293,'SegEnds_NonXtal_BW#'!$A:$Z,24,FALSE)+VLOOKUP($A293,A:AL,34,FALSE)-50))</f>
        <v>1205</v>
      </c>
      <c r="AJ293" s="3">
        <f>IF(ISERROR(VLOOKUP($A293,'SegEnds_NonXtal_BW#'!$A:$Z,25,FALSE)+VLOOKUP($A293,A:AL,37,FALSE)-50),"-",(VLOOKUP($A293,'SegEnds_NonXtal_BW#'!$A:$Z,25,FALSE)+VLOOKUP($A293,A:AL,37,FALSE)-50))</f>
        <v>1206</v>
      </c>
      <c r="AK293" s="3">
        <v>1209</v>
      </c>
      <c r="AL293" s="3">
        <f>IF(ISERROR((VLOOKUP($A293,'SegEnds_NonXtal_BW#'!$A:$Z,26,FALSE)+VLOOKUP($A293,A:AL,37,FALSE)-50)),"-",(VLOOKUP($A293,'SegEnds_NonXtal_BW#'!$A:$Z,26,FALSE)+VLOOKUP($A293,A:AL,37,FALSE)-50))</f>
        <v>1222</v>
      </c>
      <c r="AM293" s="28" t="str">
        <f>VLOOKUP(A293,Classification!A:B,2,FALSE)</f>
        <v>B2</v>
      </c>
      <c r="AN293" s="28" t="b">
        <f t="shared" si="173"/>
        <v>1</v>
      </c>
      <c r="AO293" s="3" t="str">
        <f>IF(ISERROR(MATCH(A293,'SegEnds_Xtal_Prot#'!B:B, 0)), "NoXtal", "Xtal")</f>
        <v>NoXtal</v>
      </c>
      <c r="AP293" s="3" t="str">
        <f t="shared" si="153"/>
        <v>-</v>
      </c>
      <c r="AQ293" s="3" t="str">
        <f t="shared" si="154"/>
        <v>-</v>
      </c>
      <c r="AR293" s="3" t="str">
        <f t="shared" si="155"/>
        <v>-</v>
      </c>
      <c r="AS293" s="3" t="str">
        <f t="shared" si="156"/>
        <v>-</v>
      </c>
      <c r="AT293" s="3" t="str">
        <f t="shared" si="157"/>
        <v>-</v>
      </c>
      <c r="AU293" s="3" t="str">
        <f t="shared" si="158"/>
        <v>-</v>
      </c>
      <c r="AV293" s="3">
        <f t="shared" si="159"/>
        <v>7</v>
      </c>
      <c r="AW293" s="3">
        <f t="shared" si="160"/>
        <v>3</v>
      </c>
      <c r="AX293" s="3">
        <f t="shared" si="161"/>
        <v>43</v>
      </c>
      <c r="AY293" s="3">
        <f t="shared" si="162"/>
        <v>7</v>
      </c>
      <c r="AZ293" s="3">
        <f t="shared" si="163"/>
        <v>1</v>
      </c>
      <c r="BA293" s="3">
        <f>IF(ISERROR(LEN(VLOOKUP(A293,Seqs!A:E,2,FALSE))-AL293),"-",LEN(VLOOKUP(A293,Seqs!A:E,2,FALSE))-AL293)</f>
        <v>363</v>
      </c>
      <c r="BB293" s="16">
        <f t="shared" si="164"/>
        <v>29</v>
      </c>
      <c r="BC293" s="9" t="str">
        <f t="shared" si="165"/>
        <v>-</v>
      </c>
      <c r="BD293" s="3">
        <f t="shared" si="166"/>
        <v>29</v>
      </c>
      <c r="BE293" s="3">
        <f t="shared" si="167"/>
        <v>83</v>
      </c>
    </row>
    <row r="294" spans="1:59" s="3" customFormat="1" x14ac:dyDescent="0.2">
      <c r="A294" s="3" t="s">
        <v>1181</v>
      </c>
      <c r="B294" s="3" t="str">
        <f>LOWER(VLOOKUP(A294,Xtal_Templ!A:B,2,FALSE))</f>
        <v>crfr1_human</v>
      </c>
      <c r="C294" s="3">
        <f>VLOOKUP($A294,'SegEnds_NonXtal_BW#'!$A:$Z,3,FALSE)+D294-50</f>
        <v>865</v>
      </c>
      <c r="D294" s="3">
        <v>892</v>
      </c>
      <c r="E294" s="3">
        <f>IF(ISERROR(VLOOKUP($A294,'SegEnds_NonXtal_BW#'!$A:$Z,4,FALSE)+VLOOKUP($A294,A:AL,4,FALSE)-50),"-",(VLOOKUP($A294,'SegEnds_NonXtal_BW#'!$A:$Z,4,FALSE)+VLOOKUP($A294,A:AL,4,FALSE)-50))</f>
        <v>902</v>
      </c>
      <c r="F294" s="3" t="s">
        <v>23</v>
      </c>
      <c r="G294" s="3" t="s">
        <v>23</v>
      </c>
      <c r="H294" s="3" t="s">
        <v>23</v>
      </c>
      <c r="I294" s="3">
        <f>VLOOKUP($A294,'SegEnds_NonXtal_BW#'!$A:$Z,7,FALSE)+J294-50</f>
        <v>908</v>
      </c>
      <c r="J294" s="3">
        <v>921</v>
      </c>
      <c r="K294" s="3">
        <f>VLOOKUP($A294,'SegEnds_NonXtal_BW#'!$A:$Z,8,FALSE)+VLOOKUP($A294,A:AL,10,FALSE)-50</f>
        <v>934</v>
      </c>
      <c r="L294" s="3" t="str">
        <f>IF(ISERROR(VLOOKUP($A294,'SegEnds_NonXtal_BW#'!$A:$Z,9,FALSE)+VLOOKUP($A294,A:AL,13,FALSE)-50),"-",(VLOOKUP($A294,'SegEnds_NonXtal_BW#'!$A:$Z,9,FALSE)+VLOOKUP($A294,A:AL,13,FALSE)-50))</f>
        <v>-</v>
      </c>
      <c r="M294" s="3" t="s">
        <v>23</v>
      </c>
      <c r="N294" s="3" t="str">
        <f>IF(ISERROR(VLOOKUP($A294,'SegEnds_NonXtal_BW#'!$A:$Z,10,FALSE)+VLOOKUP($A294,A:AL,13,FALSE)-50),"-",(VLOOKUP($A294,'SegEnds_NonXtal_BW#'!$A:$Z,10,FALSE)+VLOOKUP($A294,A:AL,13,FALSE)-50))</f>
        <v>-</v>
      </c>
      <c r="O294" s="3">
        <f>VLOOKUP($A294,'SegEnds_NonXtal_BW#'!$A:$Z,11,FALSE)+VLOOKUP($A294,A:AL,16,FALSE)-50</f>
        <v>939</v>
      </c>
      <c r="P294" s="3">
        <v>966</v>
      </c>
      <c r="Q294" s="3">
        <f>VLOOKUP($A294,'SegEnds_NonXtal_BW#'!$A:$Z,12,FALSE)+VLOOKUP($A294,A:AL,16,FALSE)-50</f>
        <v>972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3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978</v>
      </c>
      <c r="V294" s="3">
        <v>988</v>
      </c>
      <c r="W294" s="3">
        <f>IF(ISERROR(VLOOKUP($A294,'SegEnds_NonXtal_BW#'!$A:$Z,16,FALSE)+VLOOKUP($A294,A:AL,22,FALSE)-50),"-",(VLOOKUP($A294,'SegEnds_NonXtal_BW#'!$A:$Z,16,FALSE)+VLOOKUP($A294,A:AL,22,FALSE)-50))</f>
        <v>1006</v>
      </c>
      <c r="X294" s="3">
        <f>IF(ISERROR(VLOOKUP($A294,'SegEnds_NonXtal_BW#'!$A:$Z,17,FALSE)+VLOOKUP($A294,A:AL,25,FALSE)-50),"-",(VLOOKUP($A294,'SegEnds_NonXtal_BW#'!$A:$Z,17,FALSE)+VLOOKUP($A294,A:AL,25,FALSE)-50))</f>
        <v>1013</v>
      </c>
      <c r="Y294" s="3">
        <v>1013</v>
      </c>
      <c r="Z294" s="3">
        <f t="shared" si="177"/>
        <v>1015</v>
      </c>
      <c r="AA294" s="3">
        <f>IF(ISERROR(VLOOKUP($A294,'SegEnds_NonXtal_BW#'!$A:$Z,19,FALSE)+VLOOKUP($A294,A:AL,28,FALSE)-50),"-",(VLOOKUP($A294,'SegEnds_NonXtal_BW#'!$A:$Z,19,FALSE)+VLOOKUP($A294,A:AL,28,FALSE)-50))</f>
        <v>1018</v>
      </c>
      <c r="AB294" s="3">
        <v>1032</v>
      </c>
      <c r="AC294" s="3">
        <f>IF(ISERROR((VLOOKUP($A294,'SegEnds_NonXtal_BW#'!$A:$Z,20,FALSE)+VLOOKUP($A294,A:AL,28,FALSE)-50)),"-",(VLOOKUP($A294,'SegEnds_NonXtal_BW#'!$A:$Z,20,FALSE)+VLOOKUP($A294,A:AL,28,FALSE)-50))</f>
        <v>1051</v>
      </c>
      <c r="AD294" s="3">
        <f>IF(ISERROR(VLOOKUP($A294,'SegEnds_NonXtal_BW#'!$A:$Z,21,FALSE)+VLOOKUP($A294,A:AL,31,FALSE)-50),"-",(VLOOKUP($A294,'SegEnds_NonXtal_BW#'!$A:$Z,21,FALSE)+VLOOKUP($A294,A:AL,31,FALSE)-50))</f>
        <v>1094</v>
      </c>
      <c r="AE294" s="3">
        <v>1115</v>
      </c>
      <c r="AF294" s="3">
        <f>IF(ISERROR((VLOOKUP($A294,'SegEnds_NonXtal_BW#'!$A:$Z,22,FALSE)+VLOOKUP($A294,A:AL,31,FALSE)-50)),"-",(VLOOKUP($A294,'SegEnds_NonXtal_BW#'!$A:$Z,22,FALSE)+VLOOKUP($A294,A:AL,31,FALSE)-50))</f>
        <v>1118</v>
      </c>
      <c r="AG294" s="3">
        <f>IF(ISERROR(VLOOKUP($A294,'SegEnds_NonXtal_BW#'!$A:$Z,23,FALSE)+VLOOKUP($A294,A:AL,34,FALSE)-50),"-",(VLOOKUP($A294,'SegEnds_NonXtal_BW#'!$A:$Z,23,FALSE)+VLOOKUP($A294,A:AL,34,FALSE)-50))</f>
        <v>1125</v>
      </c>
      <c r="AH294" s="3">
        <v>1144</v>
      </c>
      <c r="AI294" s="3">
        <f>IF(ISERROR((VLOOKUP($A294,'SegEnds_NonXtal_BW#'!$A:$Z,24,FALSE)+VLOOKUP($A294,A:AL,34,FALSE)-50)),"-",(VLOOKUP($A294,'SegEnds_NonXtal_BW#'!$A:$Z,24,FALSE)+VLOOKUP($A294,A:AL,34,FALSE)-50))</f>
        <v>1150</v>
      </c>
      <c r="AJ294" s="3">
        <f>IF(ISERROR(VLOOKUP($A294,'SegEnds_NonXtal_BW#'!$A:$Z,25,FALSE)+VLOOKUP($A294,A:AL,37,FALSE)-50),"-",(VLOOKUP($A294,'SegEnds_NonXtal_BW#'!$A:$Z,25,FALSE)+VLOOKUP($A294,A:AL,37,FALSE)-50))</f>
        <v>1151</v>
      </c>
      <c r="AK294" s="3">
        <v>1154</v>
      </c>
      <c r="AL294" s="3">
        <f>IF(ISERROR((VLOOKUP($A294,'SegEnds_NonXtal_BW#'!$A:$Z,26,FALSE)+VLOOKUP($A294,A:AL,37,FALSE)-50)),"-",(VLOOKUP($A294,'SegEnds_NonXtal_BW#'!$A:$Z,26,FALSE)+VLOOKUP($A294,A:AL,37,FALSE)-50))</f>
        <v>1167</v>
      </c>
      <c r="AM294" s="28" t="str">
        <f>VLOOKUP(A294,Classification!A:B,2,FALSE)</f>
        <v>B2</v>
      </c>
      <c r="AN294" s="28" t="b">
        <f t="shared" si="173"/>
        <v>1</v>
      </c>
      <c r="AO294" s="3" t="str">
        <f>IF(ISERROR(MATCH(A294,'SegEnds_Xtal_Prot#'!B:B, 0)), "NoXtal", "Xtal")</f>
        <v>NoXtal</v>
      </c>
      <c r="AP294" s="3" t="str">
        <f t="shared" si="153"/>
        <v>-</v>
      </c>
      <c r="AQ294" s="3" t="str">
        <f t="shared" si="154"/>
        <v>-</v>
      </c>
      <c r="AR294" s="3" t="str">
        <f t="shared" si="155"/>
        <v>-</v>
      </c>
      <c r="AS294" s="3" t="str">
        <f t="shared" si="156"/>
        <v>-</v>
      </c>
      <c r="AT294" s="3" t="str">
        <f t="shared" si="157"/>
        <v>-</v>
      </c>
      <c r="AU294" s="3" t="str">
        <f t="shared" si="158"/>
        <v>-</v>
      </c>
      <c r="AV294" s="3">
        <f t="shared" si="159"/>
        <v>7</v>
      </c>
      <c r="AW294" s="3">
        <f t="shared" si="160"/>
        <v>3</v>
      </c>
      <c r="AX294" s="3">
        <f t="shared" si="161"/>
        <v>43</v>
      </c>
      <c r="AY294" s="3">
        <f t="shared" si="162"/>
        <v>7</v>
      </c>
      <c r="AZ294" s="3">
        <f t="shared" si="163"/>
        <v>1</v>
      </c>
      <c r="BA294" s="3">
        <f>IF(ISERROR(LEN(VLOOKUP(A294,Seqs!A:E,2,FALSE))-AL294),"-",LEN(VLOOKUP(A294,Seqs!A:E,2,FALSE))-AL294)</f>
        <v>355</v>
      </c>
      <c r="BB294" s="16">
        <f t="shared" si="164"/>
        <v>29</v>
      </c>
      <c r="BC294" s="9" t="str">
        <f t="shared" si="165"/>
        <v>-</v>
      </c>
      <c r="BD294" s="3">
        <f t="shared" si="166"/>
        <v>29</v>
      </c>
      <c r="BE294" s="3">
        <f t="shared" si="167"/>
        <v>83</v>
      </c>
    </row>
    <row r="295" spans="1:59" s="3" customFormat="1" x14ac:dyDescent="0.2">
      <c r="A295" s="3" t="s">
        <v>1182</v>
      </c>
      <c r="B295" s="3" t="str">
        <f>LOWER(VLOOKUP(A295,Xtal_Templ!A:B,2,FALSE))</f>
        <v>crfr1_human</v>
      </c>
      <c r="C295" s="3">
        <f>VLOOKUP($A295,'SegEnds_NonXtal_BW#'!$A:$Z,3,FALSE)+D295-50</f>
        <v>554</v>
      </c>
      <c r="D295" s="3">
        <v>581</v>
      </c>
      <c r="E295" s="3">
        <f>IF(ISERROR(VLOOKUP($A295,'SegEnds_NonXtal_BW#'!$A:$Z,4,FALSE)+VLOOKUP($A295,A:AL,4,FALSE)-50),"-",(VLOOKUP($A295,'SegEnds_NonXtal_BW#'!$A:$Z,4,FALSE)+VLOOKUP($A295,A:AL,4,FALSE)-50))</f>
        <v>591</v>
      </c>
      <c r="F295" s="3">
        <f>G295-2</f>
        <v>592</v>
      </c>
      <c r="G295" s="3">
        <v>594</v>
      </c>
      <c r="H295" s="3">
        <f>G295+1</f>
        <v>595</v>
      </c>
      <c r="I295" s="3">
        <f>H295+1</f>
        <v>596</v>
      </c>
      <c r="J295" s="3">
        <v>612</v>
      </c>
      <c r="K295" s="3">
        <f>VLOOKUP($A295,'SegEnds_NonXtal_BW#'!$A:$Z,8,FALSE)+VLOOKUP($A295,A:AL,10,FALSE)-50</f>
        <v>625</v>
      </c>
      <c r="L295" s="3" t="str">
        <f>IF(ISERROR(VLOOKUP($A295,'SegEnds_NonXtal_BW#'!$A:$Z,9,FALSE)+VLOOKUP($A295,A:AL,13,FALSE)-50),"-",(VLOOKUP($A295,'SegEnds_NonXtal_BW#'!$A:$Z,9,FALSE)+VLOOKUP($A295,A:AL,13,FALSE)-50))</f>
        <v>-</v>
      </c>
      <c r="M295" s="3" t="s">
        <v>23</v>
      </c>
      <c r="N295" s="3" t="str">
        <f>IF(ISERROR(VLOOKUP($A295,'SegEnds_NonXtal_BW#'!$A:$Z,10,FALSE)+VLOOKUP($A295,A:AL,13,FALSE)-50),"-",(VLOOKUP($A295,'SegEnds_NonXtal_BW#'!$A:$Z,10,FALSE)+VLOOKUP($A295,A:AL,13,FALSE)-50))</f>
        <v>-</v>
      </c>
      <c r="O295" s="3">
        <f>VLOOKUP($A295,'SegEnds_NonXtal_BW#'!$A:$Z,11,FALSE)+VLOOKUP($A295,A:AL,16,FALSE)-50</f>
        <v>630</v>
      </c>
      <c r="P295" s="3">
        <v>657</v>
      </c>
      <c r="Q295" s="3">
        <f>VLOOKUP($A295,'SegEnds_NonXtal_BW#'!$A:$Z,12,FALSE)+VLOOKUP($A295,A:AL,16,FALSE)-50</f>
        <v>663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3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670</v>
      </c>
      <c r="V295" s="3">
        <v>680</v>
      </c>
      <c r="W295" s="3">
        <f>IF(ISERROR(VLOOKUP($A295,'SegEnds_NonXtal_BW#'!$A:$Z,16,FALSE)+VLOOKUP($A295,A:AL,22,FALSE)-50),"-",(VLOOKUP($A295,'SegEnds_NonXtal_BW#'!$A:$Z,16,FALSE)+VLOOKUP($A295,A:AL,22,FALSE)-50))</f>
        <v>698</v>
      </c>
      <c r="X295" s="3">
        <f>IF(ISERROR(VLOOKUP($A295,'SegEnds_NonXtal_BW#'!$A:$Z,17,FALSE)+VLOOKUP($A295,A:AL,25,FALSE)-50),"-",(VLOOKUP($A295,'SegEnds_NonXtal_BW#'!$A:$Z,17,FALSE)+VLOOKUP($A295,A:AL,25,FALSE)-50))</f>
        <v>704</v>
      </c>
      <c r="Y295" s="3">
        <v>704</v>
      </c>
      <c r="Z295" s="3">
        <f t="shared" si="177"/>
        <v>706</v>
      </c>
      <c r="AA295" s="3">
        <f>IF(ISERROR(VLOOKUP($A295,'SegEnds_NonXtal_BW#'!$A:$Z,19,FALSE)+VLOOKUP($A295,A:AL,28,FALSE)-50),"-",(VLOOKUP($A295,'SegEnds_NonXtal_BW#'!$A:$Z,19,FALSE)+VLOOKUP($A295,A:AL,28,FALSE)-50))</f>
        <v>709</v>
      </c>
      <c r="AB295" s="3">
        <v>723</v>
      </c>
      <c r="AC295" s="3">
        <f>IF(ISERROR((VLOOKUP($A295,'SegEnds_NonXtal_BW#'!$A:$Z,20,FALSE)+VLOOKUP($A295,A:AL,28,FALSE)-50)),"-",(VLOOKUP($A295,'SegEnds_NonXtal_BW#'!$A:$Z,20,FALSE)+VLOOKUP($A295,A:AL,28,FALSE)-50))</f>
        <v>742</v>
      </c>
      <c r="AD295" s="3">
        <f>IF(ISERROR(VLOOKUP($A295,'SegEnds_NonXtal_BW#'!$A:$Z,21,FALSE)+VLOOKUP($A295,A:AL,31,FALSE)-50),"-",(VLOOKUP($A295,'SegEnds_NonXtal_BW#'!$A:$Z,21,FALSE)+VLOOKUP($A295,A:AL,31,FALSE)-50))</f>
        <v>754</v>
      </c>
      <c r="AE295" s="3">
        <v>775</v>
      </c>
      <c r="AF295" s="3">
        <f>IF(ISERROR((VLOOKUP($A295,'SegEnds_NonXtal_BW#'!$A:$Z,22,FALSE)+VLOOKUP($A295,A:AL,31,FALSE)-50)),"-",(VLOOKUP($A295,'SegEnds_NonXtal_BW#'!$A:$Z,22,FALSE)+VLOOKUP($A295,A:AL,31,FALSE)-50))</f>
        <v>778</v>
      </c>
      <c r="AG295" s="3">
        <f>IF(ISERROR(VLOOKUP($A295,'SegEnds_NonXtal_BW#'!$A:$Z,23,FALSE)+VLOOKUP($A295,A:AL,34,FALSE)-50),"-",(VLOOKUP($A295,'SegEnds_NonXtal_BW#'!$A:$Z,23,FALSE)+VLOOKUP($A295,A:AL,34,FALSE)-50))</f>
        <v>784</v>
      </c>
      <c r="AH295" s="3">
        <v>803</v>
      </c>
      <c r="AI295" s="3">
        <f>IF(ISERROR((VLOOKUP($A295,'SegEnds_NonXtal_BW#'!$A:$Z,24,FALSE)+VLOOKUP($A295,A:AL,34,FALSE)-50)),"-",(VLOOKUP($A295,'SegEnds_NonXtal_BW#'!$A:$Z,24,FALSE)+VLOOKUP($A295,A:AL,34,FALSE)-50))</f>
        <v>809</v>
      </c>
      <c r="AJ295" s="3">
        <f>IF(ISERROR(VLOOKUP($A295,'SegEnds_NonXtal_BW#'!$A:$Z,25,FALSE)+VLOOKUP($A295,A:AL,37,FALSE)-50),"-",(VLOOKUP($A295,'SegEnds_NonXtal_BW#'!$A:$Z,25,FALSE)+VLOOKUP($A295,A:AL,37,FALSE)-50))</f>
        <v>810</v>
      </c>
      <c r="AK295" s="3">
        <v>813</v>
      </c>
      <c r="AL295" s="3">
        <f>IF(ISERROR((VLOOKUP($A295,'SegEnds_NonXtal_BW#'!$A:$Z,26,FALSE)+VLOOKUP($A295,A:AL,37,FALSE)-50)),"-",(VLOOKUP($A295,'SegEnds_NonXtal_BW#'!$A:$Z,26,FALSE)+VLOOKUP($A295,A:AL,37,FALSE)-50))</f>
        <v>826</v>
      </c>
      <c r="AM295" s="28" t="str">
        <f>VLOOKUP(A295,Classification!A:B,2,FALSE)</f>
        <v>B2</v>
      </c>
      <c r="AN295" s="28" t="b">
        <f t="shared" si="173"/>
        <v>1</v>
      </c>
      <c r="AO295" s="3" t="str">
        <f>IF(ISERROR(MATCH(A295,'SegEnds_Xtal_Prot#'!B:B, 0)), "NoXtal", "Xtal")</f>
        <v>NoXtal</v>
      </c>
      <c r="AP295" s="3">
        <f t="shared" si="153"/>
        <v>1</v>
      </c>
      <c r="AQ295" s="3">
        <f t="shared" si="154"/>
        <v>1</v>
      </c>
      <c r="AR295" s="3" t="str">
        <f t="shared" si="155"/>
        <v>-</v>
      </c>
      <c r="AS295" s="3" t="str">
        <f t="shared" si="156"/>
        <v>-</v>
      </c>
      <c r="AT295" s="3" t="str">
        <f t="shared" si="157"/>
        <v>-</v>
      </c>
      <c r="AU295" s="3" t="str">
        <f t="shared" si="158"/>
        <v>-</v>
      </c>
      <c r="AV295" s="3">
        <f t="shared" si="159"/>
        <v>6</v>
      </c>
      <c r="AW295" s="3">
        <f t="shared" si="160"/>
        <v>3</v>
      </c>
      <c r="AX295" s="3">
        <f t="shared" si="161"/>
        <v>12</v>
      </c>
      <c r="AY295" s="3">
        <f t="shared" si="162"/>
        <v>6</v>
      </c>
      <c r="AZ295" s="3">
        <f t="shared" si="163"/>
        <v>1</v>
      </c>
      <c r="BA295" s="3">
        <f>IF(ISERROR(LEN(VLOOKUP(A295,Seqs!A:E,2,FALSE))-AL295),"-",LEN(VLOOKUP(A295,Seqs!A:E,2,FALSE))-AL295)</f>
        <v>48</v>
      </c>
      <c r="BB295" s="16">
        <f t="shared" si="164"/>
        <v>31</v>
      </c>
      <c r="BC295" s="9" t="str">
        <f t="shared" si="165"/>
        <v>-</v>
      </c>
      <c r="BD295" s="3">
        <f t="shared" si="166"/>
        <v>31</v>
      </c>
      <c r="BE295" s="3">
        <f t="shared" si="167"/>
        <v>52</v>
      </c>
    </row>
    <row r="296" spans="1:59" s="3" customFormat="1" x14ac:dyDescent="0.2">
      <c r="A296" s="3" t="s">
        <v>1183</v>
      </c>
      <c r="B296" s="3" t="str">
        <f>LOWER(VLOOKUP(A296,Xtal_Templ!A:B,2,FALSE))</f>
        <v>crfr1_human</v>
      </c>
      <c r="C296" s="3">
        <f>VLOOKUP($A296,'SegEnds_NonXtal_BW#'!$A:$Z,3,FALSE)+D296-50</f>
        <v>646</v>
      </c>
      <c r="D296" s="3">
        <v>673</v>
      </c>
      <c r="E296" s="3">
        <f>IF(ISERROR(VLOOKUP($A296,'SegEnds_NonXtal_BW#'!$A:$Z,4,FALSE)+VLOOKUP($A296,A:AL,4,FALSE)-50),"-",(VLOOKUP($A296,'SegEnds_NonXtal_BW#'!$A:$Z,4,FALSE)+VLOOKUP($A296,A:AL,4,FALSE)-50))</f>
        <v>683</v>
      </c>
      <c r="F296" s="3" t="s">
        <v>23</v>
      </c>
      <c r="G296" s="3" t="s">
        <v>23</v>
      </c>
      <c r="H296" s="3" t="s">
        <v>23</v>
      </c>
      <c r="I296" s="3">
        <f>VLOOKUP($A296,'SegEnds_NonXtal_BW#'!$A:$Z,7,FALSE)+J296-50</f>
        <v>688</v>
      </c>
      <c r="J296" s="3">
        <v>701</v>
      </c>
      <c r="K296" s="3">
        <f>VLOOKUP($A296,'SegEnds_NonXtal_BW#'!$A:$Z,8,FALSE)+VLOOKUP($A296,A:AL,10,FALSE)-50</f>
        <v>714</v>
      </c>
      <c r="L296" s="3" t="str">
        <f>IF(ISERROR(VLOOKUP($A296,'SegEnds_NonXtal_BW#'!$A:$Z,9,FALSE)+VLOOKUP($A296,A:AL,13,FALSE)-50),"-",(VLOOKUP($A296,'SegEnds_NonXtal_BW#'!$A:$Z,9,FALSE)+VLOOKUP($A296,A:AL,13,FALSE)-50))</f>
        <v>-</v>
      </c>
      <c r="M296" s="3" t="s">
        <v>23</v>
      </c>
      <c r="N296" s="3" t="str">
        <f>IF(ISERROR(VLOOKUP($A296,'SegEnds_NonXtal_BW#'!$A:$Z,10,FALSE)+VLOOKUP($A296,A:AL,13,FALSE)-50),"-",(VLOOKUP($A296,'SegEnds_NonXtal_BW#'!$A:$Z,10,FALSE)+VLOOKUP($A296,A:AL,13,FALSE)-50))</f>
        <v>-</v>
      </c>
      <c r="O296" s="3">
        <f>VLOOKUP($A296,'SegEnds_NonXtal_BW#'!$A:$Z,11,FALSE)+VLOOKUP($A296,A:AL,16,FALSE)-50</f>
        <v>719</v>
      </c>
      <c r="P296" s="3">
        <v>746</v>
      </c>
      <c r="Q296" s="3">
        <f>VLOOKUP($A296,'SegEnds_NonXtal_BW#'!$A:$Z,12,FALSE)+VLOOKUP($A296,A:AL,16,FALSE)-50</f>
        <v>752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3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759</v>
      </c>
      <c r="V296" s="3">
        <v>769</v>
      </c>
      <c r="W296" s="3">
        <f>IF(ISERROR(VLOOKUP($A296,'SegEnds_NonXtal_BW#'!$A:$Z,16,FALSE)+VLOOKUP($A296,A:AL,22,FALSE)-50),"-",(VLOOKUP($A296,'SegEnds_NonXtal_BW#'!$A:$Z,16,FALSE)+VLOOKUP($A296,A:AL,22,FALSE)-50))</f>
        <v>787</v>
      </c>
      <c r="X296" s="3">
        <f>IF(ISERROR(VLOOKUP($A296,'SegEnds_NonXtal_BW#'!$A:$Z,17,FALSE)+VLOOKUP($A296,A:AL,25,FALSE)-50),"-",(VLOOKUP($A296,'SegEnds_NonXtal_BW#'!$A:$Z,17,FALSE)+VLOOKUP($A296,A:AL,25,FALSE)-50))</f>
        <v>793</v>
      </c>
      <c r="Y296" s="3">
        <v>793</v>
      </c>
      <c r="Z296" s="3">
        <f t="shared" si="177"/>
        <v>795</v>
      </c>
      <c r="AA296" s="3">
        <f>IF(ISERROR(VLOOKUP($A296,'SegEnds_NonXtal_BW#'!$A:$Z,19,FALSE)+VLOOKUP($A296,A:AL,28,FALSE)-50),"-",(VLOOKUP($A296,'SegEnds_NonXtal_BW#'!$A:$Z,19,FALSE)+VLOOKUP($A296,A:AL,28,FALSE)-50))</f>
        <v>798</v>
      </c>
      <c r="AB296" s="3">
        <v>812</v>
      </c>
      <c r="AC296" s="3">
        <f>IF(ISERROR((VLOOKUP($A296,'SegEnds_NonXtal_BW#'!$A:$Z,20,FALSE)+VLOOKUP($A296,A:AL,28,FALSE)-50)),"-",(VLOOKUP($A296,'SegEnds_NonXtal_BW#'!$A:$Z,20,FALSE)+VLOOKUP($A296,A:AL,28,FALSE)-50))</f>
        <v>831</v>
      </c>
      <c r="AD296" s="3">
        <f>IF(ISERROR(VLOOKUP($A296,'SegEnds_NonXtal_BW#'!$A:$Z,21,FALSE)+VLOOKUP($A296,A:AL,31,FALSE)-50),"-",(VLOOKUP($A296,'SegEnds_NonXtal_BW#'!$A:$Z,21,FALSE)+VLOOKUP($A296,A:AL,31,FALSE)-50))</f>
        <v>857</v>
      </c>
      <c r="AE296" s="3">
        <v>878</v>
      </c>
      <c r="AF296" s="3">
        <f>IF(ISERROR((VLOOKUP($A296,'SegEnds_NonXtal_BW#'!$A:$Z,22,FALSE)+VLOOKUP($A296,A:AL,31,FALSE)-50)),"-",(VLOOKUP($A296,'SegEnds_NonXtal_BW#'!$A:$Z,22,FALSE)+VLOOKUP($A296,A:AL,31,FALSE)-50))</f>
        <v>878</v>
      </c>
      <c r="AG296" s="3">
        <f>IF(ISERROR(VLOOKUP($A296,'SegEnds_NonXtal_BW#'!$A:$Z,23,FALSE)+VLOOKUP($A296,A:AL,34,FALSE)-50),"-",(VLOOKUP($A296,'SegEnds_NonXtal_BW#'!$A:$Z,23,FALSE)+VLOOKUP($A296,A:AL,34,FALSE)-50))</f>
        <v>881</v>
      </c>
      <c r="AH296" s="3">
        <v>898</v>
      </c>
      <c r="AI296" s="3">
        <f>IF(ISERROR((VLOOKUP($A296,'SegEnds_NonXtal_BW#'!$A:$Z,24,FALSE)+VLOOKUP($A296,A:AL,34,FALSE)-50)),"-",(VLOOKUP($A296,'SegEnds_NonXtal_BW#'!$A:$Z,24,FALSE)+VLOOKUP($A296,A:AL,34,FALSE)-50))</f>
        <v>904</v>
      </c>
      <c r="AJ296" s="3">
        <f>IF(ISERROR(VLOOKUP($A296,'SegEnds_NonXtal_BW#'!$A:$Z,25,FALSE)+VLOOKUP($A296,A:AL,37,FALSE)-50),"-",(VLOOKUP($A296,'SegEnds_NonXtal_BW#'!$A:$Z,25,FALSE)+VLOOKUP($A296,A:AL,37,FALSE)-50))</f>
        <v>905</v>
      </c>
      <c r="AK296" s="3">
        <v>908</v>
      </c>
      <c r="AL296" s="3">
        <f>IF(ISERROR((VLOOKUP($A296,'SegEnds_NonXtal_BW#'!$A:$Z,26,FALSE)+VLOOKUP($A296,A:AL,37,FALSE)-50)),"-",(VLOOKUP($A296,'SegEnds_NonXtal_BW#'!$A:$Z,26,FALSE)+VLOOKUP($A296,A:AL,37,FALSE)-50))</f>
        <v>921</v>
      </c>
      <c r="AM296" s="28" t="str">
        <f>VLOOKUP(A296,Classification!A:B,2,FALSE)</f>
        <v>B2</v>
      </c>
      <c r="AN296" s="28" t="b">
        <f t="shared" si="173"/>
        <v>1</v>
      </c>
      <c r="AO296" s="3" t="str">
        <f>IF(ISERROR(MATCH(A296,'SegEnds_Xtal_Prot#'!B:B, 0)), "NoXtal", "Xtal")</f>
        <v>NoXtal</v>
      </c>
      <c r="AP296" s="3" t="str">
        <f t="shared" si="153"/>
        <v>-</v>
      </c>
      <c r="AQ296" s="3" t="str">
        <f t="shared" si="154"/>
        <v>-</v>
      </c>
      <c r="AR296" s="3" t="str">
        <f t="shared" si="155"/>
        <v>-</v>
      </c>
      <c r="AS296" s="3" t="str">
        <f t="shared" si="156"/>
        <v>-</v>
      </c>
      <c r="AT296" s="3" t="str">
        <f t="shared" si="157"/>
        <v>-</v>
      </c>
      <c r="AU296" s="3" t="str">
        <f t="shared" si="158"/>
        <v>-</v>
      </c>
      <c r="AV296" s="3">
        <f t="shared" si="159"/>
        <v>6</v>
      </c>
      <c r="AW296" s="3">
        <f t="shared" si="160"/>
        <v>3</v>
      </c>
      <c r="AX296" s="3">
        <f t="shared" si="161"/>
        <v>26</v>
      </c>
      <c r="AY296" s="3">
        <f t="shared" si="162"/>
        <v>3</v>
      </c>
      <c r="AZ296" s="3">
        <f t="shared" si="163"/>
        <v>1</v>
      </c>
      <c r="BA296" s="3">
        <f>IF(ISERROR(LEN(VLOOKUP(A296,Seqs!A:E,2,FALSE))-AL296),"-",LEN(VLOOKUP(A296,Seqs!A:E,2,FALSE))-AL296)</f>
        <v>42</v>
      </c>
      <c r="BB296" s="16">
        <f t="shared" si="164"/>
        <v>28</v>
      </c>
      <c r="BC296" s="9" t="str">
        <f t="shared" si="165"/>
        <v>-</v>
      </c>
      <c r="BD296" s="3">
        <f t="shared" si="166"/>
        <v>28</v>
      </c>
      <c r="BE296" s="3">
        <f t="shared" si="167"/>
        <v>66</v>
      </c>
    </row>
    <row r="297" spans="1:59" s="3" customFormat="1" ht="17" customHeight="1" x14ac:dyDescent="0.2">
      <c r="A297" s="3" t="s">
        <v>1184</v>
      </c>
      <c r="B297" s="3" t="str">
        <f>LOWER(VLOOKUP(A297,Xtal_Templ!A:B,2,FALSE))</f>
        <v>calcr_human</v>
      </c>
      <c r="C297" s="3">
        <f>VLOOKUP($A297,'SegEnds_NonXtal_BW#'!$A:$Z,3,FALSE)+D297-50</f>
        <v>590</v>
      </c>
      <c r="D297" s="3">
        <v>617</v>
      </c>
      <c r="E297" s="3">
        <f>IF(ISERROR(VLOOKUP($A297,'SegEnds_NonXtal_BW#'!$A:$Z,4,FALSE)+VLOOKUP($A297,A:AL,4,FALSE)-50),"-",(VLOOKUP($A297,'SegEnds_NonXtal_BW#'!$A:$Z,4,FALSE)+VLOOKUP($A297,A:AL,4,FALSE)-50))</f>
        <v>627</v>
      </c>
      <c r="F297" s="3" t="s">
        <v>23</v>
      </c>
      <c r="G297" s="3" t="s">
        <v>23</v>
      </c>
      <c r="H297" s="3" t="s">
        <v>23</v>
      </c>
      <c r="I297" s="3">
        <f>VLOOKUP($A297,'SegEnds_NonXtal_BW#'!$A:$Z,7,FALSE)+J297-50</f>
        <v>632</v>
      </c>
      <c r="J297" s="3">
        <v>645</v>
      </c>
      <c r="K297" s="3">
        <f>VLOOKUP($A297,'SegEnds_NonXtal_BW#'!$A:$Z,8,FALSE)+VLOOKUP($A297,A:AL,10,FALSE)-50</f>
        <v>658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663</v>
      </c>
      <c r="P297" s="3">
        <v>690</v>
      </c>
      <c r="Q297" s="3">
        <f>VLOOKUP($A297,'SegEnds_NonXtal_BW#'!$A:$Z,12,FALSE)+VLOOKUP($A297,A:AL,16,FALSE)-50</f>
        <v>696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3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709</v>
      </c>
      <c r="V297" s="3">
        <v>718</v>
      </c>
      <c r="W297" s="3">
        <f>IF(ISERROR(VLOOKUP($A297,'SegEnds_NonXtal_BW#'!$A:$Z,16,FALSE)+VLOOKUP($A297,A:AL,22,FALSE)-50),"-",(VLOOKUP($A297,'SegEnds_NonXtal_BW#'!$A:$Z,16,FALSE)+VLOOKUP($A297,A:AL,22,FALSE)-50))</f>
        <v>736</v>
      </c>
      <c r="X297" s="3">
        <f>IF(ISERROR(VLOOKUP($A297,'SegEnds_NonXtal_BW#'!$A:$Z,17,FALSE)+VLOOKUP($A297,A:AL,25,FALSE)-50),"-",(VLOOKUP($A297,'SegEnds_NonXtal_BW#'!$A:$Z,17,FALSE)+VLOOKUP($A297,A:AL,25,FALSE)-50))</f>
        <v>742</v>
      </c>
      <c r="Y297" s="3">
        <v>742</v>
      </c>
      <c r="Z297" s="3">
        <f t="shared" si="177"/>
        <v>744</v>
      </c>
      <c r="AA297" s="3">
        <f>IF(ISERROR(VLOOKUP($A297,'SegEnds_NonXtal_BW#'!$A:$Z,19,FALSE)+VLOOKUP($A297,A:AL,28,FALSE)-50),"-",(VLOOKUP($A297,'SegEnds_NonXtal_BW#'!$A:$Z,19,FALSE)+VLOOKUP($A297,A:AL,28,FALSE)-50))</f>
        <v>747</v>
      </c>
      <c r="AB297" s="3">
        <v>761</v>
      </c>
      <c r="AC297" s="3">
        <f>IF(ISERROR((VLOOKUP($A297,'SegEnds_NonXtal_BW#'!$A:$Z,20,FALSE)+VLOOKUP($A297,A:AL,28,FALSE)-50)),"-",(VLOOKUP($A297,'SegEnds_NonXtal_BW#'!$A:$Z,20,FALSE)+VLOOKUP($A297,A:AL,28,FALSE)-50))</f>
        <v>780</v>
      </c>
      <c r="AD297" s="3">
        <f>IF(ISERROR(VLOOKUP($A297,'SegEnds_NonXtal_BW#'!$A:$Z,21,FALSE)+VLOOKUP($A297,A:AL,31,FALSE)-50),"-",(VLOOKUP($A297,'SegEnds_NonXtal_BW#'!$A:$Z,21,FALSE)+VLOOKUP($A297,A:AL,31,FALSE)-50))</f>
        <v>792</v>
      </c>
      <c r="AE297" s="3">
        <v>813</v>
      </c>
      <c r="AF297" s="3">
        <f>IF(ISERROR((VLOOKUP($A297,'SegEnds_NonXtal_BW#'!$A:$Z,22,FALSE)+VLOOKUP($A297,A:AL,31,FALSE)-50)),"-",(VLOOKUP($A297,'SegEnds_NonXtal_BW#'!$A:$Z,22,FALSE)+VLOOKUP($A297,A:AL,31,FALSE)-50))</f>
        <v>816</v>
      </c>
      <c r="AG297" s="3">
        <f>IF(ISERROR(VLOOKUP($A297,'SegEnds_NonXtal_BW#'!$A:$Z,23,FALSE)+VLOOKUP($A297,A:AL,34,FALSE)-50),"-",(VLOOKUP($A297,'SegEnds_NonXtal_BW#'!$A:$Z,23,FALSE)+VLOOKUP($A297,A:AL,34,FALSE)-50))</f>
        <v>822</v>
      </c>
      <c r="AH297" s="3">
        <v>841</v>
      </c>
      <c r="AI297" s="3">
        <f>IF(ISERROR((VLOOKUP($A297,'SegEnds_NonXtal_BW#'!$A:$Z,24,FALSE)+VLOOKUP($A297,A:AL,34,FALSE)-50)),"-",(VLOOKUP($A297,'SegEnds_NonXtal_BW#'!$A:$Z,24,FALSE)+VLOOKUP($A297,A:AL,34,FALSE)-50))</f>
        <v>847</v>
      </c>
      <c r="AJ297" s="3">
        <f>IF(ISERROR(VLOOKUP($A297,'SegEnds_NonXtal_BW#'!$A:$Z,25,FALSE)+VLOOKUP($A297,A:AL,37,FALSE)-50),"-",(VLOOKUP($A297,'SegEnds_NonXtal_BW#'!$A:$Z,25,FALSE)+VLOOKUP($A297,A:AL,37,FALSE)-50))</f>
        <v>848</v>
      </c>
      <c r="AK297" s="3">
        <v>851</v>
      </c>
      <c r="AL297" s="3">
        <f>IF(ISERROR((VLOOKUP($A297,'SegEnds_NonXtal_BW#'!$A:$Z,26,FALSE)+VLOOKUP($A297,A:AL,37,FALSE)-50)),"-",(VLOOKUP($A297,'SegEnds_NonXtal_BW#'!$A:$Z,26,FALSE)+VLOOKUP($A297,A:AL,37,FALSE)-50))</f>
        <v>864</v>
      </c>
      <c r="AM297" s="28" t="str">
        <f>VLOOKUP(A297,Classification!A:B,2,FALSE)</f>
        <v>B2</v>
      </c>
      <c r="AN297" s="28" t="b">
        <f t="shared" si="173"/>
        <v>1</v>
      </c>
      <c r="AO297" s="3" t="str">
        <f>IF(ISERROR(MATCH(A297,'SegEnds_Xtal_Prot#'!B:B, 0)), "NoXtal", "Xtal")</f>
        <v>NoXtal</v>
      </c>
      <c r="AP297" s="3" t="str">
        <f t="shared" si="153"/>
        <v>-</v>
      </c>
      <c r="AQ297" s="3" t="str">
        <f t="shared" si="154"/>
        <v>-</v>
      </c>
      <c r="AR297" s="3" t="str">
        <f t="shared" si="155"/>
        <v>-</v>
      </c>
      <c r="AS297" s="3" t="str">
        <f t="shared" si="156"/>
        <v>-</v>
      </c>
      <c r="AT297" s="3" t="str">
        <f t="shared" si="157"/>
        <v>-</v>
      </c>
      <c r="AU297" s="3" t="str">
        <f t="shared" si="158"/>
        <v>-</v>
      </c>
      <c r="AV297" s="3">
        <f t="shared" si="159"/>
        <v>6</v>
      </c>
      <c r="AW297" s="3">
        <f t="shared" si="160"/>
        <v>3</v>
      </c>
      <c r="AX297" s="3">
        <f t="shared" si="161"/>
        <v>12</v>
      </c>
      <c r="AY297" s="3">
        <f t="shared" si="162"/>
        <v>6</v>
      </c>
      <c r="AZ297" s="3">
        <f t="shared" si="163"/>
        <v>1</v>
      </c>
      <c r="BA297" s="3">
        <f>IF(ISERROR(LEN(VLOOKUP(A297,Seqs!A:E,2,FALSE))-AL297),"-",LEN(VLOOKUP(A297,Seqs!A:E,2,FALSE))-AL297)</f>
        <v>22</v>
      </c>
      <c r="BB297" s="16">
        <f t="shared" si="164"/>
        <v>28</v>
      </c>
      <c r="BC297" s="9" t="str">
        <f t="shared" si="165"/>
        <v>-</v>
      </c>
      <c r="BD297" s="3">
        <f t="shared" si="166"/>
        <v>28</v>
      </c>
      <c r="BE297" s="3">
        <f t="shared" si="167"/>
        <v>52</v>
      </c>
      <c r="BF297" s="3">
        <f>AH297-AE297</f>
        <v>28</v>
      </c>
    </row>
    <row r="298" spans="1:59" s="3" customFormat="1" x14ac:dyDescent="0.2">
      <c r="A298" s="3" t="s">
        <v>1185</v>
      </c>
      <c r="B298" s="3" t="str">
        <f>LOWER(VLOOKUP(A298,Xtal_Templ!A:B,2,FALSE))</f>
        <v>glp1r_human</v>
      </c>
      <c r="C298" s="3">
        <f>VLOOKUP($A298,'SegEnds_NonXtal_BW#'!$A:$Z,3,FALSE)+D298-50</f>
        <v>524</v>
      </c>
      <c r="D298" s="3">
        <v>551</v>
      </c>
      <c r="E298" s="3">
        <f>IF(ISERROR(VLOOKUP($A298,'SegEnds_NonXtal_BW#'!$A:$Z,4,FALSE)+VLOOKUP($A298,A:AL,4,FALSE)-50),"-",(VLOOKUP($A298,'SegEnds_NonXtal_BW#'!$A:$Z,4,FALSE)+VLOOKUP($A298,A:AL,4,FALSE)-50))</f>
        <v>561</v>
      </c>
      <c r="F298" s="3">
        <f>G298-2</f>
        <v>562</v>
      </c>
      <c r="G298" s="3">
        <v>564</v>
      </c>
      <c r="H298" s="3">
        <f t="shared" ref="H298:I300" si="182">G298+1</f>
        <v>565</v>
      </c>
      <c r="I298" s="3">
        <f t="shared" si="182"/>
        <v>566</v>
      </c>
      <c r="J298" s="3">
        <v>579</v>
      </c>
      <c r="K298" s="3">
        <f>VLOOKUP($A298,'SegEnds_NonXtal_BW#'!$A:$Z,8,FALSE)+VLOOKUP($A298,A:AL,10,FALSE)-50</f>
        <v>592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597</v>
      </c>
      <c r="P298" s="3">
        <v>624</v>
      </c>
      <c r="Q298" s="3">
        <f>VLOOKUP($A298,'SegEnds_NonXtal_BW#'!$A:$Z,12,FALSE)+VLOOKUP($A298,A:AL,16,FALSE)-50</f>
        <v>630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3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640</v>
      </c>
      <c r="V298" s="3">
        <v>652</v>
      </c>
      <c r="W298" s="3">
        <f>IF(ISERROR(VLOOKUP($A298,'SegEnds_NonXtal_BW#'!$A:$Z,16,FALSE)+VLOOKUP($A298,A:AL,22,FALSE)-50),"-",(VLOOKUP($A298,'SegEnds_NonXtal_BW#'!$A:$Z,16,FALSE)+VLOOKUP($A298,A:AL,22,FALSE)-50))</f>
        <v>670</v>
      </c>
      <c r="X298" s="3">
        <f>IF(ISERROR(VLOOKUP($A298,'SegEnds_NonXtal_BW#'!$A:$Z,17,FALSE)+VLOOKUP($A298,A:AL,25,FALSE)-50),"-",(VLOOKUP($A298,'SegEnds_NonXtal_BW#'!$A:$Z,17,FALSE)+VLOOKUP($A298,A:AL,25,FALSE)-50))</f>
        <v>676</v>
      </c>
      <c r="Y298" s="3">
        <v>676</v>
      </c>
      <c r="Z298" s="3">
        <f t="shared" ref="Z298:Z329" si="183">Y298+2</f>
        <v>678</v>
      </c>
      <c r="AA298" s="3">
        <f>IF(ISERROR(VLOOKUP($A298,'SegEnds_NonXtal_BW#'!$A:$Z,19,FALSE)+VLOOKUP($A298,A:AL,28,FALSE)-50),"-",(VLOOKUP($A298,'SegEnds_NonXtal_BW#'!$A:$Z,19,FALSE)+VLOOKUP($A298,A:AL,28,FALSE)-50))</f>
        <v>681</v>
      </c>
      <c r="AB298" s="3">
        <v>695</v>
      </c>
      <c r="AC298" s="3">
        <f>IF(ISERROR((VLOOKUP($A298,'SegEnds_NonXtal_BW#'!$A:$Z,20,FALSE)+VLOOKUP($A298,A:AL,28,FALSE)-50)),"-",(VLOOKUP($A298,'SegEnds_NonXtal_BW#'!$A:$Z,20,FALSE)+VLOOKUP($A298,A:AL,28,FALSE)-50))</f>
        <v>714</v>
      </c>
      <c r="AD298" s="3">
        <f>IF(ISERROR(VLOOKUP($A298,'SegEnds_NonXtal_BW#'!$A:$Z,21,FALSE)+VLOOKUP($A298,A:AL,31,FALSE)-50),"-",(VLOOKUP($A298,'SegEnds_NonXtal_BW#'!$A:$Z,21,FALSE)+VLOOKUP($A298,A:AL,31,FALSE)-50))</f>
        <v>726</v>
      </c>
      <c r="AE298" s="3">
        <v>747</v>
      </c>
      <c r="AF298" s="3">
        <f>IF(ISERROR((VLOOKUP($A298,'SegEnds_NonXtal_BW#'!$A:$Z,22,FALSE)+VLOOKUP($A298,A:AL,31,FALSE)-50)),"-",(VLOOKUP($A298,'SegEnds_NonXtal_BW#'!$A:$Z,22,FALSE)+VLOOKUP($A298,A:AL,31,FALSE)-50))</f>
        <v>755</v>
      </c>
      <c r="AG298" s="3">
        <f>IF(ISERROR(VLOOKUP($A298,'SegEnds_NonXtal_BW#'!$A:$Z,23,FALSE)+VLOOKUP($A298,A:AL,34,FALSE)-50),"-",(VLOOKUP($A298,'SegEnds_NonXtal_BW#'!$A:$Z,23,FALSE)+VLOOKUP($A298,A:AL,34,FALSE)-50))</f>
        <v>756</v>
      </c>
      <c r="AH298" s="3">
        <v>775</v>
      </c>
      <c r="AI298" s="3">
        <f>IF(ISERROR((VLOOKUP($A298,'SegEnds_NonXtal_BW#'!$A:$Z,24,FALSE)+VLOOKUP($A298,A:AL,34,FALSE)-50)),"-",(VLOOKUP($A298,'SegEnds_NonXtal_BW#'!$A:$Z,24,FALSE)+VLOOKUP($A298,A:AL,34,FALSE)-50))</f>
        <v>781</v>
      </c>
      <c r="AJ298" s="3">
        <f>IF(ISERROR(VLOOKUP($A298,'SegEnds_NonXtal_BW#'!$A:$Z,25,FALSE)+VLOOKUP($A298,A:AL,37,FALSE)-50),"-",(VLOOKUP($A298,'SegEnds_NonXtal_BW#'!$A:$Z,25,FALSE)+VLOOKUP($A298,A:AL,37,FALSE)-50))</f>
        <v>782</v>
      </c>
      <c r="AK298" s="3">
        <v>785</v>
      </c>
      <c r="AL298" s="3">
        <f>IF(ISERROR((VLOOKUP($A298,'SegEnds_NonXtal_BW#'!$A:$Z,26,FALSE)+VLOOKUP($A298,A:AL,37,FALSE)-50)),"-",(VLOOKUP($A298,'SegEnds_NonXtal_BW#'!$A:$Z,26,FALSE)+VLOOKUP($A298,A:AL,37,FALSE)-50))</f>
        <v>798</v>
      </c>
      <c r="AM298" s="28" t="str">
        <f>VLOOKUP(A298,Classification!A:B,2,FALSE)</f>
        <v>B2</v>
      </c>
      <c r="AN298" s="28" t="b">
        <f t="shared" si="173"/>
        <v>1</v>
      </c>
      <c r="AO298" s="3" t="str">
        <f>IF(ISERROR(MATCH(A298,'SegEnds_Xtal_Prot#'!B:B, 0)), "NoXtal", "Xtal")</f>
        <v>NoXtal</v>
      </c>
      <c r="AP298" s="3">
        <f t="shared" si="153"/>
        <v>1</v>
      </c>
      <c r="AQ298" s="3">
        <f t="shared" si="154"/>
        <v>1</v>
      </c>
      <c r="AR298" s="3" t="str">
        <f t="shared" si="155"/>
        <v>-</v>
      </c>
      <c r="AS298" s="3" t="str">
        <f t="shared" si="156"/>
        <v>-</v>
      </c>
      <c r="AT298" s="3" t="str">
        <f t="shared" si="157"/>
        <v>-</v>
      </c>
      <c r="AU298" s="3" t="str">
        <f t="shared" si="158"/>
        <v>-</v>
      </c>
      <c r="AV298" s="3">
        <f t="shared" si="159"/>
        <v>6</v>
      </c>
      <c r="AW298" s="3">
        <f t="shared" si="160"/>
        <v>3</v>
      </c>
      <c r="AX298" s="3">
        <f t="shared" si="161"/>
        <v>12</v>
      </c>
      <c r="AY298" s="3">
        <f t="shared" si="162"/>
        <v>1</v>
      </c>
      <c r="AZ298" s="3">
        <f t="shared" si="163"/>
        <v>1</v>
      </c>
      <c r="BA298" s="3">
        <f>IF(ISERROR(LEN(VLOOKUP(A298,Seqs!A:E,2,FALSE))-AL298),"-",LEN(VLOOKUP(A298,Seqs!A:E,2,FALSE))-AL298)</f>
        <v>25</v>
      </c>
      <c r="BB298" s="16">
        <f t="shared" si="164"/>
        <v>28</v>
      </c>
      <c r="BC298" s="9" t="str">
        <f t="shared" si="165"/>
        <v>-</v>
      </c>
      <c r="BD298" s="3">
        <f t="shared" si="166"/>
        <v>28</v>
      </c>
      <c r="BE298" s="3">
        <f t="shared" si="167"/>
        <v>52</v>
      </c>
      <c r="BF298" s="3">
        <f>AH298-AE298</f>
        <v>28</v>
      </c>
    </row>
    <row r="299" spans="1:59" s="3" customFormat="1" x14ac:dyDescent="0.2">
      <c r="A299" s="3" t="s">
        <v>1186</v>
      </c>
      <c r="B299" s="3" t="str">
        <f>LOWER(VLOOKUP(A299,Xtal_Templ!A:B,2,FALSE))</f>
        <v>crfr1_human</v>
      </c>
      <c r="C299" s="3">
        <f>VLOOKUP($A299,'SegEnds_NonXtal_BW#'!$A:$Z,3,FALSE)+D299-50</f>
        <v>344</v>
      </c>
      <c r="D299" s="3">
        <v>371</v>
      </c>
      <c r="E299" s="3">
        <f>IF(ISERROR(VLOOKUP($A299,'SegEnds_NonXtal_BW#'!$A:$Z,4,FALSE)+VLOOKUP($A299,A:AL,4,FALSE)-50),"-",(VLOOKUP($A299,'SegEnds_NonXtal_BW#'!$A:$Z,4,FALSE)+VLOOKUP($A299,A:AL,4,FALSE)-50))</f>
        <v>381</v>
      </c>
      <c r="F299" s="3">
        <f>G299-2</f>
        <v>382</v>
      </c>
      <c r="G299" s="3">
        <v>384</v>
      </c>
      <c r="H299" s="3">
        <f t="shared" si="182"/>
        <v>385</v>
      </c>
      <c r="I299" s="3">
        <f t="shared" si="182"/>
        <v>386</v>
      </c>
      <c r="J299" s="3">
        <v>399</v>
      </c>
      <c r="K299" s="3">
        <f>VLOOKUP($A299,'SegEnds_NonXtal_BW#'!$A:$Z,8,FALSE)+VLOOKUP($A299,A:AL,10,FALSE)-50</f>
        <v>412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417</v>
      </c>
      <c r="P299" s="3">
        <v>444</v>
      </c>
      <c r="Q299" s="3">
        <f>VLOOKUP($A299,'SegEnds_NonXtal_BW#'!$A:$Z,12,FALSE)+VLOOKUP($A299,A:AL,16,FALSE)-50</f>
        <v>450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3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462</v>
      </c>
      <c r="V299" s="3">
        <v>472</v>
      </c>
      <c r="W299" s="3">
        <f>IF(ISERROR(VLOOKUP($A299,'SegEnds_NonXtal_BW#'!$A:$Z,16,FALSE)+VLOOKUP($A299,A:AL,22,FALSE)-50),"-",(VLOOKUP($A299,'SegEnds_NonXtal_BW#'!$A:$Z,16,FALSE)+VLOOKUP($A299,A:AL,22,FALSE)-50))</f>
        <v>490</v>
      </c>
      <c r="X299" s="3">
        <f>IF(ISERROR(VLOOKUP($A299,'SegEnds_NonXtal_BW#'!$A:$Z,17,FALSE)+VLOOKUP($A299,A:AL,25,FALSE)-50),"-",(VLOOKUP($A299,'SegEnds_NonXtal_BW#'!$A:$Z,17,FALSE)+VLOOKUP($A299,A:AL,25,FALSE)-50))</f>
        <v>496</v>
      </c>
      <c r="Y299" s="3">
        <v>496</v>
      </c>
      <c r="Z299" s="3">
        <f t="shared" si="183"/>
        <v>498</v>
      </c>
      <c r="AA299" s="3">
        <f>IF(ISERROR(VLOOKUP($A299,'SegEnds_NonXtal_BW#'!$A:$Z,19,FALSE)+VLOOKUP($A299,A:AL,28,FALSE)-50),"-",(VLOOKUP($A299,'SegEnds_NonXtal_BW#'!$A:$Z,19,FALSE)+VLOOKUP($A299,A:AL,28,FALSE)-50))</f>
        <v>501</v>
      </c>
      <c r="AB299" s="3">
        <v>515</v>
      </c>
      <c r="AC299" s="3">
        <f>IF(ISERROR((VLOOKUP($A299,'SegEnds_NonXtal_BW#'!$A:$Z,20,FALSE)+VLOOKUP($A299,A:AL,28,FALSE)-50)),"-",(VLOOKUP($A299,'SegEnds_NonXtal_BW#'!$A:$Z,20,FALSE)+VLOOKUP($A299,A:AL,28,FALSE)-50))</f>
        <v>534</v>
      </c>
      <c r="AD299" s="3">
        <f>IF(ISERROR(VLOOKUP($A299,'SegEnds_NonXtal_BW#'!$A:$Z,21,FALSE)+VLOOKUP($A299,A:AL,31,FALSE)-50),"-",(VLOOKUP($A299,'SegEnds_NonXtal_BW#'!$A:$Z,21,FALSE)+VLOOKUP($A299,A:AL,31,FALSE)-50))</f>
        <v>546</v>
      </c>
      <c r="AE299" s="3">
        <v>567</v>
      </c>
      <c r="AF299" s="3">
        <f>IF(ISERROR((VLOOKUP($A299,'SegEnds_NonXtal_BW#'!$A:$Z,22,FALSE)+VLOOKUP($A299,A:AL,31,FALSE)-50)),"-",(VLOOKUP($A299,'SegEnds_NonXtal_BW#'!$A:$Z,22,FALSE)+VLOOKUP($A299,A:AL,31,FALSE)-50))</f>
        <v>570</v>
      </c>
      <c r="AG299" s="3">
        <f>IF(ISERROR(VLOOKUP($A299,'SegEnds_NonXtal_BW#'!$A:$Z,23,FALSE)+VLOOKUP($A299,A:AL,34,FALSE)-50),"-",(VLOOKUP($A299,'SegEnds_NonXtal_BW#'!$A:$Z,23,FALSE)+VLOOKUP($A299,A:AL,34,FALSE)-50))</f>
        <v>576</v>
      </c>
      <c r="AH299" s="3">
        <v>595</v>
      </c>
      <c r="AI299" s="3">
        <f>IF(ISERROR((VLOOKUP($A299,'SegEnds_NonXtal_BW#'!$A:$Z,24,FALSE)+VLOOKUP($A299,A:AL,34,FALSE)-50)),"-",(VLOOKUP($A299,'SegEnds_NonXtal_BW#'!$A:$Z,24,FALSE)+VLOOKUP($A299,A:AL,34,FALSE)-50))</f>
        <v>601</v>
      </c>
      <c r="AJ299" s="3">
        <f>IF(ISERROR(VLOOKUP($A299,'SegEnds_NonXtal_BW#'!$A:$Z,25,FALSE)+VLOOKUP($A299,A:AL,37,FALSE)-50),"-",(VLOOKUP($A299,'SegEnds_NonXtal_BW#'!$A:$Z,25,FALSE)+VLOOKUP($A299,A:AL,37,FALSE)-50))</f>
        <v>602</v>
      </c>
      <c r="AK299" s="3">
        <v>605</v>
      </c>
      <c r="AL299" s="3">
        <f>IF(ISERROR((VLOOKUP($A299,'SegEnds_NonXtal_BW#'!$A:$Z,26,FALSE)+VLOOKUP($A299,A:AL,37,FALSE)-50)),"-",(VLOOKUP($A299,'SegEnds_NonXtal_BW#'!$A:$Z,26,FALSE)+VLOOKUP($A299,A:AL,37,FALSE)-50))</f>
        <v>618</v>
      </c>
      <c r="AM299" s="28" t="str">
        <f>VLOOKUP(A299,Classification!A:B,2,FALSE)</f>
        <v>B2</v>
      </c>
      <c r="AN299" s="28" t="b">
        <f t="shared" si="173"/>
        <v>1</v>
      </c>
      <c r="AO299" s="3" t="str">
        <f>IF(ISERROR(MATCH(A299,'SegEnds_Xtal_Prot#'!B:B, 0)), "NoXtal", "Xtal")</f>
        <v>NoXtal</v>
      </c>
      <c r="AP299" s="3">
        <f t="shared" si="153"/>
        <v>1</v>
      </c>
      <c r="AQ299" s="3">
        <f t="shared" si="154"/>
        <v>1</v>
      </c>
      <c r="AR299" s="3" t="str">
        <f t="shared" si="155"/>
        <v>-</v>
      </c>
      <c r="AS299" s="3" t="str">
        <f t="shared" si="156"/>
        <v>-</v>
      </c>
      <c r="AT299" s="3" t="str">
        <f t="shared" si="157"/>
        <v>-</v>
      </c>
      <c r="AU299" s="3" t="str">
        <f t="shared" si="158"/>
        <v>-</v>
      </c>
      <c r="AV299" s="3">
        <f t="shared" si="159"/>
        <v>6</v>
      </c>
      <c r="AW299" s="3">
        <f t="shared" si="160"/>
        <v>3</v>
      </c>
      <c r="AX299" s="3">
        <f t="shared" si="161"/>
        <v>12</v>
      </c>
      <c r="AY299" s="3">
        <f t="shared" si="162"/>
        <v>6</v>
      </c>
      <c r="AZ299" s="3">
        <f t="shared" si="163"/>
        <v>1</v>
      </c>
      <c r="BA299" s="3">
        <f>IF(ISERROR(LEN(VLOOKUP(A299,Seqs!A:E,2,FALSE))-AL299),"-",LEN(VLOOKUP(A299,Seqs!A:E,2,FALSE))-AL299)</f>
        <v>34</v>
      </c>
      <c r="BB299" s="16">
        <f t="shared" si="164"/>
        <v>28</v>
      </c>
      <c r="BC299" s="9" t="str">
        <f t="shared" si="165"/>
        <v>-</v>
      </c>
      <c r="BD299" s="3">
        <f t="shared" si="166"/>
        <v>28</v>
      </c>
      <c r="BE299" s="3">
        <f t="shared" si="167"/>
        <v>52</v>
      </c>
      <c r="BF299" s="3">
        <f>AH299-AE299</f>
        <v>28</v>
      </c>
    </row>
    <row r="300" spans="1:59" s="3" customFormat="1" x14ac:dyDescent="0.2">
      <c r="A300" s="3" t="s">
        <v>1187</v>
      </c>
      <c r="B300" s="3" t="str">
        <f>LOWER(VLOOKUP(A300,Xtal_Templ!A:B,2,FALSE))</f>
        <v>glp1r_human</v>
      </c>
      <c r="C300" s="3">
        <f>VLOOKUP($A300,'SegEnds_NonXtal_BW#'!$A:$Z,3,FALSE)+D300-50</f>
        <v>178</v>
      </c>
      <c r="D300" s="3">
        <v>205</v>
      </c>
      <c r="E300" s="3">
        <f>IF(ISERROR(VLOOKUP($A300,'SegEnds_NonXtal_BW#'!$A:$Z,4,FALSE)+VLOOKUP($A300,A:AL,4,FALSE)-50),"-",(VLOOKUP($A300,'SegEnds_NonXtal_BW#'!$A:$Z,4,FALSE)+VLOOKUP($A300,A:AL,4,FALSE)-50))</f>
        <v>215</v>
      </c>
      <c r="F300" s="3">
        <f>G300-2</f>
        <v>216</v>
      </c>
      <c r="G300" s="3">
        <v>218</v>
      </c>
      <c r="H300" s="3">
        <f t="shared" si="182"/>
        <v>219</v>
      </c>
      <c r="I300" s="3">
        <f t="shared" si="182"/>
        <v>220</v>
      </c>
      <c r="J300" s="3">
        <v>233</v>
      </c>
      <c r="K300" s="3">
        <f>VLOOKUP($A300,'SegEnds_NonXtal_BW#'!$A:$Z,8,FALSE)+VLOOKUP($A300,A:AL,10,FALSE)-50</f>
        <v>246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251</v>
      </c>
      <c r="P300" s="3">
        <v>278</v>
      </c>
      <c r="Q300" s="3">
        <f>VLOOKUP($A300,'SegEnds_NonXtal_BW#'!$A:$Z,12,FALSE)+VLOOKUP($A300,A:AL,16,FALSE)-50</f>
        <v>284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3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294</v>
      </c>
      <c r="V300" s="3">
        <v>306</v>
      </c>
      <c r="W300" s="3">
        <f>IF(ISERROR(VLOOKUP($A300,'SegEnds_NonXtal_BW#'!$A:$Z,16,FALSE)+VLOOKUP($A300,A:AL,22,FALSE)-50),"-",(VLOOKUP($A300,'SegEnds_NonXtal_BW#'!$A:$Z,16,FALSE)+VLOOKUP($A300,A:AL,22,FALSE)-50))</f>
        <v>324</v>
      </c>
      <c r="X300" s="3">
        <f>IF(ISERROR(VLOOKUP($A300,'SegEnds_NonXtal_BW#'!$A:$Z,17,FALSE)+VLOOKUP($A300,A:AL,25,FALSE)-50),"-",(VLOOKUP($A300,'SegEnds_NonXtal_BW#'!$A:$Z,17,FALSE)+VLOOKUP($A300,A:AL,25,FALSE)-50))</f>
        <v>329</v>
      </c>
      <c r="Y300" s="3">
        <v>329</v>
      </c>
      <c r="Z300" s="3">
        <f t="shared" si="183"/>
        <v>331</v>
      </c>
      <c r="AA300" s="3">
        <f>IF(ISERROR(VLOOKUP($A300,'SegEnds_NonXtal_BW#'!$A:$Z,19,FALSE)+VLOOKUP($A300,A:AL,28,FALSE)-50),"-",(VLOOKUP($A300,'SegEnds_NonXtal_BW#'!$A:$Z,19,FALSE)+VLOOKUP($A300,A:AL,28,FALSE)-50))</f>
        <v>334</v>
      </c>
      <c r="AB300" s="3">
        <v>348</v>
      </c>
      <c r="AC300" s="3">
        <f>IF(ISERROR((VLOOKUP($A300,'SegEnds_NonXtal_BW#'!$A:$Z,20,FALSE)+VLOOKUP($A300,A:AL,28,FALSE)-50)),"-",(VLOOKUP($A300,'SegEnds_NonXtal_BW#'!$A:$Z,20,FALSE)+VLOOKUP($A300,A:AL,28,FALSE)-50))</f>
        <v>367</v>
      </c>
      <c r="AD300" s="3">
        <f>IF(ISERROR(VLOOKUP($A300,'SegEnds_NonXtal_BW#'!$A:$Z,21,FALSE)+VLOOKUP($A300,A:AL,31,FALSE)-50),"-",(VLOOKUP($A300,'SegEnds_NonXtal_BW#'!$A:$Z,21,FALSE)+VLOOKUP($A300,A:AL,31,FALSE)-50))</f>
        <v>379</v>
      </c>
      <c r="AE300" s="3">
        <v>400</v>
      </c>
      <c r="AF300" s="3">
        <f>IF(ISERROR((VLOOKUP($A300,'SegEnds_NonXtal_BW#'!$A:$Z,22,FALSE)+VLOOKUP($A300,A:AL,31,FALSE)-50)),"-",(VLOOKUP($A300,'SegEnds_NonXtal_BW#'!$A:$Z,22,FALSE)+VLOOKUP($A300,A:AL,31,FALSE)-50))</f>
        <v>408</v>
      </c>
      <c r="AG300" s="3">
        <f>IF(ISERROR(VLOOKUP($A300,'SegEnds_NonXtal_BW#'!$A:$Z,23,FALSE)+VLOOKUP($A300,A:AL,34,FALSE)-50),"-",(VLOOKUP($A300,'SegEnds_NonXtal_BW#'!$A:$Z,23,FALSE)+VLOOKUP($A300,A:AL,34,FALSE)-50))</f>
        <v>409</v>
      </c>
      <c r="AH300" s="3">
        <v>432</v>
      </c>
      <c r="AI300" s="3">
        <f>IF(ISERROR((VLOOKUP($A300,'SegEnds_NonXtal_BW#'!$A:$Z,24,FALSE)+VLOOKUP($A300,A:AL,34,FALSE)-50)),"-",(VLOOKUP($A300,'SegEnds_NonXtal_BW#'!$A:$Z,24,FALSE)+VLOOKUP($A300,A:AL,34,FALSE)-50))</f>
        <v>438</v>
      </c>
      <c r="AJ300" s="3">
        <f>IF(ISERROR(VLOOKUP($A300,'SegEnds_NonXtal_BW#'!$A:$Z,25,FALSE)+VLOOKUP($A300,A:AL,37,FALSE)-50),"-",(VLOOKUP($A300,'SegEnds_NonXtal_BW#'!$A:$Z,25,FALSE)+VLOOKUP($A300,A:AL,37,FALSE)-50))</f>
        <v>439</v>
      </c>
      <c r="AK300" s="3">
        <v>442</v>
      </c>
      <c r="AL300" s="3">
        <f>IF(ISERROR((VLOOKUP($A300,'SegEnds_NonXtal_BW#'!$A:$Z,26,FALSE)+VLOOKUP($A300,A:AL,37,FALSE)-50)),"-",(VLOOKUP($A300,'SegEnds_NonXtal_BW#'!$A:$Z,26,FALSE)+VLOOKUP($A300,A:AL,37,FALSE)-50))</f>
        <v>455</v>
      </c>
      <c r="AM300" s="28" t="str">
        <f>VLOOKUP(A300,Classification!A:B,2,FALSE)</f>
        <v>B2</v>
      </c>
      <c r="AN300" s="28" t="b">
        <f t="shared" si="173"/>
        <v>1</v>
      </c>
      <c r="AO300" s="3" t="str">
        <f>IF(ISERROR(MATCH(A300,'SegEnds_Xtal_Prot#'!B:B, 0)), "NoXtal", "Xtal")</f>
        <v>NoXtal</v>
      </c>
      <c r="AP300" s="3">
        <f t="shared" si="153"/>
        <v>1</v>
      </c>
      <c r="AQ300" s="3">
        <f t="shared" si="154"/>
        <v>1</v>
      </c>
      <c r="AR300" s="3" t="str">
        <f t="shared" si="155"/>
        <v>-</v>
      </c>
      <c r="AS300" s="3" t="str">
        <f t="shared" si="156"/>
        <v>-</v>
      </c>
      <c r="AT300" s="3" t="str">
        <f t="shared" si="157"/>
        <v>-</v>
      </c>
      <c r="AU300" s="3" t="str">
        <f t="shared" si="158"/>
        <v>-</v>
      </c>
      <c r="AV300" s="3">
        <f t="shared" si="159"/>
        <v>5</v>
      </c>
      <c r="AW300" s="3">
        <f t="shared" si="160"/>
        <v>3</v>
      </c>
      <c r="AX300" s="3">
        <f t="shared" si="161"/>
        <v>12</v>
      </c>
      <c r="AY300" s="3">
        <f t="shared" si="162"/>
        <v>1</v>
      </c>
      <c r="AZ300" s="3">
        <f t="shared" si="163"/>
        <v>1</v>
      </c>
      <c r="BA300" s="3">
        <f>IF(ISERROR(LEN(VLOOKUP(A300,Seqs!A:E,2,FALSE))-AL300),"-",LEN(VLOOKUP(A300,Seqs!A:E,2,FALSE))-AL300)</f>
        <v>2</v>
      </c>
      <c r="BB300" s="16">
        <f t="shared" si="164"/>
        <v>28</v>
      </c>
      <c r="BC300" s="9" t="str">
        <f t="shared" si="165"/>
        <v>-</v>
      </c>
      <c r="BD300" s="3">
        <f t="shared" si="166"/>
        <v>28</v>
      </c>
      <c r="BE300" s="3">
        <f t="shared" si="167"/>
        <v>52</v>
      </c>
      <c r="BF300" s="3">
        <f>AH300-AE300</f>
        <v>32</v>
      </c>
    </row>
    <row r="301" spans="1:59" s="3" customFormat="1" x14ac:dyDescent="0.2">
      <c r="A301" s="3" t="s">
        <v>1188</v>
      </c>
      <c r="B301" s="3" t="str">
        <f>LOWER(VLOOKUP(A301,Xtal_Templ!A:B,2,FALSE))</f>
        <v>crfr1_human</v>
      </c>
      <c r="C301" s="3">
        <f>VLOOKUP($A301,'SegEnds_NonXtal_BW#'!$A:$Z,3,FALSE)+D301-50</f>
        <v>573</v>
      </c>
      <c r="D301" s="3">
        <v>600</v>
      </c>
      <c r="E301" s="3">
        <f>IF(ISERROR(VLOOKUP($A301,'SegEnds_NonXtal_BW#'!$A:$Z,4,FALSE)+VLOOKUP($A301,A:AL,4,FALSE)-50),"-",(VLOOKUP($A301,'SegEnds_NonXtal_BW#'!$A:$Z,4,FALSE)+VLOOKUP($A301,A:AL,4,FALSE)-50))</f>
        <v>610</v>
      </c>
      <c r="F301" s="3" t="s">
        <v>23</v>
      </c>
      <c r="G301" s="3" t="s">
        <v>23</v>
      </c>
      <c r="H301" s="3" t="s">
        <v>23</v>
      </c>
      <c r="I301" s="3">
        <f>VLOOKUP($A301,'SegEnds_NonXtal_BW#'!$A:$Z,7,FALSE)+J301-50</f>
        <v>618</v>
      </c>
      <c r="J301" s="3">
        <v>631</v>
      </c>
      <c r="K301" s="3">
        <f>VLOOKUP($A301,'SegEnds_NonXtal_BW#'!$A:$Z,8,FALSE)+VLOOKUP($A301,A:AL,10,FALSE)-50</f>
        <v>644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655</v>
      </c>
      <c r="P301" s="3">
        <v>682</v>
      </c>
      <c r="Q301" s="3">
        <f>VLOOKUP($A301,'SegEnds_NonXtal_BW#'!$A:$Z,12,FALSE)+VLOOKUP($A301,A:AL,16,FALSE)-50</f>
        <v>688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3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697</v>
      </c>
      <c r="V301" s="3">
        <v>707</v>
      </c>
      <c r="W301" s="3">
        <f>IF(ISERROR(VLOOKUP($A301,'SegEnds_NonXtal_BW#'!$A:$Z,16,FALSE)+VLOOKUP($A301,A:AL,22,FALSE)-50),"-",(VLOOKUP($A301,'SegEnds_NonXtal_BW#'!$A:$Z,16,FALSE)+VLOOKUP($A301,A:AL,22,FALSE)-50))</f>
        <v>725</v>
      </c>
      <c r="X301" s="3">
        <f>IF(ISERROR(VLOOKUP($A301,'SegEnds_NonXtal_BW#'!$A:$Z,17,FALSE)+VLOOKUP($A301,A:AL,25,FALSE)-50),"-",(VLOOKUP($A301,'SegEnds_NonXtal_BW#'!$A:$Z,17,FALSE)+VLOOKUP($A301,A:AL,25,FALSE)-50))</f>
        <v>733</v>
      </c>
      <c r="Y301" s="3">
        <v>733</v>
      </c>
      <c r="Z301" s="3">
        <f t="shared" si="183"/>
        <v>735</v>
      </c>
      <c r="AA301" s="3">
        <f>IF(ISERROR(VLOOKUP($A301,'SegEnds_NonXtal_BW#'!$A:$Z,19,FALSE)+VLOOKUP($A301,A:AL,28,FALSE)-50),"-",(VLOOKUP($A301,'SegEnds_NonXtal_BW#'!$A:$Z,19,FALSE)+VLOOKUP($A301,A:AL,28,FALSE)-50))</f>
        <v>740</v>
      </c>
      <c r="AB301" s="3">
        <v>754</v>
      </c>
      <c r="AC301" s="3">
        <f>IF(ISERROR((VLOOKUP($A301,'SegEnds_NonXtal_BW#'!$A:$Z,20,FALSE)+VLOOKUP($A301,A:AL,28,FALSE)-50)),"-",(VLOOKUP($A301,'SegEnds_NonXtal_BW#'!$A:$Z,20,FALSE)+VLOOKUP($A301,A:AL,28,FALSE)-50))</f>
        <v>773</v>
      </c>
      <c r="AD301" s="3">
        <f>IF(ISERROR(VLOOKUP($A301,'SegEnds_NonXtal_BW#'!$A:$Z,21,FALSE)+VLOOKUP($A301,A:AL,31,FALSE)-50),"-",(VLOOKUP($A301,'SegEnds_NonXtal_BW#'!$A:$Z,21,FALSE)+VLOOKUP($A301,A:AL,31,FALSE)-50))</f>
        <v>785</v>
      </c>
      <c r="AE301" s="3">
        <v>806</v>
      </c>
      <c r="AF301" s="3">
        <f>IF(ISERROR((VLOOKUP($A301,'SegEnds_NonXtal_BW#'!$A:$Z,22,FALSE)+VLOOKUP($A301,A:AL,31,FALSE)-50)),"-",(VLOOKUP($A301,'SegEnds_NonXtal_BW#'!$A:$Z,22,FALSE)+VLOOKUP($A301,A:AL,31,FALSE)-50))</f>
        <v>809</v>
      </c>
      <c r="AG301" s="3">
        <f>IF(ISERROR(VLOOKUP($A301,'SegEnds_NonXtal_BW#'!$A:$Z,23,FALSE)+VLOOKUP($A301,A:AL,34,FALSE)-50),"-",(VLOOKUP($A301,'SegEnds_NonXtal_BW#'!$A:$Z,23,FALSE)+VLOOKUP($A301,A:AL,34,FALSE)-50))</f>
        <v>816</v>
      </c>
      <c r="AH301" s="3">
        <v>835</v>
      </c>
      <c r="AI301" s="3">
        <f>IF(ISERROR((VLOOKUP($A301,'SegEnds_NonXtal_BW#'!$A:$Z,24,FALSE)+VLOOKUP($A301,A:AL,34,FALSE)-50)),"-",(VLOOKUP($A301,'SegEnds_NonXtal_BW#'!$A:$Z,24,FALSE)+VLOOKUP($A301,A:AL,34,FALSE)-50))</f>
        <v>841</v>
      </c>
      <c r="AJ301" s="3">
        <f>IF(ISERROR(VLOOKUP($A301,'SegEnds_NonXtal_BW#'!$A:$Z,25,FALSE)+VLOOKUP($A301,A:AL,37,FALSE)-50),"-",(VLOOKUP($A301,'SegEnds_NonXtal_BW#'!$A:$Z,25,FALSE)+VLOOKUP($A301,A:AL,37,FALSE)-50))</f>
        <v>842</v>
      </c>
      <c r="AK301" s="3">
        <v>845</v>
      </c>
      <c r="AL301" s="3">
        <f>IF(ISERROR((VLOOKUP($A301,'SegEnds_NonXtal_BW#'!$A:$Z,26,FALSE)+VLOOKUP($A301,A:AL,37,FALSE)-50)),"-",(VLOOKUP($A301,'SegEnds_NonXtal_BW#'!$A:$Z,26,FALSE)+VLOOKUP($A301,A:AL,37,FALSE)-50))</f>
        <v>858</v>
      </c>
      <c r="AM301" s="28" t="str">
        <f>VLOOKUP(A301,Classification!A:B,2,FALSE)</f>
        <v>B2</v>
      </c>
      <c r="AN301" s="28" t="b">
        <f t="shared" si="173"/>
        <v>1</v>
      </c>
      <c r="AO301" s="3" t="str">
        <f>IF(ISERROR(MATCH(A301,'SegEnds_Xtal_Prot#'!B:B, 0)), "NoXtal", "Xtal")</f>
        <v>NoXtal</v>
      </c>
      <c r="AP301" s="3" t="str">
        <f t="shared" si="153"/>
        <v>-</v>
      </c>
      <c r="AQ301" s="3" t="str">
        <f t="shared" si="154"/>
        <v>-</v>
      </c>
      <c r="AR301" s="3" t="str">
        <f t="shared" si="155"/>
        <v>-</v>
      </c>
      <c r="AS301" s="3" t="str">
        <f t="shared" si="156"/>
        <v>-</v>
      </c>
      <c r="AT301" s="3" t="str">
        <f t="shared" si="157"/>
        <v>-</v>
      </c>
      <c r="AU301" s="3" t="str">
        <f t="shared" si="158"/>
        <v>-</v>
      </c>
      <c r="AV301" s="3">
        <f t="shared" si="159"/>
        <v>8</v>
      </c>
      <c r="AW301" s="3">
        <f t="shared" si="160"/>
        <v>5</v>
      </c>
      <c r="AX301" s="3">
        <f t="shared" si="161"/>
        <v>12</v>
      </c>
      <c r="AY301" s="3">
        <f t="shared" si="162"/>
        <v>7</v>
      </c>
      <c r="AZ301" s="3">
        <f t="shared" si="163"/>
        <v>1</v>
      </c>
      <c r="BA301" s="3">
        <f>IF(ISERROR(LEN(VLOOKUP(A301,Seqs!A:E,2,FALSE))-AL301),"-",LEN(VLOOKUP(A301,Seqs!A:E,2,FALSE))-AL301)</f>
        <v>52</v>
      </c>
      <c r="BB301" s="16">
        <f t="shared" si="164"/>
        <v>31</v>
      </c>
      <c r="BC301" s="9" t="str">
        <f t="shared" si="165"/>
        <v>-</v>
      </c>
      <c r="BD301" s="3">
        <f t="shared" si="166"/>
        <v>31</v>
      </c>
      <c r="BE301" s="3">
        <f t="shared" si="167"/>
        <v>52</v>
      </c>
    </row>
    <row r="302" spans="1:59" s="3" customFormat="1" x14ac:dyDescent="0.2">
      <c r="A302" s="3" t="s">
        <v>1189</v>
      </c>
      <c r="B302" s="3" t="str">
        <f>LOWER(VLOOKUP(A302,Xtal_Templ!A:B,2,FALSE))</f>
        <v>calcr_human</v>
      </c>
      <c r="C302" s="3">
        <f>VLOOKUP($A302,'SegEnds_NonXtal_BW#'!$A:$Z,3,FALSE)+D302-50</f>
        <v>434</v>
      </c>
      <c r="D302" s="3">
        <v>461</v>
      </c>
      <c r="E302" s="3">
        <f>IF(ISERROR(VLOOKUP($A302,'SegEnds_NonXtal_BW#'!$A:$Z,4,FALSE)+VLOOKUP($A302,A:AL,4,FALSE)-50),"-",(VLOOKUP($A302,'SegEnds_NonXtal_BW#'!$A:$Z,4,FALSE)+VLOOKUP($A302,A:AL,4,FALSE)-50))</f>
        <v>471</v>
      </c>
      <c r="F302" s="3" t="s">
        <v>23</v>
      </c>
      <c r="G302" s="3" t="s">
        <v>23</v>
      </c>
      <c r="H302" s="3" t="s">
        <v>23</v>
      </c>
      <c r="I302" s="3">
        <f>VLOOKUP($A302,'SegEnds_NonXtal_BW#'!$A:$Z,7,FALSE)+J302-50</f>
        <v>479</v>
      </c>
      <c r="J302" s="3">
        <v>492</v>
      </c>
      <c r="K302" s="3">
        <f>VLOOKUP($A302,'SegEnds_NonXtal_BW#'!$A:$Z,8,FALSE)+VLOOKUP($A302,A:AL,10,FALSE)-50</f>
        <v>505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516</v>
      </c>
      <c r="P302" s="3">
        <v>543</v>
      </c>
      <c r="Q302" s="3">
        <f>VLOOKUP($A302,'SegEnds_NonXtal_BW#'!$A:$Z,12,FALSE)+VLOOKUP($A302,A:AL,16,FALSE)-50</f>
        <v>549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3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559</v>
      </c>
      <c r="V302" s="3">
        <v>568</v>
      </c>
      <c r="W302" s="3">
        <f>IF(ISERROR(VLOOKUP($A302,'SegEnds_NonXtal_BW#'!$A:$Z,16,FALSE)+VLOOKUP($A302,A:AL,22,FALSE)-50),"-",(VLOOKUP($A302,'SegEnds_NonXtal_BW#'!$A:$Z,16,FALSE)+VLOOKUP($A302,A:AL,22,FALSE)-50))</f>
        <v>586</v>
      </c>
      <c r="X302" s="3">
        <f>IF(ISERROR(VLOOKUP($A302,'SegEnds_NonXtal_BW#'!$A:$Z,17,FALSE)+VLOOKUP($A302,A:AL,25,FALSE)-50),"-",(VLOOKUP($A302,'SegEnds_NonXtal_BW#'!$A:$Z,17,FALSE)+VLOOKUP($A302,A:AL,25,FALSE)-50))</f>
        <v>594</v>
      </c>
      <c r="Y302" s="3">
        <v>594</v>
      </c>
      <c r="Z302" s="3">
        <f t="shared" si="183"/>
        <v>596</v>
      </c>
      <c r="AA302" s="3">
        <f>IF(ISERROR(VLOOKUP($A302,'SegEnds_NonXtal_BW#'!$A:$Z,19,FALSE)+VLOOKUP($A302,A:AL,28,FALSE)-50),"-",(VLOOKUP($A302,'SegEnds_NonXtal_BW#'!$A:$Z,19,FALSE)+VLOOKUP($A302,A:AL,28,FALSE)-50))</f>
        <v>600</v>
      </c>
      <c r="AB302" s="3">
        <v>614</v>
      </c>
      <c r="AC302" s="3">
        <f>IF(ISERROR((VLOOKUP($A302,'SegEnds_NonXtal_BW#'!$A:$Z,20,FALSE)+VLOOKUP($A302,A:AL,28,FALSE)-50)),"-",(VLOOKUP($A302,'SegEnds_NonXtal_BW#'!$A:$Z,20,FALSE)+VLOOKUP($A302,A:AL,28,FALSE)-50))</f>
        <v>633</v>
      </c>
      <c r="AD302" s="3">
        <f>IF(ISERROR(VLOOKUP($A302,'SegEnds_NonXtal_BW#'!$A:$Z,21,FALSE)+VLOOKUP($A302,A:AL,31,FALSE)-50),"-",(VLOOKUP($A302,'SegEnds_NonXtal_BW#'!$A:$Z,21,FALSE)+VLOOKUP($A302,A:AL,31,FALSE)-50))</f>
        <v>650</v>
      </c>
      <c r="AE302" s="3">
        <v>671</v>
      </c>
      <c r="AF302" s="3">
        <f>IF(ISERROR((VLOOKUP($A302,'SegEnds_NonXtal_BW#'!$A:$Z,22,FALSE)+VLOOKUP($A302,A:AL,31,FALSE)-50)),"-",(VLOOKUP($A302,'SegEnds_NonXtal_BW#'!$A:$Z,22,FALSE)+VLOOKUP($A302,A:AL,31,FALSE)-50))</f>
        <v>674</v>
      </c>
      <c r="AG302" s="3">
        <f>IF(ISERROR(VLOOKUP($A302,'SegEnds_NonXtal_BW#'!$A:$Z,23,FALSE)+VLOOKUP($A302,A:AL,34,FALSE)-50),"-",(VLOOKUP($A302,'SegEnds_NonXtal_BW#'!$A:$Z,23,FALSE)+VLOOKUP($A302,A:AL,34,FALSE)-50))</f>
        <v>675</v>
      </c>
      <c r="AH302" s="3">
        <v>694</v>
      </c>
      <c r="AI302" s="3">
        <f>IF(ISERROR((VLOOKUP($A302,'SegEnds_NonXtal_BW#'!$A:$Z,24,FALSE)+VLOOKUP($A302,A:AL,34,FALSE)-50)),"-",(VLOOKUP($A302,'SegEnds_NonXtal_BW#'!$A:$Z,24,FALSE)+VLOOKUP($A302,A:AL,34,FALSE)-50))</f>
        <v>700</v>
      </c>
      <c r="AJ302" s="3" t="s">
        <v>23</v>
      </c>
      <c r="AK302" s="3" t="s">
        <v>23</v>
      </c>
      <c r="AL302" s="3" t="s">
        <v>23</v>
      </c>
      <c r="AM302" s="28" t="str">
        <f>VLOOKUP(A302,Classification!A:B,2,FALSE)</f>
        <v>B2</v>
      </c>
      <c r="AN302" s="28" t="b">
        <f t="shared" si="173"/>
        <v>1</v>
      </c>
      <c r="AO302" s="3" t="str">
        <f>IF(ISERROR(MATCH(A302,'SegEnds_Xtal_Prot#'!B:B, 0)), "NoXtal", "Xtal")</f>
        <v>NoXtal</v>
      </c>
      <c r="AP302" s="3" t="str">
        <f t="shared" si="153"/>
        <v>-</v>
      </c>
      <c r="AQ302" s="3" t="str">
        <f t="shared" si="154"/>
        <v>-</v>
      </c>
      <c r="AR302" s="3" t="str">
        <f t="shared" si="155"/>
        <v>-</v>
      </c>
      <c r="AS302" s="3" t="str">
        <f t="shared" si="156"/>
        <v>-</v>
      </c>
      <c r="AT302" s="3" t="str">
        <f t="shared" si="157"/>
        <v>-</v>
      </c>
      <c r="AU302" s="3" t="str">
        <f t="shared" si="158"/>
        <v>-</v>
      </c>
      <c r="AV302" s="3">
        <f t="shared" si="159"/>
        <v>8</v>
      </c>
      <c r="AW302" s="3">
        <f t="shared" si="160"/>
        <v>4</v>
      </c>
      <c r="AX302" s="3">
        <f t="shared" si="161"/>
        <v>17</v>
      </c>
      <c r="AY302" s="3">
        <f t="shared" si="162"/>
        <v>1</v>
      </c>
      <c r="AZ302" s="3" t="str">
        <f t="shared" si="163"/>
        <v>-</v>
      </c>
      <c r="BA302" s="3" t="str">
        <f>IF(ISERROR(LEN(VLOOKUP(A302,Seqs!A:E,2,FALSE))-AL302),"-",LEN(VLOOKUP(A302,Seqs!A:E,2,FALSE))-AL302)</f>
        <v>-</v>
      </c>
      <c r="BB302" s="16">
        <f t="shared" si="164"/>
        <v>31</v>
      </c>
      <c r="BC302" s="9" t="str">
        <f t="shared" si="165"/>
        <v>-</v>
      </c>
      <c r="BD302" s="3">
        <f t="shared" si="166"/>
        <v>31</v>
      </c>
      <c r="BE302" s="3">
        <f t="shared" si="167"/>
        <v>57</v>
      </c>
      <c r="BF302" s="3">
        <f>AH302-AE302</f>
        <v>23</v>
      </c>
      <c r="BG302" s="3" t="s">
        <v>1312</v>
      </c>
    </row>
    <row r="303" spans="1:59" s="3" customFormat="1" x14ac:dyDescent="0.2">
      <c r="A303" s="3" t="s">
        <v>1190</v>
      </c>
      <c r="B303" s="3" t="str">
        <f>LOWER(VLOOKUP(A303,Xtal_Templ!A:B,2,FALSE))</f>
        <v>crfr1_human</v>
      </c>
      <c r="C303" s="3">
        <f>VLOOKUP($A303,'SegEnds_NonXtal_BW#'!$A:$Z,3,FALSE)+D303-50</f>
        <v>758</v>
      </c>
      <c r="D303" s="3">
        <v>785</v>
      </c>
      <c r="E303" s="3">
        <f>IF(ISERROR(VLOOKUP($A303,'SegEnds_NonXtal_BW#'!$A:$Z,4,FALSE)+VLOOKUP($A303,A:AL,4,FALSE)-50),"-",(VLOOKUP($A303,'SegEnds_NonXtal_BW#'!$A:$Z,4,FALSE)+VLOOKUP($A303,A:AL,4,FALSE)-50))</f>
        <v>795</v>
      </c>
      <c r="F303" s="3" t="s">
        <v>23</v>
      </c>
      <c r="G303" s="3" t="s">
        <v>23</v>
      </c>
      <c r="H303" s="3" t="s">
        <v>23</v>
      </c>
      <c r="I303" s="3">
        <f>VLOOKUP($A303,'SegEnds_NonXtal_BW#'!$A:$Z,7,FALSE)+J303-50</f>
        <v>803</v>
      </c>
      <c r="J303" s="3">
        <v>816</v>
      </c>
      <c r="K303" s="3">
        <f>VLOOKUP($A303,'SegEnds_NonXtal_BW#'!$A:$Z,8,FALSE)+VLOOKUP($A303,A:AL,10,FALSE)-50</f>
        <v>829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839</v>
      </c>
      <c r="P303" s="3">
        <v>866</v>
      </c>
      <c r="Q303" s="3">
        <f>VLOOKUP($A303,'SegEnds_NonXtal_BW#'!$A:$Z,12,FALSE)+VLOOKUP($A303,A:AL,16,FALSE)-50</f>
        <v>872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3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881</v>
      </c>
      <c r="V303" s="3">
        <v>891</v>
      </c>
      <c r="W303" s="3">
        <f>IF(ISERROR(VLOOKUP($A303,'SegEnds_NonXtal_BW#'!$A:$Z,16,FALSE)+VLOOKUP($A303,A:AL,22,FALSE)-50),"-",(VLOOKUP($A303,'SegEnds_NonXtal_BW#'!$A:$Z,16,FALSE)+VLOOKUP($A303,A:AL,22,FALSE)-50))</f>
        <v>909</v>
      </c>
      <c r="X303" s="3">
        <f>IF(ISERROR(VLOOKUP($A303,'SegEnds_NonXtal_BW#'!$A:$Z,17,FALSE)+VLOOKUP($A303,A:AL,25,FALSE)-50),"-",(VLOOKUP($A303,'SegEnds_NonXtal_BW#'!$A:$Z,17,FALSE)+VLOOKUP($A303,A:AL,25,FALSE)-50))</f>
        <v>917</v>
      </c>
      <c r="Y303" s="3">
        <v>917</v>
      </c>
      <c r="Z303" s="3">
        <f t="shared" si="183"/>
        <v>919</v>
      </c>
      <c r="AA303" s="3">
        <f>IF(ISERROR(VLOOKUP($A303,'SegEnds_NonXtal_BW#'!$A:$Z,19,FALSE)+VLOOKUP($A303,A:AL,28,FALSE)-50),"-",(VLOOKUP($A303,'SegEnds_NonXtal_BW#'!$A:$Z,19,FALSE)+VLOOKUP($A303,A:AL,28,FALSE)-50))</f>
        <v>922</v>
      </c>
      <c r="AB303" s="3">
        <v>936</v>
      </c>
      <c r="AC303" s="3">
        <f>IF(ISERROR((VLOOKUP($A303,'SegEnds_NonXtal_BW#'!$A:$Z,20,FALSE)+VLOOKUP($A303,A:AL,28,FALSE)-50)),"-",(VLOOKUP($A303,'SegEnds_NonXtal_BW#'!$A:$Z,20,FALSE)+VLOOKUP($A303,A:AL,28,FALSE)-50))</f>
        <v>955</v>
      </c>
      <c r="AD303" s="3">
        <f>IF(ISERROR(VLOOKUP($A303,'SegEnds_NonXtal_BW#'!$A:$Z,21,FALSE)+VLOOKUP($A303,A:AL,31,FALSE)-50),"-",(VLOOKUP($A303,'SegEnds_NonXtal_BW#'!$A:$Z,21,FALSE)+VLOOKUP($A303,A:AL,31,FALSE)-50))</f>
        <v>967</v>
      </c>
      <c r="AE303" s="3">
        <v>988</v>
      </c>
      <c r="AF303" s="3">
        <f>IF(ISERROR((VLOOKUP($A303,'SegEnds_NonXtal_BW#'!$A:$Z,22,FALSE)+VLOOKUP($A303,A:AL,31,FALSE)-50)),"-",(VLOOKUP($A303,'SegEnds_NonXtal_BW#'!$A:$Z,22,FALSE)+VLOOKUP($A303,A:AL,31,FALSE)-50))</f>
        <v>991</v>
      </c>
      <c r="AG303" s="3">
        <f>IF(ISERROR(VLOOKUP($A303,'SegEnds_NonXtal_BW#'!$A:$Z,23,FALSE)+VLOOKUP($A303,A:AL,34,FALSE)-50),"-",(VLOOKUP($A303,'SegEnds_NonXtal_BW#'!$A:$Z,23,FALSE)+VLOOKUP($A303,A:AL,34,FALSE)-50))</f>
        <v>998</v>
      </c>
      <c r="AH303" s="3">
        <v>1017</v>
      </c>
      <c r="AI303" s="3">
        <f>IF(ISERROR((VLOOKUP($A303,'SegEnds_NonXtal_BW#'!$A:$Z,24,FALSE)+VLOOKUP($A303,A:AL,34,FALSE)-50)),"-",(VLOOKUP($A303,'SegEnds_NonXtal_BW#'!$A:$Z,24,FALSE)+VLOOKUP($A303,A:AL,34,FALSE)-50))</f>
        <v>1023</v>
      </c>
      <c r="AJ303" s="3">
        <f>IF(ISERROR(VLOOKUP($A303,'SegEnds_NonXtal_BW#'!$A:$Z,25,FALSE)+VLOOKUP($A303,A:AL,37,FALSE)-50),"-",(VLOOKUP($A303,'SegEnds_NonXtal_BW#'!$A:$Z,25,FALSE)+VLOOKUP($A303,A:AL,37,FALSE)-50))</f>
        <v>1024</v>
      </c>
      <c r="AK303" s="3">
        <v>1027</v>
      </c>
      <c r="AL303" s="3">
        <f>IF(ISERROR((VLOOKUP($A303,'SegEnds_NonXtal_BW#'!$A:$Z,26,FALSE)+VLOOKUP($A303,A:AL,37,FALSE)-50)),"-",(VLOOKUP($A303,'SegEnds_NonXtal_BW#'!$A:$Z,26,FALSE)+VLOOKUP($A303,A:AL,37,FALSE)-50))</f>
        <v>1040</v>
      </c>
      <c r="AM303" s="28" t="str">
        <f>VLOOKUP(A303,Classification!A:B,2,FALSE)</f>
        <v>B2</v>
      </c>
      <c r="AN303" s="28" t="b">
        <f t="shared" si="173"/>
        <v>1</v>
      </c>
      <c r="AO303" s="3" t="str">
        <f>IF(ISERROR(MATCH(A303,'SegEnds_Xtal_Prot#'!B:B, 0)), "NoXtal", "Xtal")</f>
        <v>NoXtal</v>
      </c>
      <c r="AP303" s="3" t="str">
        <f t="shared" si="153"/>
        <v>-</v>
      </c>
      <c r="AQ303" s="3" t="str">
        <f t="shared" si="154"/>
        <v>-</v>
      </c>
      <c r="AR303" s="3" t="str">
        <f t="shared" si="155"/>
        <v>-</v>
      </c>
      <c r="AS303" s="3" t="str">
        <f t="shared" si="156"/>
        <v>-</v>
      </c>
      <c r="AT303" s="3" t="str">
        <f t="shared" si="157"/>
        <v>-</v>
      </c>
      <c r="AU303" s="3" t="str">
        <f t="shared" si="158"/>
        <v>-</v>
      </c>
      <c r="AV303" s="3">
        <f t="shared" si="159"/>
        <v>8</v>
      </c>
      <c r="AW303" s="3">
        <f t="shared" si="160"/>
        <v>3</v>
      </c>
      <c r="AX303" s="3">
        <f t="shared" si="161"/>
        <v>12</v>
      </c>
      <c r="AY303" s="3">
        <f t="shared" si="162"/>
        <v>7</v>
      </c>
      <c r="AZ303" s="3">
        <f t="shared" si="163"/>
        <v>1</v>
      </c>
      <c r="BA303" s="3">
        <f>IF(ISERROR(LEN(VLOOKUP(A303,Seqs!A:E,2,FALSE))-AL303),"-",LEN(VLOOKUP(A303,Seqs!A:E,2,FALSE))-AL303)</f>
        <v>39</v>
      </c>
      <c r="BB303" s="16">
        <f t="shared" si="164"/>
        <v>31</v>
      </c>
      <c r="BC303" s="9" t="str">
        <f t="shared" si="165"/>
        <v>-</v>
      </c>
      <c r="BD303" s="3">
        <f t="shared" si="166"/>
        <v>31</v>
      </c>
      <c r="BE303" s="3">
        <f t="shared" si="167"/>
        <v>52</v>
      </c>
    </row>
    <row r="304" spans="1:59" s="3" customFormat="1" x14ac:dyDescent="0.2">
      <c r="A304" s="3" t="s">
        <v>1191</v>
      </c>
      <c r="B304" s="3" t="str">
        <f>LOWER(VLOOKUP(A304,Xtal_Templ!A:B,2,FALSE))</f>
        <v>crfr1_human</v>
      </c>
      <c r="C304" s="3">
        <f>VLOOKUP($A304,'SegEnds_NonXtal_BW#'!$A:$Z,3,FALSE)+D304-50</f>
        <v>389</v>
      </c>
      <c r="D304" s="3">
        <v>416</v>
      </c>
      <c r="E304" s="3">
        <f>IF(ISERROR(VLOOKUP($A304,'SegEnds_NonXtal_BW#'!$A:$Z,4,FALSE)+VLOOKUP($A304,A:AL,4,FALSE)-50),"-",(VLOOKUP($A304,'SegEnds_NonXtal_BW#'!$A:$Z,4,FALSE)+VLOOKUP($A304,A:AL,4,FALSE)-50))</f>
        <v>426</v>
      </c>
      <c r="F304" s="3" t="s">
        <v>23</v>
      </c>
      <c r="G304" s="3" t="s">
        <v>23</v>
      </c>
      <c r="H304" s="3" t="s">
        <v>23</v>
      </c>
      <c r="I304" s="3">
        <f>VLOOKUP($A304,'SegEnds_NonXtal_BW#'!$A:$Z,7,FALSE)+J304-50</f>
        <v>434</v>
      </c>
      <c r="J304" s="3">
        <v>447</v>
      </c>
      <c r="K304" s="3">
        <f>VLOOKUP($A304,'SegEnds_NonXtal_BW#'!$A:$Z,8,FALSE)+VLOOKUP($A304,A:AL,10,FALSE)-50</f>
        <v>460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471</v>
      </c>
      <c r="P304" s="3">
        <v>498</v>
      </c>
      <c r="Q304" s="3">
        <f>VLOOKUP($A304,'SegEnds_NonXtal_BW#'!$A:$Z,12,FALSE)+VLOOKUP($A304,A:AL,16,FALSE)-50</f>
        <v>504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3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513</v>
      </c>
      <c r="V304" s="3">
        <v>523</v>
      </c>
      <c r="W304" s="3">
        <f>IF(ISERROR(VLOOKUP($A304,'SegEnds_NonXtal_BW#'!$A:$Z,16,FALSE)+VLOOKUP($A304,A:AL,22,FALSE)-50),"-",(VLOOKUP($A304,'SegEnds_NonXtal_BW#'!$A:$Z,16,FALSE)+VLOOKUP($A304,A:AL,22,FALSE)-50))</f>
        <v>541</v>
      </c>
      <c r="X304" s="3">
        <f>IF(ISERROR(VLOOKUP($A304,'SegEnds_NonXtal_BW#'!$A:$Z,17,FALSE)+VLOOKUP($A304,A:AL,25,FALSE)-50),"-",(VLOOKUP($A304,'SegEnds_NonXtal_BW#'!$A:$Z,17,FALSE)+VLOOKUP($A304,A:AL,25,FALSE)-50))</f>
        <v>549</v>
      </c>
      <c r="Y304" s="3">
        <v>549</v>
      </c>
      <c r="Z304" s="3">
        <f t="shared" si="183"/>
        <v>551</v>
      </c>
      <c r="AA304" s="3">
        <f>IF(ISERROR(VLOOKUP($A304,'SegEnds_NonXtal_BW#'!$A:$Z,19,FALSE)+VLOOKUP($A304,A:AL,28,FALSE)-50),"-",(VLOOKUP($A304,'SegEnds_NonXtal_BW#'!$A:$Z,19,FALSE)+VLOOKUP($A304,A:AL,28,FALSE)-50))</f>
        <v>555</v>
      </c>
      <c r="AB304" s="3">
        <v>569</v>
      </c>
      <c r="AC304" s="3">
        <f>IF(ISERROR((VLOOKUP($A304,'SegEnds_NonXtal_BW#'!$A:$Z,20,FALSE)+VLOOKUP($A304,A:AL,28,FALSE)-50)),"-",(VLOOKUP($A304,'SegEnds_NonXtal_BW#'!$A:$Z,20,FALSE)+VLOOKUP($A304,A:AL,28,FALSE)-50))</f>
        <v>588</v>
      </c>
      <c r="AD304" s="3">
        <f>IF(ISERROR(VLOOKUP($A304,'SegEnds_NonXtal_BW#'!$A:$Z,21,FALSE)+VLOOKUP($A304,A:AL,31,FALSE)-50),"-",(VLOOKUP($A304,'SegEnds_NonXtal_BW#'!$A:$Z,21,FALSE)+VLOOKUP($A304,A:AL,31,FALSE)-50))</f>
        <v>599</v>
      </c>
      <c r="AE304" s="3">
        <v>620</v>
      </c>
      <c r="AF304" s="3">
        <f>IF(ISERROR((VLOOKUP($A304,'SegEnds_NonXtal_BW#'!$A:$Z,22,FALSE)+VLOOKUP($A304,A:AL,31,FALSE)-50)),"-",(VLOOKUP($A304,'SegEnds_NonXtal_BW#'!$A:$Z,22,FALSE)+VLOOKUP($A304,A:AL,31,FALSE)-50))</f>
        <v>623</v>
      </c>
      <c r="AG304" s="3">
        <f>IF(ISERROR(VLOOKUP($A304,'SegEnds_NonXtal_BW#'!$A:$Z,23,FALSE)+VLOOKUP($A304,A:AL,34,FALSE)-50),"-",(VLOOKUP($A304,'SegEnds_NonXtal_BW#'!$A:$Z,23,FALSE)+VLOOKUP($A304,A:AL,34,FALSE)-50))</f>
        <v>630</v>
      </c>
      <c r="AH304" s="3">
        <v>649</v>
      </c>
      <c r="AI304" s="3">
        <f>IF(ISERROR((VLOOKUP($A304,'SegEnds_NonXtal_BW#'!$A:$Z,24,FALSE)+VLOOKUP($A304,A:AL,34,FALSE)-50)),"-",(VLOOKUP($A304,'SegEnds_NonXtal_BW#'!$A:$Z,24,FALSE)+VLOOKUP($A304,A:AL,34,FALSE)-50))</f>
        <v>655</v>
      </c>
      <c r="AJ304" s="3">
        <f>IF(ISERROR(VLOOKUP($A304,'SegEnds_NonXtal_BW#'!$A:$Z,25,FALSE)+VLOOKUP($A304,A:AL,37,FALSE)-50),"-",(VLOOKUP($A304,'SegEnds_NonXtal_BW#'!$A:$Z,25,FALSE)+VLOOKUP($A304,A:AL,37,FALSE)-50))</f>
        <v>656</v>
      </c>
      <c r="AK304" s="3">
        <v>659</v>
      </c>
      <c r="AL304" s="3">
        <f>IF(ISERROR((VLOOKUP($A304,'SegEnds_NonXtal_BW#'!$A:$Z,26,FALSE)+VLOOKUP($A304,A:AL,37,FALSE)-50)),"-",(VLOOKUP($A304,'SegEnds_NonXtal_BW#'!$A:$Z,26,FALSE)+VLOOKUP($A304,A:AL,37,FALSE)-50))</f>
        <v>672</v>
      </c>
      <c r="AM304" s="28" t="str">
        <f>VLOOKUP(A304,Classification!A:B,2,FALSE)</f>
        <v>B2</v>
      </c>
      <c r="AN304" s="28" t="b">
        <f t="shared" si="173"/>
        <v>1</v>
      </c>
      <c r="AO304" s="3" t="str">
        <f>IF(ISERROR(MATCH(A304,'SegEnds_Xtal_Prot#'!B:B, 0)), "NoXtal", "Xtal")</f>
        <v>NoXtal</v>
      </c>
      <c r="AP304" s="3" t="str">
        <f t="shared" si="153"/>
        <v>-</v>
      </c>
      <c r="AQ304" s="3" t="str">
        <f t="shared" si="154"/>
        <v>-</v>
      </c>
      <c r="AR304" s="3" t="str">
        <f t="shared" si="155"/>
        <v>-</v>
      </c>
      <c r="AS304" s="3" t="str">
        <f t="shared" si="156"/>
        <v>-</v>
      </c>
      <c r="AT304" s="3" t="str">
        <f t="shared" si="157"/>
        <v>-</v>
      </c>
      <c r="AU304" s="3" t="str">
        <f t="shared" si="158"/>
        <v>-</v>
      </c>
      <c r="AV304" s="3">
        <f t="shared" si="159"/>
        <v>8</v>
      </c>
      <c r="AW304" s="3">
        <f t="shared" si="160"/>
        <v>4</v>
      </c>
      <c r="AX304" s="3">
        <f t="shared" si="161"/>
        <v>11</v>
      </c>
      <c r="AY304" s="3">
        <f t="shared" si="162"/>
        <v>7</v>
      </c>
      <c r="AZ304" s="3">
        <f t="shared" si="163"/>
        <v>1</v>
      </c>
      <c r="BA304" s="3">
        <f>IF(ISERROR(LEN(VLOOKUP(A304,Seqs!A:E,2,FALSE))-AL304),"-",LEN(VLOOKUP(A304,Seqs!A:E,2,FALSE))-AL304)</f>
        <v>23</v>
      </c>
      <c r="BB304" s="16">
        <f t="shared" si="164"/>
        <v>31</v>
      </c>
      <c r="BC304" s="9" t="str">
        <f t="shared" si="165"/>
        <v>-</v>
      </c>
      <c r="BD304" s="3">
        <f t="shared" si="166"/>
        <v>31</v>
      </c>
      <c r="BE304" s="3">
        <f t="shared" si="167"/>
        <v>51</v>
      </c>
      <c r="BF304" s="3">
        <f>AH304-AE304</f>
        <v>29</v>
      </c>
    </row>
    <row r="305" spans="1:58" s="3" customFormat="1" x14ac:dyDescent="0.2">
      <c r="A305" s="3" t="s">
        <v>1192</v>
      </c>
      <c r="B305" s="3" t="str">
        <f>LOWER(VLOOKUP(A305,Xtal_Templ!A:B,2,FALSE))</f>
        <v>crfr1_human</v>
      </c>
      <c r="C305" s="3">
        <f>VLOOKUP($A305,'SegEnds_NonXtal_BW#'!$A:$Z,3,FALSE)+D305-50</f>
        <v>1000</v>
      </c>
      <c r="D305" s="3">
        <v>1027</v>
      </c>
      <c r="E305" s="3">
        <f>IF(ISERROR(VLOOKUP($A305,'SegEnds_NonXtal_BW#'!$A:$Z,4,FALSE)+VLOOKUP($A305,A:AL,4,FALSE)-50),"-",(VLOOKUP($A305,'SegEnds_NonXtal_BW#'!$A:$Z,4,FALSE)+VLOOKUP($A305,A:AL,4,FALSE)-50))</f>
        <v>1037</v>
      </c>
      <c r="F305" s="3">
        <f>G305-2</f>
        <v>1039</v>
      </c>
      <c r="G305" s="3">
        <v>1041</v>
      </c>
      <c r="H305" s="3">
        <f>G305+1</f>
        <v>1042</v>
      </c>
      <c r="I305" s="3">
        <f>H305+1</f>
        <v>1043</v>
      </c>
      <c r="J305" s="3">
        <v>1058</v>
      </c>
      <c r="K305" s="3">
        <f>VLOOKUP($A305,'SegEnds_NonXtal_BW#'!$A:$Z,8,FALSE)+VLOOKUP($A305,A:AL,10,FALSE)-50</f>
        <v>1071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1084</v>
      </c>
      <c r="P305" s="3">
        <v>1111</v>
      </c>
      <c r="Q305" s="3">
        <f>VLOOKUP($A305,'SegEnds_NonXtal_BW#'!$A:$Z,12,FALSE)+VLOOKUP($A305,A:AL,16,FALSE)-50</f>
        <v>1117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3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1126</v>
      </c>
      <c r="V305" s="3">
        <v>1136</v>
      </c>
      <c r="W305" s="3">
        <f>IF(ISERROR(VLOOKUP($A305,'SegEnds_NonXtal_BW#'!$A:$Z,16,FALSE)+VLOOKUP($A305,A:AL,22,FALSE)-50),"-",(VLOOKUP($A305,'SegEnds_NonXtal_BW#'!$A:$Z,16,FALSE)+VLOOKUP($A305,A:AL,22,FALSE)-50))</f>
        <v>1154</v>
      </c>
      <c r="X305" s="3">
        <f>IF(ISERROR(VLOOKUP($A305,'SegEnds_NonXtal_BW#'!$A:$Z,17,FALSE)+VLOOKUP($A305,A:AL,25,FALSE)-50),"-",(VLOOKUP($A305,'SegEnds_NonXtal_BW#'!$A:$Z,17,FALSE)+VLOOKUP($A305,A:AL,25,FALSE)-50))</f>
        <v>1162</v>
      </c>
      <c r="Y305" s="3">
        <v>1162</v>
      </c>
      <c r="Z305" s="3">
        <f t="shared" si="183"/>
        <v>1164</v>
      </c>
      <c r="AA305" s="3">
        <f>IF(ISERROR(VLOOKUP($A305,'SegEnds_NonXtal_BW#'!$A:$Z,19,FALSE)+VLOOKUP($A305,A:AL,28,FALSE)-50),"-",(VLOOKUP($A305,'SegEnds_NonXtal_BW#'!$A:$Z,19,FALSE)+VLOOKUP($A305,A:AL,28,FALSE)-50))</f>
        <v>1168</v>
      </c>
      <c r="AB305" s="3">
        <v>1182</v>
      </c>
      <c r="AC305" s="3">
        <f>IF(ISERROR((VLOOKUP($A305,'SegEnds_NonXtal_BW#'!$A:$Z,20,FALSE)+VLOOKUP($A305,A:AL,28,FALSE)-50)),"-",(VLOOKUP($A305,'SegEnds_NonXtal_BW#'!$A:$Z,20,FALSE)+VLOOKUP($A305,A:AL,28,FALSE)-50))</f>
        <v>1201</v>
      </c>
      <c r="AD305" s="3">
        <f>IF(ISERROR(VLOOKUP($A305,'SegEnds_NonXtal_BW#'!$A:$Z,21,FALSE)+VLOOKUP($A305,A:AL,31,FALSE)-50),"-",(VLOOKUP($A305,'SegEnds_NonXtal_BW#'!$A:$Z,21,FALSE)+VLOOKUP($A305,A:AL,31,FALSE)-50))</f>
        <v>1213</v>
      </c>
      <c r="AE305" s="3">
        <v>1234</v>
      </c>
      <c r="AF305" s="3">
        <f>IF(ISERROR((VLOOKUP($A305,'SegEnds_NonXtal_BW#'!$A:$Z,22,FALSE)+VLOOKUP($A305,A:AL,31,FALSE)-50)),"-",(VLOOKUP($A305,'SegEnds_NonXtal_BW#'!$A:$Z,22,FALSE)+VLOOKUP($A305,A:AL,31,FALSE)-50))</f>
        <v>1237</v>
      </c>
      <c r="AG305" s="3">
        <f>IF(ISERROR(VLOOKUP($A305,'SegEnds_NonXtal_BW#'!$A:$Z,23,FALSE)+VLOOKUP($A305,A:AL,34,FALSE)-50),"-",(VLOOKUP($A305,'SegEnds_NonXtal_BW#'!$A:$Z,23,FALSE)+VLOOKUP($A305,A:AL,34,FALSE)-50))</f>
        <v>1244</v>
      </c>
      <c r="AH305" s="3">
        <v>1263</v>
      </c>
      <c r="AI305" s="3">
        <f>IF(ISERROR((VLOOKUP($A305,'SegEnds_NonXtal_BW#'!$A:$Z,24,FALSE)+VLOOKUP($A305,A:AL,34,FALSE)-50)),"-",(VLOOKUP($A305,'SegEnds_NonXtal_BW#'!$A:$Z,24,FALSE)+VLOOKUP($A305,A:AL,34,FALSE)-50))</f>
        <v>1269</v>
      </c>
      <c r="AJ305" s="3">
        <f>IF(ISERROR(VLOOKUP($A305,'SegEnds_NonXtal_BW#'!$A:$Z,25,FALSE)+VLOOKUP($A305,A:AL,37,FALSE)-50),"-",(VLOOKUP($A305,'SegEnds_NonXtal_BW#'!$A:$Z,25,FALSE)+VLOOKUP($A305,A:AL,37,FALSE)-50))</f>
        <v>1270</v>
      </c>
      <c r="AK305" s="3">
        <v>1273</v>
      </c>
      <c r="AL305" s="3">
        <f>IF(ISERROR((VLOOKUP($A305,'SegEnds_NonXtal_BW#'!$A:$Z,26,FALSE)+VLOOKUP($A305,A:AL,37,FALSE)-50)),"-",(VLOOKUP($A305,'SegEnds_NonXtal_BW#'!$A:$Z,26,FALSE)+VLOOKUP($A305,A:AL,37,FALSE)-50))</f>
        <v>1286</v>
      </c>
      <c r="AM305" s="28" t="str">
        <f>VLOOKUP(A305,Classification!A:B,2,FALSE)</f>
        <v>B2</v>
      </c>
      <c r="AN305" s="28" t="b">
        <f t="shared" si="173"/>
        <v>1</v>
      </c>
      <c r="AO305" s="3" t="str">
        <f>IF(ISERROR(MATCH(A305,'SegEnds_Xtal_Prot#'!B:B, 0)), "NoXtal", "Xtal")</f>
        <v>NoXtal</v>
      </c>
      <c r="AP305" s="3">
        <f t="shared" si="153"/>
        <v>2</v>
      </c>
      <c r="AQ305" s="3">
        <f t="shared" si="154"/>
        <v>1</v>
      </c>
      <c r="AR305" s="3" t="str">
        <f t="shared" si="155"/>
        <v>-</v>
      </c>
      <c r="AS305" s="3" t="str">
        <f t="shared" si="156"/>
        <v>-</v>
      </c>
      <c r="AT305" s="3" t="str">
        <f t="shared" si="157"/>
        <v>-</v>
      </c>
      <c r="AU305" s="3" t="str">
        <f t="shared" si="158"/>
        <v>-</v>
      </c>
      <c r="AV305" s="3">
        <f t="shared" si="159"/>
        <v>8</v>
      </c>
      <c r="AW305" s="3">
        <f t="shared" si="160"/>
        <v>4</v>
      </c>
      <c r="AX305" s="3">
        <f t="shared" si="161"/>
        <v>12</v>
      </c>
      <c r="AY305" s="3">
        <f t="shared" si="162"/>
        <v>7</v>
      </c>
      <c r="AZ305" s="3">
        <f t="shared" si="163"/>
        <v>1</v>
      </c>
      <c r="BA305" s="3">
        <f>IF(ISERROR(LEN(VLOOKUP(A305,Seqs!A:E,2,FALSE))-AL305),"-",LEN(VLOOKUP(A305,Seqs!A:E,2,FALSE))-AL305)</f>
        <v>60</v>
      </c>
      <c r="BB305" s="16">
        <f t="shared" si="164"/>
        <v>31</v>
      </c>
      <c r="BC305" s="9" t="str">
        <f t="shared" si="165"/>
        <v>-</v>
      </c>
      <c r="BD305" s="3">
        <f t="shared" si="166"/>
        <v>31</v>
      </c>
      <c r="BE305" s="3">
        <f t="shared" si="167"/>
        <v>52</v>
      </c>
    </row>
    <row r="306" spans="1:58" s="3" customFormat="1" x14ac:dyDescent="0.2">
      <c r="A306" s="3" t="s">
        <v>1193</v>
      </c>
      <c r="B306" s="3" t="str">
        <f>LOWER(VLOOKUP(A306,Xtal_Templ!A:B,2,FALSE))</f>
        <v>crfr1_human</v>
      </c>
      <c r="C306" s="3">
        <f>VLOOKUP($A306,'SegEnds_NonXtal_BW#'!$A:$Z,3,FALSE)+D306-50</f>
        <v>391</v>
      </c>
      <c r="D306" s="3">
        <v>418</v>
      </c>
      <c r="E306" s="3">
        <f>IF(ISERROR(VLOOKUP($A306,'SegEnds_NonXtal_BW#'!$A:$Z,4,FALSE)+VLOOKUP($A306,A:AL,4,FALSE)-50),"-",(VLOOKUP($A306,'SegEnds_NonXtal_BW#'!$A:$Z,4,FALSE)+VLOOKUP($A306,A:AL,4,FALSE)-50))</f>
        <v>428</v>
      </c>
      <c r="F306" s="3">
        <f>G306-2</f>
        <v>430</v>
      </c>
      <c r="G306" s="3">
        <v>432</v>
      </c>
      <c r="H306" s="3">
        <f>G306+1</f>
        <v>433</v>
      </c>
      <c r="I306" s="3">
        <f>H306+1</f>
        <v>434</v>
      </c>
      <c r="J306" s="3">
        <v>453</v>
      </c>
      <c r="K306" s="3">
        <f>VLOOKUP($A306,'SegEnds_NonXtal_BW#'!$A:$Z,8,FALSE)+VLOOKUP($A306,A:AL,10,FALSE)-50</f>
        <v>466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473</v>
      </c>
      <c r="P306" s="3">
        <v>500</v>
      </c>
      <c r="Q306" s="3">
        <f>VLOOKUP($A306,'SegEnds_NonXtal_BW#'!$A:$Z,12,FALSE)+VLOOKUP($A306,A:AL,16,FALSE)-50</f>
        <v>506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3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514</v>
      </c>
      <c r="V306" s="3">
        <v>524</v>
      </c>
      <c r="W306" s="3">
        <f>IF(ISERROR(VLOOKUP($A306,'SegEnds_NonXtal_BW#'!$A:$Z,16,FALSE)+VLOOKUP($A306,A:AL,22,FALSE)-50),"-",(VLOOKUP($A306,'SegEnds_NonXtal_BW#'!$A:$Z,16,FALSE)+VLOOKUP($A306,A:AL,22,FALSE)-50))</f>
        <v>542</v>
      </c>
      <c r="X306" s="3">
        <f>IF(ISERROR(VLOOKUP($A306,'SegEnds_NonXtal_BW#'!$A:$Z,17,FALSE)+VLOOKUP($A306,A:AL,25,FALSE)-50),"-",(VLOOKUP($A306,'SegEnds_NonXtal_BW#'!$A:$Z,17,FALSE)+VLOOKUP($A306,A:AL,25,FALSE)-50))</f>
        <v>562</v>
      </c>
      <c r="Y306" s="3">
        <v>562</v>
      </c>
      <c r="Z306" s="3">
        <f t="shared" si="183"/>
        <v>564</v>
      </c>
      <c r="AA306" s="3">
        <f>IF(ISERROR(VLOOKUP($A306,'SegEnds_NonXtal_BW#'!$A:$Z,19,FALSE)+VLOOKUP($A306,A:AL,28,FALSE)-50),"-",(VLOOKUP($A306,'SegEnds_NonXtal_BW#'!$A:$Z,19,FALSE)+VLOOKUP($A306,A:AL,28,FALSE)-50))</f>
        <v>567</v>
      </c>
      <c r="AB306" s="3">
        <v>581</v>
      </c>
      <c r="AC306" s="3">
        <f>IF(ISERROR((VLOOKUP($A306,'SegEnds_NonXtal_BW#'!$A:$Z,20,FALSE)+VLOOKUP($A306,A:AL,28,FALSE)-50)),"-",(VLOOKUP($A306,'SegEnds_NonXtal_BW#'!$A:$Z,20,FALSE)+VLOOKUP($A306,A:AL,28,FALSE)-50))</f>
        <v>600</v>
      </c>
      <c r="AD306" s="3">
        <f>IF(ISERROR(VLOOKUP($A306,'SegEnds_NonXtal_BW#'!$A:$Z,21,FALSE)+VLOOKUP($A306,A:AL,31,FALSE)-50),"-",(VLOOKUP($A306,'SegEnds_NonXtal_BW#'!$A:$Z,21,FALSE)+VLOOKUP($A306,A:AL,31,FALSE)-50))</f>
        <v>604</v>
      </c>
      <c r="AE306" s="3">
        <v>625</v>
      </c>
      <c r="AF306" s="3">
        <f>IF(ISERROR((VLOOKUP($A306,'SegEnds_NonXtal_BW#'!$A:$Z,22,FALSE)+VLOOKUP($A306,A:AL,31,FALSE)-50)),"-",(VLOOKUP($A306,'SegEnds_NonXtal_BW#'!$A:$Z,22,FALSE)+VLOOKUP($A306,A:AL,31,FALSE)-50))</f>
        <v>628</v>
      </c>
      <c r="AG306" s="3">
        <f>IF(ISERROR(VLOOKUP($A306,'SegEnds_NonXtal_BW#'!$A:$Z,23,FALSE)+VLOOKUP($A306,A:AL,34,FALSE)-50),"-",(VLOOKUP($A306,'SegEnds_NonXtal_BW#'!$A:$Z,23,FALSE)+VLOOKUP($A306,A:AL,34,FALSE)-50))</f>
        <v>635</v>
      </c>
      <c r="AH306" s="3">
        <v>655</v>
      </c>
      <c r="AI306" s="3">
        <f>IF(ISERROR((VLOOKUP($A306,'SegEnds_NonXtal_BW#'!$A:$Z,24,FALSE)+VLOOKUP($A306,A:AL,34,FALSE)-50)),"-",(VLOOKUP($A306,'SegEnds_NonXtal_BW#'!$A:$Z,24,FALSE)+VLOOKUP($A306,A:AL,34,FALSE)-50))</f>
        <v>661</v>
      </c>
      <c r="AJ306" s="3">
        <f>IF(ISERROR(VLOOKUP($A306,'SegEnds_NonXtal_BW#'!$A:$Z,25,FALSE)+VLOOKUP($A306,A:AL,37,FALSE)-50),"-",(VLOOKUP($A306,'SegEnds_NonXtal_BW#'!$A:$Z,25,FALSE)+VLOOKUP($A306,A:AL,37,FALSE)-50))</f>
        <v>662</v>
      </c>
      <c r="AK306" s="3">
        <v>665</v>
      </c>
      <c r="AL306" s="3">
        <f>IF(ISERROR((VLOOKUP($A306,'SegEnds_NonXtal_BW#'!$A:$Z,26,FALSE)+VLOOKUP($A306,A:AL,37,FALSE)-50)),"-",(VLOOKUP($A306,'SegEnds_NonXtal_BW#'!$A:$Z,26,FALSE)+VLOOKUP($A306,A:AL,37,FALSE)-50))</f>
        <v>678</v>
      </c>
      <c r="AM306" s="28" t="str">
        <f>VLOOKUP(A306,Classification!A:B,2,FALSE)</f>
        <v>B2</v>
      </c>
      <c r="AN306" s="28" t="b">
        <f t="shared" si="173"/>
        <v>1</v>
      </c>
      <c r="AO306" s="3" t="str">
        <f>IF(ISERROR(MATCH(A306,'SegEnds_Xtal_Prot#'!B:B, 0)), "NoXtal", "Xtal")</f>
        <v>NoXtal</v>
      </c>
      <c r="AP306" s="3">
        <f t="shared" si="153"/>
        <v>2</v>
      </c>
      <c r="AQ306" s="3">
        <f t="shared" si="154"/>
        <v>1</v>
      </c>
      <c r="AR306" s="3" t="str">
        <f t="shared" si="155"/>
        <v>-</v>
      </c>
      <c r="AS306" s="3" t="str">
        <f t="shared" si="156"/>
        <v>-</v>
      </c>
      <c r="AT306" s="3" t="str">
        <f t="shared" si="157"/>
        <v>-</v>
      </c>
      <c r="AU306" s="3" t="str">
        <f t="shared" si="158"/>
        <v>-</v>
      </c>
      <c r="AV306" s="3">
        <f t="shared" si="159"/>
        <v>20</v>
      </c>
      <c r="AW306" s="3">
        <f t="shared" si="160"/>
        <v>3</v>
      </c>
      <c r="AX306" s="3">
        <f t="shared" si="161"/>
        <v>4</v>
      </c>
      <c r="AY306" s="3">
        <f t="shared" si="162"/>
        <v>7</v>
      </c>
      <c r="AZ306" s="3">
        <f t="shared" si="163"/>
        <v>1</v>
      </c>
      <c r="BA306" s="3">
        <f>IF(ISERROR(LEN(VLOOKUP(A306,Seqs!A:E,2,FALSE))-AL306),"-",LEN(VLOOKUP(A306,Seqs!A:E,2,FALSE))-AL306)</f>
        <v>15</v>
      </c>
      <c r="BB306" s="16">
        <f t="shared" si="164"/>
        <v>35</v>
      </c>
      <c r="BC306" s="9" t="str">
        <f t="shared" si="165"/>
        <v>-</v>
      </c>
      <c r="BD306" s="3">
        <f t="shared" si="166"/>
        <v>35</v>
      </c>
      <c r="BE306" s="3">
        <f t="shared" si="167"/>
        <v>44</v>
      </c>
      <c r="BF306" s="3">
        <f>AH306-AE306</f>
        <v>30</v>
      </c>
    </row>
    <row r="307" spans="1:58" s="3" customFormat="1" x14ac:dyDescent="0.2">
      <c r="A307" s="3" t="s">
        <v>1194</v>
      </c>
      <c r="B307" s="3" t="str">
        <f>LOWER(VLOOKUP(A307,Xtal_Templ!A:B,2,FALSE))</f>
        <v>crfr1_human</v>
      </c>
      <c r="C307" s="3">
        <f>VLOOKUP($A307,'SegEnds_NonXtal_BW#'!$A:$Z,3,FALSE)+D307-50</f>
        <v>616</v>
      </c>
      <c r="D307" s="3">
        <v>643</v>
      </c>
      <c r="E307" s="3">
        <f>IF(ISERROR(VLOOKUP($A307,'SegEnds_NonXtal_BW#'!$A:$Z,4,FALSE)+VLOOKUP($A307,A:AL,4,FALSE)-50),"-",(VLOOKUP($A307,'SegEnds_NonXtal_BW#'!$A:$Z,4,FALSE)+VLOOKUP($A307,A:AL,4,FALSE)-50))</f>
        <v>653</v>
      </c>
      <c r="F307" s="3" t="s">
        <v>23</v>
      </c>
      <c r="G307" s="3" t="s">
        <v>23</v>
      </c>
      <c r="H307" s="3" t="s">
        <v>23</v>
      </c>
      <c r="I307" s="3">
        <f>VLOOKUP($A307,'SegEnds_NonXtal_BW#'!$A:$Z,7,FALSE)+J307-50</f>
        <v>659</v>
      </c>
      <c r="J307" s="3">
        <v>672</v>
      </c>
      <c r="K307" s="3">
        <f>VLOOKUP($A307,'SegEnds_NonXtal_BW#'!$A:$Z,8,FALSE)+VLOOKUP($A307,A:AL,10,FALSE)-50</f>
        <v>685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692</v>
      </c>
      <c r="P307" s="3">
        <v>719</v>
      </c>
      <c r="Q307" s="3">
        <f>VLOOKUP($A307,'SegEnds_NonXtal_BW#'!$A:$Z,12,FALSE)+VLOOKUP($A307,A:AL,16,FALSE)-50</f>
        <v>725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3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733</v>
      </c>
      <c r="V307" s="3">
        <v>743</v>
      </c>
      <c r="W307" s="3">
        <f>IF(ISERROR(VLOOKUP($A307,'SegEnds_NonXtal_BW#'!$A:$Z,16,FALSE)+VLOOKUP($A307,A:AL,22,FALSE)-50),"-",(VLOOKUP($A307,'SegEnds_NonXtal_BW#'!$A:$Z,16,FALSE)+VLOOKUP($A307,A:AL,22,FALSE)-50))</f>
        <v>761</v>
      </c>
      <c r="X307" s="3">
        <f>IF(ISERROR(VLOOKUP($A307,'SegEnds_NonXtal_BW#'!$A:$Z,17,FALSE)+VLOOKUP($A307,A:AL,25,FALSE)-50),"-",(VLOOKUP($A307,'SegEnds_NonXtal_BW#'!$A:$Z,17,FALSE)+VLOOKUP($A307,A:AL,25,FALSE)-50))</f>
        <v>778</v>
      </c>
      <c r="Y307" s="3">
        <v>778</v>
      </c>
      <c r="Z307" s="3">
        <f t="shared" si="183"/>
        <v>780</v>
      </c>
      <c r="AA307" s="3">
        <f>IF(ISERROR(VLOOKUP($A307,'SegEnds_NonXtal_BW#'!$A:$Z,19,FALSE)+VLOOKUP($A307,A:AL,28,FALSE)-50),"-",(VLOOKUP($A307,'SegEnds_NonXtal_BW#'!$A:$Z,19,FALSE)+VLOOKUP($A307,A:AL,28,FALSE)-50))</f>
        <v>783</v>
      </c>
      <c r="AB307" s="3">
        <v>797</v>
      </c>
      <c r="AC307" s="3">
        <f>IF(ISERROR((VLOOKUP($A307,'SegEnds_NonXtal_BW#'!$A:$Z,20,FALSE)+VLOOKUP($A307,A:AL,28,FALSE)-50)),"-",(VLOOKUP($A307,'SegEnds_NonXtal_BW#'!$A:$Z,20,FALSE)+VLOOKUP($A307,A:AL,28,FALSE)-50))</f>
        <v>816</v>
      </c>
      <c r="AD307" s="3">
        <f>IF(ISERROR(VLOOKUP($A307,'SegEnds_NonXtal_BW#'!$A:$Z,21,FALSE)+VLOOKUP($A307,A:AL,31,FALSE)-50),"-",(VLOOKUP($A307,'SegEnds_NonXtal_BW#'!$A:$Z,21,FALSE)+VLOOKUP($A307,A:AL,31,FALSE)-50))</f>
        <v>827</v>
      </c>
      <c r="AE307" s="3">
        <v>848</v>
      </c>
      <c r="AF307" s="3">
        <f>IF(ISERROR((VLOOKUP($A307,'SegEnds_NonXtal_BW#'!$A:$Z,22,FALSE)+VLOOKUP($A307,A:AL,31,FALSE)-50)),"-",(VLOOKUP($A307,'SegEnds_NonXtal_BW#'!$A:$Z,22,FALSE)+VLOOKUP($A307,A:AL,31,FALSE)-50))</f>
        <v>851</v>
      </c>
      <c r="AG307" s="3">
        <f>IF(ISERROR(VLOOKUP($A307,'SegEnds_NonXtal_BW#'!$A:$Z,23,FALSE)+VLOOKUP($A307,A:AL,34,FALSE)-50),"-",(VLOOKUP($A307,'SegEnds_NonXtal_BW#'!$A:$Z,23,FALSE)+VLOOKUP($A307,A:AL,34,FALSE)-50))</f>
        <v>857</v>
      </c>
      <c r="AH307" s="3">
        <v>876</v>
      </c>
      <c r="AI307" s="3">
        <f>IF(ISERROR((VLOOKUP($A307,'SegEnds_NonXtal_BW#'!$A:$Z,24,FALSE)+VLOOKUP($A307,A:AL,34,FALSE)-50)),"-",(VLOOKUP($A307,'SegEnds_NonXtal_BW#'!$A:$Z,24,FALSE)+VLOOKUP($A307,A:AL,34,FALSE)-50))</f>
        <v>882</v>
      </c>
      <c r="AJ307" s="3">
        <f>IF(ISERROR(VLOOKUP($A307,'SegEnds_NonXtal_BW#'!$A:$Z,25,FALSE)+VLOOKUP($A307,A:AL,37,FALSE)-50),"-",(VLOOKUP($A307,'SegEnds_NonXtal_BW#'!$A:$Z,25,FALSE)+VLOOKUP($A307,A:AL,37,FALSE)-50))</f>
        <v>883</v>
      </c>
      <c r="AK307" s="3">
        <v>886</v>
      </c>
      <c r="AL307" s="3">
        <f>IF(ISERROR((VLOOKUP($A307,'SegEnds_NonXtal_BW#'!$A:$Z,26,FALSE)+VLOOKUP($A307,A:AL,37,FALSE)-50)),"-",(VLOOKUP($A307,'SegEnds_NonXtal_BW#'!$A:$Z,26,FALSE)+VLOOKUP($A307,A:AL,37,FALSE)-50))</f>
        <v>899</v>
      </c>
      <c r="AM307" s="28" t="str">
        <f>VLOOKUP(A307,Classification!A:B,2,FALSE)</f>
        <v>B2</v>
      </c>
      <c r="AN307" s="28" t="b">
        <f t="shared" si="173"/>
        <v>1</v>
      </c>
      <c r="AO307" s="3" t="str">
        <f>IF(ISERROR(MATCH(A307,'SegEnds_Xtal_Prot#'!B:B, 0)), "NoXtal", "Xtal")</f>
        <v>NoXtal</v>
      </c>
      <c r="AP307" s="3" t="str">
        <f t="shared" si="153"/>
        <v>-</v>
      </c>
      <c r="AQ307" s="3" t="str">
        <f t="shared" si="154"/>
        <v>-</v>
      </c>
      <c r="AR307" s="3" t="str">
        <f t="shared" si="155"/>
        <v>-</v>
      </c>
      <c r="AS307" s="3" t="str">
        <f t="shared" si="156"/>
        <v>-</v>
      </c>
      <c r="AT307" s="3" t="str">
        <f t="shared" si="157"/>
        <v>-</v>
      </c>
      <c r="AU307" s="3" t="str">
        <f t="shared" si="158"/>
        <v>-</v>
      </c>
      <c r="AV307" s="3">
        <f t="shared" si="159"/>
        <v>17</v>
      </c>
      <c r="AW307" s="3">
        <f t="shared" si="160"/>
        <v>3</v>
      </c>
      <c r="AX307" s="3">
        <f t="shared" si="161"/>
        <v>11</v>
      </c>
      <c r="AY307" s="3">
        <f t="shared" si="162"/>
        <v>6</v>
      </c>
      <c r="AZ307" s="3">
        <f t="shared" si="163"/>
        <v>1</v>
      </c>
      <c r="BA307" s="3">
        <f>IF(ISERROR(LEN(VLOOKUP(A307,Seqs!A:E,2,FALSE))-AL307),"-",LEN(VLOOKUP(A307,Seqs!A:E,2,FALSE))-AL307)</f>
        <v>118</v>
      </c>
      <c r="BB307" s="16">
        <f t="shared" si="164"/>
        <v>29</v>
      </c>
      <c r="BC307" s="9" t="str">
        <f t="shared" si="165"/>
        <v>-</v>
      </c>
      <c r="BD307" s="3">
        <f t="shared" si="166"/>
        <v>29</v>
      </c>
      <c r="BE307" s="3">
        <f t="shared" si="167"/>
        <v>51</v>
      </c>
    </row>
    <row r="308" spans="1:58" s="3" customFormat="1" x14ac:dyDescent="0.2">
      <c r="A308" s="3" t="s">
        <v>1195</v>
      </c>
      <c r="B308" s="3" t="str">
        <f>LOWER(VLOOKUP(A308,Xtal_Templ!A:B,2,FALSE))</f>
        <v>crfr1_human</v>
      </c>
      <c r="C308" s="3">
        <f>VLOOKUP($A308,'SegEnds_NonXtal_BW#'!$A:$Z,3,FALSE)+D308-50</f>
        <v>256</v>
      </c>
      <c r="D308" s="3">
        <v>283</v>
      </c>
      <c r="E308" s="3">
        <f>IF(ISERROR(VLOOKUP($A308,'SegEnds_NonXtal_BW#'!$A:$Z,4,FALSE)+VLOOKUP($A308,A:AL,4,FALSE)-50),"-",(VLOOKUP($A308,'SegEnds_NonXtal_BW#'!$A:$Z,4,FALSE)+VLOOKUP($A308,A:AL,4,FALSE)-50))</f>
        <v>293</v>
      </c>
      <c r="F308" s="3" t="s">
        <v>23</v>
      </c>
      <c r="G308" s="3" t="s">
        <v>23</v>
      </c>
      <c r="H308" s="3" t="s">
        <v>23</v>
      </c>
      <c r="I308" s="3">
        <f>VLOOKUP($A308,'SegEnds_NonXtal_BW#'!$A:$Z,7,FALSE)+J308-50</f>
        <v>303</v>
      </c>
      <c r="J308" s="3">
        <v>316</v>
      </c>
      <c r="K308" s="3">
        <f>VLOOKUP($A308,'SegEnds_NonXtal_BW#'!$A:$Z,8,FALSE)+VLOOKUP($A308,A:AL,10,FALSE)-50</f>
        <v>329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336</v>
      </c>
      <c r="P308" s="3">
        <v>363</v>
      </c>
      <c r="Q308" s="3">
        <f>VLOOKUP($A308,'SegEnds_NonXtal_BW#'!$A:$Z,12,FALSE)+VLOOKUP($A308,A:AL,16,FALSE)-50</f>
        <v>369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3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377</v>
      </c>
      <c r="V308" s="3">
        <v>387</v>
      </c>
      <c r="W308" s="3">
        <f>IF(ISERROR(VLOOKUP($A308,'SegEnds_NonXtal_BW#'!$A:$Z,16,FALSE)+VLOOKUP($A308,A:AL,22,FALSE)-50),"-",(VLOOKUP($A308,'SegEnds_NonXtal_BW#'!$A:$Z,16,FALSE)+VLOOKUP($A308,A:AL,22,FALSE)-50))</f>
        <v>405</v>
      </c>
      <c r="X308" s="3">
        <f>IF(ISERROR(VLOOKUP($A308,'SegEnds_NonXtal_BW#'!$A:$Z,17,FALSE)+VLOOKUP($A308,A:AL,25,FALSE)-50),"-",(VLOOKUP($A308,'SegEnds_NonXtal_BW#'!$A:$Z,17,FALSE)+VLOOKUP($A308,A:AL,25,FALSE)-50))</f>
        <v>420</v>
      </c>
      <c r="Y308" s="3">
        <v>420</v>
      </c>
      <c r="Z308" s="3">
        <f t="shared" si="183"/>
        <v>422</v>
      </c>
      <c r="AA308" s="3">
        <f>IF(ISERROR(VLOOKUP($A308,'SegEnds_NonXtal_BW#'!$A:$Z,19,FALSE)+VLOOKUP($A308,A:AL,28,FALSE)-50),"-",(VLOOKUP($A308,'SegEnds_NonXtal_BW#'!$A:$Z,19,FALSE)+VLOOKUP($A308,A:AL,28,FALSE)-50))</f>
        <v>424</v>
      </c>
      <c r="AB308" s="3">
        <v>438</v>
      </c>
      <c r="AC308" s="3">
        <f>IF(ISERROR((VLOOKUP($A308,'SegEnds_NonXtal_BW#'!$A:$Z,20,FALSE)+VLOOKUP($A308,A:AL,28,FALSE)-50)),"-",(VLOOKUP($A308,'SegEnds_NonXtal_BW#'!$A:$Z,20,FALSE)+VLOOKUP($A308,A:AL,28,FALSE)-50))</f>
        <v>457</v>
      </c>
      <c r="AD308" s="3">
        <f>IF(ISERROR(VLOOKUP($A308,'SegEnds_NonXtal_BW#'!$A:$Z,21,FALSE)+VLOOKUP($A308,A:AL,31,FALSE)-50),"-",(VLOOKUP($A308,'SegEnds_NonXtal_BW#'!$A:$Z,21,FALSE)+VLOOKUP($A308,A:AL,31,FALSE)-50))</f>
        <v>471</v>
      </c>
      <c r="AE308" s="3">
        <v>492</v>
      </c>
      <c r="AF308" s="3">
        <f>IF(ISERROR((VLOOKUP($A308,'SegEnds_NonXtal_BW#'!$A:$Z,22,FALSE)+VLOOKUP($A308,A:AL,31,FALSE)-50)),"-",(VLOOKUP($A308,'SegEnds_NonXtal_BW#'!$A:$Z,22,FALSE)+VLOOKUP($A308,A:AL,31,FALSE)-50))</f>
        <v>492</v>
      </c>
      <c r="AG308" s="3">
        <f>IF(ISERROR(VLOOKUP($A308,'SegEnds_NonXtal_BW#'!$A:$Z,23,FALSE)+VLOOKUP($A308,A:AL,34,FALSE)-50),"-",(VLOOKUP($A308,'SegEnds_NonXtal_BW#'!$A:$Z,23,FALSE)+VLOOKUP($A308,A:AL,34,FALSE)-50))</f>
        <v>499</v>
      </c>
      <c r="AH308" s="3">
        <v>518</v>
      </c>
      <c r="AI308" s="3">
        <f>IF(ISERROR((VLOOKUP($A308,'SegEnds_NonXtal_BW#'!$A:$Z,24,FALSE)+VLOOKUP($A308,A:AL,34,FALSE)-50)),"-",(VLOOKUP($A308,'SegEnds_NonXtal_BW#'!$A:$Z,24,FALSE)+VLOOKUP($A308,A:AL,34,FALSE)-50))</f>
        <v>524</v>
      </c>
      <c r="AJ308" s="3">
        <f>IF(ISERROR(VLOOKUP($A308,'SegEnds_NonXtal_BW#'!$A:$Z,25,FALSE)+VLOOKUP($A308,A:AL,37,FALSE)-50),"-",(VLOOKUP($A308,'SegEnds_NonXtal_BW#'!$A:$Z,25,FALSE)+VLOOKUP($A308,A:AL,37,FALSE)-50))</f>
        <v>525</v>
      </c>
      <c r="AK308" s="3">
        <v>528</v>
      </c>
      <c r="AL308" s="3">
        <f>IF(ISERROR((VLOOKUP($A308,'SegEnds_NonXtal_BW#'!$A:$Z,26,FALSE)+VLOOKUP($A308,A:AL,37,FALSE)-50)),"-",(VLOOKUP($A308,'SegEnds_NonXtal_BW#'!$A:$Z,26,FALSE)+VLOOKUP($A308,A:AL,37,FALSE)-50))</f>
        <v>541</v>
      </c>
      <c r="AM308" s="28" t="str">
        <f>VLOOKUP(A308,Classification!A:B,2,FALSE)</f>
        <v>B2</v>
      </c>
      <c r="AN308" s="28" t="b">
        <f t="shared" si="173"/>
        <v>1</v>
      </c>
      <c r="AO308" s="3" t="str">
        <f>IF(ISERROR(MATCH(A308,'SegEnds_Xtal_Prot#'!B:B, 0)), "NoXtal", "Xtal")</f>
        <v>NoXtal</v>
      </c>
      <c r="AP308" s="3" t="str">
        <f t="shared" si="153"/>
        <v>-</v>
      </c>
      <c r="AQ308" s="3" t="str">
        <f t="shared" si="154"/>
        <v>-</v>
      </c>
      <c r="AR308" s="3" t="str">
        <f t="shared" si="155"/>
        <v>-</v>
      </c>
      <c r="AS308" s="3" t="str">
        <f t="shared" si="156"/>
        <v>-</v>
      </c>
      <c r="AT308" s="3" t="str">
        <f t="shared" si="157"/>
        <v>-</v>
      </c>
      <c r="AU308" s="3" t="str">
        <f t="shared" si="158"/>
        <v>-</v>
      </c>
      <c r="AV308" s="3">
        <f t="shared" si="159"/>
        <v>15</v>
      </c>
      <c r="AW308" s="3">
        <f t="shared" si="160"/>
        <v>2</v>
      </c>
      <c r="AX308" s="3">
        <f t="shared" si="161"/>
        <v>14</v>
      </c>
      <c r="AY308" s="3">
        <f t="shared" si="162"/>
        <v>7</v>
      </c>
      <c r="AZ308" s="3">
        <f t="shared" si="163"/>
        <v>1</v>
      </c>
      <c r="BA308" s="3">
        <f>IF(ISERROR(LEN(VLOOKUP(A308,Seqs!A:E,2,FALSE))-AL308),"-",LEN(VLOOKUP(A308,Seqs!A:E,2,FALSE))-AL308)</f>
        <v>8</v>
      </c>
      <c r="BB308" s="16">
        <f t="shared" si="164"/>
        <v>33</v>
      </c>
      <c r="BC308" s="9" t="str">
        <f t="shared" si="165"/>
        <v>-</v>
      </c>
      <c r="BD308" s="3">
        <f t="shared" si="166"/>
        <v>33</v>
      </c>
      <c r="BE308" s="3">
        <f t="shared" si="167"/>
        <v>54</v>
      </c>
      <c r="BF308" s="3">
        <f>AH308-AE308</f>
        <v>26</v>
      </c>
    </row>
    <row r="309" spans="1:58" s="3" customFormat="1" x14ac:dyDescent="0.2">
      <c r="A309" s="3" t="s">
        <v>1196</v>
      </c>
      <c r="B309" s="3" t="str">
        <f>LOWER(VLOOKUP(A309,Xtal_Templ!A:B,2,FALSE))</f>
        <v>crfr1_human</v>
      </c>
      <c r="C309" s="3">
        <f>VLOOKUP($A309,'SegEnds_NonXtal_BW#'!$A:$Z,3,FALSE)+D309-50</f>
        <v>2731</v>
      </c>
      <c r="D309" s="3">
        <v>2758</v>
      </c>
      <c r="E309" s="3">
        <f>IF(ISERROR(VLOOKUP($A309,'SegEnds_NonXtal_BW#'!$A:$Z,4,FALSE)+VLOOKUP($A309,A:AL,4,FALSE)-50),"-",(VLOOKUP($A309,'SegEnds_NonXtal_BW#'!$A:$Z,4,FALSE)+VLOOKUP($A309,A:AL,4,FALSE)-50))</f>
        <v>2768</v>
      </c>
      <c r="F309" s="3" t="s">
        <v>23</v>
      </c>
      <c r="G309" s="3" t="s">
        <v>23</v>
      </c>
      <c r="H309" s="3" t="s">
        <v>23</v>
      </c>
      <c r="I309" s="3">
        <f>VLOOKUP($A309,'SegEnds_NonXtal_BW#'!$A:$Z,7,FALSE)+J309-50</f>
        <v>2774</v>
      </c>
      <c r="J309" s="3">
        <v>2787</v>
      </c>
      <c r="K309" s="3">
        <f>VLOOKUP($A309,'SegEnds_NonXtal_BW#'!$A:$Z,8,FALSE)+VLOOKUP($A309,A:AL,10,FALSE)-50</f>
        <v>2800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2807</v>
      </c>
      <c r="P309" s="3">
        <v>2834</v>
      </c>
      <c r="Q309" s="3">
        <f>VLOOKUP($A309,'SegEnds_NonXtal_BW#'!$A:$Z,12,FALSE)+VLOOKUP($A309,A:AL,16,FALSE)-50</f>
        <v>2840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3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2848</v>
      </c>
      <c r="V309" s="3">
        <v>2858</v>
      </c>
      <c r="W309" s="3">
        <f>IF(ISERROR(VLOOKUP($A309,'SegEnds_NonXtal_BW#'!$A:$Z,16,FALSE)+VLOOKUP($A309,A:AL,22,FALSE)-50),"-",(VLOOKUP($A309,'SegEnds_NonXtal_BW#'!$A:$Z,16,FALSE)+VLOOKUP($A309,A:AL,22,FALSE)-50))</f>
        <v>2876</v>
      </c>
      <c r="X309" s="3">
        <f>IF(ISERROR(VLOOKUP($A309,'SegEnds_NonXtal_BW#'!$A:$Z,17,FALSE)+VLOOKUP($A309,A:AL,25,FALSE)-50),"-",(VLOOKUP($A309,'SegEnds_NonXtal_BW#'!$A:$Z,17,FALSE)+VLOOKUP($A309,A:AL,25,FALSE)-50))</f>
        <v>2886</v>
      </c>
      <c r="Y309" s="3">
        <v>2886</v>
      </c>
      <c r="Z309" s="3">
        <f t="shared" si="183"/>
        <v>2888</v>
      </c>
      <c r="AA309" s="3">
        <f>IF(ISERROR(VLOOKUP($A309,'SegEnds_NonXtal_BW#'!$A:$Z,19,FALSE)+VLOOKUP($A309,A:AL,28,FALSE)-50),"-",(VLOOKUP($A309,'SegEnds_NonXtal_BW#'!$A:$Z,19,FALSE)+VLOOKUP($A309,A:AL,28,FALSE)-50))</f>
        <v>2891</v>
      </c>
      <c r="AB309" s="3">
        <v>2905</v>
      </c>
      <c r="AC309" s="3">
        <f>IF(ISERROR((VLOOKUP($A309,'SegEnds_NonXtal_BW#'!$A:$Z,20,FALSE)+VLOOKUP($A309,A:AL,28,FALSE)-50)),"-",(VLOOKUP($A309,'SegEnds_NonXtal_BW#'!$A:$Z,20,FALSE)+VLOOKUP($A309,A:AL,28,FALSE)-50))</f>
        <v>2924</v>
      </c>
      <c r="AD309" s="3">
        <f>IF(ISERROR(VLOOKUP($A309,'SegEnds_NonXtal_BW#'!$A:$Z,21,FALSE)+VLOOKUP($A309,A:AL,31,FALSE)-50),"-",(VLOOKUP($A309,'SegEnds_NonXtal_BW#'!$A:$Z,21,FALSE)+VLOOKUP($A309,A:AL,31,FALSE)-50))</f>
        <v>2934</v>
      </c>
      <c r="AE309" s="3">
        <v>2955</v>
      </c>
      <c r="AF309" s="3">
        <f>IF(ISERROR((VLOOKUP($A309,'SegEnds_NonXtal_BW#'!$A:$Z,22,FALSE)+VLOOKUP($A309,A:AL,31,FALSE)-50)),"-",(VLOOKUP($A309,'SegEnds_NonXtal_BW#'!$A:$Z,22,FALSE)+VLOOKUP($A309,A:AL,31,FALSE)-50))</f>
        <v>2958</v>
      </c>
      <c r="AG309" s="3">
        <f>IF(ISERROR(VLOOKUP($A309,'SegEnds_NonXtal_BW#'!$A:$Z,23,FALSE)+VLOOKUP($A309,A:AL,34,FALSE)-50),"-",(VLOOKUP($A309,'SegEnds_NonXtal_BW#'!$A:$Z,23,FALSE)+VLOOKUP($A309,A:AL,34,FALSE)-50))</f>
        <v>2964</v>
      </c>
      <c r="AH309" s="3">
        <v>2983</v>
      </c>
      <c r="AI309" s="3">
        <f>IF(ISERROR((VLOOKUP($A309,'SegEnds_NonXtal_BW#'!$A:$Z,24,FALSE)+VLOOKUP($A309,A:AL,34,FALSE)-50)),"-",(VLOOKUP($A309,'SegEnds_NonXtal_BW#'!$A:$Z,24,FALSE)+VLOOKUP($A309,A:AL,34,FALSE)-50))</f>
        <v>2989</v>
      </c>
      <c r="AJ309" s="3">
        <f>IF(ISERROR(VLOOKUP($A309,'SegEnds_NonXtal_BW#'!$A:$Z,25,FALSE)+VLOOKUP($A309,A:AL,37,FALSE)-50),"-",(VLOOKUP($A309,'SegEnds_NonXtal_BW#'!$A:$Z,25,FALSE)+VLOOKUP($A309,A:AL,37,FALSE)-50))</f>
        <v>2990</v>
      </c>
      <c r="AK309" s="3">
        <v>2993</v>
      </c>
      <c r="AL309" s="3">
        <f>IF(ISERROR((VLOOKUP($A309,'SegEnds_NonXtal_BW#'!$A:$Z,26,FALSE)+VLOOKUP($A309,A:AL,37,FALSE)-50)),"-",(VLOOKUP($A309,'SegEnds_NonXtal_BW#'!$A:$Z,26,FALSE)+VLOOKUP($A309,A:AL,37,FALSE)-50))</f>
        <v>3006</v>
      </c>
      <c r="AM309" s="28" t="str">
        <f>VLOOKUP(A309,Classification!A:B,2,FALSE)</f>
        <v>B2</v>
      </c>
      <c r="AN309" s="28" t="b">
        <f t="shared" si="173"/>
        <v>1</v>
      </c>
      <c r="AO309" s="3" t="str">
        <f>IF(ISERROR(MATCH(A309,'SegEnds_Xtal_Prot#'!B:B, 0)), "NoXtal", "Xtal")</f>
        <v>NoXtal</v>
      </c>
      <c r="AP309" s="3" t="str">
        <f t="shared" si="153"/>
        <v>-</v>
      </c>
      <c r="AQ309" s="3" t="str">
        <f t="shared" si="154"/>
        <v>-</v>
      </c>
      <c r="AR309" s="3" t="str">
        <f t="shared" si="155"/>
        <v>-</v>
      </c>
      <c r="AS309" s="3" t="str">
        <f t="shared" si="156"/>
        <v>-</v>
      </c>
      <c r="AT309" s="3" t="str">
        <f t="shared" si="157"/>
        <v>-</v>
      </c>
      <c r="AU309" s="3" t="str">
        <f t="shared" si="158"/>
        <v>-</v>
      </c>
      <c r="AV309" s="3">
        <f t="shared" si="159"/>
        <v>10</v>
      </c>
      <c r="AW309" s="3">
        <f t="shared" si="160"/>
        <v>3</v>
      </c>
      <c r="AX309" s="3">
        <f t="shared" si="161"/>
        <v>10</v>
      </c>
      <c r="AY309" s="3">
        <f t="shared" si="162"/>
        <v>6</v>
      </c>
      <c r="AZ309" s="3">
        <f t="shared" si="163"/>
        <v>1</v>
      </c>
      <c r="BA309" s="3">
        <f>IF(ISERROR(LEN(VLOOKUP(A309,Seqs!A:E,2,FALSE))-AL309),"-",LEN(VLOOKUP(A309,Seqs!A:E,2,FALSE))-AL309)</f>
        <v>74</v>
      </c>
      <c r="BB309" s="16">
        <f t="shared" si="164"/>
        <v>29</v>
      </c>
      <c r="BC309" s="9" t="str">
        <f t="shared" si="165"/>
        <v>-</v>
      </c>
      <c r="BD309" s="3">
        <f t="shared" si="166"/>
        <v>29</v>
      </c>
      <c r="BE309" s="3">
        <f t="shared" si="167"/>
        <v>50</v>
      </c>
    </row>
    <row r="310" spans="1:58" s="3" customFormat="1" x14ac:dyDescent="0.2">
      <c r="A310" s="3" t="s">
        <v>1197</v>
      </c>
      <c r="B310" s="3" t="str">
        <f>LOWER(VLOOKUP(A310,Xtal_Templ!A:B,2,FALSE))</f>
        <v>glr_human</v>
      </c>
      <c r="C310" s="3">
        <f>VLOOKUP($A310,'SegEnds_NonXtal_BW#'!$A:$Z,3,FALSE)+D310-50</f>
        <v>236</v>
      </c>
      <c r="D310" s="3">
        <v>263</v>
      </c>
      <c r="E310" s="3">
        <f>IF(ISERROR(VLOOKUP($A310,'SegEnds_NonXtal_BW#'!$A:$Z,4,FALSE)+VLOOKUP($A310,A:AL,4,FALSE)-50),"-",(VLOOKUP($A310,'SegEnds_NonXtal_BW#'!$A:$Z,4,FALSE)+VLOOKUP($A310,A:AL,4,FALSE)-50))</f>
        <v>273</v>
      </c>
      <c r="F310" s="3" t="s">
        <v>23</v>
      </c>
      <c r="G310" s="3" t="s">
        <v>23</v>
      </c>
      <c r="H310" s="3" t="s">
        <v>23</v>
      </c>
      <c r="I310" s="3">
        <f>VLOOKUP($A310,'SegEnds_NonXtal_BW#'!$A:$Z,7,FALSE)+J310-50</f>
        <v>278</v>
      </c>
      <c r="J310" s="3">
        <v>291</v>
      </c>
      <c r="K310" s="3">
        <f>VLOOKUP($A310,'SegEnds_NonXtal_BW#'!$A:$Z,8,FALSE)+VLOOKUP($A310,A:AL,10,FALSE)-50</f>
        <v>304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312</v>
      </c>
      <c r="P310" s="3">
        <v>339</v>
      </c>
      <c r="Q310" s="3">
        <f>VLOOKUP($A310,'SegEnds_NonXtal_BW#'!$A:$Z,12,FALSE)+VLOOKUP($A310,A:AL,16,FALSE)-50</f>
        <v>345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3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353</v>
      </c>
      <c r="V310" s="3">
        <v>363</v>
      </c>
      <c r="W310" s="3">
        <f>IF(ISERROR(VLOOKUP($A310,'SegEnds_NonXtal_BW#'!$A:$Z,16,FALSE)+VLOOKUP($A310,A:AL,22,FALSE)-50),"-",(VLOOKUP($A310,'SegEnds_NonXtal_BW#'!$A:$Z,16,FALSE)+VLOOKUP($A310,A:AL,22,FALSE)-50))</f>
        <v>381</v>
      </c>
      <c r="X310" s="3">
        <f>IF(ISERROR(VLOOKUP($A310,'SegEnds_NonXtal_BW#'!$A:$Z,17,FALSE)+VLOOKUP($A310,A:AL,25,FALSE)-50),"-",(VLOOKUP($A310,'SegEnds_NonXtal_BW#'!$A:$Z,17,FALSE)+VLOOKUP($A310,A:AL,25,FALSE)-50))</f>
        <v>404</v>
      </c>
      <c r="Y310" s="3">
        <v>404</v>
      </c>
      <c r="Z310" s="3">
        <f t="shared" si="183"/>
        <v>406</v>
      </c>
      <c r="AA310" s="3">
        <f>IF(ISERROR(VLOOKUP($A310,'SegEnds_NonXtal_BW#'!$A:$Z,19,FALSE)+VLOOKUP($A310,A:AL,28,FALSE)-50),"-",(VLOOKUP($A310,'SegEnds_NonXtal_BW#'!$A:$Z,19,FALSE)+VLOOKUP($A310,A:AL,28,FALSE)-50))</f>
        <v>409</v>
      </c>
      <c r="AB310" s="3">
        <v>423</v>
      </c>
      <c r="AC310" s="3">
        <f>IF(ISERROR((VLOOKUP($A310,'SegEnds_NonXtal_BW#'!$A:$Z,20,FALSE)+VLOOKUP($A310,A:AL,28,FALSE)-50)),"-",(VLOOKUP($A310,'SegEnds_NonXtal_BW#'!$A:$Z,20,FALSE)+VLOOKUP($A310,A:AL,28,FALSE)-50))</f>
        <v>442</v>
      </c>
      <c r="AD310" s="3">
        <f>IF(ISERROR(VLOOKUP($A310,'SegEnds_NonXtal_BW#'!$A:$Z,21,FALSE)+VLOOKUP($A310,A:AL,31,FALSE)-50),"-",(VLOOKUP($A310,'SegEnds_NonXtal_BW#'!$A:$Z,21,FALSE)+VLOOKUP($A310,A:AL,31,FALSE)-50))</f>
        <v>451</v>
      </c>
      <c r="AE310" s="3">
        <v>472</v>
      </c>
      <c r="AF310" s="3">
        <f>IF(ISERROR((VLOOKUP($A310,'SegEnds_NonXtal_BW#'!$A:$Z,22,FALSE)+VLOOKUP($A310,A:AL,31,FALSE)-50)),"-",(VLOOKUP($A310,'SegEnds_NonXtal_BW#'!$A:$Z,22,FALSE)+VLOOKUP($A310,A:AL,31,FALSE)-50))</f>
        <v>475</v>
      </c>
      <c r="AG310" s="3">
        <f>IF(ISERROR(VLOOKUP($A310,'SegEnds_NonXtal_BW#'!$A:$Z,23,FALSE)+VLOOKUP($A310,A:AL,34,FALSE)-50),"-",(VLOOKUP($A310,'SegEnds_NonXtal_BW#'!$A:$Z,23,FALSE)+VLOOKUP($A310,A:AL,34,FALSE)-50))</f>
        <v>481</v>
      </c>
      <c r="AH310" s="3">
        <v>500</v>
      </c>
      <c r="AI310" s="3">
        <f>IF(ISERROR((VLOOKUP($A310,'SegEnds_NonXtal_BW#'!$A:$Z,24,FALSE)+VLOOKUP($A310,A:AL,34,FALSE)-50)),"-",(VLOOKUP($A310,'SegEnds_NonXtal_BW#'!$A:$Z,24,FALSE)+VLOOKUP($A310,A:AL,34,FALSE)-50))</f>
        <v>506</v>
      </c>
      <c r="AJ310" s="3">
        <f>IF(ISERROR(VLOOKUP($A310,'SegEnds_NonXtal_BW#'!$A:$Z,25,FALSE)+VLOOKUP($A310,A:AL,37,FALSE)-50),"-",(VLOOKUP($A310,'SegEnds_NonXtal_BW#'!$A:$Z,25,FALSE)+VLOOKUP($A310,A:AL,37,FALSE)-50))</f>
        <v>507</v>
      </c>
      <c r="AK310" s="3">
        <v>510</v>
      </c>
      <c r="AL310" s="3">
        <f>IF(ISERROR((VLOOKUP($A310,'SegEnds_NonXtal_BW#'!$A:$Z,26,FALSE)+VLOOKUP($A310,A:AL,37,FALSE)-50)),"-",(VLOOKUP($A310,'SegEnds_NonXtal_BW#'!$A:$Z,26,FALSE)+VLOOKUP($A310,A:AL,37,FALSE)-50))</f>
        <v>523</v>
      </c>
      <c r="AM310" s="28" t="str">
        <f>VLOOKUP(A310,Classification!A:B,2,FALSE)</f>
        <v>B2</v>
      </c>
      <c r="AN310" s="28" t="b">
        <f t="shared" si="173"/>
        <v>1</v>
      </c>
      <c r="AO310" s="3" t="str">
        <f>IF(ISERROR(MATCH(A310,'SegEnds_Xtal_Prot#'!B:B, 0)), "NoXtal", "Xtal")</f>
        <v>NoXtal</v>
      </c>
      <c r="AP310" s="3" t="str">
        <f t="shared" si="153"/>
        <v>-</v>
      </c>
      <c r="AQ310" s="3" t="str">
        <f t="shared" si="154"/>
        <v>-</v>
      </c>
      <c r="AR310" s="3" t="str">
        <f t="shared" si="155"/>
        <v>-</v>
      </c>
      <c r="AS310" s="3" t="str">
        <f t="shared" si="156"/>
        <v>-</v>
      </c>
      <c r="AT310" s="3" t="str">
        <f t="shared" si="157"/>
        <v>-</v>
      </c>
      <c r="AU310" s="3" t="str">
        <f t="shared" si="158"/>
        <v>-</v>
      </c>
      <c r="AV310" s="3">
        <f t="shared" si="159"/>
        <v>23</v>
      </c>
      <c r="AW310" s="3">
        <f t="shared" si="160"/>
        <v>3</v>
      </c>
      <c r="AX310" s="3">
        <f t="shared" si="161"/>
        <v>9</v>
      </c>
      <c r="AY310" s="3">
        <f t="shared" si="162"/>
        <v>6</v>
      </c>
      <c r="AZ310" s="3">
        <f t="shared" si="163"/>
        <v>1</v>
      </c>
      <c r="BA310" s="3">
        <f>IF(ISERROR(LEN(VLOOKUP(A310,Seqs!A:E,2,FALSE))-AL310),"-",LEN(VLOOKUP(A310,Seqs!A:E,2,FALSE))-AL310)</f>
        <v>5</v>
      </c>
      <c r="BB310" s="16">
        <f t="shared" si="164"/>
        <v>28</v>
      </c>
      <c r="BC310" s="9" t="str">
        <f t="shared" si="165"/>
        <v>-</v>
      </c>
      <c r="BD310" s="3">
        <f t="shared" si="166"/>
        <v>28</v>
      </c>
      <c r="BE310" s="3">
        <f t="shared" si="167"/>
        <v>49</v>
      </c>
      <c r="BF310" s="3">
        <f>AH310-AE310</f>
        <v>28</v>
      </c>
    </row>
    <row r="311" spans="1:58" s="3" customFormat="1" x14ac:dyDescent="0.2">
      <c r="A311" s="3" t="s">
        <v>1198</v>
      </c>
      <c r="B311" s="3" t="str">
        <f>LOWER(VLOOKUP(A311,Xtal_Templ!A:B,2,FALSE))</f>
        <v>glp1r_human</v>
      </c>
      <c r="C311" s="3">
        <f>VLOOKUP($A311,'SegEnds_NonXtal_BW#'!$A:$Z,3,FALSE)+D311-50</f>
        <v>422</v>
      </c>
      <c r="D311" s="3">
        <v>449</v>
      </c>
      <c r="E311" s="3">
        <f>IF(ISERROR(VLOOKUP($A311,'SegEnds_NonXtal_BW#'!$A:$Z,4,FALSE)+VLOOKUP($A311,A:AL,4,FALSE)-50),"-",(VLOOKUP($A311,'SegEnds_NonXtal_BW#'!$A:$Z,4,FALSE)+VLOOKUP($A311,A:AL,4,FALSE)-50))</f>
        <v>459</v>
      </c>
      <c r="F311" s="3" t="s">
        <v>23</v>
      </c>
      <c r="G311" s="3" t="s">
        <v>23</v>
      </c>
      <c r="H311" s="3" t="s">
        <v>23</v>
      </c>
      <c r="I311" s="3">
        <f>VLOOKUP($A311,'SegEnds_NonXtal_BW#'!$A:$Z,7,FALSE)+J311-50</f>
        <v>465</v>
      </c>
      <c r="J311" s="3">
        <v>478</v>
      </c>
      <c r="K311" s="3">
        <f>VLOOKUP($A311,'SegEnds_NonXtal_BW#'!$A:$Z,8,FALSE)+VLOOKUP($A311,A:AL,10,FALSE)-50</f>
        <v>493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519</v>
      </c>
      <c r="P311" s="3">
        <v>551</v>
      </c>
      <c r="Q311" s="3">
        <f>VLOOKUP($A311,'SegEnds_NonXtal_BW#'!$A:$Z,12,FALSE)+VLOOKUP($A311,A:AL,16,FALSE)-50</f>
        <v>557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3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563</v>
      </c>
      <c r="V311" s="3">
        <v>575</v>
      </c>
      <c r="W311" s="3">
        <f>IF(ISERROR(VLOOKUP($A311,'SegEnds_NonXtal_BW#'!$A:$Z,16,FALSE)+VLOOKUP($A311,A:AL,22,FALSE)-50),"-",(VLOOKUP($A311,'SegEnds_NonXtal_BW#'!$A:$Z,16,FALSE)+VLOOKUP($A311,A:AL,22,FALSE)-50))</f>
        <v>593</v>
      </c>
      <c r="X311" s="3">
        <f>IF(ISERROR(VLOOKUP($A311,'SegEnds_NonXtal_BW#'!$A:$Z,17,FALSE)+VLOOKUP($A311,A:AL,25,FALSE)-50),"-",(VLOOKUP($A311,'SegEnds_NonXtal_BW#'!$A:$Z,17,FALSE)+VLOOKUP($A311,A:AL,25,FALSE)-50))</f>
        <v>609</v>
      </c>
      <c r="Y311" s="3">
        <v>609</v>
      </c>
      <c r="Z311" s="3">
        <f t="shared" si="183"/>
        <v>611</v>
      </c>
      <c r="AA311" s="3">
        <f>IF(ISERROR(VLOOKUP($A311,'SegEnds_NonXtal_BW#'!$A:$Z,19,FALSE)+VLOOKUP($A311,A:AL,28,FALSE)-50),"-",(VLOOKUP($A311,'SegEnds_NonXtal_BW#'!$A:$Z,19,FALSE)+VLOOKUP($A311,A:AL,28,FALSE)-50))</f>
        <v>621</v>
      </c>
      <c r="AB311" s="3">
        <v>635</v>
      </c>
      <c r="AC311" s="3">
        <f>IF(ISERROR((VLOOKUP($A311,'SegEnds_NonXtal_BW#'!$A:$Z,20,FALSE)+VLOOKUP($A311,A:AL,28,FALSE)-50)),"-",(VLOOKUP($A311,'SegEnds_NonXtal_BW#'!$A:$Z,20,FALSE)+VLOOKUP($A311,A:AL,28,FALSE)-50))</f>
        <v>654</v>
      </c>
      <c r="AD311" s="3">
        <f>IF(ISERROR(VLOOKUP($A311,'SegEnds_NonXtal_BW#'!$A:$Z,21,FALSE)+VLOOKUP($A311,A:AL,31,FALSE)-50),"-",(VLOOKUP($A311,'SegEnds_NonXtal_BW#'!$A:$Z,21,FALSE)+VLOOKUP($A311,A:AL,31,FALSE)-50))</f>
        <v>665</v>
      </c>
      <c r="AE311" s="3">
        <v>686</v>
      </c>
      <c r="AF311" s="3">
        <f>IF(ISERROR((VLOOKUP($A311,'SegEnds_NonXtal_BW#'!$A:$Z,22,FALSE)+VLOOKUP($A311,A:AL,31,FALSE)-50)),"-",(VLOOKUP($A311,'SegEnds_NonXtal_BW#'!$A:$Z,22,FALSE)+VLOOKUP($A311,A:AL,31,FALSE)-50))</f>
        <v>694</v>
      </c>
      <c r="AG311" s="3">
        <f>IF(ISERROR(VLOOKUP($A311,'SegEnds_NonXtal_BW#'!$A:$Z,23,FALSE)+VLOOKUP($A311,A:AL,34,FALSE)-50),"-",(VLOOKUP($A311,'SegEnds_NonXtal_BW#'!$A:$Z,23,FALSE)+VLOOKUP($A311,A:AL,34,FALSE)-50))</f>
        <v>696</v>
      </c>
      <c r="AH311" s="3">
        <v>717</v>
      </c>
      <c r="AI311" s="3">
        <f>IF(ISERROR((VLOOKUP($A311,'SegEnds_NonXtal_BW#'!$A:$Z,24,FALSE)+VLOOKUP($A311,A:AL,34,FALSE)-50)),"-",(VLOOKUP($A311,'SegEnds_NonXtal_BW#'!$A:$Z,24,FALSE)+VLOOKUP($A311,A:AL,34,FALSE)-50))</f>
        <v>723</v>
      </c>
      <c r="AJ311" s="3">
        <f>IF(ISERROR(VLOOKUP($A311,'SegEnds_NonXtal_BW#'!$A:$Z,25,FALSE)+VLOOKUP($A311,A:AL,37,FALSE)-50),"-",(VLOOKUP($A311,'SegEnds_NonXtal_BW#'!$A:$Z,25,FALSE)+VLOOKUP($A311,A:AL,37,FALSE)-50))</f>
        <v>724</v>
      </c>
      <c r="AK311" s="3">
        <v>727</v>
      </c>
      <c r="AL311" s="3">
        <f>IF(ISERROR((VLOOKUP($A311,'SegEnds_NonXtal_BW#'!$A:$Z,26,FALSE)+VLOOKUP($A311,A:AL,37,FALSE)-50)),"-",(VLOOKUP($A311,'SegEnds_NonXtal_BW#'!$A:$Z,26,FALSE)+VLOOKUP($A311,A:AL,37,FALSE)-50))</f>
        <v>740</v>
      </c>
      <c r="AM311" s="28" t="str">
        <f>VLOOKUP(A311,Classification!A:B,2,FALSE)</f>
        <v>B2</v>
      </c>
      <c r="AN311" s="28" t="b">
        <f t="shared" si="173"/>
        <v>1</v>
      </c>
      <c r="AO311" s="3" t="str">
        <f>IF(ISERROR(MATCH(A311,'SegEnds_Xtal_Prot#'!B:B, 0)), "NoXtal", "Xtal")</f>
        <v>NoXtal</v>
      </c>
      <c r="AP311" s="3" t="str">
        <f t="shared" si="153"/>
        <v>-</v>
      </c>
      <c r="AQ311" s="3" t="str">
        <f t="shared" si="154"/>
        <v>-</v>
      </c>
      <c r="AR311" s="3" t="str">
        <f t="shared" si="155"/>
        <v>-</v>
      </c>
      <c r="AS311" s="3" t="str">
        <f t="shared" si="156"/>
        <v>-</v>
      </c>
      <c r="AT311" s="3" t="str">
        <f t="shared" si="157"/>
        <v>-</v>
      </c>
      <c r="AU311" s="3" t="str">
        <f t="shared" si="158"/>
        <v>-</v>
      </c>
      <c r="AV311" s="3">
        <f t="shared" si="159"/>
        <v>16</v>
      </c>
      <c r="AW311" s="3">
        <f t="shared" si="160"/>
        <v>10</v>
      </c>
      <c r="AX311" s="3">
        <f t="shared" si="161"/>
        <v>11</v>
      </c>
      <c r="AY311" s="3">
        <f t="shared" si="162"/>
        <v>2</v>
      </c>
      <c r="AZ311" s="3">
        <f t="shared" si="163"/>
        <v>1</v>
      </c>
      <c r="BA311" s="3">
        <f>IF(ISERROR(LEN(VLOOKUP(A311,Seqs!A:E,2,FALSE))-AL311),"-",LEN(VLOOKUP(A311,Seqs!A:E,2,FALSE))-AL311)</f>
        <v>57</v>
      </c>
      <c r="BB311" s="16">
        <f t="shared" si="164"/>
        <v>29</v>
      </c>
      <c r="BC311" s="9" t="str">
        <f t="shared" si="165"/>
        <v>-</v>
      </c>
      <c r="BD311" s="3">
        <f t="shared" si="166"/>
        <v>29</v>
      </c>
      <c r="BE311" s="3">
        <f t="shared" si="167"/>
        <v>51</v>
      </c>
    </row>
    <row r="312" spans="1:58" s="3" customFormat="1" x14ac:dyDescent="0.2">
      <c r="A312" s="3" t="s">
        <v>1199</v>
      </c>
      <c r="B312" s="3" t="str">
        <f>LOWER(VLOOKUP(A312,Xtal_Templ!A:B,2,FALSE))</f>
        <v>calcr_human</v>
      </c>
      <c r="C312" s="3">
        <f>VLOOKUP($A312,'SegEnds_NonXtal_BW#'!$A:$Z,3,FALSE)+D312-50</f>
        <v>848</v>
      </c>
      <c r="D312" s="3">
        <v>875</v>
      </c>
      <c r="E312" s="3">
        <f>IF(ISERROR(VLOOKUP($A312,'SegEnds_NonXtal_BW#'!$A:$Z,4,FALSE)+VLOOKUP($A312,A:AL,4,FALSE)-50),"-",(VLOOKUP($A312,'SegEnds_NonXtal_BW#'!$A:$Z,4,FALSE)+VLOOKUP($A312,A:AL,4,FALSE)-50))</f>
        <v>885</v>
      </c>
      <c r="F312" s="3">
        <f>G312-2</f>
        <v>886</v>
      </c>
      <c r="G312" s="3">
        <v>888</v>
      </c>
      <c r="H312" s="3">
        <f>G312+1</f>
        <v>889</v>
      </c>
      <c r="I312" s="3">
        <f>H312+1</f>
        <v>890</v>
      </c>
      <c r="J312" s="3">
        <v>903</v>
      </c>
      <c r="K312" s="3">
        <f>VLOOKUP($A312,'SegEnds_NonXtal_BW#'!$A:$Z,8,FALSE)+VLOOKUP($A312,A:AL,10,FALSE)-50</f>
        <v>916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921</v>
      </c>
      <c r="P312" s="3">
        <v>948</v>
      </c>
      <c r="Q312" s="3">
        <f>VLOOKUP($A312,'SegEnds_NonXtal_BW#'!$A:$Z,12,FALSE)+VLOOKUP($A312,A:AL,16,FALSE)-50</f>
        <v>954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3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962</v>
      </c>
      <c r="V312" s="3">
        <v>971</v>
      </c>
      <c r="W312" s="3">
        <f>IF(ISERROR(VLOOKUP($A312,'SegEnds_NonXtal_BW#'!$A:$Z,16,FALSE)+VLOOKUP($A312,A:AL,22,FALSE)-50),"-",(VLOOKUP($A312,'SegEnds_NonXtal_BW#'!$A:$Z,16,FALSE)+VLOOKUP($A312,A:AL,22,FALSE)-50))</f>
        <v>989</v>
      </c>
      <c r="X312" s="3">
        <f>IF(ISERROR(VLOOKUP($A312,'SegEnds_NonXtal_BW#'!$A:$Z,17,FALSE)+VLOOKUP($A312,A:AL,25,FALSE)-50),"-",(VLOOKUP($A312,'SegEnds_NonXtal_BW#'!$A:$Z,17,FALSE)+VLOOKUP($A312,A:AL,25,FALSE)-50))</f>
        <v>995</v>
      </c>
      <c r="Y312" s="3">
        <v>995</v>
      </c>
      <c r="Z312" s="3">
        <f t="shared" si="183"/>
        <v>997</v>
      </c>
      <c r="AA312" s="3">
        <f>IF(ISERROR(VLOOKUP($A312,'SegEnds_NonXtal_BW#'!$A:$Z,19,FALSE)+VLOOKUP($A312,A:AL,28,FALSE)-50),"-",(VLOOKUP($A312,'SegEnds_NonXtal_BW#'!$A:$Z,19,FALSE)+VLOOKUP($A312,A:AL,28,FALSE)-50))</f>
        <v>1000</v>
      </c>
      <c r="AB312" s="3">
        <v>1014</v>
      </c>
      <c r="AC312" s="3">
        <f>IF(ISERROR((VLOOKUP($A312,'SegEnds_NonXtal_BW#'!$A:$Z,20,FALSE)+VLOOKUP($A312,A:AL,28,FALSE)-50)),"-",(VLOOKUP($A312,'SegEnds_NonXtal_BW#'!$A:$Z,20,FALSE)+VLOOKUP($A312,A:AL,28,FALSE)-50))</f>
        <v>1033</v>
      </c>
      <c r="AD312" s="3">
        <f>IF(ISERROR(VLOOKUP($A312,'SegEnds_NonXtal_BW#'!$A:$Z,21,FALSE)+VLOOKUP($A312,A:AL,31,FALSE)-50),"-",(VLOOKUP($A312,'SegEnds_NonXtal_BW#'!$A:$Z,21,FALSE)+VLOOKUP($A312,A:AL,31,FALSE)-50))</f>
        <v>1045</v>
      </c>
      <c r="AE312" s="3">
        <v>1066</v>
      </c>
      <c r="AF312" s="3">
        <f>IF(ISERROR((VLOOKUP($A312,'SegEnds_NonXtal_BW#'!$A:$Z,22,FALSE)+VLOOKUP($A312,A:AL,31,FALSE)-50)),"-",(VLOOKUP($A312,'SegEnds_NonXtal_BW#'!$A:$Z,22,FALSE)+VLOOKUP($A312,A:AL,31,FALSE)-50))</f>
        <v>1069</v>
      </c>
      <c r="AG312" s="3">
        <f>IF(ISERROR(VLOOKUP($A312,'SegEnds_NonXtal_BW#'!$A:$Z,23,FALSE)+VLOOKUP($A312,A:AL,34,FALSE)-50),"-",(VLOOKUP($A312,'SegEnds_NonXtal_BW#'!$A:$Z,23,FALSE)+VLOOKUP($A312,A:AL,34,FALSE)-50))</f>
        <v>1075</v>
      </c>
      <c r="AH312" s="3">
        <v>1094</v>
      </c>
      <c r="AI312" s="3">
        <f>IF(ISERROR((VLOOKUP($A312,'SegEnds_NonXtal_BW#'!$A:$Z,24,FALSE)+VLOOKUP($A312,A:AL,34,FALSE)-50)),"-",(VLOOKUP($A312,'SegEnds_NonXtal_BW#'!$A:$Z,24,FALSE)+VLOOKUP($A312,A:AL,34,FALSE)-50))</f>
        <v>1100</v>
      </c>
      <c r="AJ312" s="3">
        <f>IF(ISERROR(VLOOKUP($A312,'SegEnds_NonXtal_BW#'!$A:$Z,25,FALSE)+VLOOKUP($A312,A:AL,37,FALSE)-50),"-",(VLOOKUP($A312,'SegEnds_NonXtal_BW#'!$A:$Z,25,FALSE)+VLOOKUP($A312,A:AL,37,FALSE)-50))</f>
        <v>1101</v>
      </c>
      <c r="AK312" s="3">
        <v>1104</v>
      </c>
      <c r="AL312" s="3">
        <f>IF(ISERROR((VLOOKUP($A312,'SegEnds_NonXtal_BW#'!$A:$Z,26,FALSE)+VLOOKUP($A312,A:AL,37,FALSE)-50)),"-",(VLOOKUP($A312,'SegEnds_NonXtal_BW#'!$A:$Z,26,FALSE)+VLOOKUP($A312,A:AL,37,FALSE)-50))</f>
        <v>1117</v>
      </c>
      <c r="AM312" s="28" t="str">
        <f>VLOOKUP(A312,Classification!A:B,2,FALSE)</f>
        <v>B2</v>
      </c>
      <c r="AN312" s="28" t="b">
        <f t="shared" si="173"/>
        <v>1</v>
      </c>
      <c r="AO312" s="3" t="str">
        <f>IF(ISERROR(MATCH(A312,'SegEnds_Xtal_Prot#'!B:B, 0)), "NoXtal", "Xtal")</f>
        <v>NoXtal</v>
      </c>
      <c r="AP312" s="3">
        <f t="shared" si="153"/>
        <v>1</v>
      </c>
      <c r="AQ312" s="3">
        <f t="shared" si="154"/>
        <v>1</v>
      </c>
      <c r="AR312" s="3" t="str">
        <f t="shared" si="155"/>
        <v>-</v>
      </c>
      <c r="AS312" s="3" t="str">
        <f t="shared" si="156"/>
        <v>-</v>
      </c>
      <c r="AT312" s="3" t="str">
        <f t="shared" si="157"/>
        <v>-</v>
      </c>
      <c r="AU312" s="3" t="str">
        <f t="shared" si="158"/>
        <v>-</v>
      </c>
      <c r="AV312" s="3">
        <f t="shared" si="159"/>
        <v>6</v>
      </c>
      <c r="AW312" s="3">
        <f t="shared" si="160"/>
        <v>3</v>
      </c>
      <c r="AX312" s="3">
        <f t="shared" si="161"/>
        <v>12</v>
      </c>
      <c r="AY312" s="3">
        <f t="shared" si="162"/>
        <v>6</v>
      </c>
      <c r="AZ312" s="3">
        <f t="shared" si="163"/>
        <v>1</v>
      </c>
      <c r="BA312" s="3">
        <f>IF(ISERROR(LEN(VLOOKUP(A312,Seqs!A:E,2,FALSE))-AL312),"-",LEN(VLOOKUP(A312,Seqs!A:E,2,FALSE))-AL312)</f>
        <v>357</v>
      </c>
      <c r="BB312" s="16">
        <f t="shared" si="164"/>
        <v>28</v>
      </c>
      <c r="BC312" s="9" t="str">
        <f t="shared" si="165"/>
        <v>-</v>
      </c>
      <c r="BD312" s="3">
        <f t="shared" si="166"/>
        <v>28</v>
      </c>
      <c r="BE312" s="3">
        <f t="shared" si="167"/>
        <v>52</v>
      </c>
    </row>
    <row r="313" spans="1:58" s="3" customFormat="1" x14ac:dyDescent="0.2">
      <c r="A313" s="3" t="s">
        <v>1200</v>
      </c>
      <c r="B313" s="3" t="str">
        <f>LOWER(VLOOKUP(A313,Xtal_Templ!A:B,2,FALSE))</f>
        <v>calcr_human</v>
      </c>
      <c r="C313" s="3">
        <f>VLOOKUP($A313,'SegEnds_NonXtal_BW#'!$A:$Z,3,FALSE)+D313-50</f>
        <v>835</v>
      </c>
      <c r="D313" s="3">
        <v>862</v>
      </c>
      <c r="E313" s="3">
        <f>IF(ISERROR(VLOOKUP($A313,'SegEnds_NonXtal_BW#'!$A:$Z,4,FALSE)+VLOOKUP($A313,A:AL,4,FALSE)-50),"-",(VLOOKUP($A313,'SegEnds_NonXtal_BW#'!$A:$Z,4,FALSE)+VLOOKUP($A313,A:AL,4,FALSE)-50))</f>
        <v>872</v>
      </c>
      <c r="F313" s="3" t="s">
        <v>23</v>
      </c>
      <c r="G313" s="3" t="s">
        <v>23</v>
      </c>
      <c r="H313" s="3" t="s">
        <v>23</v>
      </c>
      <c r="I313" s="3">
        <f>VLOOKUP($A313,'SegEnds_NonXtal_BW#'!$A:$Z,7,FALSE)+J313-50</f>
        <v>877</v>
      </c>
      <c r="J313" s="3">
        <v>890</v>
      </c>
      <c r="K313" s="3">
        <f>VLOOKUP($A313,'SegEnds_NonXtal_BW#'!$A:$Z,8,FALSE)+VLOOKUP($A313,A:AL,10,FALSE)-50</f>
        <v>903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908</v>
      </c>
      <c r="P313" s="3">
        <v>935</v>
      </c>
      <c r="Q313" s="3">
        <f>VLOOKUP($A313,'SegEnds_NonXtal_BW#'!$A:$Z,12,FALSE)+VLOOKUP($A313,A:AL,16,FALSE)-50</f>
        <v>941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3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949</v>
      </c>
      <c r="V313" s="3">
        <v>958</v>
      </c>
      <c r="W313" s="3">
        <f>IF(ISERROR(VLOOKUP($A313,'SegEnds_NonXtal_BW#'!$A:$Z,16,FALSE)+VLOOKUP($A313,A:AL,22,FALSE)-50),"-",(VLOOKUP($A313,'SegEnds_NonXtal_BW#'!$A:$Z,16,FALSE)+VLOOKUP($A313,A:AL,22,FALSE)-50))</f>
        <v>976</v>
      </c>
      <c r="X313" s="3">
        <f>IF(ISERROR(VLOOKUP($A313,'SegEnds_NonXtal_BW#'!$A:$Z,17,FALSE)+VLOOKUP($A313,A:AL,25,FALSE)-50),"-",(VLOOKUP($A313,'SegEnds_NonXtal_BW#'!$A:$Z,17,FALSE)+VLOOKUP($A313,A:AL,25,FALSE)-50))</f>
        <v>982</v>
      </c>
      <c r="Y313" s="3">
        <v>982</v>
      </c>
      <c r="Z313" s="3">
        <f t="shared" si="183"/>
        <v>984</v>
      </c>
      <c r="AA313" s="3">
        <f>IF(ISERROR(VLOOKUP($A313,'SegEnds_NonXtal_BW#'!$A:$Z,19,FALSE)+VLOOKUP($A313,A:AL,28,FALSE)-50),"-",(VLOOKUP($A313,'SegEnds_NonXtal_BW#'!$A:$Z,19,FALSE)+VLOOKUP($A313,A:AL,28,FALSE)-50))</f>
        <v>987</v>
      </c>
      <c r="AB313" s="3">
        <v>1001</v>
      </c>
      <c r="AC313" s="3">
        <f>IF(ISERROR((VLOOKUP($A313,'SegEnds_NonXtal_BW#'!$A:$Z,20,FALSE)+VLOOKUP($A313,A:AL,28,FALSE)-50)),"-",(VLOOKUP($A313,'SegEnds_NonXtal_BW#'!$A:$Z,20,FALSE)+VLOOKUP($A313,A:AL,28,FALSE)-50))</f>
        <v>1020</v>
      </c>
      <c r="AD313" s="3">
        <f>IF(ISERROR(VLOOKUP($A313,'SegEnds_NonXtal_BW#'!$A:$Z,21,FALSE)+VLOOKUP($A313,A:AL,31,FALSE)-50),"-",(VLOOKUP($A313,'SegEnds_NonXtal_BW#'!$A:$Z,21,FALSE)+VLOOKUP($A313,A:AL,31,FALSE)-50))</f>
        <v>1032</v>
      </c>
      <c r="AE313" s="3">
        <v>1053</v>
      </c>
      <c r="AF313" s="3">
        <f>IF(ISERROR((VLOOKUP($A313,'SegEnds_NonXtal_BW#'!$A:$Z,22,FALSE)+VLOOKUP($A313,A:AL,31,FALSE)-50)),"-",(VLOOKUP($A313,'SegEnds_NonXtal_BW#'!$A:$Z,22,FALSE)+VLOOKUP($A313,A:AL,31,FALSE)-50))</f>
        <v>1056</v>
      </c>
      <c r="AG313" s="3">
        <f>IF(ISERROR(VLOOKUP($A313,'SegEnds_NonXtal_BW#'!$A:$Z,23,FALSE)+VLOOKUP($A313,A:AL,34,FALSE)-50),"-",(VLOOKUP($A313,'SegEnds_NonXtal_BW#'!$A:$Z,23,FALSE)+VLOOKUP($A313,A:AL,34,FALSE)-50))</f>
        <v>1062</v>
      </c>
      <c r="AH313" s="3">
        <v>1081</v>
      </c>
      <c r="AI313" s="3">
        <f>IF(ISERROR((VLOOKUP($A313,'SegEnds_NonXtal_BW#'!$A:$Z,24,FALSE)+VLOOKUP($A313,A:AL,34,FALSE)-50)),"-",(VLOOKUP($A313,'SegEnds_NonXtal_BW#'!$A:$Z,24,FALSE)+VLOOKUP($A313,A:AL,34,FALSE)-50))</f>
        <v>1087</v>
      </c>
      <c r="AJ313" s="3">
        <f>IF(ISERROR(VLOOKUP($A313,'SegEnds_NonXtal_BW#'!$A:$Z,25,FALSE)+VLOOKUP($A313,A:AL,37,FALSE)-50),"-",(VLOOKUP($A313,'SegEnds_NonXtal_BW#'!$A:$Z,25,FALSE)+VLOOKUP($A313,A:AL,37,FALSE)-50))</f>
        <v>1088</v>
      </c>
      <c r="AK313" s="3">
        <v>1091</v>
      </c>
      <c r="AL313" s="3">
        <f>IF(ISERROR((VLOOKUP($A313,'SegEnds_NonXtal_BW#'!$A:$Z,26,FALSE)+VLOOKUP($A313,A:AL,37,FALSE)-50)),"-",(VLOOKUP($A313,'SegEnds_NonXtal_BW#'!$A:$Z,26,FALSE)+VLOOKUP($A313,A:AL,37,FALSE)-50))</f>
        <v>1104</v>
      </c>
      <c r="AM313" s="28" t="str">
        <f>VLOOKUP(A313,Classification!A:B,2,FALSE)</f>
        <v>B2</v>
      </c>
      <c r="AN313" s="28" t="b">
        <f t="shared" si="173"/>
        <v>1</v>
      </c>
      <c r="AO313" s="3" t="str">
        <f>IF(ISERROR(MATCH(A313,'SegEnds_Xtal_Prot#'!B:B, 0)), "NoXtal", "Xtal")</f>
        <v>NoXtal</v>
      </c>
      <c r="AP313" s="3" t="str">
        <f t="shared" si="153"/>
        <v>-</v>
      </c>
      <c r="AQ313" s="3" t="str">
        <f t="shared" si="154"/>
        <v>-</v>
      </c>
      <c r="AR313" s="3" t="str">
        <f t="shared" si="155"/>
        <v>-</v>
      </c>
      <c r="AS313" s="3" t="str">
        <f t="shared" si="156"/>
        <v>-</v>
      </c>
      <c r="AT313" s="3" t="str">
        <f t="shared" si="157"/>
        <v>-</v>
      </c>
      <c r="AU313" s="3" t="str">
        <f t="shared" si="158"/>
        <v>-</v>
      </c>
      <c r="AV313" s="3">
        <f t="shared" si="159"/>
        <v>6</v>
      </c>
      <c r="AW313" s="3">
        <f t="shared" si="160"/>
        <v>3</v>
      </c>
      <c r="AX313" s="3">
        <f t="shared" si="161"/>
        <v>12</v>
      </c>
      <c r="AY313" s="3">
        <f t="shared" si="162"/>
        <v>6</v>
      </c>
      <c r="AZ313" s="3">
        <f t="shared" si="163"/>
        <v>1</v>
      </c>
      <c r="BA313" s="3">
        <f>IF(ISERROR(LEN(VLOOKUP(A313,Seqs!A:E,2,FALSE))-AL313),"-",LEN(VLOOKUP(A313,Seqs!A:E,2,FALSE))-AL313)</f>
        <v>355</v>
      </c>
      <c r="BB313" s="16">
        <f t="shared" si="164"/>
        <v>28</v>
      </c>
      <c r="BC313" s="9" t="str">
        <f t="shared" si="165"/>
        <v>-</v>
      </c>
      <c r="BD313" s="3">
        <f t="shared" si="166"/>
        <v>28</v>
      </c>
      <c r="BE313" s="3">
        <f t="shared" si="167"/>
        <v>52</v>
      </c>
    </row>
    <row r="314" spans="1:58" s="3" customFormat="1" x14ac:dyDescent="0.2">
      <c r="A314" s="3" t="s">
        <v>1201</v>
      </c>
      <c r="B314" s="3" t="str">
        <f>LOWER(VLOOKUP(A314,Xtal_Templ!A:B,2,FALSE))</f>
        <v>crfr1_human</v>
      </c>
      <c r="C314" s="3">
        <f>VLOOKUP($A314,'SegEnds_NonXtal_BW#'!$A:$Z,3,FALSE)+D314-50</f>
        <v>852</v>
      </c>
      <c r="D314" s="3">
        <v>879</v>
      </c>
      <c r="E314" s="3">
        <f>IF(ISERROR(VLOOKUP($A314,'SegEnds_NonXtal_BW#'!$A:$Z,4,FALSE)+VLOOKUP($A314,A:AL,4,FALSE)-50),"-",(VLOOKUP($A314,'SegEnds_NonXtal_BW#'!$A:$Z,4,FALSE)+VLOOKUP($A314,A:AL,4,FALSE)-50))</f>
        <v>889</v>
      </c>
      <c r="F314" s="3">
        <f>G314-2</f>
        <v>890</v>
      </c>
      <c r="G314" s="3">
        <v>892</v>
      </c>
      <c r="H314" s="3">
        <f>G314+1</f>
        <v>893</v>
      </c>
      <c r="I314" s="3">
        <f>H314+1</f>
        <v>894</v>
      </c>
      <c r="J314" s="3">
        <v>907</v>
      </c>
      <c r="K314" s="3">
        <f>VLOOKUP($A314,'SegEnds_NonXtal_BW#'!$A:$Z,8,FALSE)+VLOOKUP($A314,A:AL,10,FALSE)-50</f>
        <v>920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925</v>
      </c>
      <c r="P314" s="3">
        <v>952</v>
      </c>
      <c r="Q314" s="3">
        <f>VLOOKUP($A314,'SegEnds_NonXtal_BW#'!$A:$Z,12,FALSE)+VLOOKUP($A314,A:AL,16,FALSE)-50</f>
        <v>958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3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965</v>
      </c>
      <c r="V314" s="3">
        <v>975</v>
      </c>
      <c r="W314" s="3">
        <f>IF(ISERROR(VLOOKUP($A314,'SegEnds_NonXtal_BW#'!$A:$Z,16,FALSE)+VLOOKUP($A314,A:AL,22,FALSE)-50),"-",(VLOOKUP($A314,'SegEnds_NonXtal_BW#'!$A:$Z,16,FALSE)+VLOOKUP($A314,A:AL,22,FALSE)-50))</f>
        <v>993</v>
      </c>
      <c r="X314" s="3">
        <f>IF(ISERROR(VLOOKUP($A314,'SegEnds_NonXtal_BW#'!$A:$Z,17,FALSE)+VLOOKUP($A314,A:AL,25,FALSE)-50),"-",(VLOOKUP($A314,'SegEnds_NonXtal_BW#'!$A:$Z,17,FALSE)+VLOOKUP($A314,A:AL,25,FALSE)-50))</f>
        <v>999</v>
      </c>
      <c r="Y314" s="3">
        <v>999</v>
      </c>
      <c r="Z314" s="3">
        <f t="shared" si="183"/>
        <v>1001</v>
      </c>
      <c r="AA314" s="3">
        <f>IF(ISERROR(VLOOKUP($A314,'SegEnds_NonXtal_BW#'!$A:$Z,19,FALSE)+VLOOKUP($A314,A:AL,28,FALSE)-50),"-",(VLOOKUP($A314,'SegEnds_NonXtal_BW#'!$A:$Z,19,FALSE)+VLOOKUP($A314,A:AL,28,FALSE)-50))</f>
        <v>1004</v>
      </c>
      <c r="AB314" s="3">
        <v>1018</v>
      </c>
      <c r="AC314" s="3">
        <f>IF(ISERROR((VLOOKUP($A314,'SegEnds_NonXtal_BW#'!$A:$Z,20,FALSE)+VLOOKUP($A314,A:AL,28,FALSE)-50)),"-",(VLOOKUP($A314,'SegEnds_NonXtal_BW#'!$A:$Z,20,FALSE)+VLOOKUP($A314,A:AL,28,FALSE)-50))</f>
        <v>1037</v>
      </c>
      <c r="AD314" s="3">
        <f>IF(ISERROR(VLOOKUP($A314,'SegEnds_NonXtal_BW#'!$A:$Z,21,FALSE)+VLOOKUP($A314,A:AL,31,FALSE)-50),"-",(VLOOKUP($A314,'SegEnds_NonXtal_BW#'!$A:$Z,21,FALSE)+VLOOKUP($A314,A:AL,31,FALSE)-50))</f>
        <v>1049</v>
      </c>
      <c r="AE314" s="3">
        <v>1070</v>
      </c>
      <c r="AF314" s="3">
        <f>IF(ISERROR((VLOOKUP($A314,'SegEnds_NonXtal_BW#'!$A:$Z,22,FALSE)+VLOOKUP($A314,A:AL,31,FALSE)-50)),"-",(VLOOKUP($A314,'SegEnds_NonXtal_BW#'!$A:$Z,22,FALSE)+VLOOKUP($A314,A:AL,31,FALSE)-50))</f>
        <v>1073</v>
      </c>
      <c r="AG314" s="3">
        <f>IF(ISERROR(VLOOKUP($A314,'SegEnds_NonXtal_BW#'!$A:$Z,23,FALSE)+VLOOKUP($A314,A:AL,34,FALSE)-50),"-",(VLOOKUP($A314,'SegEnds_NonXtal_BW#'!$A:$Z,23,FALSE)+VLOOKUP($A314,A:AL,34,FALSE)-50))</f>
        <v>1079</v>
      </c>
      <c r="AH314" s="3">
        <v>1098</v>
      </c>
      <c r="AI314" s="3">
        <f>IF(ISERROR((VLOOKUP($A314,'SegEnds_NonXtal_BW#'!$A:$Z,24,FALSE)+VLOOKUP($A314,A:AL,34,FALSE)-50)),"-",(VLOOKUP($A314,'SegEnds_NonXtal_BW#'!$A:$Z,24,FALSE)+VLOOKUP($A314,A:AL,34,FALSE)-50))</f>
        <v>1104</v>
      </c>
      <c r="AJ314" s="3">
        <f>IF(ISERROR(VLOOKUP($A314,'SegEnds_NonXtal_BW#'!$A:$Z,25,FALSE)+VLOOKUP($A314,A:AL,37,FALSE)-50),"-",(VLOOKUP($A314,'SegEnds_NonXtal_BW#'!$A:$Z,25,FALSE)+VLOOKUP($A314,A:AL,37,FALSE)-50))</f>
        <v>1105</v>
      </c>
      <c r="AK314" s="3">
        <v>1108</v>
      </c>
      <c r="AL314" s="3">
        <f>IF(ISERROR((VLOOKUP($A314,'SegEnds_NonXtal_BW#'!$A:$Z,26,FALSE)+VLOOKUP($A314,A:AL,37,FALSE)-50)),"-",(VLOOKUP($A314,'SegEnds_NonXtal_BW#'!$A:$Z,26,FALSE)+VLOOKUP($A314,A:AL,37,FALSE)-50))</f>
        <v>1121</v>
      </c>
      <c r="AM314" s="28" t="str">
        <f>VLOOKUP(A314,Classification!A:B,2,FALSE)</f>
        <v>B2</v>
      </c>
      <c r="AN314" s="28" t="b">
        <f t="shared" si="173"/>
        <v>1</v>
      </c>
      <c r="AO314" s="3" t="str">
        <f>IF(ISERROR(MATCH(A314,'SegEnds_Xtal_Prot#'!B:B, 0)), "NoXtal", "Xtal")</f>
        <v>NoXtal</v>
      </c>
      <c r="AP314" s="3">
        <f t="shared" si="153"/>
        <v>1</v>
      </c>
      <c r="AQ314" s="3">
        <f t="shared" si="154"/>
        <v>1</v>
      </c>
      <c r="AR314" s="3" t="str">
        <f t="shared" si="155"/>
        <v>-</v>
      </c>
      <c r="AS314" s="3" t="str">
        <f t="shared" si="156"/>
        <v>-</v>
      </c>
      <c r="AT314" s="3" t="str">
        <f t="shared" si="157"/>
        <v>-</v>
      </c>
      <c r="AU314" s="3" t="str">
        <f t="shared" si="158"/>
        <v>-</v>
      </c>
      <c r="AV314" s="3">
        <f t="shared" si="159"/>
        <v>6</v>
      </c>
      <c r="AW314" s="3">
        <f t="shared" si="160"/>
        <v>3</v>
      </c>
      <c r="AX314" s="3">
        <f t="shared" si="161"/>
        <v>12</v>
      </c>
      <c r="AY314" s="3">
        <f t="shared" si="162"/>
        <v>6</v>
      </c>
      <c r="AZ314" s="3">
        <f t="shared" si="163"/>
        <v>1</v>
      </c>
      <c r="BA314" s="3">
        <f>IF(ISERROR(LEN(VLOOKUP(A314,Seqs!A:E,2,FALSE))-AL314),"-",LEN(VLOOKUP(A314,Seqs!A:E,2,FALSE))-AL314)</f>
        <v>326</v>
      </c>
      <c r="BB314" s="16">
        <f t="shared" si="164"/>
        <v>28</v>
      </c>
      <c r="BC314" s="9" t="str">
        <f t="shared" si="165"/>
        <v>-</v>
      </c>
      <c r="BD314" s="3">
        <f t="shared" si="166"/>
        <v>28</v>
      </c>
      <c r="BE314" s="3">
        <f t="shared" si="167"/>
        <v>52</v>
      </c>
    </row>
    <row r="315" spans="1:58" s="3" customFormat="1" x14ac:dyDescent="0.2">
      <c r="A315" s="3" t="s">
        <v>1202</v>
      </c>
      <c r="B315" s="3" t="str">
        <f>LOWER(VLOOKUP(A315,Xtal_Templ!A:B,2,FALSE))</f>
        <v>crfr1_human</v>
      </c>
      <c r="C315" s="3">
        <f>VLOOKUP($A315,'SegEnds_NonXtal_BW#'!$A:$Z,3,FALSE)+D315-50</f>
        <v>415</v>
      </c>
      <c r="D315" s="3">
        <v>442</v>
      </c>
      <c r="E315" s="3">
        <f>IF(ISERROR(VLOOKUP($A315,'SegEnds_NonXtal_BW#'!$A:$Z,4,FALSE)+VLOOKUP($A315,A:AL,4,FALSE)-50),"-",(VLOOKUP($A315,'SegEnds_NonXtal_BW#'!$A:$Z,4,FALSE)+VLOOKUP($A315,A:AL,4,FALSE)-50))</f>
        <v>452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457</v>
      </c>
      <c r="J315" s="3">
        <v>470</v>
      </c>
      <c r="K315" s="3">
        <f>VLOOKUP($A315,'SegEnds_NonXtal_BW#'!$A:$Z,8,FALSE)+VLOOKUP($A315,A:AL,10,FALSE)-50</f>
        <v>483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488</v>
      </c>
      <c r="P315" s="3">
        <v>515</v>
      </c>
      <c r="Q315" s="3">
        <f>VLOOKUP($A315,'SegEnds_NonXtal_BW#'!$A:$Z,12,FALSE)+VLOOKUP($A315,A:AL,16,FALSE)-50</f>
        <v>521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3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528</v>
      </c>
      <c r="V315" s="3">
        <v>538</v>
      </c>
      <c r="W315" s="3">
        <f>IF(ISERROR(VLOOKUP($A315,'SegEnds_NonXtal_BW#'!$A:$Z,16,FALSE)+VLOOKUP($A315,A:AL,22,FALSE)-50),"-",(VLOOKUP($A315,'SegEnds_NonXtal_BW#'!$A:$Z,16,FALSE)+VLOOKUP($A315,A:AL,22,FALSE)-50))</f>
        <v>556</v>
      </c>
      <c r="X315" s="3">
        <f>IF(ISERROR(VLOOKUP($A315,'SegEnds_NonXtal_BW#'!$A:$Z,17,FALSE)+VLOOKUP($A315,A:AL,25,FALSE)-50),"-",(VLOOKUP($A315,'SegEnds_NonXtal_BW#'!$A:$Z,17,FALSE)+VLOOKUP($A315,A:AL,25,FALSE)-50))</f>
        <v>562</v>
      </c>
      <c r="Y315" s="3">
        <v>562</v>
      </c>
      <c r="Z315" s="3">
        <f t="shared" si="183"/>
        <v>564</v>
      </c>
      <c r="AA315" s="3">
        <f>IF(ISERROR(VLOOKUP($A315,'SegEnds_NonXtal_BW#'!$A:$Z,19,FALSE)+VLOOKUP($A315,A:AL,28,FALSE)-50),"-",(VLOOKUP($A315,'SegEnds_NonXtal_BW#'!$A:$Z,19,FALSE)+VLOOKUP($A315,A:AL,28,FALSE)-50))</f>
        <v>567</v>
      </c>
      <c r="AB315" s="3">
        <v>581</v>
      </c>
      <c r="AC315" s="3">
        <f>IF(ISERROR((VLOOKUP($A315,'SegEnds_NonXtal_BW#'!$A:$Z,20,FALSE)+VLOOKUP($A315,A:AL,28,FALSE)-50)),"-",(VLOOKUP($A315,'SegEnds_NonXtal_BW#'!$A:$Z,20,FALSE)+VLOOKUP($A315,A:AL,28,FALSE)-50))</f>
        <v>600</v>
      </c>
      <c r="AD315" s="3">
        <f>IF(ISERROR(VLOOKUP($A315,'SegEnds_NonXtal_BW#'!$A:$Z,21,FALSE)+VLOOKUP($A315,A:AL,31,FALSE)-50),"-",(VLOOKUP($A315,'SegEnds_NonXtal_BW#'!$A:$Z,21,FALSE)+VLOOKUP($A315,A:AL,31,FALSE)-50))</f>
        <v>612</v>
      </c>
      <c r="AE315" s="3">
        <v>633</v>
      </c>
      <c r="AF315" s="3">
        <f>IF(ISERROR((VLOOKUP($A315,'SegEnds_NonXtal_BW#'!$A:$Z,22,FALSE)+VLOOKUP($A315,A:AL,31,FALSE)-50)),"-",(VLOOKUP($A315,'SegEnds_NonXtal_BW#'!$A:$Z,22,FALSE)+VLOOKUP($A315,A:AL,31,FALSE)-50))</f>
        <v>636</v>
      </c>
      <c r="AG315" s="3">
        <f>IF(ISERROR(VLOOKUP($A315,'SegEnds_NonXtal_BW#'!$A:$Z,23,FALSE)+VLOOKUP($A315,A:AL,34,FALSE)-50),"-",(VLOOKUP($A315,'SegEnds_NonXtal_BW#'!$A:$Z,23,FALSE)+VLOOKUP($A315,A:AL,34,FALSE)-50))</f>
        <v>642</v>
      </c>
      <c r="AH315" s="3">
        <v>661</v>
      </c>
      <c r="AI315" s="3">
        <f>IF(ISERROR((VLOOKUP($A315,'SegEnds_NonXtal_BW#'!$A:$Z,24,FALSE)+VLOOKUP($A315,A:AL,34,FALSE)-50)),"-",(VLOOKUP($A315,'SegEnds_NonXtal_BW#'!$A:$Z,24,FALSE)+VLOOKUP($A315,A:AL,34,FALSE)-50))</f>
        <v>667</v>
      </c>
      <c r="AJ315" s="3">
        <f>IF(ISERROR(VLOOKUP($A315,'SegEnds_NonXtal_BW#'!$A:$Z,25,FALSE)+VLOOKUP($A315,A:AL,37,FALSE)-50),"-",(VLOOKUP($A315,'SegEnds_NonXtal_BW#'!$A:$Z,25,FALSE)+VLOOKUP($A315,A:AL,37,FALSE)-50))</f>
        <v>668</v>
      </c>
      <c r="AK315" s="3">
        <v>671</v>
      </c>
      <c r="AL315" s="3">
        <f>IF(ISERROR((VLOOKUP($A315,'SegEnds_NonXtal_BW#'!$A:$Z,26,FALSE)+VLOOKUP($A315,A:AL,37,FALSE)-50)),"-",(VLOOKUP($A315,'SegEnds_NonXtal_BW#'!$A:$Z,26,FALSE)+VLOOKUP($A315,A:AL,37,FALSE)-50))</f>
        <v>684</v>
      </c>
      <c r="AM315" s="28" t="str">
        <f>VLOOKUP(A315,Classification!A:B,2,FALSE)</f>
        <v>B2</v>
      </c>
      <c r="AN315" s="28" t="b">
        <f t="shared" si="173"/>
        <v>1</v>
      </c>
      <c r="AO315" s="3" t="str">
        <f>IF(ISERROR(MATCH(A315,'SegEnds_Xtal_Prot#'!B:B, 0)), "NoXtal", "Xtal")</f>
        <v>NoXtal</v>
      </c>
      <c r="AP315" s="3" t="str">
        <f t="shared" si="153"/>
        <v>-</v>
      </c>
      <c r="AQ315" s="3" t="str">
        <f t="shared" si="154"/>
        <v>-</v>
      </c>
      <c r="AR315" s="3" t="str">
        <f t="shared" si="155"/>
        <v>-</v>
      </c>
      <c r="AS315" s="3" t="str">
        <f t="shared" si="156"/>
        <v>-</v>
      </c>
      <c r="AT315" s="3" t="str">
        <f t="shared" si="157"/>
        <v>-</v>
      </c>
      <c r="AU315" s="3" t="str">
        <f t="shared" si="158"/>
        <v>-</v>
      </c>
      <c r="AV315" s="3">
        <f t="shared" si="159"/>
        <v>6</v>
      </c>
      <c r="AW315" s="3">
        <f t="shared" si="160"/>
        <v>3</v>
      </c>
      <c r="AX315" s="3">
        <f t="shared" si="161"/>
        <v>12</v>
      </c>
      <c r="AY315" s="3">
        <f t="shared" si="162"/>
        <v>6</v>
      </c>
      <c r="AZ315" s="3">
        <f t="shared" si="163"/>
        <v>1</v>
      </c>
      <c r="BA315" s="3">
        <f>IF(ISERROR(LEN(VLOOKUP(A315,Seqs!A:E,2,FALSE))-AL315),"-",LEN(VLOOKUP(A315,Seqs!A:E,2,FALSE))-AL315)</f>
        <v>6</v>
      </c>
      <c r="BB315" s="16">
        <f t="shared" si="164"/>
        <v>28</v>
      </c>
      <c r="BC315" s="9" t="str">
        <f t="shared" si="165"/>
        <v>-</v>
      </c>
      <c r="BD315" s="3">
        <f t="shared" si="166"/>
        <v>28</v>
      </c>
      <c r="BE315" s="3">
        <f t="shared" si="167"/>
        <v>52</v>
      </c>
      <c r="BF315" s="3">
        <f>AH315-AE315</f>
        <v>28</v>
      </c>
    </row>
    <row r="316" spans="1:58" s="3" customFormat="1" x14ac:dyDescent="0.2">
      <c r="A316" s="3" t="s">
        <v>414</v>
      </c>
      <c r="B316" s="3" t="str">
        <f>LOWER(VLOOKUP(A316,Xtal_Templ!A:B,2,FALSE))</f>
        <v>crfr1_human</v>
      </c>
      <c r="C316" s="3">
        <f>VLOOKUP($A316,'SegEnds_NonXtal_BW#'!$A:$Z,3,FALSE)+D316-50</f>
        <v>935</v>
      </c>
      <c r="D316" s="3">
        <v>962</v>
      </c>
      <c r="E316" s="3">
        <f>IF(ISERROR(VLOOKUP($A316,'SegEnds_NonXtal_BW#'!$A:$Z,4,FALSE)+VLOOKUP($A316,A:AL,4,FALSE)-50),"-",(VLOOKUP($A316,'SegEnds_NonXtal_BW#'!$A:$Z,4,FALSE)+VLOOKUP($A316,A:AL,4,FALSE)-50))</f>
        <v>972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978</v>
      </c>
      <c r="J316" s="3">
        <v>991</v>
      </c>
      <c r="K316" s="3">
        <f>VLOOKUP($A316,'SegEnds_NonXtal_BW#'!$A:$Z,8,FALSE)+VLOOKUP($A316,A:AL,10,FALSE)-50</f>
        <v>1004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1009</v>
      </c>
      <c r="P316" s="3">
        <v>1036</v>
      </c>
      <c r="Q316" s="3">
        <f>VLOOKUP($A316,'SegEnds_NonXtal_BW#'!$A:$Z,12,FALSE)+VLOOKUP($A316,A:AL,16,FALSE)-50</f>
        <v>1042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3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1048</v>
      </c>
      <c r="V316" s="3">
        <v>1058</v>
      </c>
      <c r="W316" s="3">
        <f>IF(ISERROR(VLOOKUP($A316,'SegEnds_NonXtal_BW#'!$A:$Z,16,FALSE)+VLOOKUP($A316,A:AL,22,FALSE)-50),"-",(VLOOKUP($A316,'SegEnds_NonXtal_BW#'!$A:$Z,16,FALSE)+VLOOKUP($A316,A:AL,22,FALSE)-50))</f>
        <v>1076</v>
      </c>
      <c r="X316" s="3">
        <f>IF(ISERROR(VLOOKUP($A316,'SegEnds_NonXtal_BW#'!$A:$Z,17,FALSE)+VLOOKUP($A316,A:AL,25,FALSE)-50),"-",(VLOOKUP($A316,'SegEnds_NonXtal_BW#'!$A:$Z,17,FALSE)+VLOOKUP($A316,A:AL,25,FALSE)-50))</f>
        <v>1083</v>
      </c>
      <c r="Y316" s="3">
        <v>1083</v>
      </c>
      <c r="Z316" s="3">
        <f t="shared" si="183"/>
        <v>1085</v>
      </c>
      <c r="AA316" s="3">
        <f>IF(ISERROR(VLOOKUP($A316,'SegEnds_NonXtal_BW#'!$A:$Z,19,FALSE)+VLOOKUP($A316,A:AL,28,FALSE)-50),"-",(VLOOKUP($A316,'SegEnds_NonXtal_BW#'!$A:$Z,19,FALSE)+VLOOKUP($A316,A:AL,28,FALSE)-50))</f>
        <v>1088</v>
      </c>
      <c r="AB316" s="3">
        <v>1102</v>
      </c>
      <c r="AC316" s="3">
        <f>IF(ISERROR((VLOOKUP($A316,'SegEnds_NonXtal_BW#'!$A:$Z,20,FALSE)+VLOOKUP($A316,A:AL,28,FALSE)-50)),"-",(VLOOKUP($A316,'SegEnds_NonXtal_BW#'!$A:$Z,20,FALSE)+VLOOKUP($A316,A:AL,28,FALSE)-50))</f>
        <v>1121</v>
      </c>
      <c r="AD316" s="3">
        <f>IF(ISERROR(VLOOKUP($A316,'SegEnds_NonXtal_BW#'!$A:$Z,21,FALSE)+VLOOKUP($A316,A:AL,31,FALSE)-50),"-",(VLOOKUP($A316,'SegEnds_NonXtal_BW#'!$A:$Z,21,FALSE)+VLOOKUP($A316,A:AL,31,FALSE)-50))</f>
        <v>1131</v>
      </c>
      <c r="AE316" s="3">
        <v>1152</v>
      </c>
      <c r="AF316" s="3">
        <f>IF(ISERROR((VLOOKUP($A316,'SegEnds_NonXtal_BW#'!$A:$Z,22,FALSE)+VLOOKUP($A316,A:AL,31,FALSE)-50)),"-",(VLOOKUP($A316,'SegEnds_NonXtal_BW#'!$A:$Z,22,FALSE)+VLOOKUP($A316,A:AL,31,FALSE)-50))</f>
        <v>1155</v>
      </c>
      <c r="AG316" s="3">
        <f>IF(ISERROR(VLOOKUP($A316,'SegEnds_NonXtal_BW#'!$A:$Z,23,FALSE)+VLOOKUP($A316,A:AL,34,FALSE)-50),"-",(VLOOKUP($A316,'SegEnds_NonXtal_BW#'!$A:$Z,23,FALSE)+VLOOKUP($A316,A:AL,34,FALSE)-50))</f>
        <v>1162</v>
      </c>
      <c r="AH316" s="3">
        <v>1181</v>
      </c>
      <c r="AI316" s="3">
        <f>IF(ISERROR((VLOOKUP($A316,'SegEnds_NonXtal_BW#'!$A:$Z,24,FALSE)+VLOOKUP($A316,A:AL,34,FALSE)-50)),"-",(VLOOKUP($A316,'SegEnds_NonXtal_BW#'!$A:$Z,24,FALSE)+VLOOKUP($A316,A:AL,34,FALSE)-50))</f>
        <v>1187</v>
      </c>
      <c r="AJ316" s="3">
        <f>IF(ISERROR(VLOOKUP($A316,'SegEnds_NonXtal_BW#'!$A:$Z,25,FALSE)+VLOOKUP($A316,A:AL,37,FALSE)-50),"-",(VLOOKUP($A316,'SegEnds_NonXtal_BW#'!$A:$Z,25,FALSE)+VLOOKUP($A316,A:AL,37,FALSE)-50))</f>
        <v>1188</v>
      </c>
      <c r="AK316" s="3">
        <v>1191</v>
      </c>
      <c r="AL316" s="3">
        <f>IF(ISERROR((VLOOKUP($A316,'SegEnds_NonXtal_BW#'!$A:$Z,26,FALSE)+VLOOKUP($A316,A:AL,37,FALSE)-50)),"-",(VLOOKUP($A316,'SegEnds_NonXtal_BW#'!$A:$Z,26,FALSE)+VLOOKUP($A316,A:AL,37,FALSE)-50))</f>
        <v>1204</v>
      </c>
      <c r="AM316" s="28" t="str">
        <f>VLOOKUP(A316,Classification!A:B,2,FALSE)</f>
        <v>B2</v>
      </c>
      <c r="AN316" s="28" t="b">
        <f t="shared" si="173"/>
        <v>1</v>
      </c>
      <c r="AO316" s="3" t="str">
        <f>IF(ISERROR(MATCH(A316,'SegEnds_Xtal_Prot#'!B:B, 0)), "NoXtal", "Xtal")</f>
        <v>NoXtal</v>
      </c>
      <c r="AP316" s="3" t="str">
        <f t="shared" si="153"/>
        <v>-</v>
      </c>
      <c r="AQ316" s="3" t="str">
        <f t="shared" si="154"/>
        <v>-</v>
      </c>
      <c r="AR316" s="3" t="str">
        <f t="shared" si="155"/>
        <v>-</v>
      </c>
      <c r="AS316" s="3" t="str">
        <f t="shared" si="156"/>
        <v>-</v>
      </c>
      <c r="AT316" s="3" t="str">
        <f t="shared" si="157"/>
        <v>-</v>
      </c>
      <c r="AU316" s="3" t="str">
        <f t="shared" si="158"/>
        <v>-</v>
      </c>
      <c r="AV316" s="3">
        <f t="shared" si="159"/>
        <v>7</v>
      </c>
      <c r="AW316" s="3">
        <f t="shared" si="160"/>
        <v>3</v>
      </c>
      <c r="AX316" s="3">
        <f t="shared" si="161"/>
        <v>10</v>
      </c>
      <c r="AY316" s="3">
        <f t="shared" si="162"/>
        <v>7</v>
      </c>
      <c r="AZ316" s="3">
        <f t="shared" si="163"/>
        <v>1</v>
      </c>
      <c r="BA316" s="3">
        <f>IF(ISERROR(LEN(VLOOKUP(A316,Seqs!A:E,2,FALSE))-AL316),"-",LEN(VLOOKUP(A316,Seqs!A:E,2,FALSE))-AL316)</f>
        <v>380</v>
      </c>
      <c r="BB316" s="16">
        <f t="shared" si="164"/>
        <v>29</v>
      </c>
      <c r="BC316" s="9" t="str">
        <f t="shared" si="165"/>
        <v>-</v>
      </c>
      <c r="BD316" s="3">
        <f t="shared" si="166"/>
        <v>29</v>
      </c>
      <c r="BE316" s="3">
        <f t="shared" si="167"/>
        <v>50</v>
      </c>
    </row>
    <row r="317" spans="1:58" s="3" customFormat="1" x14ac:dyDescent="0.2">
      <c r="A317" s="3" t="s">
        <v>401</v>
      </c>
      <c r="B317" s="3" t="str">
        <f>LOWER(VLOOKUP(A317,Xtal_Templ!A:B,2,FALSE))</f>
        <v>calcr_human</v>
      </c>
      <c r="C317" s="3">
        <f>VLOOKUP($A317,'SegEnds_NonXtal_BW#'!$A:$Z,3,FALSE)+D317-50</f>
        <v>132</v>
      </c>
      <c r="D317" s="3">
        <v>163</v>
      </c>
      <c r="E317" s="3">
        <f>IF(ISERROR(VLOOKUP($A317,'SegEnds_NonXtal_BW#'!$A:$Z,4,FALSE)+VLOOKUP($A317,A:AL,4,FALSE)-50),"-",(VLOOKUP($A317,'SegEnds_NonXtal_BW#'!$A:$Z,4,FALSE)+VLOOKUP($A317,A:AL,4,FALSE)-50))</f>
        <v>173</v>
      </c>
      <c r="F317" s="3">
        <f>G317-2</f>
        <v>174</v>
      </c>
      <c r="G317" s="3">
        <v>176</v>
      </c>
      <c r="H317" s="3">
        <f>G317+1</f>
        <v>177</v>
      </c>
      <c r="I317" s="3">
        <f>H317+1</f>
        <v>178</v>
      </c>
      <c r="J317" s="3">
        <v>191</v>
      </c>
      <c r="K317" s="3">
        <f>VLOOKUP($A317,'SegEnds_NonXtal_BW#'!$A:$Z,8,FALSE)+VLOOKUP($A317,A:AL,10,FALSE)-50</f>
        <v>205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215</v>
      </c>
      <c r="P317" s="3">
        <v>244</v>
      </c>
      <c r="Q317" s="3">
        <f>VLOOKUP($A317,'SegEnds_NonXtal_BW#'!$A:$Z,12,FALSE)+VLOOKUP($A317,A:AL,16,FALSE)-50</f>
        <v>250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3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258</v>
      </c>
      <c r="V317" s="3">
        <v>267</v>
      </c>
      <c r="W317" s="3">
        <f>IF(ISERROR(VLOOKUP($A317,'SegEnds_NonXtal_BW#'!$A:$Z,16,FALSE)+VLOOKUP($A317,A:AL,22,FALSE)-50),"-",(VLOOKUP($A317,'SegEnds_NonXtal_BW#'!$A:$Z,16,FALSE)+VLOOKUP($A317,A:AL,22,FALSE)-50))</f>
        <v>285</v>
      </c>
      <c r="X317" s="3">
        <f>IF(ISERROR(VLOOKUP($A317,'SegEnds_NonXtal_BW#'!$A:$Z,17,FALSE)+VLOOKUP($A317,A:AL,25,FALSE)-50),"-",(VLOOKUP($A317,'SegEnds_NonXtal_BW#'!$A:$Z,17,FALSE)+VLOOKUP($A317,A:AL,25,FALSE)-50))</f>
        <v>289</v>
      </c>
      <c r="Y317" s="3">
        <v>289</v>
      </c>
      <c r="Z317" s="3">
        <f t="shared" si="183"/>
        <v>291</v>
      </c>
      <c r="AA317" s="3">
        <f>IF(ISERROR(VLOOKUP($A317,'SegEnds_NonXtal_BW#'!$A:$Z,19,FALSE)+VLOOKUP($A317,A:AL,28,FALSE)-50),"-",(VLOOKUP($A317,'SegEnds_NonXtal_BW#'!$A:$Z,19,FALSE)+VLOOKUP($A317,A:AL,28,FALSE)-50))</f>
        <v>298</v>
      </c>
      <c r="AB317" s="3">
        <v>308</v>
      </c>
      <c r="AC317" s="3">
        <f>IF(ISERROR((VLOOKUP($A317,'SegEnds_NonXtal_BW#'!$A:$Z,20,FALSE)+VLOOKUP($A317,A:AL,28,FALSE)-50)),"-",(VLOOKUP($A317,'SegEnds_NonXtal_BW#'!$A:$Z,20,FALSE)+VLOOKUP($A317,A:AL,28,FALSE)-50))</f>
        <v>328</v>
      </c>
      <c r="AD317" s="3">
        <f>IF(ISERROR(VLOOKUP($A317,'SegEnds_NonXtal_BW#'!$A:$Z,21,FALSE)+VLOOKUP($A317,A:AL,31,FALSE)-50),"-",(VLOOKUP($A317,'SegEnds_NonXtal_BW#'!$A:$Z,21,FALSE)+VLOOKUP($A317,A:AL,31,FALSE)-50))</f>
        <v>338</v>
      </c>
      <c r="AE317" s="3">
        <v>358</v>
      </c>
      <c r="AF317" s="3">
        <f>IF(ISERROR((VLOOKUP($A317,'SegEnds_NonXtal_BW#'!$A:$Z,22,FALSE)+VLOOKUP($A317,A:AL,31,FALSE)-50)),"-",(VLOOKUP($A317,'SegEnds_NonXtal_BW#'!$A:$Z,22,FALSE)+VLOOKUP($A317,A:AL,31,FALSE)-50))</f>
        <v>361</v>
      </c>
      <c r="AG317" s="3">
        <f>IF(ISERROR(VLOOKUP($A317,'SegEnds_NonXtal_BW#'!$A:$Z,23,FALSE)+VLOOKUP($A317,A:AL,34,FALSE)-50),"-",(VLOOKUP($A317,'SegEnds_NonXtal_BW#'!$A:$Z,23,FALSE)+VLOOKUP($A317,A:AL,34,FALSE)-50))</f>
        <v>366</v>
      </c>
      <c r="AH317" s="3">
        <v>388</v>
      </c>
      <c r="AI317" s="3">
        <f>IF(ISERROR((VLOOKUP($A317,'SegEnds_NonXtal_BW#'!$A:$Z,24,FALSE)+VLOOKUP($A317,A:AL,34,FALSE)-50)),"-",(VLOOKUP($A317,'SegEnds_NonXtal_BW#'!$A:$Z,24,FALSE)+VLOOKUP($A317,A:AL,34,FALSE)-50))</f>
        <v>394</v>
      </c>
      <c r="AJ317" s="3">
        <f>IF(ISERROR(VLOOKUP($A317,'SegEnds_NonXtal_BW#'!$A:$Z,25,FALSE)+VLOOKUP($A317,A:AL,37,FALSE)-50),"-",(VLOOKUP($A317,'SegEnds_NonXtal_BW#'!$A:$Z,25,FALSE)+VLOOKUP($A317,A:AL,37,FALSE)-50))</f>
        <v>395</v>
      </c>
      <c r="AK317" s="3">
        <v>398</v>
      </c>
      <c r="AL317" s="3">
        <f>IF(ISERROR((VLOOKUP($A317,'SegEnds_NonXtal_BW#'!$A:$Z,26,FALSE)+VLOOKUP($A317,A:AL,37,FALSE)-50)),"-",(VLOOKUP($A317,'SegEnds_NonXtal_BW#'!$A:$Z,26,FALSE)+VLOOKUP($A317,A:AL,37,FALSE)-50))</f>
        <v>420</v>
      </c>
      <c r="AM317" s="28" t="str">
        <f>VLOOKUP(A317,Classification!A:B,2,FALSE)</f>
        <v>B1</v>
      </c>
      <c r="AN317" s="28" t="b">
        <f t="shared" si="173"/>
        <v>1</v>
      </c>
      <c r="AO317" s="3" t="str">
        <f>IF(ISERROR(MATCH(A317,'SegEnds_Xtal_Prot#'!B:B, 0)), "NoXtal", "Xtal")</f>
        <v>Xtal</v>
      </c>
      <c r="AP317" s="3">
        <f t="shared" si="153"/>
        <v>1</v>
      </c>
      <c r="AQ317" s="3">
        <f t="shared" si="154"/>
        <v>1</v>
      </c>
      <c r="AR317" s="3" t="str">
        <f t="shared" si="155"/>
        <v>-</v>
      </c>
      <c r="AS317" s="3" t="str">
        <f t="shared" si="156"/>
        <v>-</v>
      </c>
      <c r="AT317" s="3" t="str">
        <f t="shared" si="157"/>
        <v>-</v>
      </c>
      <c r="AU317" s="3" t="str">
        <f t="shared" si="158"/>
        <v>-</v>
      </c>
      <c r="AV317" s="3">
        <f t="shared" si="159"/>
        <v>4</v>
      </c>
      <c r="AW317" s="3">
        <f t="shared" si="160"/>
        <v>7</v>
      </c>
      <c r="AX317" s="3">
        <f t="shared" si="161"/>
        <v>10</v>
      </c>
      <c r="AY317" s="3">
        <f t="shared" si="162"/>
        <v>5</v>
      </c>
      <c r="AZ317" s="3">
        <f t="shared" si="163"/>
        <v>1</v>
      </c>
      <c r="BA317" s="3">
        <f>IF(ISERROR(LEN(VLOOKUP(A317,Seqs!A:E,2,FALSE))-AL317),"-",LEN(VLOOKUP(A317,Seqs!A:E,2,FALSE))-AL317)</f>
        <v>54</v>
      </c>
      <c r="BB317" s="16">
        <f t="shared" si="164"/>
        <v>28</v>
      </c>
      <c r="BC317" s="9" t="str">
        <f t="shared" si="165"/>
        <v>-</v>
      </c>
      <c r="BD317" s="3">
        <f t="shared" si="166"/>
        <v>28</v>
      </c>
      <c r="BE317" s="3">
        <f t="shared" si="167"/>
        <v>50</v>
      </c>
    </row>
    <row r="318" spans="1:58" s="3" customFormat="1" x14ac:dyDescent="0.2">
      <c r="A318" s="3" t="s">
        <v>402</v>
      </c>
      <c r="B318" s="3" t="str">
        <f>LOWER(VLOOKUP(A318,Xtal_Templ!A:B,2,FALSE))</f>
        <v>calcr_human</v>
      </c>
      <c r="C318" s="3">
        <f>VLOOKUP($A318,'SegEnds_NonXtal_BW#'!$A:$Z,3,FALSE)+D318-50</f>
        <v>125</v>
      </c>
      <c r="D318" s="3">
        <v>156</v>
      </c>
      <c r="E318" s="3">
        <f>IF(ISERROR(VLOOKUP($A318,'SegEnds_NonXtal_BW#'!$A:$Z,4,FALSE)+VLOOKUP($A318,A:AL,4,FALSE)-50),"-",(VLOOKUP($A318,'SegEnds_NonXtal_BW#'!$A:$Z,4,FALSE)+VLOOKUP($A318,A:AL,4,FALSE)-50))</f>
        <v>166</v>
      </c>
      <c r="F318" s="3">
        <f>G318-2</f>
        <v>167</v>
      </c>
      <c r="G318" s="3">
        <v>169</v>
      </c>
      <c r="H318" s="3">
        <f>G318+1</f>
        <v>170</v>
      </c>
      <c r="I318" s="3">
        <f>H318+1</f>
        <v>171</v>
      </c>
      <c r="J318" s="3">
        <v>184</v>
      </c>
      <c r="K318" s="3">
        <f>VLOOKUP($A318,'SegEnds_NonXtal_BW#'!$A:$Z,8,FALSE)+VLOOKUP($A318,A:AL,10,FALSE)-50</f>
        <v>198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208</v>
      </c>
      <c r="P318" s="3">
        <v>237</v>
      </c>
      <c r="Q318" s="3">
        <f>VLOOKUP($A318,'SegEnds_NonXtal_BW#'!$A:$Z,12,FALSE)+VLOOKUP($A318,A:AL,16,FALSE)-50</f>
        <v>243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3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251</v>
      </c>
      <c r="V318" s="3">
        <v>260</v>
      </c>
      <c r="W318" s="3">
        <f>IF(ISERROR(VLOOKUP($A318,'SegEnds_NonXtal_BW#'!$A:$Z,16,FALSE)+VLOOKUP($A318,A:AL,22,FALSE)-50),"-",(VLOOKUP($A318,'SegEnds_NonXtal_BW#'!$A:$Z,16,FALSE)+VLOOKUP($A318,A:AL,22,FALSE)-50))</f>
        <v>278</v>
      </c>
      <c r="X318" s="3">
        <f>IF(ISERROR(VLOOKUP($A318,'SegEnds_NonXtal_BW#'!$A:$Z,17,FALSE)+VLOOKUP($A318,A:AL,25,FALSE)-50),"-",(VLOOKUP($A318,'SegEnds_NonXtal_BW#'!$A:$Z,17,FALSE)+VLOOKUP($A318,A:AL,25,FALSE)-50))</f>
        <v>282</v>
      </c>
      <c r="Y318" s="3">
        <v>282</v>
      </c>
      <c r="Z318" s="3">
        <f t="shared" si="183"/>
        <v>284</v>
      </c>
      <c r="AA318" s="3">
        <f>IF(ISERROR(VLOOKUP($A318,'SegEnds_NonXtal_BW#'!$A:$Z,19,FALSE)+VLOOKUP($A318,A:AL,28,FALSE)-50),"-",(VLOOKUP($A318,'SegEnds_NonXtal_BW#'!$A:$Z,19,FALSE)+VLOOKUP($A318,A:AL,28,FALSE)-50))</f>
        <v>290</v>
      </c>
      <c r="AB318" s="3">
        <v>301</v>
      </c>
      <c r="AC318" s="3">
        <f>IF(ISERROR((VLOOKUP($A318,'SegEnds_NonXtal_BW#'!$A:$Z,20,FALSE)+VLOOKUP($A318,A:AL,28,FALSE)-50)),"-",(VLOOKUP($A318,'SegEnds_NonXtal_BW#'!$A:$Z,20,FALSE)+VLOOKUP($A318,A:AL,28,FALSE)-50))</f>
        <v>321</v>
      </c>
      <c r="AD318" s="3">
        <f>IF(ISERROR(VLOOKUP($A318,'SegEnds_NonXtal_BW#'!$A:$Z,21,FALSE)+VLOOKUP($A318,A:AL,31,FALSE)-50),"-",(VLOOKUP($A318,'SegEnds_NonXtal_BW#'!$A:$Z,21,FALSE)+VLOOKUP($A318,A:AL,31,FALSE)-50))</f>
        <v>331</v>
      </c>
      <c r="AE318" s="3">
        <v>351</v>
      </c>
      <c r="AF318" s="3">
        <f>IF(ISERROR((VLOOKUP($A318,'SegEnds_NonXtal_BW#'!$A:$Z,22,FALSE)+VLOOKUP($A318,A:AL,31,FALSE)-50)),"-",(VLOOKUP($A318,'SegEnds_NonXtal_BW#'!$A:$Z,22,FALSE)+VLOOKUP($A318,A:AL,31,FALSE)-50))</f>
        <v>354</v>
      </c>
      <c r="AG318" s="3">
        <f>IF(ISERROR(VLOOKUP($A318,'SegEnds_NonXtal_BW#'!$A:$Z,23,FALSE)+VLOOKUP($A318,A:AL,34,FALSE)-50),"-",(VLOOKUP($A318,'SegEnds_NonXtal_BW#'!$A:$Z,23,FALSE)+VLOOKUP($A318,A:AL,34,FALSE)-50))</f>
        <v>359</v>
      </c>
      <c r="AH318" s="3">
        <v>381</v>
      </c>
      <c r="AI318" s="3">
        <f>IF(ISERROR((VLOOKUP($A318,'SegEnds_NonXtal_BW#'!$A:$Z,24,FALSE)+VLOOKUP($A318,A:AL,34,FALSE)-50)),"-",(VLOOKUP($A318,'SegEnds_NonXtal_BW#'!$A:$Z,24,FALSE)+VLOOKUP($A318,A:AL,34,FALSE)-50))</f>
        <v>387</v>
      </c>
      <c r="AJ318" s="3">
        <f>IF(ISERROR(VLOOKUP($A318,'SegEnds_NonXtal_BW#'!$A:$Z,25,FALSE)+VLOOKUP($A318,A:AL,37,FALSE)-50),"-",(VLOOKUP($A318,'SegEnds_NonXtal_BW#'!$A:$Z,25,FALSE)+VLOOKUP($A318,A:AL,37,FALSE)-50))</f>
        <v>388</v>
      </c>
      <c r="AK318" s="3">
        <v>391</v>
      </c>
      <c r="AL318" s="3">
        <f>IF(ISERROR((VLOOKUP($A318,'SegEnds_NonXtal_BW#'!$A:$Z,26,FALSE)+VLOOKUP($A318,A:AL,37,FALSE)-50)),"-",(VLOOKUP($A318,'SegEnds_NonXtal_BW#'!$A:$Z,26,FALSE)+VLOOKUP($A318,A:AL,37,FALSE)-50))</f>
        <v>413</v>
      </c>
      <c r="AM318" s="28" t="str">
        <f>VLOOKUP(A318,Classification!A:B,2,FALSE)</f>
        <v>B1</v>
      </c>
      <c r="AN318" s="28" t="b">
        <f t="shared" si="173"/>
        <v>1</v>
      </c>
      <c r="AO318" s="3" t="str">
        <f>IF(ISERROR(MATCH(A318,'SegEnds_Xtal_Prot#'!B:B, 0)), "NoXtal", "Xtal")</f>
        <v>NoXtal</v>
      </c>
      <c r="AP318" s="3">
        <f t="shared" si="153"/>
        <v>1</v>
      </c>
      <c r="AQ318" s="3">
        <f t="shared" si="154"/>
        <v>1</v>
      </c>
      <c r="AR318" s="3" t="str">
        <f t="shared" si="155"/>
        <v>-</v>
      </c>
      <c r="AS318" s="3" t="str">
        <f t="shared" si="156"/>
        <v>-</v>
      </c>
      <c r="AT318" s="3" t="str">
        <f t="shared" si="157"/>
        <v>-</v>
      </c>
      <c r="AU318" s="3" t="str">
        <f t="shared" si="158"/>
        <v>-</v>
      </c>
      <c r="AV318" s="3">
        <f t="shared" si="159"/>
        <v>4</v>
      </c>
      <c r="AW318" s="3">
        <f t="shared" si="160"/>
        <v>6</v>
      </c>
      <c r="AX318" s="3">
        <f t="shared" si="161"/>
        <v>10</v>
      </c>
      <c r="AY318" s="3">
        <f t="shared" si="162"/>
        <v>5</v>
      </c>
      <c r="AZ318" s="3">
        <f t="shared" si="163"/>
        <v>1</v>
      </c>
      <c r="BA318" s="3">
        <f>IF(ISERROR(LEN(VLOOKUP(A318,Seqs!A:E,2,FALSE))-AL318),"-",LEN(VLOOKUP(A318,Seqs!A:E,2,FALSE))-AL318)</f>
        <v>48</v>
      </c>
      <c r="BB318" s="16">
        <f t="shared" si="164"/>
        <v>28</v>
      </c>
      <c r="BC318" s="9" t="str">
        <f t="shared" si="165"/>
        <v>-</v>
      </c>
      <c r="BD318" s="3">
        <f t="shared" si="166"/>
        <v>28</v>
      </c>
      <c r="BE318" s="3">
        <f t="shared" si="167"/>
        <v>50</v>
      </c>
    </row>
    <row r="319" spans="1:58" s="3" customFormat="1" x14ac:dyDescent="0.2">
      <c r="A319" s="3" t="s">
        <v>105</v>
      </c>
      <c r="B319" s="3" t="str">
        <f>LOWER(VLOOKUP(A319,Xtal_Templ!A:B,2,FALSE))</f>
        <v>grm5_human</v>
      </c>
      <c r="C319" s="3">
        <f>VLOOKUP($A319,'SegEnds_NonXtal_BW#'!$A:$Z,3,FALSE)+D319-50</f>
        <v>611</v>
      </c>
      <c r="D319" s="3">
        <v>627</v>
      </c>
      <c r="E319" s="3">
        <f>IF(ISERROR(VLOOKUP($A319,'SegEnds_NonXtal_BW#'!$A:$Z,4,FALSE)+VLOOKUP($A319,A:AL,4,FALSE)-50),"-",(VLOOKUP($A319,'SegEnds_NonXtal_BW#'!$A:$Z,4,FALSE)+VLOOKUP($A319,A:AL,4,FALSE)-50))</f>
        <v>637</v>
      </c>
      <c r="F319" s="3">
        <f>G319-3</f>
        <v>640</v>
      </c>
      <c r="G319" s="3">
        <v>643</v>
      </c>
      <c r="H319" s="3">
        <f>G319+3</f>
        <v>646</v>
      </c>
      <c r="I319" s="3">
        <f>H319+1</f>
        <v>647</v>
      </c>
      <c r="J319" s="3">
        <v>658</v>
      </c>
      <c r="K319" s="3">
        <f>VLOOKUP($A319,'SegEnds_NonXtal_BW#'!$A:$Z,8,FALSE)+VLOOKUP($A319,A:AL,10,FALSE)-50</f>
        <v>669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674</v>
      </c>
      <c r="P319" s="3">
        <v>702</v>
      </c>
      <c r="Q319" s="3">
        <f>VLOOKUP($A319,'SegEnds_NonXtal_BW#'!$A:$Z,12,FALSE)+VLOOKUP($A319,A:AL,16,FALSE)-50</f>
        <v>706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3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720</v>
      </c>
      <c r="V319" s="3">
        <v>732</v>
      </c>
      <c r="W319" s="3">
        <f>IF(ISERROR(VLOOKUP($A319,'SegEnds_NonXtal_BW#'!$A:$Z,16,FALSE)+VLOOKUP($A319,A:AL,22,FALSE)-50),"-",(VLOOKUP($A319,'SegEnds_NonXtal_BW#'!$A:$Z,16,FALSE)+VLOOKUP($A319,A:AL,22,FALSE)-50))</f>
        <v>746</v>
      </c>
      <c r="X319" s="3">
        <f>IF(ISERROR(VLOOKUP($A319,'SegEnds_NonXtal_BW#'!$A:$Z,17,FALSE)+VLOOKUP($A319,A:AL,25,FALSE)-50),"-",(VLOOKUP($A319,'SegEnds_NonXtal_BW#'!$A:$Z,17,FALSE)+VLOOKUP($A319,A:AL,25,FALSE)-50))</f>
        <v>765</v>
      </c>
      <c r="Y319" s="3">
        <v>765</v>
      </c>
      <c r="Z319" s="3">
        <f t="shared" si="183"/>
        <v>767</v>
      </c>
      <c r="AA319" s="3">
        <f>IF(ISERROR(VLOOKUP($A319,'SegEnds_NonXtal_BW#'!$A:$Z,19,FALSE)+VLOOKUP($A319,A:AL,28,FALSE)-50),"-",(VLOOKUP($A319,'SegEnds_NonXtal_BW#'!$A:$Z,19,FALSE)+VLOOKUP($A319,A:AL,28,FALSE)-50))</f>
        <v>770</v>
      </c>
      <c r="AB319" s="3">
        <v>783</v>
      </c>
      <c r="AC319" s="3">
        <f>IF(ISERROR((VLOOKUP($A319,'SegEnds_NonXtal_BW#'!$A:$Z,20,FALSE)+VLOOKUP($A319,A:AL,28,FALSE)-50)),"-",(VLOOKUP($A319,'SegEnds_NonXtal_BW#'!$A:$Z,20,FALSE)+VLOOKUP($A319,A:AL,28,FALSE)-50))</f>
        <v>794</v>
      </c>
      <c r="AD319" s="3">
        <f>IF(ISERROR(VLOOKUP($A319,'SegEnds_NonXtal_BW#'!$A:$Z,21,FALSE)+VLOOKUP($A319,A:AL,31,FALSE)-50),"-",(VLOOKUP($A319,'SegEnds_NonXtal_BW#'!$A:$Z,21,FALSE)+VLOOKUP($A319,A:AL,31,FALSE)-50))</f>
        <v>803</v>
      </c>
      <c r="AE319" s="3">
        <v>820</v>
      </c>
      <c r="AF319" s="3">
        <f>IF(ISERROR((VLOOKUP($A319,'SegEnds_NonXtal_BW#'!$A:$Z,22,FALSE)+VLOOKUP($A319,A:AL,31,FALSE)-50)),"-",(VLOOKUP($A319,'SegEnds_NonXtal_BW#'!$A:$Z,22,FALSE)+VLOOKUP($A319,A:AL,31,FALSE)-50))</f>
        <v>827</v>
      </c>
      <c r="AG319" s="3">
        <f>IF(ISERROR(VLOOKUP($A319,'SegEnds_NonXtal_BW#'!$A:$Z,23,FALSE)+VLOOKUP($A319,A:AL,34,FALSE)-50),"-",(VLOOKUP($A319,'SegEnds_NonXtal_BW#'!$A:$Z,23,FALSE)+VLOOKUP($A319,A:AL,34,FALSE)-50))</f>
        <v>833</v>
      </c>
      <c r="AH319" s="3">
        <v>849</v>
      </c>
      <c r="AI319" s="3">
        <f>IF(ISERROR((VLOOKUP($A319,'SegEnds_NonXtal_BW#'!$A:$Z,24,FALSE)+VLOOKUP($A319,A:AL,34,FALSE)-50)),"-",(VLOOKUP($A319,'SegEnds_NonXtal_BW#'!$A:$Z,24,FALSE)+VLOOKUP($A319,A:AL,34,FALSE)-50))</f>
        <v>862</v>
      </c>
      <c r="AJ319" s="3">
        <f>IF(ISERROR(VLOOKUP($A319,'SegEnds_NonXtal_BW#'!$A:$Z,25,FALSE)+VLOOKUP($A319,A:AL,37,FALSE)-50),"-",(VLOOKUP($A319,'SegEnds_NonXtal_BW#'!$A:$Z,25,FALSE)+VLOOKUP($A319,A:AL,37,FALSE)-50))</f>
        <v>863</v>
      </c>
      <c r="AK319" s="3">
        <v>866</v>
      </c>
      <c r="AL319" s="3">
        <f>IF(ISERROR((VLOOKUP($A319,'SegEnds_NonXtal_BW#'!$A:$Z,26,FALSE)+VLOOKUP($A319,A:AL,37,FALSE)-50)),"-",(VLOOKUP($A319,'SegEnds_NonXtal_BW#'!$A:$Z,26,FALSE)+VLOOKUP($A319,A:AL,37,FALSE)-50))</f>
        <v>875</v>
      </c>
      <c r="AM319" s="28" t="str">
        <f>VLOOKUP(A319,Classification!A:B,2,FALSE)</f>
        <v>C</v>
      </c>
      <c r="AN319" s="28" t="b">
        <f t="shared" si="173"/>
        <v>1</v>
      </c>
      <c r="AO319" s="3" t="str">
        <f>IF(ISERROR(MATCH(A319,'SegEnds_Xtal_Prot#'!B:B, 0)), "NoXtal", "Xtal")</f>
        <v>NoXtal</v>
      </c>
      <c r="AP319" s="3">
        <f t="shared" si="153"/>
        <v>3</v>
      </c>
      <c r="AQ319" s="3">
        <f t="shared" si="154"/>
        <v>1</v>
      </c>
      <c r="AR319" s="3" t="str">
        <f t="shared" si="155"/>
        <v>-</v>
      </c>
      <c r="AS319" s="3" t="str">
        <f t="shared" si="156"/>
        <v>-</v>
      </c>
      <c r="AT319" s="3" t="str">
        <f t="shared" si="157"/>
        <v>-</v>
      </c>
      <c r="AU319" s="3" t="str">
        <f t="shared" si="158"/>
        <v>-</v>
      </c>
      <c r="AV319" s="3">
        <f t="shared" si="159"/>
        <v>19</v>
      </c>
      <c r="AW319" s="3">
        <f t="shared" si="160"/>
        <v>3</v>
      </c>
      <c r="AX319" s="3">
        <f t="shared" si="161"/>
        <v>9</v>
      </c>
      <c r="AY319" s="3">
        <f t="shared" si="162"/>
        <v>6</v>
      </c>
      <c r="AZ319" s="3">
        <f t="shared" si="163"/>
        <v>1</v>
      </c>
      <c r="BA319" s="3">
        <f>IF(ISERROR(LEN(VLOOKUP(A319,Seqs!A:E,2,FALSE))-AL319),"-",LEN(VLOOKUP(A319,Seqs!A:E,2,FALSE))-AL319)</f>
        <v>203</v>
      </c>
      <c r="BB319" s="16">
        <f t="shared" si="164"/>
        <v>31</v>
      </c>
      <c r="BC319" s="9" t="str">
        <f t="shared" si="165"/>
        <v>-</v>
      </c>
      <c r="BD319" s="3">
        <f t="shared" si="166"/>
        <v>31</v>
      </c>
      <c r="BE319" s="3">
        <f t="shared" si="167"/>
        <v>37</v>
      </c>
    </row>
    <row r="320" spans="1:58" s="3" customFormat="1" x14ac:dyDescent="0.2">
      <c r="A320" s="3" t="s">
        <v>169</v>
      </c>
      <c r="B320" s="3" t="str">
        <f>LOWER(VLOOKUP(A320,Xtal_Templ!A:B,2,FALSE))</f>
        <v>ccr9_human</v>
      </c>
      <c r="C320" s="3">
        <f>VLOOKUP($A320,'SegEnds_NonXtal_BW#'!$A:$Z,3,FALSE)+D320-50</f>
        <v>36</v>
      </c>
      <c r="D320" s="3">
        <v>59</v>
      </c>
      <c r="E320" s="3">
        <f>IF(ISERROR(VLOOKUP($A320,'SegEnds_NonXtal_BW#'!$A:$Z,4,FALSE)+VLOOKUP($A320,A:AL,4,FALSE)-50),"-",(VLOOKUP($A320,'SegEnds_NonXtal_BW#'!$A:$Z,4,FALSE)+VLOOKUP($A320,A:AL,4,FALSE)-50))</f>
        <v>69</v>
      </c>
      <c r="F320" s="3">
        <f>G320-2</f>
        <v>70</v>
      </c>
      <c r="G320" s="3">
        <v>72</v>
      </c>
      <c r="H320" s="3">
        <f>G320+1</f>
        <v>73</v>
      </c>
      <c r="I320" s="3">
        <f>H320+1</f>
        <v>74</v>
      </c>
      <c r="J320" s="3">
        <v>88</v>
      </c>
      <c r="K320" s="3">
        <f>VLOOKUP($A320,'SegEnds_NonXtal_BW#'!$A:$Z,8,FALSE)+VLOOKUP($A320,A:AL,10,FALSE)-50</f>
        <v>104</v>
      </c>
      <c r="L320" s="3">
        <f>M320-1</f>
        <v>105</v>
      </c>
      <c r="M320" s="3">
        <v>106</v>
      </c>
      <c r="N320" s="3">
        <f>M320+2</f>
        <v>108</v>
      </c>
      <c r="O320" s="3">
        <f>N320+1</f>
        <v>109</v>
      </c>
      <c r="P320" s="3">
        <v>138</v>
      </c>
      <c r="Q320" s="3">
        <f>VLOOKUP($A320,'SegEnds_NonXtal_BW#'!$A:$Z,12,FALSE)+VLOOKUP($A320,A:AL,16,FALSE)-50</f>
        <v>144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3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154</v>
      </c>
      <c r="V320" s="3">
        <v>166</v>
      </c>
      <c r="W320" s="3">
        <f>IF(ISERROR(VLOOKUP($A320,'SegEnds_NonXtal_BW#'!$A:$Z,16,FALSE)+VLOOKUP($A320,A:AL,22,FALSE)-50),"-",(VLOOKUP($A320,'SegEnds_NonXtal_BW#'!$A:$Z,16,FALSE)+VLOOKUP($A320,A:AL,22,FALSE)-50))</f>
        <v>180</v>
      </c>
      <c r="X320" s="3">
        <f>IF(ISERROR(VLOOKUP($A320,'SegEnds_NonXtal_BW#'!$A:$Z,17,FALSE)+VLOOKUP($A320,A:AL,25,FALSE)-50),"-",(VLOOKUP($A320,'SegEnds_NonXtal_BW#'!$A:$Z,17,FALSE)+VLOOKUP($A320,A:AL,25,FALSE)-50))</f>
        <v>191</v>
      </c>
      <c r="Y320" s="3">
        <v>191</v>
      </c>
      <c r="Z320" s="3">
        <f t="shared" si="183"/>
        <v>193</v>
      </c>
      <c r="AA320" s="3">
        <f>IF(ISERROR(VLOOKUP($A320,'SegEnds_NonXtal_BW#'!$A:$Z,19,FALSE)+VLOOKUP($A320,A:AL,28,FALSE)-50),"-",(VLOOKUP($A320,'SegEnds_NonXtal_BW#'!$A:$Z,19,FALSE)+VLOOKUP($A320,A:AL,28,FALSE)-50))</f>
        <v>202</v>
      </c>
      <c r="AB320" s="3">
        <v>219</v>
      </c>
      <c r="AC320" s="3">
        <f>IF(ISERROR((VLOOKUP($A320,'SegEnds_NonXtal_BW#'!$A:$Z,20,FALSE)+VLOOKUP($A320,A:AL,28,FALSE)-50)),"-",(VLOOKUP($A320,'SegEnds_NonXtal_BW#'!$A:$Z,20,FALSE)+VLOOKUP($A320,A:AL,28,FALSE)-50))</f>
        <v>237</v>
      </c>
      <c r="AD320" s="3">
        <f>IF(ISERROR(VLOOKUP($A320,'SegEnds_NonXtal_BW#'!$A:$Z,21,FALSE)+VLOOKUP($A320,A:AL,31,FALSE)-50),"-",(VLOOKUP($A320,'SegEnds_NonXtal_BW#'!$A:$Z,21,FALSE)+VLOOKUP($A320,A:AL,31,FALSE)-50))</f>
        <v>242</v>
      </c>
      <c r="AE320" s="3">
        <v>262</v>
      </c>
      <c r="AF320" s="3">
        <f>IF(ISERROR((VLOOKUP($A320,'SegEnds_NonXtal_BW#'!$A:$Z,22,FALSE)+VLOOKUP($A320,A:AL,31,FALSE)-50)),"-",(VLOOKUP($A320,'SegEnds_NonXtal_BW#'!$A:$Z,22,FALSE)+VLOOKUP($A320,A:AL,31,FALSE)-50))</f>
        <v>277</v>
      </c>
      <c r="AG320" s="3">
        <f>IF(ISERROR(VLOOKUP($A320,'SegEnds_NonXtal_BW#'!$A:$Z,23,FALSE)+VLOOKUP($A320,A:AL,34,FALSE)-50),"-",(VLOOKUP($A320,'SegEnds_NonXtal_BW#'!$A:$Z,23,FALSE)+VLOOKUP($A320,A:AL,34,FALSE)-50))</f>
        <v>281</v>
      </c>
      <c r="AH320" s="3">
        <v>307</v>
      </c>
      <c r="AI320" s="3">
        <f>IF(ISERROR((VLOOKUP($A320,'SegEnds_NonXtal_BW#'!$A:$Z,24,FALSE)+VLOOKUP($A320,A:AL,34,FALSE)-50)),"-",(VLOOKUP($A320,'SegEnds_NonXtal_BW#'!$A:$Z,24,FALSE)+VLOOKUP($A320,A:AL,34,FALSE)-50))</f>
        <v>313</v>
      </c>
      <c r="AJ320" s="3">
        <f>IF(ISERROR(VLOOKUP($A320,'SegEnds_NonXtal_BW#'!$A:$Z,25,FALSE)+VLOOKUP($A320,A:AL,37,FALSE)-50),"-",(VLOOKUP($A320,'SegEnds_NonXtal_BW#'!$A:$Z,25,FALSE)+VLOOKUP($A320,A:AL,37,FALSE)-50))</f>
        <v>314</v>
      </c>
      <c r="AK320" s="3">
        <v>317</v>
      </c>
      <c r="AL320" s="3">
        <f>IF(ISERROR((VLOOKUP($A320,'SegEnds_NonXtal_BW#'!$A:$Z,26,FALSE)+VLOOKUP($A320,A:AL,37,FALSE)-50)),"-",(VLOOKUP($A320,'SegEnds_NonXtal_BW#'!$A:$Z,26,FALSE)+VLOOKUP($A320,A:AL,37,FALSE)-50))</f>
        <v>334</v>
      </c>
      <c r="AM320" s="28" t="str">
        <f>VLOOKUP(A320,Classification!A:B,2,FALSE)</f>
        <v>A</v>
      </c>
      <c r="AN320" s="28" t="b">
        <f t="shared" si="173"/>
        <v>1</v>
      </c>
      <c r="AO320" s="3" t="str">
        <f>IF(ISERROR(MATCH(A320,'SegEnds_Xtal_Prot#'!B:B, 0)), "NoXtal", "Xtal")</f>
        <v>NoXtal</v>
      </c>
      <c r="AP320" s="3">
        <f t="shared" si="153"/>
        <v>1</v>
      </c>
      <c r="AQ320" s="3">
        <f t="shared" si="154"/>
        <v>1</v>
      </c>
      <c r="AR320" s="3">
        <f t="shared" si="155"/>
        <v>1</v>
      </c>
      <c r="AS320" s="3">
        <f t="shared" si="156"/>
        <v>1</v>
      </c>
      <c r="AT320" s="3" t="str">
        <f t="shared" si="157"/>
        <v>-</v>
      </c>
      <c r="AU320" s="3" t="str">
        <f t="shared" si="158"/>
        <v>-</v>
      </c>
      <c r="AV320" s="3">
        <f t="shared" si="159"/>
        <v>11</v>
      </c>
      <c r="AW320" s="3">
        <f t="shared" si="160"/>
        <v>9</v>
      </c>
      <c r="AX320" s="3">
        <f t="shared" si="161"/>
        <v>5</v>
      </c>
      <c r="AY320" s="3">
        <f t="shared" si="162"/>
        <v>4</v>
      </c>
      <c r="AZ320" s="3">
        <f t="shared" si="163"/>
        <v>1</v>
      </c>
      <c r="BA320" s="3">
        <f>IF(ISERROR(LEN(VLOOKUP(A320,Seqs!A:E,2,FALSE))-AL320),"-",LEN(VLOOKUP(A320,Seqs!A:E,2,FALSE))-AL320)</f>
        <v>28</v>
      </c>
      <c r="BB320" s="16">
        <f t="shared" si="164"/>
        <v>29</v>
      </c>
      <c r="BC320" s="9" t="str">
        <f t="shared" si="165"/>
        <v>-</v>
      </c>
      <c r="BD320" s="3">
        <f t="shared" si="166"/>
        <v>29</v>
      </c>
      <c r="BE320" s="3">
        <f t="shared" si="167"/>
        <v>43</v>
      </c>
    </row>
    <row r="321" spans="1:58" s="3" customFormat="1" x14ac:dyDescent="0.2">
      <c r="A321" s="3" t="s">
        <v>417</v>
      </c>
      <c r="B321" s="3" t="str">
        <f>LOWER(VLOOKUP(A321,Xtal_Templ!A:B,2,FALSE))</f>
        <v>glp1r_human</v>
      </c>
      <c r="C321" s="3">
        <f>VLOOKUP($A321,'SegEnds_NonXtal_BW#'!$A:$Z,3,FALSE)+D321-50</f>
        <v>535</v>
      </c>
      <c r="D321" s="3">
        <v>562</v>
      </c>
      <c r="E321" s="3">
        <f>IF(ISERROR(VLOOKUP($A321,'SegEnds_NonXtal_BW#'!$A:$Z,4,FALSE)+VLOOKUP($A321,A:AL,4,FALSE)-50),"-",(VLOOKUP($A321,'SegEnds_NonXtal_BW#'!$A:$Z,4,FALSE)+VLOOKUP($A321,A:AL,4,FALSE)-50))</f>
        <v>572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577</v>
      </c>
      <c r="J321" s="3">
        <v>590</v>
      </c>
      <c r="K321" s="3">
        <f>VLOOKUP($A321,'SegEnds_NonXtal_BW#'!$A:$Z,8,FALSE)+VLOOKUP($A321,A:AL,10,FALSE)-50</f>
        <v>603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610</v>
      </c>
      <c r="P321" s="3">
        <v>637</v>
      </c>
      <c r="Q321" s="3">
        <f>VLOOKUP($A321,'SegEnds_NonXtal_BW#'!$A:$Z,12,FALSE)+VLOOKUP($A321,A:AL,16,FALSE)-50</f>
        <v>643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3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648</v>
      </c>
      <c r="V321" s="3">
        <v>660</v>
      </c>
      <c r="W321" s="3">
        <f>IF(ISERROR(VLOOKUP($A321,'SegEnds_NonXtal_BW#'!$A:$Z,16,FALSE)+VLOOKUP($A321,A:AL,22,FALSE)-50),"-",(VLOOKUP($A321,'SegEnds_NonXtal_BW#'!$A:$Z,16,FALSE)+VLOOKUP($A321,A:AL,22,FALSE)-50))</f>
        <v>678</v>
      </c>
      <c r="X321" s="3">
        <f>IF(ISERROR(VLOOKUP($A321,'SegEnds_NonXtal_BW#'!$A:$Z,17,FALSE)+VLOOKUP($A321,A:AL,25,FALSE)-50),"-",(VLOOKUP($A321,'SegEnds_NonXtal_BW#'!$A:$Z,17,FALSE)+VLOOKUP($A321,A:AL,25,FALSE)-50))</f>
        <v>684</v>
      </c>
      <c r="Y321" s="3">
        <v>684</v>
      </c>
      <c r="Z321" s="3">
        <f t="shared" si="183"/>
        <v>686</v>
      </c>
      <c r="AA321" s="3">
        <f>IF(ISERROR(VLOOKUP($A321,'SegEnds_NonXtal_BW#'!$A:$Z,19,FALSE)+VLOOKUP($A321,A:AL,28,FALSE)-50),"-",(VLOOKUP($A321,'SegEnds_NonXtal_BW#'!$A:$Z,19,FALSE)+VLOOKUP($A321,A:AL,28,FALSE)-50))</f>
        <v>689</v>
      </c>
      <c r="AB321" s="3">
        <v>703</v>
      </c>
      <c r="AC321" s="3">
        <f>IF(ISERROR((VLOOKUP($A321,'SegEnds_NonXtal_BW#'!$A:$Z,20,FALSE)+VLOOKUP($A321,A:AL,28,FALSE)-50)),"-",(VLOOKUP($A321,'SegEnds_NonXtal_BW#'!$A:$Z,20,FALSE)+VLOOKUP($A321,A:AL,28,FALSE)-50))</f>
        <v>722</v>
      </c>
      <c r="AD321" s="3">
        <f>IF(ISERROR(VLOOKUP($A321,'SegEnds_NonXtal_BW#'!$A:$Z,21,FALSE)+VLOOKUP($A321,A:AL,31,FALSE)-50),"-",(VLOOKUP($A321,'SegEnds_NonXtal_BW#'!$A:$Z,21,FALSE)+VLOOKUP($A321,A:AL,31,FALSE)-50))</f>
        <v>734</v>
      </c>
      <c r="AE321" s="3">
        <v>755</v>
      </c>
      <c r="AF321" s="3">
        <f>IF(ISERROR((VLOOKUP($A321,'SegEnds_NonXtal_BW#'!$A:$Z,22,FALSE)+VLOOKUP($A321,A:AL,31,FALSE)-50)),"-",(VLOOKUP($A321,'SegEnds_NonXtal_BW#'!$A:$Z,22,FALSE)+VLOOKUP($A321,A:AL,31,FALSE)-50))</f>
        <v>763</v>
      </c>
      <c r="AG321" s="3">
        <f>IF(ISERROR(VLOOKUP($A321,'SegEnds_NonXtal_BW#'!$A:$Z,23,FALSE)+VLOOKUP($A321,A:AL,34,FALSE)-50),"-",(VLOOKUP($A321,'SegEnds_NonXtal_BW#'!$A:$Z,23,FALSE)+VLOOKUP($A321,A:AL,34,FALSE)-50))</f>
        <v>764</v>
      </c>
      <c r="AH321" s="3">
        <v>783</v>
      </c>
      <c r="AI321" s="3">
        <f>IF(ISERROR((VLOOKUP($A321,'SegEnds_NonXtal_BW#'!$A:$Z,24,FALSE)+VLOOKUP($A321,A:AL,34,FALSE)-50)),"-",(VLOOKUP($A321,'SegEnds_NonXtal_BW#'!$A:$Z,24,FALSE)+VLOOKUP($A321,A:AL,34,FALSE)-50))</f>
        <v>789</v>
      </c>
      <c r="AJ321" s="3">
        <f>IF(ISERROR(VLOOKUP($A321,'SegEnds_NonXtal_BW#'!$A:$Z,25,FALSE)+VLOOKUP($A321,A:AL,37,FALSE)-50),"-",(VLOOKUP($A321,'SegEnds_NonXtal_BW#'!$A:$Z,25,FALSE)+VLOOKUP($A321,A:AL,37,FALSE)-50))</f>
        <v>790</v>
      </c>
      <c r="AK321" s="3">
        <v>793</v>
      </c>
      <c r="AL321" s="3">
        <f>IF(ISERROR((VLOOKUP($A321,'SegEnds_NonXtal_BW#'!$A:$Z,26,FALSE)+VLOOKUP($A321,A:AL,37,FALSE)-50)),"-",(VLOOKUP($A321,'SegEnds_NonXtal_BW#'!$A:$Z,26,FALSE)+VLOOKUP($A321,A:AL,37,FALSE)-50))</f>
        <v>806</v>
      </c>
      <c r="AM321" s="28" t="str">
        <f>VLOOKUP(A321,Classification!A:B,2,FALSE)</f>
        <v>B2</v>
      </c>
      <c r="AN321" s="28" t="b">
        <f t="shared" si="173"/>
        <v>1</v>
      </c>
      <c r="AO321" s="3" t="str">
        <f>IF(ISERROR(MATCH(A321,'SegEnds_Xtal_Prot#'!B:B, 0)), "NoXtal", "Xtal")</f>
        <v>NoXtal</v>
      </c>
      <c r="AP321" s="3" t="str">
        <f t="shared" si="153"/>
        <v>-</v>
      </c>
      <c r="AQ321" s="3" t="str">
        <f t="shared" si="154"/>
        <v>-</v>
      </c>
      <c r="AR321" s="3" t="str">
        <f t="shared" si="155"/>
        <v>-</v>
      </c>
      <c r="AS321" s="3" t="str">
        <f t="shared" si="156"/>
        <v>-</v>
      </c>
      <c r="AT321" s="3" t="str">
        <f t="shared" si="157"/>
        <v>-</v>
      </c>
      <c r="AU321" s="3" t="str">
        <f t="shared" si="158"/>
        <v>-</v>
      </c>
      <c r="AV321" s="3">
        <f t="shared" si="159"/>
        <v>6</v>
      </c>
      <c r="AW321" s="3">
        <f t="shared" si="160"/>
        <v>3</v>
      </c>
      <c r="AX321" s="3">
        <f t="shared" si="161"/>
        <v>12</v>
      </c>
      <c r="AY321" s="3">
        <f t="shared" si="162"/>
        <v>1</v>
      </c>
      <c r="AZ321" s="3">
        <f t="shared" si="163"/>
        <v>1</v>
      </c>
      <c r="BA321" s="3">
        <f>IF(ISERROR(LEN(VLOOKUP(A321,Seqs!A:E,2,FALSE))-AL321),"-",LEN(VLOOKUP(A321,Seqs!A:E,2,FALSE))-AL321)</f>
        <v>29</v>
      </c>
      <c r="BB321" s="16">
        <f t="shared" si="164"/>
        <v>28</v>
      </c>
      <c r="BC321" s="9" t="str">
        <f t="shared" si="165"/>
        <v>-</v>
      </c>
      <c r="BD321" s="3">
        <f t="shared" si="166"/>
        <v>28</v>
      </c>
      <c r="BE321" s="3">
        <f t="shared" si="167"/>
        <v>52</v>
      </c>
      <c r="BF321" s="3">
        <f>AH321-AE321</f>
        <v>28</v>
      </c>
    </row>
    <row r="322" spans="1:58" s="3" customFormat="1" x14ac:dyDescent="0.2">
      <c r="A322" s="3" t="s">
        <v>418</v>
      </c>
      <c r="B322" s="3" t="str">
        <f>LOWER(VLOOKUP(A322,Xtal_Templ!A:B,2,FALSE))</f>
        <v>calcr_human</v>
      </c>
      <c r="C322" s="3">
        <f>VLOOKUP($A322,'SegEnds_NonXtal_BW#'!$A:$Z,3,FALSE)+D322-50</f>
        <v>2456</v>
      </c>
      <c r="D322" s="3">
        <v>2483</v>
      </c>
      <c r="E322" s="3">
        <f>IF(ISERROR(VLOOKUP($A322,'SegEnds_NonXtal_BW#'!$A:$Z,4,FALSE)+VLOOKUP($A322,A:AL,4,FALSE)-50),"-",(VLOOKUP($A322,'SegEnds_NonXtal_BW#'!$A:$Z,4,FALSE)+VLOOKUP($A322,A:AL,4,FALSE)-50))</f>
        <v>2493</v>
      </c>
      <c r="F322" s="3">
        <f>G322-2</f>
        <v>2494</v>
      </c>
      <c r="G322" s="3">
        <v>2496</v>
      </c>
      <c r="H322" s="3">
        <f t="shared" ref="H322:I336" si="184">G322+1</f>
        <v>2497</v>
      </c>
      <c r="I322" s="3">
        <f t="shared" si="184"/>
        <v>2498</v>
      </c>
      <c r="J322" s="3">
        <v>2511</v>
      </c>
      <c r="K322" s="3">
        <f>VLOOKUP($A322,'SegEnds_NonXtal_BW#'!$A:$Z,8,FALSE)+VLOOKUP($A322,A:AL,10,FALSE)-50</f>
        <v>2524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2529</v>
      </c>
      <c r="P322" s="3">
        <v>2556</v>
      </c>
      <c r="Q322" s="3">
        <f>VLOOKUP($A322,'SegEnds_NonXtal_BW#'!$A:$Z,12,FALSE)+VLOOKUP($A322,A:AL,16,FALSE)-50</f>
        <v>2562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3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2570</v>
      </c>
      <c r="V322" s="3">
        <v>2579</v>
      </c>
      <c r="W322" s="3">
        <f>IF(ISERROR(VLOOKUP($A322,'SegEnds_NonXtal_BW#'!$A:$Z,16,FALSE)+VLOOKUP($A322,A:AL,22,FALSE)-50),"-",(VLOOKUP($A322,'SegEnds_NonXtal_BW#'!$A:$Z,16,FALSE)+VLOOKUP($A322,A:AL,22,FALSE)-50))</f>
        <v>2597</v>
      </c>
      <c r="X322" s="3">
        <f>IF(ISERROR(VLOOKUP($A322,'SegEnds_NonXtal_BW#'!$A:$Z,17,FALSE)+VLOOKUP($A322,A:AL,25,FALSE)-50),"-",(VLOOKUP($A322,'SegEnds_NonXtal_BW#'!$A:$Z,17,FALSE)+VLOOKUP($A322,A:AL,25,FALSE)-50))</f>
        <v>2603</v>
      </c>
      <c r="Y322" s="3">
        <v>2603</v>
      </c>
      <c r="Z322" s="3">
        <f t="shared" si="183"/>
        <v>2605</v>
      </c>
      <c r="AA322" s="3">
        <f>IF(ISERROR(VLOOKUP($A322,'SegEnds_NonXtal_BW#'!$A:$Z,19,FALSE)+VLOOKUP($A322,A:AL,28,FALSE)-50),"-",(VLOOKUP($A322,'SegEnds_NonXtal_BW#'!$A:$Z,19,FALSE)+VLOOKUP($A322,A:AL,28,FALSE)-50))</f>
        <v>2608</v>
      </c>
      <c r="AB322" s="3">
        <v>2622</v>
      </c>
      <c r="AC322" s="3">
        <f>IF(ISERROR((VLOOKUP($A322,'SegEnds_NonXtal_BW#'!$A:$Z,20,FALSE)+VLOOKUP($A322,A:AL,28,FALSE)-50)),"-",(VLOOKUP($A322,'SegEnds_NonXtal_BW#'!$A:$Z,20,FALSE)+VLOOKUP($A322,A:AL,28,FALSE)-50))</f>
        <v>2641</v>
      </c>
      <c r="AD322" s="3">
        <f>IF(ISERROR(VLOOKUP($A322,'SegEnds_NonXtal_BW#'!$A:$Z,21,FALSE)+VLOOKUP($A322,A:AL,31,FALSE)-50),"-",(VLOOKUP($A322,'SegEnds_NonXtal_BW#'!$A:$Z,21,FALSE)+VLOOKUP($A322,A:AL,31,FALSE)-50))</f>
        <v>2649</v>
      </c>
      <c r="AE322" s="3">
        <v>2670</v>
      </c>
      <c r="AF322" s="3">
        <f>IF(ISERROR((VLOOKUP($A322,'SegEnds_NonXtal_BW#'!$A:$Z,22,FALSE)+VLOOKUP($A322,A:AL,31,FALSE)-50)),"-",(VLOOKUP($A322,'SegEnds_NonXtal_BW#'!$A:$Z,22,FALSE)+VLOOKUP($A322,A:AL,31,FALSE)-50))</f>
        <v>2673</v>
      </c>
      <c r="AG322" s="3">
        <f>IF(ISERROR(VLOOKUP($A322,'SegEnds_NonXtal_BW#'!$A:$Z,23,FALSE)+VLOOKUP($A322,A:AL,34,FALSE)-50),"-",(VLOOKUP($A322,'SegEnds_NonXtal_BW#'!$A:$Z,23,FALSE)+VLOOKUP($A322,A:AL,34,FALSE)-50))</f>
        <v>2679</v>
      </c>
      <c r="AH322" s="3">
        <v>2698</v>
      </c>
      <c r="AI322" s="3">
        <f>IF(ISERROR((VLOOKUP($A322,'SegEnds_NonXtal_BW#'!$A:$Z,24,FALSE)+VLOOKUP($A322,A:AL,34,FALSE)-50)),"-",(VLOOKUP($A322,'SegEnds_NonXtal_BW#'!$A:$Z,24,FALSE)+VLOOKUP($A322,A:AL,34,FALSE)-50))</f>
        <v>2704</v>
      </c>
      <c r="AJ322" s="3">
        <f>IF(ISERROR(VLOOKUP($A322,'SegEnds_NonXtal_BW#'!$A:$Z,25,FALSE)+VLOOKUP($A322,A:AL,37,FALSE)-50),"-",(VLOOKUP($A322,'SegEnds_NonXtal_BW#'!$A:$Z,25,FALSE)+VLOOKUP($A322,A:AL,37,FALSE)-50))</f>
        <v>2705</v>
      </c>
      <c r="AK322" s="3">
        <v>2708</v>
      </c>
      <c r="AL322" s="3">
        <f>IF(ISERROR((VLOOKUP($A322,'SegEnds_NonXtal_BW#'!$A:$Z,26,FALSE)+VLOOKUP($A322,A:AL,37,FALSE)-50)),"-",(VLOOKUP($A322,'SegEnds_NonXtal_BW#'!$A:$Z,26,FALSE)+VLOOKUP($A322,A:AL,37,FALSE)-50))</f>
        <v>2721</v>
      </c>
      <c r="AM322" s="28" t="str">
        <f>VLOOKUP(A322,Classification!A:B,2,FALSE)</f>
        <v>B2</v>
      </c>
      <c r="AN322" s="28" t="b">
        <f t="shared" si="173"/>
        <v>1</v>
      </c>
      <c r="AO322" s="3" t="str">
        <f>IF(ISERROR(MATCH(A322,'SegEnds_Xtal_Prot#'!B:B, 0)), "NoXtal", "Xtal")</f>
        <v>NoXtal</v>
      </c>
      <c r="AP322" s="3">
        <f t="shared" ref="AP322:AP385" si="185">IF(ISERROR(F322-E322),"-",F322-E322)</f>
        <v>1</v>
      </c>
      <c r="AQ322" s="3">
        <f t="shared" ref="AQ322:AQ385" si="186">IF(ISERROR(I322-H322),"-",I322-H322)</f>
        <v>1</v>
      </c>
      <c r="AR322" s="3" t="str">
        <f t="shared" ref="AR322:AR385" si="187">IF(ISERROR(L322-K322),"-",L322-K322)</f>
        <v>-</v>
      </c>
      <c r="AS322" s="3" t="str">
        <f t="shared" ref="AS322:AS385" si="188">IF(ISERROR(O322-N322),"-",O322-N322)</f>
        <v>-</v>
      </c>
      <c r="AT322" s="3" t="str">
        <f t="shared" ref="AT322:AT385" si="189">IF(ISERROR(R322-Q322),"-",R322-Q322)</f>
        <v>-</v>
      </c>
      <c r="AU322" s="3" t="str">
        <f t="shared" ref="AU322:AU385" si="190">IF(ISERROR(U322-T322),"-",U322-T322)</f>
        <v>-</v>
      </c>
      <c r="AV322" s="3">
        <f t="shared" ref="AV322:AV385" si="191">IF(ISERROR(X322-W322),"-",X322-W322)</f>
        <v>6</v>
      </c>
      <c r="AW322" s="3">
        <f t="shared" ref="AW322:AW385" si="192">IF(ISERROR(AA322-Z322),"-",AA322-Z322)</f>
        <v>3</v>
      </c>
      <c r="AX322" s="3">
        <f t="shared" ref="AX322:AX385" si="193">IF(ISERROR(AD322-AC322),"-",AD322-AC322)</f>
        <v>8</v>
      </c>
      <c r="AY322" s="3">
        <f t="shared" ref="AY322:AY385" si="194">IF(ISERROR(AG322-AF322),"-",AG322-AF322)</f>
        <v>6</v>
      </c>
      <c r="AZ322" s="3">
        <f t="shared" ref="AZ322:AZ385" si="195">IF(ISERROR(AJ322-AI322),"-",AJ322-AI322)</f>
        <v>1</v>
      </c>
      <c r="BA322" s="3">
        <f>IF(ISERROR(LEN(VLOOKUP(A322,Seqs!A:E,2,FALSE))-AL322),"-",LEN(VLOOKUP(A322,Seqs!A:E,2,FALSE))-AL322)</f>
        <v>293</v>
      </c>
      <c r="BB322" s="16">
        <f t="shared" ref="BB322:BB385" si="196">J322-D322</f>
        <v>28</v>
      </c>
      <c r="BC322" s="9" t="str">
        <f t="shared" ref="BC322:BC385" si="197">IF(ISERROR(V322-S322),"-",V322-S322)</f>
        <v>-</v>
      </c>
      <c r="BD322" s="3">
        <f t="shared" ref="BD322:BD385" si="198">J322-D322</f>
        <v>28</v>
      </c>
      <c r="BE322" s="3">
        <f t="shared" ref="BE322:BE385" si="199">AE322-AB322</f>
        <v>48</v>
      </c>
    </row>
    <row r="323" spans="1:58" s="3" customFormat="1" x14ac:dyDescent="0.2">
      <c r="A323" s="3" t="s">
        <v>419</v>
      </c>
      <c r="B323" s="3" t="str">
        <f>LOWER(VLOOKUP(A323,Xtal_Templ!A:B,2,FALSE))</f>
        <v>calcr_human</v>
      </c>
      <c r="C323" s="3">
        <f>VLOOKUP($A323,'SegEnds_NonXtal_BW#'!$A:$Z,3,FALSE)+D323-50</f>
        <v>2364</v>
      </c>
      <c r="D323" s="3">
        <v>2391</v>
      </c>
      <c r="E323" s="3">
        <f>IF(ISERROR(VLOOKUP($A323,'SegEnds_NonXtal_BW#'!$A:$Z,4,FALSE)+VLOOKUP($A323,A:AL,4,FALSE)-50),"-",(VLOOKUP($A323,'SegEnds_NonXtal_BW#'!$A:$Z,4,FALSE)+VLOOKUP($A323,A:AL,4,FALSE)-50))</f>
        <v>2401</v>
      </c>
      <c r="F323" s="3">
        <f>G323-2</f>
        <v>2402</v>
      </c>
      <c r="G323" s="3">
        <v>2404</v>
      </c>
      <c r="H323" s="3">
        <f t="shared" si="184"/>
        <v>2405</v>
      </c>
      <c r="I323" s="3">
        <f t="shared" si="184"/>
        <v>2406</v>
      </c>
      <c r="J323" s="3">
        <v>2419</v>
      </c>
      <c r="K323" s="3">
        <f>VLOOKUP($A323,'SegEnds_NonXtal_BW#'!$A:$Z,8,FALSE)+VLOOKUP($A323,A:AL,10,FALSE)-50</f>
        <v>2432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2437</v>
      </c>
      <c r="P323" s="3">
        <v>2464</v>
      </c>
      <c r="Q323" s="3">
        <f>VLOOKUP($A323,'SegEnds_NonXtal_BW#'!$A:$Z,12,FALSE)+VLOOKUP($A323,A:AL,16,FALSE)-50</f>
        <v>2470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3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2478</v>
      </c>
      <c r="V323" s="3">
        <v>2487</v>
      </c>
      <c r="W323" s="3">
        <f>IF(ISERROR(VLOOKUP($A323,'SegEnds_NonXtal_BW#'!$A:$Z,16,FALSE)+VLOOKUP($A323,A:AL,22,FALSE)-50),"-",(VLOOKUP($A323,'SegEnds_NonXtal_BW#'!$A:$Z,16,FALSE)+VLOOKUP($A323,A:AL,22,FALSE)-50))</f>
        <v>2505</v>
      </c>
      <c r="X323" s="3">
        <f>IF(ISERROR(VLOOKUP($A323,'SegEnds_NonXtal_BW#'!$A:$Z,17,FALSE)+VLOOKUP($A323,A:AL,25,FALSE)-50),"-",(VLOOKUP($A323,'SegEnds_NonXtal_BW#'!$A:$Z,17,FALSE)+VLOOKUP($A323,A:AL,25,FALSE)-50))</f>
        <v>2511</v>
      </c>
      <c r="Y323" s="3">
        <v>2511</v>
      </c>
      <c r="Z323" s="3">
        <f t="shared" si="183"/>
        <v>2513</v>
      </c>
      <c r="AA323" s="3">
        <f>IF(ISERROR(VLOOKUP($A323,'SegEnds_NonXtal_BW#'!$A:$Z,19,FALSE)+VLOOKUP($A323,A:AL,28,FALSE)-50),"-",(VLOOKUP($A323,'SegEnds_NonXtal_BW#'!$A:$Z,19,FALSE)+VLOOKUP($A323,A:AL,28,FALSE)-50))</f>
        <v>2516</v>
      </c>
      <c r="AB323" s="3">
        <v>2530</v>
      </c>
      <c r="AC323" s="3">
        <f>IF(ISERROR((VLOOKUP($A323,'SegEnds_NonXtal_BW#'!$A:$Z,20,FALSE)+VLOOKUP($A323,A:AL,28,FALSE)-50)),"-",(VLOOKUP($A323,'SegEnds_NonXtal_BW#'!$A:$Z,20,FALSE)+VLOOKUP($A323,A:AL,28,FALSE)-50))</f>
        <v>2549</v>
      </c>
      <c r="AD323" s="3">
        <f>IF(ISERROR(VLOOKUP($A323,'SegEnds_NonXtal_BW#'!$A:$Z,21,FALSE)+VLOOKUP($A323,A:AL,31,FALSE)-50),"-",(VLOOKUP($A323,'SegEnds_NonXtal_BW#'!$A:$Z,21,FALSE)+VLOOKUP($A323,A:AL,31,FALSE)-50))</f>
        <v>2557</v>
      </c>
      <c r="AE323" s="3">
        <v>2578</v>
      </c>
      <c r="AF323" s="3">
        <f>IF(ISERROR((VLOOKUP($A323,'SegEnds_NonXtal_BW#'!$A:$Z,22,FALSE)+VLOOKUP($A323,A:AL,31,FALSE)-50)),"-",(VLOOKUP($A323,'SegEnds_NonXtal_BW#'!$A:$Z,22,FALSE)+VLOOKUP($A323,A:AL,31,FALSE)-50))</f>
        <v>2581</v>
      </c>
      <c r="AG323" s="3">
        <f>IF(ISERROR(VLOOKUP($A323,'SegEnds_NonXtal_BW#'!$A:$Z,23,FALSE)+VLOOKUP($A323,A:AL,34,FALSE)-50),"-",(VLOOKUP($A323,'SegEnds_NonXtal_BW#'!$A:$Z,23,FALSE)+VLOOKUP($A323,A:AL,34,FALSE)-50))</f>
        <v>2587</v>
      </c>
      <c r="AH323" s="3">
        <v>2606</v>
      </c>
      <c r="AI323" s="3">
        <f>IF(ISERROR((VLOOKUP($A323,'SegEnds_NonXtal_BW#'!$A:$Z,24,FALSE)+VLOOKUP($A323,A:AL,34,FALSE)-50)),"-",(VLOOKUP($A323,'SegEnds_NonXtal_BW#'!$A:$Z,24,FALSE)+VLOOKUP($A323,A:AL,34,FALSE)-50))</f>
        <v>2612</v>
      </c>
      <c r="AJ323" s="3">
        <f>IF(ISERROR(VLOOKUP($A323,'SegEnds_NonXtal_BW#'!$A:$Z,25,FALSE)+VLOOKUP($A323,A:AL,37,FALSE)-50),"-",(VLOOKUP($A323,'SegEnds_NonXtal_BW#'!$A:$Z,25,FALSE)+VLOOKUP($A323,A:AL,37,FALSE)-50))</f>
        <v>2613</v>
      </c>
      <c r="AK323" s="3">
        <v>2616</v>
      </c>
      <c r="AL323" s="3">
        <f>IF(ISERROR((VLOOKUP($A323,'SegEnds_NonXtal_BW#'!$A:$Z,26,FALSE)+VLOOKUP($A323,A:AL,37,FALSE)-50)),"-",(VLOOKUP($A323,'SegEnds_NonXtal_BW#'!$A:$Z,26,FALSE)+VLOOKUP($A323,A:AL,37,FALSE)-50))</f>
        <v>2629</v>
      </c>
      <c r="AM323" s="28" t="str">
        <f>VLOOKUP(A323,Classification!A:B,2,FALSE)</f>
        <v>B2</v>
      </c>
      <c r="AN323" s="28" t="b">
        <f t="shared" si="173"/>
        <v>1</v>
      </c>
      <c r="AO323" s="3" t="str">
        <f>IF(ISERROR(MATCH(A323,'SegEnds_Xtal_Prot#'!B:B, 0)), "NoXtal", "Xtal")</f>
        <v>NoXtal</v>
      </c>
      <c r="AP323" s="3">
        <f t="shared" si="185"/>
        <v>1</v>
      </c>
      <c r="AQ323" s="3">
        <f t="shared" si="186"/>
        <v>1</v>
      </c>
      <c r="AR323" s="3" t="str">
        <f t="shared" si="187"/>
        <v>-</v>
      </c>
      <c r="AS323" s="3" t="str">
        <f t="shared" si="188"/>
        <v>-</v>
      </c>
      <c r="AT323" s="3" t="str">
        <f t="shared" si="189"/>
        <v>-</v>
      </c>
      <c r="AU323" s="3" t="str">
        <f t="shared" si="190"/>
        <v>-</v>
      </c>
      <c r="AV323" s="3">
        <f t="shared" si="191"/>
        <v>6</v>
      </c>
      <c r="AW323" s="3">
        <f t="shared" si="192"/>
        <v>3</v>
      </c>
      <c r="AX323" s="3">
        <f t="shared" si="193"/>
        <v>8</v>
      </c>
      <c r="AY323" s="3">
        <f t="shared" si="194"/>
        <v>6</v>
      </c>
      <c r="AZ323" s="3">
        <f t="shared" si="195"/>
        <v>1</v>
      </c>
      <c r="BA323" s="3">
        <f>IF(ISERROR(LEN(VLOOKUP(A323,Seqs!A:E,2,FALSE))-AL323),"-",LEN(VLOOKUP(A323,Seqs!A:E,2,FALSE))-AL323)</f>
        <v>294</v>
      </c>
      <c r="BB323" s="16">
        <f t="shared" si="196"/>
        <v>28</v>
      </c>
      <c r="BC323" s="9" t="str">
        <f t="shared" si="197"/>
        <v>-</v>
      </c>
      <c r="BD323" s="3">
        <f t="shared" si="198"/>
        <v>28</v>
      </c>
      <c r="BE323" s="3">
        <f t="shared" si="199"/>
        <v>48</v>
      </c>
    </row>
    <row r="324" spans="1:58" s="3" customFormat="1" x14ac:dyDescent="0.2">
      <c r="A324" s="3" t="s">
        <v>420</v>
      </c>
      <c r="B324" s="3" t="str">
        <f>LOWER(VLOOKUP(A324,Xtal_Templ!A:B,2,FALSE))</f>
        <v>crfr1_human</v>
      </c>
      <c r="C324" s="3">
        <f>VLOOKUP($A324,'SegEnds_NonXtal_BW#'!$A:$Z,3,FALSE)+D324-50</f>
        <v>2527</v>
      </c>
      <c r="D324" s="3">
        <v>2554</v>
      </c>
      <c r="E324" s="3">
        <f>IF(ISERROR(VLOOKUP($A324,'SegEnds_NonXtal_BW#'!$A:$Z,4,FALSE)+VLOOKUP($A324,A:AL,4,FALSE)-50),"-",(VLOOKUP($A324,'SegEnds_NonXtal_BW#'!$A:$Z,4,FALSE)+VLOOKUP($A324,A:AL,4,FALSE)-50))</f>
        <v>2564</v>
      </c>
      <c r="F324" s="3">
        <f>G324-2</f>
        <v>2565</v>
      </c>
      <c r="G324" s="3">
        <v>2567</v>
      </c>
      <c r="H324" s="3">
        <f t="shared" si="184"/>
        <v>2568</v>
      </c>
      <c r="I324" s="3">
        <f t="shared" si="184"/>
        <v>2569</v>
      </c>
      <c r="J324" s="3">
        <v>2582</v>
      </c>
      <c r="K324" s="3">
        <f>VLOOKUP($A324,'SegEnds_NonXtal_BW#'!$A:$Z,8,FALSE)+VLOOKUP($A324,A:AL,10,FALSE)-50</f>
        <v>2595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2600</v>
      </c>
      <c r="P324" s="3">
        <v>2627</v>
      </c>
      <c r="Q324" s="3">
        <f>VLOOKUP($A324,'SegEnds_NonXtal_BW#'!$A:$Z,12,FALSE)+VLOOKUP($A324,A:AL,16,FALSE)-50</f>
        <v>2633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3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2640</v>
      </c>
      <c r="V324" s="3">
        <v>2650</v>
      </c>
      <c r="W324" s="3">
        <f>IF(ISERROR(VLOOKUP($A324,'SegEnds_NonXtal_BW#'!$A:$Z,16,FALSE)+VLOOKUP($A324,A:AL,22,FALSE)-50),"-",(VLOOKUP($A324,'SegEnds_NonXtal_BW#'!$A:$Z,16,FALSE)+VLOOKUP($A324,A:AL,22,FALSE)-50))</f>
        <v>2668</v>
      </c>
      <c r="X324" s="3">
        <f>IF(ISERROR(VLOOKUP($A324,'SegEnds_NonXtal_BW#'!$A:$Z,17,FALSE)+VLOOKUP($A324,A:AL,25,FALSE)-50),"-",(VLOOKUP($A324,'SegEnds_NonXtal_BW#'!$A:$Z,17,FALSE)+VLOOKUP($A324,A:AL,25,FALSE)-50))</f>
        <v>2674</v>
      </c>
      <c r="Y324" s="3">
        <v>2674</v>
      </c>
      <c r="Z324" s="3">
        <f t="shared" si="183"/>
        <v>2676</v>
      </c>
      <c r="AA324" s="3">
        <f>IF(ISERROR(VLOOKUP($A324,'SegEnds_NonXtal_BW#'!$A:$Z,19,FALSE)+VLOOKUP($A324,A:AL,28,FALSE)-50),"-",(VLOOKUP($A324,'SegEnds_NonXtal_BW#'!$A:$Z,19,FALSE)+VLOOKUP($A324,A:AL,28,FALSE)-50))</f>
        <v>2679</v>
      </c>
      <c r="AB324" s="3">
        <v>2693</v>
      </c>
      <c r="AC324" s="3">
        <f>IF(ISERROR((VLOOKUP($A324,'SegEnds_NonXtal_BW#'!$A:$Z,20,FALSE)+VLOOKUP($A324,A:AL,28,FALSE)-50)),"-",(VLOOKUP($A324,'SegEnds_NonXtal_BW#'!$A:$Z,20,FALSE)+VLOOKUP($A324,A:AL,28,FALSE)-50))</f>
        <v>2712</v>
      </c>
      <c r="AD324" s="3">
        <f>IF(ISERROR(VLOOKUP($A324,'SegEnds_NonXtal_BW#'!$A:$Z,21,FALSE)+VLOOKUP($A324,A:AL,31,FALSE)-50),"-",(VLOOKUP($A324,'SegEnds_NonXtal_BW#'!$A:$Z,21,FALSE)+VLOOKUP($A324,A:AL,31,FALSE)-50))</f>
        <v>2719</v>
      </c>
      <c r="AE324" s="3">
        <v>2740</v>
      </c>
      <c r="AF324" s="3">
        <f>IF(ISERROR((VLOOKUP($A324,'SegEnds_NonXtal_BW#'!$A:$Z,22,FALSE)+VLOOKUP($A324,A:AL,31,FALSE)-50)),"-",(VLOOKUP($A324,'SegEnds_NonXtal_BW#'!$A:$Z,22,FALSE)+VLOOKUP($A324,A:AL,31,FALSE)-50))</f>
        <v>2743</v>
      </c>
      <c r="AG324" s="3">
        <f>IF(ISERROR(VLOOKUP($A324,'SegEnds_NonXtal_BW#'!$A:$Z,23,FALSE)+VLOOKUP($A324,A:AL,34,FALSE)-50),"-",(VLOOKUP($A324,'SegEnds_NonXtal_BW#'!$A:$Z,23,FALSE)+VLOOKUP($A324,A:AL,34,FALSE)-50))</f>
        <v>2749</v>
      </c>
      <c r="AH324" s="3">
        <v>2768</v>
      </c>
      <c r="AI324" s="3">
        <f>IF(ISERROR((VLOOKUP($A324,'SegEnds_NonXtal_BW#'!$A:$Z,24,FALSE)+VLOOKUP($A324,A:AL,34,FALSE)-50)),"-",(VLOOKUP($A324,'SegEnds_NonXtal_BW#'!$A:$Z,24,FALSE)+VLOOKUP($A324,A:AL,34,FALSE)-50))</f>
        <v>2774</v>
      </c>
      <c r="AJ324" s="3">
        <f>IF(ISERROR(VLOOKUP($A324,'SegEnds_NonXtal_BW#'!$A:$Z,25,FALSE)+VLOOKUP($A324,A:AL,37,FALSE)-50),"-",(VLOOKUP($A324,'SegEnds_NonXtal_BW#'!$A:$Z,25,FALSE)+VLOOKUP($A324,A:AL,37,FALSE)-50))</f>
        <v>2775</v>
      </c>
      <c r="AK324" s="3">
        <v>2778</v>
      </c>
      <c r="AL324" s="3">
        <f>IF(ISERROR((VLOOKUP($A324,'SegEnds_NonXtal_BW#'!$A:$Z,26,FALSE)+VLOOKUP($A324,A:AL,37,FALSE)-50)),"-",(VLOOKUP($A324,'SegEnds_NonXtal_BW#'!$A:$Z,26,FALSE)+VLOOKUP($A324,A:AL,37,FALSE)-50))</f>
        <v>2791</v>
      </c>
      <c r="AM324" s="28" t="str">
        <f>VLOOKUP(A324,Classification!A:B,2,FALSE)</f>
        <v>B2</v>
      </c>
      <c r="AN324" s="28" t="b">
        <f t="shared" si="173"/>
        <v>1</v>
      </c>
      <c r="AO324" s="3" t="str">
        <f>IF(ISERROR(MATCH(A324,'SegEnds_Xtal_Prot#'!B:B, 0)), "NoXtal", "Xtal")</f>
        <v>NoXtal</v>
      </c>
      <c r="AP324" s="3">
        <f t="shared" si="185"/>
        <v>1</v>
      </c>
      <c r="AQ324" s="3">
        <f t="shared" si="186"/>
        <v>1</v>
      </c>
      <c r="AR324" s="3" t="str">
        <f t="shared" si="187"/>
        <v>-</v>
      </c>
      <c r="AS324" s="3" t="str">
        <f t="shared" si="188"/>
        <v>-</v>
      </c>
      <c r="AT324" s="3" t="str">
        <f t="shared" si="189"/>
        <v>-</v>
      </c>
      <c r="AU324" s="3" t="str">
        <f t="shared" si="190"/>
        <v>-</v>
      </c>
      <c r="AV324" s="3">
        <f t="shared" si="191"/>
        <v>6</v>
      </c>
      <c r="AW324" s="3">
        <f t="shared" si="192"/>
        <v>3</v>
      </c>
      <c r="AX324" s="3">
        <f t="shared" si="193"/>
        <v>7</v>
      </c>
      <c r="AY324" s="3">
        <f t="shared" si="194"/>
        <v>6</v>
      </c>
      <c r="AZ324" s="3">
        <f t="shared" si="195"/>
        <v>1</v>
      </c>
      <c r="BA324" s="3">
        <f>IF(ISERROR(LEN(VLOOKUP(A324,Seqs!A:E,2,FALSE))-AL324),"-",LEN(VLOOKUP(A324,Seqs!A:E,2,FALSE))-AL324)</f>
        <v>521</v>
      </c>
      <c r="BB324" s="16">
        <f t="shared" si="196"/>
        <v>28</v>
      </c>
      <c r="BC324" s="9" t="str">
        <f t="shared" si="197"/>
        <v>-</v>
      </c>
      <c r="BD324" s="3">
        <f t="shared" si="198"/>
        <v>28</v>
      </c>
      <c r="BE324" s="3">
        <f t="shared" si="199"/>
        <v>47</v>
      </c>
    </row>
    <row r="325" spans="1:58" s="3" customFormat="1" x14ac:dyDescent="0.2">
      <c r="A325" s="3" t="s">
        <v>38</v>
      </c>
      <c r="B325" s="3" t="str">
        <f>LOWER(VLOOKUP(A325,Xtal_Templ!A:B,2,FALSE))</f>
        <v>crfr1_human</v>
      </c>
      <c r="C325" s="3">
        <f>VLOOKUP($A325,'SegEnds_NonXtal_BW#'!$A:$Z,3,FALSE)+D325-50</f>
        <v>103</v>
      </c>
      <c r="D325" s="3">
        <v>134</v>
      </c>
      <c r="E325" s="3">
        <f>IF(ISERROR(VLOOKUP($A325,'SegEnds_NonXtal_BW#'!$A:$Z,4,FALSE)+VLOOKUP($A325,A:AL,4,FALSE)-50),"-",(VLOOKUP($A325,'SegEnds_NonXtal_BW#'!$A:$Z,4,FALSE)+VLOOKUP($A325,A:AL,4,FALSE)-50))</f>
        <v>144</v>
      </c>
      <c r="F325" s="3">
        <f>G325-2</f>
        <v>145</v>
      </c>
      <c r="G325" s="3">
        <v>147</v>
      </c>
      <c r="H325" s="3">
        <f t="shared" si="184"/>
        <v>148</v>
      </c>
      <c r="I325" s="3">
        <f t="shared" si="184"/>
        <v>149</v>
      </c>
      <c r="J325" s="3">
        <v>162</v>
      </c>
      <c r="K325" s="3">
        <f>VLOOKUP($A325,'SegEnds_NonXtal_BW#'!$A:$Z,8,FALSE)+VLOOKUP($A325,A:AL,10,FALSE)-50</f>
        <v>175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185</v>
      </c>
      <c r="P325" s="3">
        <v>213</v>
      </c>
      <c r="Q325" s="3">
        <f>VLOOKUP($A325,'SegEnds_NonXtal_BW#'!$A:$Z,12,FALSE)+VLOOKUP($A325,A:AL,16,FALSE)-50</f>
        <v>219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3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226</v>
      </c>
      <c r="V325" s="3">
        <v>236</v>
      </c>
      <c r="W325" s="3">
        <f>IF(ISERROR(VLOOKUP($A325,'SegEnds_NonXtal_BW#'!$A:$Z,16,FALSE)+VLOOKUP($A325,A:AL,22,FALSE)-50),"-",(VLOOKUP($A325,'SegEnds_NonXtal_BW#'!$A:$Z,16,FALSE)+VLOOKUP($A325,A:AL,22,FALSE)-50))</f>
        <v>254</v>
      </c>
      <c r="X325" s="3">
        <f>IF(ISERROR(VLOOKUP($A325,'SegEnds_NonXtal_BW#'!$A:$Z,17,FALSE)+VLOOKUP($A325,A:AL,25,FALSE)-50),"-",(VLOOKUP($A325,'SegEnds_NonXtal_BW#'!$A:$Z,17,FALSE)+VLOOKUP($A325,A:AL,25,FALSE)-50))</f>
        <v>258</v>
      </c>
      <c r="Y325" s="3">
        <v>258</v>
      </c>
      <c r="Z325" s="3">
        <f t="shared" si="183"/>
        <v>260</v>
      </c>
      <c r="AA325" s="3">
        <f>IF(ISERROR(VLOOKUP($A325,'SegEnds_NonXtal_BW#'!$A:$Z,19,FALSE)+AB325-50),"-",(VLOOKUP($A325,'SegEnds_NonXtal_BW#'!$A:$Z,19,FALSE)+AB325-50))</f>
        <v>268</v>
      </c>
      <c r="AB325" s="3">
        <v>279</v>
      </c>
      <c r="AC325" s="3">
        <f>IF(ISERROR((VLOOKUP($A325,'SegEnds_NonXtal_BW#'!$A:$Z,20,FALSE)+VLOOKUP($A325,A:AL,28,FALSE)-50)),"-",(VLOOKUP($A325,'SegEnds_NonXtal_BW#'!$A:$Z,20,FALSE)+VLOOKUP($A325,A:AL,28,FALSE)-50))</f>
        <v>298</v>
      </c>
      <c r="AD325" s="3">
        <f>IF(ISERROR(VLOOKUP($A325,'SegEnds_NonXtal_BW#'!$A:$Z,21,FALSE)+AE325-50),"-",(VLOOKUP($A325,'SegEnds_NonXtal_BW#'!$A:$Z,21,FALSE)+AE325-50))</f>
        <v>304</v>
      </c>
      <c r="AE325" s="3">
        <v>329</v>
      </c>
      <c r="AF325" s="3">
        <f>IF(ISERROR((VLOOKUP($A325,'SegEnds_NonXtal_BW#'!$A:$Z,22,FALSE)+AE325-50)),"-",(VLOOKUP($A325,'SegEnds_NonXtal_BW#'!$A:$Z,22,FALSE)+AE325-50))</f>
        <v>332</v>
      </c>
      <c r="AG325" s="3">
        <f>IF(ISERROR(VLOOKUP($A325,'SegEnds_NonXtal_BW#'!$A:$Z,23,FALSE)+VLOOKUP($A325,A:AL,34,FALSE)-50),"-",(VLOOKUP($A325,'SegEnds_NonXtal_BW#'!$A:$Z,23,FALSE)+VLOOKUP($A325,A:AL,34,FALSE)-50))</f>
        <v>339</v>
      </c>
      <c r="AH325" s="3">
        <v>360</v>
      </c>
      <c r="AI325" s="3">
        <f>IF(ISERROR((VLOOKUP($A325,'SegEnds_NonXtal_BW#'!$A:$Z,24,FALSE)+VLOOKUP($A325,A:AL,34,FALSE)-50)),"-",(VLOOKUP($A325,'SegEnds_NonXtal_BW#'!$A:$Z,24,FALSE)+VLOOKUP($A325,A:AL,34,FALSE)-50))</f>
        <v>366</v>
      </c>
      <c r="AJ325" s="3">
        <f>IF(ISERROR(VLOOKUP($A325,'SegEnds_NonXtal_BW#'!$A:$Z,25,FALSE)+VLOOKUP($A325,A:AL,37,FALSE)-50),"-",(VLOOKUP($A325,'SegEnds_NonXtal_BW#'!$A:$Z,25,FALSE)+VLOOKUP($A325,A:AL,37,FALSE)-50))</f>
        <v>367</v>
      </c>
      <c r="AK325" s="3">
        <v>370</v>
      </c>
      <c r="AL325" s="3">
        <f>IF(ISERROR((VLOOKUP($A325,'SegEnds_NonXtal_BW#'!$A:$Z,26,FALSE)+VLOOKUP($A325,A:AL,37,FALSE)-50)),"-",(VLOOKUP($A325,'SegEnds_NonXtal_BW#'!$A:$Z,26,FALSE)+VLOOKUP($A325,A:AL,37,FALSE)-50))</f>
        <v>392</v>
      </c>
      <c r="AM325" s="28" t="str">
        <f>VLOOKUP(A325,Classification!A:B,2,FALSE)</f>
        <v>B1</v>
      </c>
      <c r="AN325" s="28" t="b">
        <f t="shared" si="173"/>
        <v>1</v>
      </c>
      <c r="AO325" s="3" t="str">
        <f>IF(ISERROR(MATCH(A325,'SegEnds_Xtal_Prot#'!B:B, 0)), "NoXtal", "Xtal")</f>
        <v>Xtal</v>
      </c>
      <c r="AP325" s="3">
        <f t="shared" si="185"/>
        <v>1</v>
      </c>
      <c r="AQ325" s="3">
        <f t="shared" si="186"/>
        <v>1</v>
      </c>
      <c r="AR325" s="3" t="str">
        <f t="shared" si="187"/>
        <v>-</v>
      </c>
      <c r="AS325" s="3" t="str">
        <f t="shared" si="188"/>
        <v>-</v>
      </c>
      <c r="AT325" s="3" t="str">
        <f t="shared" si="189"/>
        <v>-</v>
      </c>
      <c r="AU325" s="3" t="str">
        <f t="shared" si="190"/>
        <v>-</v>
      </c>
      <c r="AV325" s="3">
        <f t="shared" si="191"/>
        <v>4</v>
      </c>
      <c r="AW325" s="3">
        <f t="shared" si="192"/>
        <v>8</v>
      </c>
      <c r="AX325" s="3">
        <f t="shared" si="193"/>
        <v>6</v>
      </c>
      <c r="AY325" s="3">
        <f t="shared" si="194"/>
        <v>7</v>
      </c>
      <c r="AZ325" s="3">
        <f t="shared" si="195"/>
        <v>1</v>
      </c>
      <c r="BA325" s="3">
        <f>IF(ISERROR(LEN(VLOOKUP(A325,Seqs!A:E,2,FALSE))-AL325),"-",LEN(VLOOKUP(A325,Seqs!A:E,2,FALSE))-AL325)</f>
        <v>23</v>
      </c>
      <c r="BB325" s="16">
        <f t="shared" si="196"/>
        <v>28</v>
      </c>
      <c r="BC325" s="9" t="str">
        <f t="shared" si="197"/>
        <v>-</v>
      </c>
      <c r="BD325" s="3">
        <f t="shared" si="198"/>
        <v>28</v>
      </c>
      <c r="BE325" s="3">
        <f t="shared" si="199"/>
        <v>50</v>
      </c>
      <c r="BF325" s="3">
        <f>AH325-AE325</f>
        <v>31</v>
      </c>
    </row>
    <row r="326" spans="1:58" s="3" customFormat="1" x14ac:dyDescent="0.2">
      <c r="A326" s="3" t="s">
        <v>403</v>
      </c>
      <c r="B326" s="3" t="str">
        <f>LOWER(VLOOKUP(A326,Xtal_Templ!A:B,2,FALSE))</f>
        <v>crfr1_human</v>
      </c>
      <c r="C326" s="3">
        <f>VLOOKUP($A326,'SegEnds_NonXtal_BW#'!$A:$Z,3,FALSE)+D326-50</f>
        <v>100</v>
      </c>
      <c r="D326" s="3">
        <v>131</v>
      </c>
      <c r="E326" s="3">
        <f>IF(ISERROR(VLOOKUP($A326,'SegEnds_NonXtal_BW#'!$A:$Z,4,FALSE)+VLOOKUP($A326,A:AL,4,FALSE)-50),"-",(VLOOKUP($A326,'SegEnds_NonXtal_BW#'!$A:$Z,4,FALSE)+VLOOKUP($A326,A:AL,4,FALSE)-50))</f>
        <v>141</v>
      </c>
      <c r="F326" s="3">
        <f>G326-2</f>
        <v>142</v>
      </c>
      <c r="G326" s="3">
        <v>144</v>
      </c>
      <c r="H326" s="3">
        <f t="shared" si="184"/>
        <v>145</v>
      </c>
      <c r="I326" s="3">
        <f t="shared" si="184"/>
        <v>146</v>
      </c>
      <c r="J326" s="3">
        <v>159</v>
      </c>
      <c r="K326" s="3">
        <f>VLOOKUP($A326,'SegEnds_NonXtal_BW#'!$A:$Z,8,FALSE)+VLOOKUP($A326,A:AL,10,FALSE)-50</f>
        <v>172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181</v>
      </c>
      <c r="P326" s="3">
        <v>209</v>
      </c>
      <c r="Q326" s="3">
        <f>VLOOKUP($A326,'SegEnds_NonXtal_BW#'!$A:$Z,12,FALSE)+VLOOKUP($A326,A:AL,16,FALSE)-50</f>
        <v>215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3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222</v>
      </c>
      <c r="V326" s="3">
        <v>232</v>
      </c>
      <c r="W326" s="3">
        <f>IF(ISERROR(VLOOKUP($A326,'SegEnds_NonXtal_BW#'!$A:$Z,16,FALSE)+VLOOKUP($A326,A:AL,22,FALSE)-50),"-",(VLOOKUP($A326,'SegEnds_NonXtal_BW#'!$A:$Z,16,FALSE)+VLOOKUP($A326,A:AL,22,FALSE)-50))</f>
        <v>250</v>
      </c>
      <c r="X326" s="3">
        <f>IF(ISERROR(VLOOKUP($A326,'SegEnds_NonXtal_BW#'!$A:$Z,17,FALSE)+VLOOKUP($A326,A:AL,25,FALSE)-50),"-",(VLOOKUP($A326,'SegEnds_NonXtal_BW#'!$A:$Z,17,FALSE)+VLOOKUP($A326,A:AL,25,FALSE)-50))</f>
        <v>254</v>
      </c>
      <c r="Y326" s="3">
        <v>254</v>
      </c>
      <c r="Z326" s="3">
        <f t="shared" si="183"/>
        <v>256</v>
      </c>
      <c r="AA326" s="3">
        <f>IF(ISERROR(VLOOKUP($A326,'SegEnds_NonXtal_BW#'!$A:$Z,19,FALSE)+VLOOKUP($A326,A:AL,28,FALSE)-50),"-",(VLOOKUP($A326,'SegEnds_NonXtal_BW#'!$A:$Z,19,FALSE)+VLOOKUP($A326,A:AL,28,FALSE)-50))</f>
        <v>264</v>
      </c>
      <c r="AB326" s="3">
        <v>275</v>
      </c>
      <c r="AC326" s="3">
        <f>IF(ISERROR((VLOOKUP($A326,'SegEnds_NonXtal_BW#'!$A:$Z,20,FALSE)+VLOOKUP($A326,A:AL,28,FALSE)-50)),"-",(VLOOKUP($A326,'SegEnds_NonXtal_BW#'!$A:$Z,20,FALSE)+VLOOKUP($A326,A:AL,28,FALSE)-50))</f>
        <v>294</v>
      </c>
      <c r="AD326" s="3">
        <f>IF(ISERROR(VLOOKUP($A326,'SegEnds_NonXtal_BW#'!$A:$Z,21,FALSE)+VLOOKUP($A326,A:AL,31,FALSE)-50),"-",(VLOOKUP($A326,'SegEnds_NonXtal_BW#'!$A:$Z,21,FALSE)+VLOOKUP($A326,A:AL,31,FALSE)-50))</f>
        <v>300</v>
      </c>
      <c r="AE326" s="3">
        <v>325</v>
      </c>
      <c r="AF326" s="3">
        <f>IF(ISERROR((VLOOKUP($A326,'SegEnds_NonXtal_BW#'!$A:$Z,22,FALSE)+VLOOKUP($A326,A:AL,31,FALSE)-50)),"-",(VLOOKUP($A326,'SegEnds_NonXtal_BW#'!$A:$Z,22,FALSE)+VLOOKUP($A326,A:AL,31,FALSE)-50))</f>
        <v>328</v>
      </c>
      <c r="AG326" s="3">
        <f>IF(ISERROR(VLOOKUP($A326,'SegEnds_NonXtal_BW#'!$A:$Z,23,FALSE)+VLOOKUP($A326,A:AL,34,FALSE)-50),"-",(VLOOKUP($A326,'SegEnds_NonXtal_BW#'!$A:$Z,23,FALSE)+VLOOKUP($A326,A:AL,34,FALSE)-50))</f>
        <v>335</v>
      </c>
      <c r="AH326" s="3">
        <v>356</v>
      </c>
      <c r="AI326" s="3">
        <f>IF(ISERROR((VLOOKUP($A326,'SegEnds_NonXtal_BW#'!$A:$Z,24,FALSE)+VLOOKUP($A326,A:AL,34,FALSE)-50)),"-",(VLOOKUP($A326,'SegEnds_NonXtal_BW#'!$A:$Z,24,FALSE)+VLOOKUP($A326,A:AL,34,FALSE)-50))</f>
        <v>362</v>
      </c>
      <c r="AJ326" s="3">
        <f>IF(ISERROR(VLOOKUP($A326,'SegEnds_NonXtal_BW#'!$A:$Z,25,FALSE)+VLOOKUP($A326,A:AL,37,FALSE)-50),"-",(VLOOKUP($A326,'SegEnds_NonXtal_BW#'!$A:$Z,25,FALSE)+VLOOKUP($A326,A:AL,37,FALSE)-50))</f>
        <v>363</v>
      </c>
      <c r="AK326" s="3">
        <v>366</v>
      </c>
      <c r="AL326" s="3">
        <f>IF(ISERROR((VLOOKUP($A326,'SegEnds_NonXtal_BW#'!$A:$Z,26,FALSE)+VLOOKUP($A326,A:AL,37,FALSE)-50)),"-",(VLOOKUP($A326,'SegEnds_NonXtal_BW#'!$A:$Z,26,FALSE)+VLOOKUP($A326,A:AL,37,FALSE)-50))</f>
        <v>388</v>
      </c>
      <c r="AM326" s="28" t="str">
        <f>VLOOKUP(A326,Classification!A:B,2,FALSE)</f>
        <v>B1</v>
      </c>
      <c r="AN326" s="28" t="b">
        <f t="shared" ref="AN326:AN389" si="200">AND(IF(Y326="-",IF(AA326-W326&gt;3,TRUE,FALSE),TRUE),IF(M326="-",IF(O326-K326&gt;3,TRUE,FALSE),TRU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>
        <f t="shared" si="185"/>
        <v>1</v>
      </c>
      <c r="AQ326" s="3">
        <f t="shared" si="186"/>
        <v>1</v>
      </c>
      <c r="AR326" s="3" t="str">
        <f t="shared" si="187"/>
        <v>-</v>
      </c>
      <c r="AS326" s="3" t="str">
        <f t="shared" si="188"/>
        <v>-</v>
      </c>
      <c r="AT326" s="3" t="str">
        <f t="shared" si="189"/>
        <v>-</v>
      </c>
      <c r="AU326" s="3" t="str">
        <f t="shared" si="190"/>
        <v>-</v>
      </c>
      <c r="AV326" s="3">
        <f t="shared" si="191"/>
        <v>4</v>
      </c>
      <c r="AW326" s="3">
        <f t="shared" si="192"/>
        <v>8</v>
      </c>
      <c r="AX326" s="3">
        <f t="shared" si="193"/>
        <v>6</v>
      </c>
      <c r="AY326" s="3">
        <f t="shared" si="194"/>
        <v>7</v>
      </c>
      <c r="AZ326" s="3">
        <f t="shared" si="195"/>
        <v>1</v>
      </c>
      <c r="BA326" s="3">
        <f>IF(ISERROR(LEN(VLOOKUP(A326,Seqs!A:E,2,FALSE))-AL326),"-",LEN(VLOOKUP(A326,Seqs!A:E,2,FALSE))-AL326)</f>
        <v>23</v>
      </c>
      <c r="BB326" s="16">
        <f t="shared" si="196"/>
        <v>28</v>
      </c>
      <c r="BC326" s="9" t="str">
        <f t="shared" si="197"/>
        <v>-</v>
      </c>
      <c r="BD326" s="3">
        <f t="shared" si="198"/>
        <v>28</v>
      </c>
      <c r="BE326" s="3">
        <f t="shared" si="199"/>
        <v>50</v>
      </c>
      <c r="BF326" s="3">
        <f>AH326-AE326</f>
        <v>31</v>
      </c>
    </row>
    <row r="327" spans="1:58" s="3" customFormat="1" x14ac:dyDescent="0.2">
      <c r="A327" s="3" t="s">
        <v>446</v>
      </c>
      <c r="B327" s="3" t="str">
        <f>LOWER(VLOOKUP(A327,Xtal_Templ!A:B,2,FALSE))</f>
        <v>smo_human</v>
      </c>
      <c r="C327" s="3">
        <f>VLOOKUP($A327,'SegEnds_NonXtal_BW#'!$A:$Z,3,FALSE)+D327-50</f>
        <v>313</v>
      </c>
      <c r="D327" s="3">
        <v>334</v>
      </c>
      <c r="E327" s="3">
        <f>IF(ISERROR(VLOOKUP($A327,'SegEnds_NonXtal_BW#'!$A:$Z,4,FALSE)+VLOOKUP($A327,A:AL,4,FALSE)-50),"-",(VLOOKUP($A327,'SegEnds_NonXtal_BW#'!$A:$Z,4,FALSE)+VLOOKUP($A327,A:AL,4,FALSE)-50))</f>
        <v>344</v>
      </c>
      <c r="F327" s="3">
        <f t="shared" ref="F327:F336" si="201">G327-3</f>
        <v>345</v>
      </c>
      <c r="G327" s="3">
        <v>348</v>
      </c>
      <c r="H327" s="3">
        <f t="shared" si="184"/>
        <v>349</v>
      </c>
      <c r="I327" s="3">
        <f t="shared" si="184"/>
        <v>350</v>
      </c>
      <c r="J327" s="3">
        <v>360</v>
      </c>
      <c r="K327" s="3">
        <f>VLOOKUP($A327,'SegEnds_NonXtal_BW#'!$A:$Z,8,FALSE)+VLOOKUP($A327,A:AL,10,FALSE)-50</f>
        <v>373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400</v>
      </c>
      <c r="P327" s="3">
        <v>427</v>
      </c>
      <c r="Q327" s="3">
        <f>VLOOKUP($A327,'SegEnds_NonXtal_BW#'!$A:$Z,12,FALSE)+VLOOKUP($A327,A:AL,16,FALSE)-50</f>
        <v>436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3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440</v>
      </c>
      <c r="V327" s="3">
        <v>452</v>
      </c>
      <c r="W327" s="3">
        <f>IF(ISERROR(VLOOKUP($A327,'SegEnds_NonXtal_BW#'!$A:$Z,16,FALSE)+VLOOKUP($A327,A:AL,22,FALSE)-50),"-",(VLOOKUP($A327,'SegEnds_NonXtal_BW#'!$A:$Z,16,FALSE)+VLOOKUP($A327,A:AL,22,FALSE)-50))</f>
        <v>465</v>
      </c>
      <c r="X327" s="3">
        <f>IF(ISERROR(VLOOKUP($A327,'SegEnds_NonXtal_BW#'!$A:$Z,17,FALSE)+VLOOKUP($A327,A:AL,25,FALSE)-50),"-",(VLOOKUP($A327,'SegEnds_NonXtal_BW#'!$A:$Z,17,FALSE)+VLOOKUP($A327,A:AL,25,FALSE)-50))</f>
        <v>477</v>
      </c>
      <c r="Y327" s="3">
        <v>477</v>
      </c>
      <c r="Z327" s="3">
        <f t="shared" si="183"/>
        <v>479</v>
      </c>
      <c r="AA327" s="3">
        <f>IF(ISERROR(VLOOKUP($A327,'SegEnds_NonXtal_BW#'!$A:$Z,19,FALSE)+VLOOKUP($A327,A:AL,28,FALSE)-50),"-",(VLOOKUP($A327,'SegEnds_NonXtal_BW#'!$A:$Z,19,FALSE)+VLOOKUP($A327,A:AL,28,FALSE)-50))</f>
        <v>484</v>
      </c>
      <c r="AB327" s="3">
        <v>498</v>
      </c>
      <c r="AC327" s="3">
        <f>IF(ISERROR((VLOOKUP($A327,'SegEnds_NonXtal_BW#'!$A:$Z,20,FALSE)+VLOOKUP($A327,A:AL,28,FALSE)-50)),"-",(VLOOKUP($A327,'SegEnds_NonXtal_BW#'!$A:$Z,20,FALSE)+VLOOKUP($A327,A:AL,28,FALSE)-50))</f>
        <v>520</v>
      </c>
      <c r="AD327" s="3">
        <f>IF(ISERROR(VLOOKUP($A327,'SegEnds_NonXtal_BW#'!$A:$Z,21,FALSE)+VLOOKUP($A327,A:AL,31,FALSE)-50),"-",(VLOOKUP($A327,'SegEnds_NonXtal_BW#'!$A:$Z,21,FALSE)+VLOOKUP($A327,A:AL,31,FALSE)-50))</f>
        <v>527</v>
      </c>
      <c r="AE327" s="3">
        <v>553</v>
      </c>
      <c r="AF327" s="3">
        <f>IF(ISERROR((VLOOKUP($A327,'SegEnds_NonXtal_BW#'!$A:$Z,22,FALSE)+VLOOKUP($A327,A:AL,31,FALSE)-50)),"-",(VLOOKUP($A327,'SegEnds_NonXtal_BW#'!$A:$Z,22,FALSE)+VLOOKUP($A327,A:AL,31,FALSE)-50))</f>
        <v>581</v>
      </c>
      <c r="AG327" s="3">
        <f>IF(ISERROR(VLOOKUP($A327,'SegEnds_NonXtal_BW#'!$A:$Z,23,FALSE)+VLOOKUP($A327,A:AL,34,FALSE)-50),"-",(VLOOKUP($A327,'SegEnds_NonXtal_BW#'!$A:$Z,23,FALSE)+VLOOKUP($A327,A:AL,34,FALSE)-50))</f>
        <v>600</v>
      </c>
      <c r="AH327" s="3">
        <v>615</v>
      </c>
      <c r="AI327" s="3">
        <f>IF(ISERROR((VLOOKUP($A327,'SegEnds_NonXtal_BW#'!$A:$Z,24,FALSE)+VLOOKUP($A327,A:AL,34,FALSE)-50)),"-",(VLOOKUP($A327,'SegEnds_NonXtal_BW#'!$A:$Z,24,FALSE)+VLOOKUP($A327,A:AL,34,FALSE)-50))</f>
        <v>622</v>
      </c>
      <c r="AJ327" s="3">
        <f>IF(ISERROR(VLOOKUP($A327,'SegEnds_NonXtal_BW#'!$A:$Z,25,FALSE)+VLOOKUP($A327,A:AL,37,FALSE)-50),"-",(VLOOKUP($A327,'SegEnds_NonXtal_BW#'!$A:$Z,25,FALSE)+VLOOKUP($A327,A:AL,37,FALSE)-50))</f>
        <v>623</v>
      </c>
      <c r="AK327" s="3">
        <v>626</v>
      </c>
      <c r="AL327" s="3">
        <f>IF(ISERROR((VLOOKUP($A327,'SegEnds_NonXtal_BW#'!$A:$Z,26,FALSE)+VLOOKUP($A327,A:AL,37,FALSE)-50)),"-",(VLOOKUP($A327,'SegEnds_NonXtal_BW#'!$A:$Z,26,FALSE)+VLOOKUP($A327,A:AL,37,FALSE)-50))</f>
        <v>638</v>
      </c>
      <c r="AM327" s="28" t="str">
        <f>VLOOKUP(A327,Classification!A:B,2,FALSE)</f>
        <v>F</v>
      </c>
      <c r="AN327" s="28" t="b">
        <f t="shared" si="200"/>
        <v>1</v>
      </c>
      <c r="AO327" s="3" t="str">
        <f>IF(ISERROR(MATCH(A327,'SegEnds_Xtal_Prot#'!B:B, 0)), "NoXtal", "Xtal")</f>
        <v>NoXtal</v>
      </c>
      <c r="AP327" s="3">
        <f t="shared" si="185"/>
        <v>1</v>
      </c>
      <c r="AQ327" s="3">
        <f t="shared" si="186"/>
        <v>1</v>
      </c>
      <c r="AR327" s="3" t="str">
        <f t="shared" si="187"/>
        <v>-</v>
      </c>
      <c r="AS327" s="3" t="str">
        <f t="shared" si="188"/>
        <v>-</v>
      </c>
      <c r="AT327" s="3" t="str">
        <f t="shared" si="189"/>
        <v>-</v>
      </c>
      <c r="AU327" s="3" t="str">
        <f t="shared" si="190"/>
        <v>-</v>
      </c>
      <c r="AV327" s="3">
        <f t="shared" si="191"/>
        <v>12</v>
      </c>
      <c r="AW327" s="3">
        <f t="shared" si="192"/>
        <v>5</v>
      </c>
      <c r="AX327" s="3">
        <f t="shared" si="193"/>
        <v>7</v>
      </c>
      <c r="AY327" s="3">
        <f t="shared" si="194"/>
        <v>19</v>
      </c>
      <c r="AZ327" s="3">
        <f t="shared" si="195"/>
        <v>1</v>
      </c>
      <c r="BA327" s="3">
        <f>IF(ISERROR(LEN(VLOOKUP(A327,Seqs!A:E,2,FALSE))-AL327),"-",LEN(VLOOKUP(A327,Seqs!A:E,2,FALSE))-AL327)</f>
        <v>9</v>
      </c>
      <c r="BB327" s="16">
        <f t="shared" si="196"/>
        <v>26</v>
      </c>
      <c r="BC327" s="9" t="str">
        <f t="shared" si="197"/>
        <v>-</v>
      </c>
      <c r="BD327" s="3">
        <f t="shared" si="198"/>
        <v>26</v>
      </c>
      <c r="BE327" s="3">
        <f t="shared" si="199"/>
        <v>55</v>
      </c>
      <c r="BF327" s="3">
        <f>AH327-AE327</f>
        <v>62</v>
      </c>
    </row>
    <row r="328" spans="1:58" s="3" customFormat="1" x14ac:dyDescent="0.2">
      <c r="A328" s="3" t="s">
        <v>447</v>
      </c>
      <c r="B328" s="3" t="str">
        <f>LOWER(VLOOKUP(A328,Xtal_Templ!A:B,2,FALSE))</f>
        <v>smo_human</v>
      </c>
      <c r="C328" s="3">
        <f>VLOOKUP($A328,'SegEnds_NonXtal_BW#'!$A:$Z,3,FALSE)+D328-50</f>
        <v>221</v>
      </c>
      <c r="D328" s="3">
        <v>242</v>
      </c>
      <c r="E328" s="3">
        <f>IF(ISERROR(VLOOKUP($A328,'SegEnds_NonXtal_BW#'!$A:$Z,4,FALSE)+VLOOKUP($A328,A:AL,4,FALSE)-50),"-",(VLOOKUP($A328,'SegEnds_NonXtal_BW#'!$A:$Z,4,FALSE)+VLOOKUP($A328,A:AL,4,FALSE)-50))</f>
        <v>252</v>
      </c>
      <c r="F328" s="3">
        <f t="shared" si="201"/>
        <v>253</v>
      </c>
      <c r="G328" s="3">
        <v>256</v>
      </c>
      <c r="H328" s="3">
        <f t="shared" si="184"/>
        <v>257</v>
      </c>
      <c r="I328" s="3">
        <f t="shared" si="184"/>
        <v>258</v>
      </c>
      <c r="J328" s="3">
        <v>268</v>
      </c>
      <c r="K328" s="3">
        <f>VLOOKUP($A328,'SegEnds_NonXtal_BW#'!$A:$Z,8,FALSE)+VLOOKUP($A328,A:AL,10,FALSE)-50</f>
        <v>281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307</v>
      </c>
      <c r="P328" s="3">
        <v>334</v>
      </c>
      <c r="Q328" s="3">
        <f>VLOOKUP($A328,'SegEnds_NonXtal_BW#'!$A:$Z,12,FALSE)+VLOOKUP($A328,A:AL,16,FALSE)-50</f>
        <v>343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3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347</v>
      </c>
      <c r="V328" s="3">
        <v>359</v>
      </c>
      <c r="W328" s="3">
        <f>IF(ISERROR(VLOOKUP($A328,'SegEnds_NonXtal_BW#'!$A:$Z,16,FALSE)+VLOOKUP($A328,A:AL,22,FALSE)-50),"-",(VLOOKUP($A328,'SegEnds_NonXtal_BW#'!$A:$Z,16,FALSE)+VLOOKUP($A328,A:AL,22,FALSE)-50))</f>
        <v>372</v>
      </c>
      <c r="X328" s="3">
        <f>IF(ISERROR(VLOOKUP($A328,'SegEnds_NonXtal_BW#'!$A:$Z,17,FALSE)+VLOOKUP($A328,A:AL,25,FALSE)-50),"-",(VLOOKUP($A328,'SegEnds_NonXtal_BW#'!$A:$Z,17,FALSE)+VLOOKUP($A328,A:AL,25,FALSE)-50))</f>
        <v>384</v>
      </c>
      <c r="Y328" s="3">
        <v>384</v>
      </c>
      <c r="Z328" s="3">
        <f t="shared" si="183"/>
        <v>386</v>
      </c>
      <c r="AA328" s="3">
        <f>IF(ISERROR(VLOOKUP($A328,'SegEnds_NonXtal_BW#'!$A:$Z,19,FALSE)+VLOOKUP($A328,A:AL,28,FALSE)-50),"-",(VLOOKUP($A328,'SegEnds_NonXtal_BW#'!$A:$Z,19,FALSE)+VLOOKUP($A328,A:AL,28,FALSE)-50))</f>
        <v>391</v>
      </c>
      <c r="AB328" s="3">
        <v>405</v>
      </c>
      <c r="AC328" s="3">
        <f>IF(ISERROR((VLOOKUP($A328,'SegEnds_NonXtal_BW#'!$A:$Z,20,FALSE)+VLOOKUP($A328,A:AL,28,FALSE)-50)),"-",(VLOOKUP($A328,'SegEnds_NonXtal_BW#'!$A:$Z,20,FALSE)+VLOOKUP($A328,A:AL,28,FALSE)-50))</f>
        <v>427</v>
      </c>
      <c r="AD328" s="3">
        <f>IF(ISERROR(VLOOKUP($A328,'SegEnds_NonXtal_BW#'!$A:$Z,21,FALSE)+VLOOKUP($A328,A:AL,31,FALSE)-50),"-",(VLOOKUP($A328,'SegEnds_NonXtal_BW#'!$A:$Z,21,FALSE)+VLOOKUP($A328,A:AL,31,FALSE)-50))</f>
        <v>434</v>
      </c>
      <c r="AE328" s="3">
        <v>460</v>
      </c>
      <c r="AF328" s="3">
        <f>IF(ISERROR((VLOOKUP($A328,'SegEnds_NonXtal_BW#'!$A:$Z,22,FALSE)+VLOOKUP($A328,A:AL,31,FALSE)-50)),"-",(VLOOKUP($A328,'SegEnds_NonXtal_BW#'!$A:$Z,22,FALSE)+VLOOKUP($A328,A:AL,31,FALSE)-50))</f>
        <v>488</v>
      </c>
      <c r="AG328" s="3">
        <f>IF(ISERROR(VLOOKUP($A328,'SegEnds_NonXtal_BW#'!$A:$Z,23,FALSE)+VLOOKUP($A328,A:AL,34,FALSE)-50),"-",(VLOOKUP($A328,'SegEnds_NonXtal_BW#'!$A:$Z,23,FALSE)+VLOOKUP($A328,A:AL,34,FALSE)-50))</f>
        <v>501</v>
      </c>
      <c r="AH328" s="3">
        <v>516</v>
      </c>
      <c r="AI328" s="3">
        <f>IF(ISERROR((VLOOKUP($A328,'SegEnds_NonXtal_BW#'!$A:$Z,24,FALSE)+VLOOKUP($A328,A:AL,34,FALSE)-50)),"-",(VLOOKUP($A328,'SegEnds_NonXtal_BW#'!$A:$Z,24,FALSE)+VLOOKUP($A328,A:AL,34,FALSE)-50))</f>
        <v>523</v>
      </c>
      <c r="AJ328" s="3">
        <f>IF(ISERROR(VLOOKUP($A328,'SegEnds_NonXtal_BW#'!$A:$Z,25,FALSE)+VLOOKUP($A328,A:AL,37,FALSE)-50),"-",(VLOOKUP($A328,'SegEnds_NonXtal_BW#'!$A:$Z,25,FALSE)+VLOOKUP($A328,A:AL,37,FALSE)-50))</f>
        <v>524</v>
      </c>
      <c r="AK328" s="3">
        <v>527</v>
      </c>
      <c r="AL328" s="3">
        <f>IF(ISERROR((VLOOKUP($A328,'SegEnds_NonXtal_BW#'!$A:$Z,26,FALSE)+VLOOKUP($A328,A:AL,37,FALSE)-50)),"-",(VLOOKUP($A328,'SegEnds_NonXtal_BW#'!$A:$Z,26,FALSE)+VLOOKUP($A328,A:AL,37,FALSE)-50))</f>
        <v>539</v>
      </c>
      <c r="AM328" s="28" t="str">
        <f>VLOOKUP(A328,Classification!A:B,2,FALSE)</f>
        <v>F</v>
      </c>
      <c r="AN328" s="28" t="b">
        <f t="shared" si="200"/>
        <v>1</v>
      </c>
      <c r="AO328" s="3" t="str">
        <f>IF(ISERROR(MATCH(A328,'SegEnds_Xtal_Prot#'!B:B, 0)), "NoXtal", "Xtal")</f>
        <v>NoXtal</v>
      </c>
      <c r="AP328" s="3">
        <f t="shared" si="185"/>
        <v>1</v>
      </c>
      <c r="AQ328" s="3">
        <f t="shared" si="186"/>
        <v>1</v>
      </c>
      <c r="AR328" s="3" t="str">
        <f t="shared" si="187"/>
        <v>-</v>
      </c>
      <c r="AS328" s="3" t="str">
        <f t="shared" si="188"/>
        <v>-</v>
      </c>
      <c r="AT328" s="3" t="str">
        <f t="shared" si="189"/>
        <v>-</v>
      </c>
      <c r="AU328" s="3" t="str">
        <f t="shared" si="190"/>
        <v>-</v>
      </c>
      <c r="AV328" s="3">
        <f t="shared" si="191"/>
        <v>12</v>
      </c>
      <c r="AW328" s="3">
        <f t="shared" si="192"/>
        <v>5</v>
      </c>
      <c r="AX328" s="3">
        <f t="shared" si="193"/>
        <v>7</v>
      </c>
      <c r="AY328" s="3">
        <f t="shared" si="194"/>
        <v>13</v>
      </c>
      <c r="AZ328" s="3">
        <f t="shared" si="195"/>
        <v>1</v>
      </c>
      <c r="BA328" s="3">
        <f>IF(ISERROR(LEN(VLOOKUP(A328,Seqs!A:E,2,FALSE))-AL328),"-",LEN(VLOOKUP(A328,Seqs!A:E,2,FALSE))-AL328)</f>
        <v>42</v>
      </c>
      <c r="BB328" s="16">
        <f t="shared" si="196"/>
        <v>26</v>
      </c>
      <c r="BC328" s="9" t="str">
        <f t="shared" si="197"/>
        <v>-</v>
      </c>
      <c r="BD328" s="3">
        <f t="shared" si="198"/>
        <v>26</v>
      </c>
      <c r="BE328" s="3">
        <f t="shared" si="199"/>
        <v>55</v>
      </c>
    </row>
    <row r="329" spans="1:58" s="3" customFormat="1" x14ac:dyDescent="0.2">
      <c r="A329" s="3" t="s">
        <v>448</v>
      </c>
      <c r="B329" s="3" t="str">
        <f>LOWER(VLOOKUP(A329,Xtal_Templ!A:B,2,FALSE))</f>
        <v>smo_human</v>
      </c>
      <c r="C329" s="3">
        <f>VLOOKUP($A329,'SegEnds_NonXtal_BW#'!$A:$Z,3,FALSE)+D329-50</f>
        <v>238</v>
      </c>
      <c r="D329" s="3">
        <v>259</v>
      </c>
      <c r="E329" s="3">
        <f>IF(ISERROR(VLOOKUP($A329,'SegEnds_NonXtal_BW#'!$A:$Z,4,FALSE)+VLOOKUP($A329,A:AL,4,FALSE)-50),"-",(VLOOKUP($A329,'SegEnds_NonXtal_BW#'!$A:$Z,4,FALSE)+VLOOKUP($A329,A:AL,4,FALSE)-50))</f>
        <v>269</v>
      </c>
      <c r="F329" s="3">
        <f t="shared" si="201"/>
        <v>270</v>
      </c>
      <c r="G329" s="3">
        <v>273</v>
      </c>
      <c r="H329" s="3">
        <f t="shared" si="184"/>
        <v>274</v>
      </c>
      <c r="I329" s="3">
        <f t="shared" si="184"/>
        <v>275</v>
      </c>
      <c r="J329" s="3">
        <v>285</v>
      </c>
      <c r="K329" s="3">
        <f>VLOOKUP($A329,'SegEnds_NonXtal_BW#'!$A:$Z,8,FALSE)+VLOOKUP($A329,A:AL,10,FALSE)-50</f>
        <v>298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325</v>
      </c>
      <c r="P329" s="3">
        <v>352</v>
      </c>
      <c r="Q329" s="3">
        <f>VLOOKUP($A329,'SegEnds_NonXtal_BW#'!$A:$Z,12,FALSE)+VLOOKUP($A329,A:AL,16,FALSE)-50</f>
        <v>361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3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365</v>
      </c>
      <c r="V329" s="3">
        <v>377</v>
      </c>
      <c r="W329" s="3">
        <f>IF(ISERROR(VLOOKUP($A329,'SegEnds_NonXtal_BW#'!$A:$Z,16,FALSE)+VLOOKUP($A329,A:AL,22,FALSE)-50),"-",(VLOOKUP($A329,'SegEnds_NonXtal_BW#'!$A:$Z,16,FALSE)+VLOOKUP($A329,A:AL,22,FALSE)-50))</f>
        <v>390</v>
      </c>
      <c r="X329" s="3">
        <f>IF(ISERROR(VLOOKUP($A329,'SegEnds_NonXtal_BW#'!$A:$Z,17,FALSE)+VLOOKUP($A329,A:AL,25,FALSE)-50),"-",(VLOOKUP($A329,'SegEnds_NonXtal_BW#'!$A:$Z,17,FALSE)+VLOOKUP($A329,A:AL,25,FALSE)-50))</f>
        <v>402</v>
      </c>
      <c r="Y329" s="3">
        <v>402</v>
      </c>
      <c r="Z329" s="3">
        <f t="shared" si="183"/>
        <v>404</v>
      </c>
      <c r="AA329" s="3">
        <f>IF(ISERROR(VLOOKUP($A329,'SegEnds_NonXtal_BW#'!$A:$Z,19,FALSE)+VLOOKUP($A329,A:AL,28,FALSE)-50),"-",(VLOOKUP($A329,'SegEnds_NonXtal_BW#'!$A:$Z,19,FALSE)+VLOOKUP($A329,A:AL,28,FALSE)-50))</f>
        <v>409</v>
      </c>
      <c r="AB329" s="3">
        <v>423</v>
      </c>
      <c r="AC329" s="3">
        <f>IF(ISERROR((VLOOKUP($A329,'SegEnds_NonXtal_BW#'!$A:$Z,20,FALSE)+VLOOKUP($A329,A:AL,28,FALSE)-50)),"-",(VLOOKUP($A329,'SegEnds_NonXtal_BW#'!$A:$Z,20,FALSE)+VLOOKUP($A329,A:AL,28,FALSE)-50))</f>
        <v>445</v>
      </c>
      <c r="AD329" s="3">
        <f>IF(ISERROR(VLOOKUP($A329,'SegEnds_NonXtal_BW#'!$A:$Z,21,FALSE)+VLOOKUP($A329,A:AL,31,FALSE)-50),"-",(VLOOKUP($A329,'SegEnds_NonXtal_BW#'!$A:$Z,21,FALSE)+VLOOKUP($A329,A:AL,31,FALSE)-50))</f>
        <v>452</v>
      </c>
      <c r="AE329" s="3">
        <v>478</v>
      </c>
      <c r="AF329" s="3">
        <f>IF(ISERROR((VLOOKUP($A329,'SegEnds_NonXtal_BW#'!$A:$Z,22,FALSE)+VLOOKUP($A329,A:AL,31,FALSE)-50)),"-",(VLOOKUP($A329,'SegEnds_NonXtal_BW#'!$A:$Z,22,FALSE)+VLOOKUP($A329,A:AL,31,FALSE)-50))</f>
        <v>506</v>
      </c>
      <c r="AG329" s="3">
        <f>IF(ISERROR(VLOOKUP($A329,'SegEnds_NonXtal_BW#'!$A:$Z,23,FALSE)+VLOOKUP($A329,A:AL,34,FALSE)-50),"-",(VLOOKUP($A329,'SegEnds_NonXtal_BW#'!$A:$Z,23,FALSE)+VLOOKUP($A329,A:AL,34,FALSE)-50))</f>
        <v>518</v>
      </c>
      <c r="AH329" s="3">
        <v>533</v>
      </c>
      <c r="AI329" s="3">
        <f>IF(ISERROR((VLOOKUP($A329,'SegEnds_NonXtal_BW#'!$A:$Z,24,FALSE)+VLOOKUP($A329,A:AL,34,FALSE)-50)),"-",(VLOOKUP($A329,'SegEnds_NonXtal_BW#'!$A:$Z,24,FALSE)+VLOOKUP($A329,A:AL,34,FALSE)-50))</f>
        <v>540</v>
      </c>
      <c r="AJ329" s="3">
        <f>IF(ISERROR(VLOOKUP($A329,'SegEnds_NonXtal_BW#'!$A:$Z,25,FALSE)+VLOOKUP($A329,A:AL,37,FALSE)-50),"-",(VLOOKUP($A329,'SegEnds_NonXtal_BW#'!$A:$Z,25,FALSE)+VLOOKUP($A329,A:AL,37,FALSE)-50))</f>
        <v>541</v>
      </c>
      <c r="AK329" s="3">
        <v>544</v>
      </c>
      <c r="AL329" s="3">
        <f>IF(ISERROR((VLOOKUP($A329,'SegEnds_NonXtal_BW#'!$A:$Z,26,FALSE)+VLOOKUP($A329,A:AL,37,FALSE)-50)),"-",(VLOOKUP($A329,'SegEnds_NonXtal_BW#'!$A:$Z,26,FALSE)+VLOOKUP($A329,A:AL,37,FALSE)-50))</f>
        <v>556</v>
      </c>
      <c r="AM329" s="28" t="str">
        <f>VLOOKUP(A329,Classification!A:B,2,FALSE)</f>
        <v>F</v>
      </c>
      <c r="AN329" s="28" t="b">
        <f t="shared" si="200"/>
        <v>1</v>
      </c>
      <c r="AO329" s="3" t="str">
        <f>IF(ISERROR(MATCH(A329,'SegEnds_Xtal_Prot#'!B:B, 0)), "NoXtal", "Xtal")</f>
        <v>NoXtal</v>
      </c>
      <c r="AP329" s="3">
        <f t="shared" si="185"/>
        <v>1</v>
      </c>
      <c r="AQ329" s="3">
        <f t="shared" si="186"/>
        <v>1</v>
      </c>
      <c r="AR329" s="3" t="str">
        <f t="shared" si="187"/>
        <v>-</v>
      </c>
      <c r="AS329" s="3" t="str">
        <f t="shared" si="188"/>
        <v>-</v>
      </c>
      <c r="AT329" s="3" t="str">
        <f t="shared" si="189"/>
        <v>-</v>
      </c>
      <c r="AU329" s="3" t="str">
        <f t="shared" si="190"/>
        <v>-</v>
      </c>
      <c r="AV329" s="3">
        <f t="shared" si="191"/>
        <v>12</v>
      </c>
      <c r="AW329" s="3">
        <f t="shared" si="192"/>
        <v>5</v>
      </c>
      <c r="AX329" s="3">
        <f t="shared" si="193"/>
        <v>7</v>
      </c>
      <c r="AY329" s="3">
        <f t="shared" si="194"/>
        <v>12</v>
      </c>
      <c r="AZ329" s="3">
        <f t="shared" si="195"/>
        <v>1</v>
      </c>
      <c r="BA329" s="3">
        <f>IF(ISERROR(LEN(VLOOKUP(A329,Seqs!A:E,2,FALSE))-AL329),"-",LEN(VLOOKUP(A329,Seqs!A:E,2,FALSE))-AL329)</f>
        <v>9</v>
      </c>
      <c r="BB329" s="16">
        <f t="shared" si="196"/>
        <v>26</v>
      </c>
      <c r="BC329" s="9" t="str">
        <f t="shared" si="197"/>
        <v>-</v>
      </c>
      <c r="BD329" s="3">
        <f t="shared" si="198"/>
        <v>26</v>
      </c>
      <c r="BE329" s="3">
        <f t="shared" si="199"/>
        <v>55</v>
      </c>
      <c r="BF329" s="3">
        <f>AH329-AE329</f>
        <v>55</v>
      </c>
    </row>
    <row r="330" spans="1:58" s="3" customFormat="1" x14ac:dyDescent="0.2">
      <c r="A330" s="3" t="s">
        <v>449</v>
      </c>
      <c r="B330" s="3" t="str">
        <f>LOWER(VLOOKUP(A330,Xtal_Templ!A:B,2,FALSE))</f>
        <v>smo_human</v>
      </c>
      <c r="C330" s="3">
        <f>VLOOKUP($A330,'SegEnds_NonXtal_BW#'!$A:$Z,3,FALSE)+D330-50</f>
        <v>196</v>
      </c>
      <c r="D330" s="3">
        <v>217</v>
      </c>
      <c r="E330" s="3">
        <f>IF(ISERROR(VLOOKUP($A330,'SegEnds_NonXtal_BW#'!$A:$Z,4,FALSE)+VLOOKUP($A330,A:AL,4,FALSE)-50),"-",(VLOOKUP($A330,'SegEnds_NonXtal_BW#'!$A:$Z,4,FALSE)+VLOOKUP($A330,A:AL,4,FALSE)-50))</f>
        <v>227</v>
      </c>
      <c r="F330" s="3">
        <f t="shared" si="201"/>
        <v>228</v>
      </c>
      <c r="G330" s="3">
        <v>231</v>
      </c>
      <c r="H330" s="3">
        <f t="shared" si="184"/>
        <v>232</v>
      </c>
      <c r="I330" s="3">
        <f t="shared" si="184"/>
        <v>233</v>
      </c>
      <c r="J330" s="3">
        <v>243</v>
      </c>
      <c r="K330" s="3">
        <f>VLOOKUP($A330,'SegEnds_NonXtal_BW#'!$A:$Z,8,FALSE)+VLOOKUP($A330,A:AL,10,FALSE)-50</f>
        <v>256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284</v>
      </c>
      <c r="P330" s="3">
        <v>311</v>
      </c>
      <c r="Q330" s="3">
        <f>VLOOKUP($A330,'SegEnds_NonXtal_BW#'!$A:$Z,12,FALSE)+VLOOKUP($A330,A:AL,16,FALSE)-50</f>
        <v>320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3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324</v>
      </c>
      <c r="V330" s="3">
        <v>336</v>
      </c>
      <c r="W330" s="3">
        <f>IF(ISERROR(VLOOKUP($A330,'SegEnds_NonXtal_BW#'!$A:$Z,16,FALSE)+VLOOKUP($A330,A:AL,22,FALSE)-50),"-",(VLOOKUP($A330,'SegEnds_NonXtal_BW#'!$A:$Z,16,FALSE)+VLOOKUP($A330,A:AL,22,FALSE)-50))</f>
        <v>349</v>
      </c>
      <c r="X330" s="3">
        <f>IF(ISERROR(VLOOKUP($A330,'SegEnds_NonXtal_BW#'!$A:$Z,17,FALSE)+VLOOKUP($A330,A:AL,25,FALSE)-50),"-",(VLOOKUP($A330,'SegEnds_NonXtal_BW#'!$A:$Z,17,FALSE)+VLOOKUP($A330,A:AL,25,FALSE)-50))</f>
        <v>361</v>
      </c>
      <c r="Y330" s="3">
        <v>361</v>
      </c>
      <c r="Z330" s="3">
        <f t="shared" ref="Z330:Z336" si="202">Y330+2</f>
        <v>363</v>
      </c>
      <c r="AA330" s="3">
        <f>IF(ISERROR(VLOOKUP($A330,'SegEnds_NonXtal_BW#'!$A:$Z,19,FALSE)+VLOOKUP($A330,A:AL,28,FALSE)-50),"-",(VLOOKUP($A330,'SegEnds_NonXtal_BW#'!$A:$Z,19,FALSE)+VLOOKUP($A330,A:AL,28,FALSE)-50))</f>
        <v>368</v>
      </c>
      <c r="AB330" s="3">
        <v>382</v>
      </c>
      <c r="AC330" s="3">
        <f>IF(ISERROR((VLOOKUP($A330,'SegEnds_NonXtal_BW#'!$A:$Z,20,FALSE)+VLOOKUP($A330,A:AL,28,FALSE)-50)),"-",(VLOOKUP($A330,'SegEnds_NonXtal_BW#'!$A:$Z,20,FALSE)+VLOOKUP($A330,A:AL,28,FALSE)-50))</f>
        <v>404</v>
      </c>
      <c r="AD330" s="3">
        <f>IF(ISERROR(VLOOKUP($A330,'SegEnds_NonXtal_BW#'!$A:$Z,21,FALSE)+VLOOKUP($A330,A:AL,31,FALSE)-50),"-",(VLOOKUP($A330,'SegEnds_NonXtal_BW#'!$A:$Z,21,FALSE)+VLOOKUP($A330,A:AL,31,FALSE)-50))</f>
        <v>411</v>
      </c>
      <c r="AE330" s="3">
        <v>437</v>
      </c>
      <c r="AF330" s="3">
        <f>IF(ISERROR((VLOOKUP($A330,'SegEnds_NonXtal_BW#'!$A:$Z,22,FALSE)+VLOOKUP($A330,A:AL,31,FALSE)-50)),"-",(VLOOKUP($A330,'SegEnds_NonXtal_BW#'!$A:$Z,22,FALSE)+VLOOKUP($A330,A:AL,31,FALSE)-50))</f>
        <v>465</v>
      </c>
      <c r="AG330" s="3">
        <f>IF(ISERROR(VLOOKUP($A330,'SegEnds_NonXtal_BW#'!$A:$Z,23,FALSE)+VLOOKUP($A330,A:AL,34,FALSE)-50),"-",(VLOOKUP($A330,'SegEnds_NonXtal_BW#'!$A:$Z,23,FALSE)+VLOOKUP($A330,A:AL,34,FALSE)-50))</f>
        <v>477</v>
      </c>
      <c r="AH330" s="3">
        <v>492</v>
      </c>
      <c r="AI330" s="3">
        <f>IF(ISERROR((VLOOKUP($A330,'SegEnds_NonXtal_BW#'!$A:$Z,24,FALSE)+VLOOKUP($A330,A:AL,34,FALSE)-50)),"-",(VLOOKUP($A330,'SegEnds_NonXtal_BW#'!$A:$Z,24,FALSE)+VLOOKUP($A330,A:AL,34,FALSE)-50))</f>
        <v>499</v>
      </c>
      <c r="AJ330" s="3">
        <f>IF(ISERROR(VLOOKUP($A330,'SegEnds_NonXtal_BW#'!$A:$Z,25,FALSE)+VLOOKUP($A330,A:AL,37,FALSE)-50),"-",(VLOOKUP($A330,'SegEnds_NonXtal_BW#'!$A:$Z,25,FALSE)+VLOOKUP($A330,A:AL,37,FALSE)-50))</f>
        <v>500</v>
      </c>
      <c r="AK330" s="3">
        <v>503</v>
      </c>
      <c r="AL330" s="3">
        <f>IF(ISERROR((VLOOKUP($A330,'SegEnds_NonXtal_BW#'!$A:$Z,26,FALSE)+VLOOKUP($A330,A:AL,37,FALSE)-50)),"-",(VLOOKUP($A330,'SegEnds_NonXtal_BW#'!$A:$Z,26,FALSE)+VLOOKUP($A330,A:AL,37,FALSE)-50))</f>
        <v>515</v>
      </c>
      <c r="AM330" s="28" t="str">
        <f>VLOOKUP(A330,Classification!A:B,2,FALSE)</f>
        <v>F</v>
      </c>
      <c r="AN330" s="28" t="b">
        <f t="shared" si="200"/>
        <v>1</v>
      </c>
      <c r="AO330" s="3" t="str">
        <f>IF(ISERROR(MATCH(A330,'SegEnds_Xtal_Prot#'!B:B, 0)), "NoXtal", "Xtal")</f>
        <v>NoXtal</v>
      </c>
      <c r="AP330" s="3">
        <f t="shared" si="185"/>
        <v>1</v>
      </c>
      <c r="AQ330" s="3">
        <f t="shared" si="186"/>
        <v>1</v>
      </c>
      <c r="AR330" s="3" t="str">
        <f t="shared" si="187"/>
        <v>-</v>
      </c>
      <c r="AS330" s="3" t="str">
        <f t="shared" si="188"/>
        <v>-</v>
      </c>
      <c r="AT330" s="3" t="str">
        <f t="shared" si="189"/>
        <v>-</v>
      </c>
      <c r="AU330" s="3" t="str">
        <f t="shared" si="190"/>
        <v>-</v>
      </c>
      <c r="AV330" s="3">
        <f t="shared" si="191"/>
        <v>12</v>
      </c>
      <c r="AW330" s="3">
        <f t="shared" si="192"/>
        <v>5</v>
      </c>
      <c r="AX330" s="3">
        <f t="shared" si="193"/>
        <v>7</v>
      </c>
      <c r="AY330" s="3">
        <f t="shared" si="194"/>
        <v>12</v>
      </c>
      <c r="AZ330" s="3">
        <f t="shared" si="195"/>
        <v>1</v>
      </c>
      <c r="BA330" s="3">
        <f>IF(ISERROR(LEN(VLOOKUP(A330,Seqs!A:E,2,FALSE))-AL330),"-",LEN(VLOOKUP(A330,Seqs!A:E,2,FALSE))-AL330)</f>
        <v>151</v>
      </c>
      <c r="BB330" s="16">
        <f t="shared" si="196"/>
        <v>26</v>
      </c>
      <c r="BC330" s="9" t="str">
        <f t="shared" si="197"/>
        <v>-</v>
      </c>
      <c r="BD330" s="3">
        <f t="shared" si="198"/>
        <v>26</v>
      </c>
      <c r="BE330" s="3">
        <f t="shared" si="199"/>
        <v>55</v>
      </c>
    </row>
    <row r="331" spans="1:58" s="3" customFormat="1" x14ac:dyDescent="0.2">
      <c r="A331" s="3" t="s">
        <v>450</v>
      </c>
      <c r="B331" s="3" t="str">
        <f>LOWER(VLOOKUP(A331,Xtal_Templ!A:B,2,FALSE))</f>
        <v>smo_human</v>
      </c>
      <c r="C331" s="3">
        <f>VLOOKUP($A331,'SegEnds_NonXtal_BW#'!$A:$Z,3,FALSE)+D331-50</f>
        <v>213</v>
      </c>
      <c r="D331" s="3">
        <v>234</v>
      </c>
      <c r="E331" s="3">
        <f>IF(ISERROR(VLOOKUP($A331,'SegEnds_NonXtal_BW#'!$A:$Z,4,FALSE)+VLOOKUP($A331,A:AL,4,FALSE)-50),"-",(VLOOKUP($A331,'SegEnds_NonXtal_BW#'!$A:$Z,4,FALSE)+VLOOKUP($A331,A:AL,4,FALSE)-50))</f>
        <v>244</v>
      </c>
      <c r="F331" s="3">
        <f t="shared" si="201"/>
        <v>245</v>
      </c>
      <c r="G331" s="3">
        <v>248</v>
      </c>
      <c r="H331" s="3">
        <f t="shared" si="184"/>
        <v>249</v>
      </c>
      <c r="I331" s="3">
        <f t="shared" si="184"/>
        <v>250</v>
      </c>
      <c r="J331" s="3">
        <v>260</v>
      </c>
      <c r="K331" s="3">
        <f>VLOOKUP($A331,'SegEnds_NonXtal_BW#'!$A:$Z,8,FALSE)+VLOOKUP($A331,A:AL,10,FALSE)-50</f>
        <v>273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300</v>
      </c>
      <c r="P331" s="3">
        <v>327</v>
      </c>
      <c r="Q331" s="3">
        <f>VLOOKUP($A331,'SegEnds_NonXtal_BW#'!$A:$Z,12,FALSE)+VLOOKUP($A331,A:AL,16,FALSE)-50</f>
        <v>336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3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340</v>
      </c>
      <c r="V331" s="3">
        <v>352</v>
      </c>
      <c r="W331" s="3">
        <f>IF(ISERROR(VLOOKUP($A331,'SegEnds_NonXtal_BW#'!$A:$Z,16,FALSE)+VLOOKUP($A331,A:AL,22,FALSE)-50),"-",(VLOOKUP($A331,'SegEnds_NonXtal_BW#'!$A:$Z,16,FALSE)+VLOOKUP($A331,A:AL,22,FALSE)-50))</f>
        <v>365</v>
      </c>
      <c r="X331" s="3">
        <f>IF(ISERROR(VLOOKUP($A331,'SegEnds_NonXtal_BW#'!$A:$Z,17,FALSE)+VLOOKUP($A331,A:AL,25,FALSE)-50),"-",(VLOOKUP($A331,'SegEnds_NonXtal_BW#'!$A:$Z,17,FALSE)+VLOOKUP($A331,A:AL,25,FALSE)-50))</f>
        <v>377</v>
      </c>
      <c r="Y331" s="3">
        <v>377</v>
      </c>
      <c r="Z331" s="3">
        <f t="shared" si="202"/>
        <v>379</v>
      </c>
      <c r="AA331" s="3">
        <f>IF(ISERROR(VLOOKUP($A331,'SegEnds_NonXtal_BW#'!$A:$Z,19,FALSE)+VLOOKUP($A331,A:AL,28,FALSE)-50),"-",(VLOOKUP($A331,'SegEnds_NonXtal_BW#'!$A:$Z,19,FALSE)+VLOOKUP($A331,A:AL,28,FALSE)-50))</f>
        <v>384</v>
      </c>
      <c r="AB331" s="3">
        <v>398</v>
      </c>
      <c r="AC331" s="3">
        <f>IF(ISERROR((VLOOKUP($A331,'SegEnds_NonXtal_BW#'!$A:$Z,20,FALSE)+VLOOKUP($A331,A:AL,28,FALSE)-50)),"-",(VLOOKUP($A331,'SegEnds_NonXtal_BW#'!$A:$Z,20,FALSE)+VLOOKUP($A331,A:AL,28,FALSE)-50))</f>
        <v>420</v>
      </c>
      <c r="AD331" s="3">
        <f>IF(ISERROR(VLOOKUP($A331,'SegEnds_NonXtal_BW#'!$A:$Z,21,FALSE)+VLOOKUP($A331,A:AL,31,FALSE)-50),"-",(VLOOKUP($A331,'SegEnds_NonXtal_BW#'!$A:$Z,21,FALSE)+VLOOKUP($A331,A:AL,31,FALSE)-50))</f>
        <v>427</v>
      </c>
      <c r="AE331" s="3">
        <v>453</v>
      </c>
      <c r="AF331" s="3">
        <f>IF(ISERROR((VLOOKUP($A331,'SegEnds_NonXtal_BW#'!$A:$Z,22,FALSE)+VLOOKUP($A331,A:AL,31,FALSE)-50)),"-",(VLOOKUP($A331,'SegEnds_NonXtal_BW#'!$A:$Z,22,FALSE)+VLOOKUP($A331,A:AL,31,FALSE)-50))</f>
        <v>469</v>
      </c>
      <c r="AG331" s="3">
        <f>IF(ISERROR(VLOOKUP($A331,'SegEnds_NonXtal_BW#'!$A:$Z,23,FALSE)+VLOOKUP($A331,A:AL,34,FALSE)-50),"-",(VLOOKUP($A331,'SegEnds_NonXtal_BW#'!$A:$Z,23,FALSE)+VLOOKUP($A331,A:AL,34,FALSE)-50))</f>
        <v>474</v>
      </c>
      <c r="AH331" s="3">
        <v>489</v>
      </c>
      <c r="AI331" s="3">
        <f>IF(ISERROR((VLOOKUP($A331,'SegEnds_NonXtal_BW#'!$A:$Z,24,FALSE)+VLOOKUP($A331,A:AL,34,FALSE)-50)),"-",(VLOOKUP($A331,'SegEnds_NonXtal_BW#'!$A:$Z,24,FALSE)+VLOOKUP($A331,A:AL,34,FALSE)-50))</f>
        <v>496</v>
      </c>
      <c r="AJ331" s="3">
        <f>IF(ISERROR(VLOOKUP($A331,'SegEnds_NonXtal_BW#'!$A:$Z,25,FALSE)+VLOOKUP($A331,A:AL,37,FALSE)-50),"-",(VLOOKUP($A331,'SegEnds_NonXtal_BW#'!$A:$Z,25,FALSE)+VLOOKUP($A331,A:AL,37,FALSE)-50))</f>
        <v>497</v>
      </c>
      <c r="AK331" s="3">
        <v>500</v>
      </c>
      <c r="AL331" s="3">
        <f>IF(ISERROR((VLOOKUP($A331,'SegEnds_NonXtal_BW#'!$A:$Z,26,FALSE)+VLOOKUP($A331,A:AL,37,FALSE)-50)),"-",(VLOOKUP($A331,'SegEnds_NonXtal_BW#'!$A:$Z,26,FALSE)+VLOOKUP($A331,A:AL,37,FALSE)-50))</f>
        <v>512</v>
      </c>
      <c r="AM331" s="28" t="str">
        <f>VLOOKUP(A331,Classification!A:B,2,FALSE)</f>
        <v>F</v>
      </c>
      <c r="AN331" s="28" t="b">
        <f t="shared" si="200"/>
        <v>1</v>
      </c>
      <c r="AO331" s="3" t="str">
        <f>IF(ISERROR(MATCH(A331,'SegEnds_Xtal_Prot#'!B:B, 0)), "NoXtal", "Xtal")</f>
        <v>NoXtal</v>
      </c>
      <c r="AP331" s="3">
        <f t="shared" si="185"/>
        <v>1</v>
      </c>
      <c r="AQ331" s="3">
        <f t="shared" si="186"/>
        <v>1</v>
      </c>
      <c r="AR331" s="3" t="str">
        <f t="shared" si="187"/>
        <v>-</v>
      </c>
      <c r="AS331" s="3" t="str">
        <f t="shared" si="188"/>
        <v>-</v>
      </c>
      <c r="AT331" s="3" t="str">
        <f t="shared" si="189"/>
        <v>-</v>
      </c>
      <c r="AU331" s="3" t="str">
        <f t="shared" si="190"/>
        <v>-</v>
      </c>
      <c r="AV331" s="3">
        <f t="shared" si="191"/>
        <v>12</v>
      </c>
      <c r="AW331" s="3">
        <f t="shared" si="192"/>
        <v>5</v>
      </c>
      <c r="AX331" s="3">
        <f t="shared" si="193"/>
        <v>7</v>
      </c>
      <c r="AY331" s="3">
        <f t="shared" si="194"/>
        <v>5</v>
      </c>
      <c r="AZ331" s="3">
        <f t="shared" si="195"/>
        <v>1</v>
      </c>
      <c r="BA331" s="3">
        <f>IF(ISERROR(LEN(VLOOKUP(A331,Seqs!A:E,2,FALSE))-AL331),"-",LEN(VLOOKUP(A331,Seqs!A:E,2,FALSE))-AL331)</f>
        <v>25</v>
      </c>
      <c r="BB331" s="16">
        <f t="shared" si="196"/>
        <v>26</v>
      </c>
      <c r="BC331" s="9" t="str">
        <f t="shared" si="197"/>
        <v>-</v>
      </c>
      <c r="BD331" s="3">
        <f t="shared" si="198"/>
        <v>26</v>
      </c>
      <c r="BE331" s="3">
        <f t="shared" si="199"/>
        <v>55</v>
      </c>
      <c r="BF331" s="3">
        <f>AH331-AE331</f>
        <v>36</v>
      </c>
    </row>
    <row r="332" spans="1:58" s="3" customFormat="1" x14ac:dyDescent="0.2">
      <c r="A332" s="3" t="s">
        <v>451</v>
      </c>
      <c r="B332" s="3" t="str">
        <f>LOWER(VLOOKUP(A332,Xtal_Templ!A:B,2,FALSE))</f>
        <v>smo_human</v>
      </c>
      <c r="C332" s="3">
        <f>VLOOKUP($A332,'SegEnds_NonXtal_BW#'!$A:$Z,3,FALSE)+D332-50</f>
        <v>229</v>
      </c>
      <c r="D332" s="3">
        <v>250</v>
      </c>
      <c r="E332" s="3">
        <f>IF(ISERROR(VLOOKUP($A332,'SegEnds_NonXtal_BW#'!$A:$Z,4,FALSE)+VLOOKUP($A332,A:AL,4,FALSE)-50),"-",(VLOOKUP($A332,'SegEnds_NonXtal_BW#'!$A:$Z,4,FALSE)+VLOOKUP($A332,A:AL,4,FALSE)-50))</f>
        <v>260</v>
      </c>
      <c r="F332" s="3">
        <f t="shared" si="201"/>
        <v>261</v>
      </c>
      <c r="G332" s="3">
        <v>264</v>
      </c>
      <c r="H332" s="3">
        <f t="shared" si="184"/>
        <v>265</v>
      </c>
      <c r="I332" s="3">
        <f t="shared" si="184"/>
        <v>266</v>
      </c>
      <c r="J332" s="3">
        <v>276</v>
      </c>
      <c r="K332" s="3">
        <f>VLOOKUP($A332,'SegEnds_NonXtal_BW#'!$A:$Z,8,FALSE)+VLOOKUP($A332,A:AL,10,FALSE)-50</f>
        <v>289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313</v>
      </c>
      <c r="P332" s="3">
        <v>340</v>
      </c>
      <c r="Q332" s="3">
        <f>VLOOKUP($A332,'SegEnds_NonXtal_BW#'!$A:$Z,12,FALSE)+VLOOKUP($A332,A:AL,16,FALSE)-50</f>
        <v>349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3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353</v>
      </c>
      <c r="V332" s="3">
        <v>365</v>
      </c>
      <c r="W332" s="3">
        <f>IF(ISERROR(VLOOKUP($A332,'SegEnds_NonXtal_BW#'!$A:$Z,16,FALSE)+VLOOKUP($A332,A:AL,22,FALSE)-50),"-",(VLOOKUP($A332,'SegEnds_NonXtal_BW#'!$A:$Z,16,FALSE)+VLOOKUP($A332,A:AL,22,FALSE)-50))</f>
        <v>378</v>
      </c>
      <c r="X332" s="3">
        <f>IF(ISERROR(VLOOKUP($A332,'SegEnds_NonXtal_BW#'!$A:$Z,17,FALSE)+VLOOKUP($A332,A:AL,25,FALSE)-50),"-",(VLOOKUP($A332,'SegEnds_NonXtal_BW#'!$A:$Z,17,FALSE)+VLOOKUP($A332,A:AL,25,FALSE)-50))</f>
        <v>390</v>
      </c>
      <c r="Y332" s="3">
        <v>390</v>
      </c>
      <c r="Z332" s="3">
        <f t="shared" si="202"/>
        <v>392</v>
      </c>
      <c r="AA332" s="3">
        <f>IF(ISERROR(VLOOKUP($A332,'SegEnds_NonXtal_BW#'!$A:$Z,19,FALSE)+VLOOKUP($A332,A:AL,28,FALSE)-50),"-",(VLOOKUP($A332,'SegEnds_NonXtal_BW#'!$A:$Z,19,FALSE)+VLOOKUP($A332,A:AL,28,FALSE)-50))</f>
        <v>397</v>
      </c>
      <c r="AB332" s="3">
        <v>411</v>
      </c>
      <c r="AC332" s="3">
        <f>IF(ISERROR((VLOOKUP($A332,'SegEnds_NonXtal_BW#'!$A:$Z,20,FALSE)+VLOOKUP($A332,A:AL,28,FALSE)-50)),"-",(VLOOKUP($A332,'SegEnds_NonXtal_BW#'!$A:$Z,20,FALSE)+VLOOKUP($A332,A:AL,28,FALSE)-50))</f>
        <v>433</v>
      </c>
      <c r="AD332" s="3">
        <f>IF(ISERROR(VLOOKUP($A332,'SegEnds_NonXtal_BW#'!$A:$Z,21,FALSE)+VLOOKUP($A332,A:AL,31,FALSE)-50),"-",(VLOOKUP($A332,'SegEnds_NonXtal_BW#'!$A:$Z,21,FALSE)+VLOOKUP($A332,A:AL,31,FALSE)-50))</f>
        <v>440</v>
      </c>
      <c r="AE332" s="3">
        <v>466</v>
      </c>
      <c r="AF332" s="3">
        <f>IF(ISERROR((VLOOKUP($A332,'SegEnds_NonXtal_BW#'!$A:$Z,22,FALSE)+VLOOKUP($A332,A:AL,31,FALSE)-50)),"-",(VLOOKUP($A332,'SegEnds_NonXtal_BW#'!$A:$Z,22,FALSE)+VLOOKUP($A332,A:AL,31,FALSE)-50))</f>
        <v>494</v>
      </c>
      <c r="AG332" s="3">
        <f>IF(ISERROR(VLOOKUP($A332,'SegEnds_NonXtal_BW#'!$A:$Z,23,FALSE)+VLOOKUP($A332,A:AL,34,FALSE)-50),"-",(VLOOKUP($A332,'SegEnds_NonXtal_BW#'!$A:$Z,23,FALSE)+VLOOKUP($A332,A:AL,34,FALSE)-50))</f>
        <v>500</v>
      </c>
      <c r="AH332" s="3">
        <v>515</v>
      </c>
      <c r="AI332" s="3">
        <f>IF(ISERROR((VLOOKUP($A332,'SegEnds_NonXtal_BW#'!$A:$Z,24,FALSE)+VLOOKUP($A332,A:AL,34,FALSE)-50)),"-",(VLOOKUP($A332,'SegEnds_NonXtal_BW#'!$A:$Z,24,FALSE)+VLOOKUP($A332,A:AL,34,FALSE)-50))</f>
        <v>522</v>
      </c>
      <c r="AJ332" s="3">
        <f>IF(ISERROR(VLOOKUP($A332,'SegEnds_NonXtal_BW#'!$A:$Z,25,FALSE)+VLOOKUP($A332,A:AL,37,FALSE)-50),"-",(VLOOKUP($A332,'SegEnds_NonXtal_BW#'!$A:$Z,25,FALSE)+VLOOKUP($A332,A:AL,37,FALSE)-50))</f>
        <v>523</v>
      </c>
      <c r="AK332" s="3">
        <v>526</v>
      </c>
      <c r="AL332" s="3">
        <f>IF(ISERROR((VLOOKUP($A332,'SegEnds_NonXtal_BW#'!$A:$Z,26,FALSE)+VLOOKUP($A332,A:AL,37,FALSE)-50)),"-",(VLOOKUP($A332,'SegEnds_NonXtal_BW#'!$A:$Z,26,FALSE)+VLOOKUP($A332,A:AL,37,FALSE)-50))</f>
        <v>538</v>
      </c>
      <c r="AM332" s="28" t="str">
        <f>VLOOKUP(A332,Classification!A:B,2,FALSE)</f>
        <v>F</v>
      </c>
      <c r="AN332" s="28" t="b">
        <f t="shared" si="200"/>
        <v>1</v>
      </c>
      <c r="AO332" s="3" t="str">
        <f>IF(ISERROR(MATCH(A332,'SegEnds_Xtal_Prot#'!B:B, 0)), "NoXtal", "Xtal")</f>
        <v>NoXtal</v>
      </c>
      <c r="AP332" s="3">
        <f t="shared" si="185"/>
        <v>1</v>
      </c>
      <c r="AQ332" s="3">
        <f t="shared" si="186"/>
        <v>1</v>
      </c>
      <c r="AR332" s="3" t="str">
        <f t="shared" si="187"/>
        <v>-</v>
      </c>
      <c r="AS332" s="3" t="str">
        <f t="shared" si="188"/>
        <v>-</v>
      </c>
      <c r="AT332" s="3" t="str">
        <f t="shared" si="189"/>
        <v>-</v>
      </c>
      <c r="AU332" s="3" t="str">
        <f t="shared" si="190"/>
        <v>-</v>
      </c>
      <c r="AV332" s="3">
        <f t="shared" si="191"/>
        <v>12</v>
      </c>
      <c r="AW332" s="3">
        <f t="shared" si="192"/>
        <v>5</v>
      </c>
      <c r="AX332" s="3">
        <f t="shared" si="193"/>
        <v>7</v>
      </c>
      <c r="AY332" s="3">
        <f t="shared" si="194"/>
        <v>6</v>
      </c>
      <c r="AZ332" s="3">
        <f t="shared" si="195"/>
        <v>1</v>
      </c>
      <c r="BA332" s="3">
        <f>IF(ISERROR(LEN(VLOOKUP(A332,Seqs!A:E,2,FALSE))-AL332),"-",LEN(VLOOKUP(A332,Seqs!A:E,2,FALSE))-AL332)</f>
        <v>47</v>
      </c>
      <c r="BB332" s="16">
        <f t="shared" si="196"/>
        <v>26</v>
      </c>
      <c r="BC332" s="9" t="str">
        <f t="shared" si="197"/>
        <v>-</v>
      </c>
      <c r="BD332" s="3">
        <f t="shared" si="198"/>
        <v>26</v>
      </c>
      <c r="BE332" s="3">
        <f t="shared" si="199"/>
        <v>55</v>
      </c>
    </row>
    <row r="333" spans="1:58" s="3" customFormat="1" x14ac:dyDescent="0.2">
      <c r="A333" s="3" t="s">
        <v>452</v>
      </c>
      <c r="B333" s="3" t="str">
        <f>LOWER(VLOOKUP(A333,Xtal_Templ!A:B,2,FALSE))</f>
        <v>smo_human</v>
      </c>
      <c r="C333" s="3">
        <f>VLOOKUP($A333,'SegEnds_NonXtal_BW#'!$A:$Z,3,FALSE)+D333-50</f>
        <v>192</v>
      </c>
      <c r="D333" s="3">
        <v>213</v>
      </c>
      <c r="E333" s="3">
        <f>IF(ISERROR(VLOOKUP($A333,'SegEnds_NonXtal_BW#'!$A:$Z,4,FALSE)+VLOOKUP($A333,A:AL,4,FALSE)-50),"-",(VLOOKUP($A333,'SegEnds_NonXtal_BW#'!$A:$Z,4,FALSE)+VLOOKUP($A333,A:AL,4,FALSE)-50))</f>
        <v>223</v>
      </c>
      <c r="F333" s="3">
        <f t="shared" si="201"/>
        <v>224</v>
      </c>
      <c r="G333" s="3">
        <v>227</v>
      </c>
      <c r="H333" s="3">
        <f t="shared" si="184"/>
        <v>228</v>
      </c>
      <c r="I333" s="3">
        <f t="shared" si="184"/>
        <v>229</v>
      </c>
      <c r="J333" s="3">
        <v>239</v>
      </c>
      <c r="K333" s="3">
        <f>VLOOKUP($A333,'SegEnds_NonXtal_BW#'!$A:$Z,8,FALSE)+VLOOKUP($A333,A:AL,10,FALSE)-50</f>
        <v>252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280</v>
      </c>
      <c r="P333" s="3">
        <v>307</v>
      </c>
      <c r="Q333" s="3">
        <f>VLOOKUP($A333,'SegEnds_NonXtal_BW#'!$A:$Z,12,FALSE)+VLOOKUP($A333,A:AL,16,FALSE)-50</f>
        <v>316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3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320</v>
      </c>
      <c r="V333" s="3">
        <v>332</v>
      </c>
      <c r="W333" s="3">
        <f>IF(ISERROR(VLOOKUP($A333,'SegEnds_NonXtal_BW#'!$A:$Z,16,FALSE)+VLOOKUP($A333,A:AL,22,FALSE)-50),"-",(VLOOKUP($A333,'SegEnds_NonXtal_BW#'!$A:$Z,16,FALSE)+VLOOKUP($A333,A:AL,22,FALSE)-50))</f>
        <v>345</v>
      </c>
      <c r="X333" s="3">
        <f>IF(ISERROR(VLOOKUP($A333,'SegEnds_NonXtal_BW#'!$A:$Z,17,FALSE)+VLOOKUP($A333,A:AL,25,FALSE)-50),"-",(VLOOKUP($A333,'SegEnds_NonXtal_BW#'!$A:$Z,17,FALSE)+VLOOKUP($A333,A:AL,25,FALSE)-50))</f>
        <v>357</v>
      </c>
      <c r="Y333" s="3">
        <v>357</v>
      </c>
      <c r="Z333" s="3">
        <f t="shared" si="202"/>
        <v>359</v>
      </c>
      <c r="AA333" s="3">
        <f>IF(ISERROR(VLOOKUP($A333,'SegEnds_NonXtal_BW#'!$A:$Z,19,FALSE)+VLOOKUP($A333,A:AL,28,FALSE)-50),"-",(VLOOKUP($A333,'SegEnds_NonXtal_BW#'!$A:$Z,19,FALSE)+VLOOKUP($A333,A:AL,28,FALSE)-50))</f>
        <v>364</v>
      </c>
      <c r="AB333" s="3">
        <v>378</v>
      </c>
      <c r="AC333" s="3">
        <f>IF(ISERROR((VLOOKUP($A333,'SegEnds_NonXtal_BW#'!$A:$Z,20,FALSE)+VLOOKUP($A333,A:AL,28,FALSE)-50)),"-",(VLOOKUP($A333,'SegEnds_NonXtal_BW#'!$A:$Z,20,FALSE)+VLOOKUP($A333,A:AL,28,FALSE)-50))</f>
        <v>400</v>
      </c>
      <c r="AD333" s="3">
        <f>IF(ISERROR(VLOOKUP($A333,'SegEnds_NonXtal_BW#'!$A:$Z,21,FALSE)+VLOOKUP($A333,A:AL,31,FALSE)-50),"-",(VLOOKUP($A333,'SegEnds_NonXtal_BW#'!$A:$Z,21,FALSE)+VLOOKUP($A333,A:AL,31,FALSE)-50))</f>
        <v>407</v>
      </c>
      <c r="AE333" s="3">
        <v>433</v>
      </c>
      <c r="AF333" s="3">
        <f>IF(ISERROR((VLOOKUP($A333,'SegEnds_NonXtal_BW#'!$A:$Z,22,FALSE)+VLOOKUP($A333,A:AL,31,FALSE)-50)),"-",(VLOOKUP($A333,'SegEnds_NonXtal_BW#'!$A:$Z,22,FALSE)+VLOOKUP($A333,A:AL,31,FALSE)-50))</f>
        <v>461</v>
      </c>
      <c r="AG333" s="3">
        <f>IF(ISERROR(VLOOKUP($A333,'SegEnds_NonXtal_BW#'!$A:$Z,23,FALSE)+VLOOKUP($A333,A:AL,34,FALSE)-50),"-",(VLOOKUP($A333,'SegEnds_NonXtal_BW#'!$A:$Z,23,FALSE)+VLOOKUP($A333,A:AL,34,FALSE)-50))</f>
        <v>473</v>
      </c>
      <c r="AH333" s="3">
        <v>488</v>
      </c>
      <c r="AI333" s="3">
        <f>IF(ISERROR((VLOOKUP($A333,'SegEnds_NonXtal_BW#'!$A:$Z,24,FALSE)+VLOOKUP($A333,A:AL,34,FALSE)-50)),"-",(VLOOKUP($A333,'SegEnds_NonXtal_BW#'!$A:$Z,24,FALSE)+VLOOKUP($A333,A:AL,34,FALSE)-50))</f>
        <v>495</v>
      </c>
      <c r="AJ333" s="3">
        <f>IF(ISERROR(VLOOKUP($A333,'SegEnds_NonXtal_BW#'!$A:$Z,25,FALSE)+VLOOKUP($A333,A:AL,37,FALSE)-50),"-",(VLOOKUP($A333,'SegEnds_NonXtal_BW#'!$A:$Z,25,FALSE)+VLOOKUP($A333,A:AL,37,FALSE)-50))</f>
        <v>496</v>
      </c>
      <c r="AK333" s="3">
        <v>499</v>
      </c>
      <c r="AL333" s="3">
        <f>IF(ISERROR((VLOOKUP($A333,'SegEnds_NonXtal_BW#'!$A:$Z,26,FALSE)+VLOOKUP($A333,A:AL,37,FALSE)-50)),"-",(VLOOKUP($A333,'SegEnds_NonXtal_BW#'!$A:$Z,26,FALSE)+VLOOKUP($A333,A:AL,37,FALSE)-50))</f>
        <v>511</v>
      </c>
      <c r="AM333" s="28" t="str">
        <f>VLOOKUP(A333,Classification!A:B,2,FALSE)</f>
        <v>F</v>
      </c>
      <c r="AN333" s="28" t="b">
        <f t="shared" si="200"/>
        <v>1</v>
      </c>
      <c r="AO333" s="3" t="str">
        <f>IF(ISERROR(MATCH(A333,'SegEnds_Xtal_Prot#'!B:B, 0)), "NoXtal", "Xtal")</f>
        <v>NoXtal</v>
      </c>
      <c r="AP333" s="3">
        <f t="shared" si="185"/>
        <v>1</v>
      </c>
      <c r="AQ333" s="3">
        <f t="shared" si="186"/>
        <v>1</v>
      </c>
      <c r="AR333" s="3" t="str">
        <f t="shared" si="187"/>
        <v>-</v>
      </c>
      <c r="AS333" s="3" t="str">
        <f t="shared" si="188"/>
        <v>-</v>
      </c>
      <c r="AT333" s="3" t="str">
        <f t="shared" si="189"/>
        <v>-</v>
      </c>
      <c r="AU333" s="3" t="str">
        <f t="shared" si="190"/>
        <v>-</v>
      </c>
      <c r="AV333" s="3">
        <f t="shared" si="191"/>
        <v>12</v>
      </c>
      <c r="AW333" s="3">
        <f t="shared" si="192"/>
        <v>5</v>
      </c>
      <c r="AX333" s="3">
        <f t="shared" si="193"/>
        <v>7</v>
      </c>
      <c r="AY333" s="3">
        <f t="shared" si="194"/>
        <v>12</v>
      </c>
      <c r="AZ333" s="3">
        <f t="shared" si="195"/>
        <v>1</v>
      </c>
      <c r="BA333" s="3">
        <f>IF(ISERROR(LEN(VLOOKUP(A333,Seqs!A:E,2,FALSE))-AL333),"-",LEN(VLOOKUP(A333,Seqs!A:E,2,FALSE))-AL333)</f>
        <v>195</v>
      </c>
      <c r="BB333" s="16">
        <f t="shared" si="196"/>
        <v>26</v>
      </c>
      <c r="BC333" s="9" t="str">
        <f t="shared" si="197"/>
        <v>-</v>
      </c>
      <c r="BD333" s="3">
        <f t="shared" si="198"/>
        <v>26</v>
      </c>
      <c r="BE333" s="3">
        <f t="shared" si="199"/>
        <v>55</v>
      </c>
    </row>
    <row r="334" spans="1:58" s="3" customFormat="1" x14ac:dyDescent="0.2">
      <c r="A334" s="3" t="s">
        <v>453</v>
      </c>
      <c r="B334" s="3" t="str">
        <f>LOWER(VLOOKUP(A334,Xtal_Templ!A:B,2,FALSE))</f>
        <v>smo_human</v>
      </c>
      <c r="C334" s="3">
        <f>VLOOKUP($A334,'SegEnds_NonXtal_BW#'!$A:$Z,3,FALSE)+D334-50</f>
        <v>247</v>
      </c>
      <c r="D334" s="3">
        <v>268</v>
      </c>
      <c r="E334" s="3">
        <f>IF(ISERROR(VLOOKUP($A334,'SegEnds_NonXtal_BW#'!$A:$Z,4,FALSE)+VLOOKUP($A334,A:AL,4,FALSE)-50),"-",(VLOOKUP($A334,'SegEnds_NonXtal_BW#'!$A:$Z,4,FALSE)+VLOOKUP($A334,A:AL,4,FALSE)-50))</f>
        <v>278</v>
      </c>
      <c r="F334" s="3">
        <f t="shared" si="201"/>
        <v>279</v>
      </c>
      <c r="G334" s="3">
        <v>282</v>
      </c>
      <c r="H334" s="3">
        <f t="shared" si="184"/>
        <v>283</v>
      </c>
      <c r="I334" s="3">
        <f t="shared" si="184"/>
        <v>284</v>
      </c>
      <c r="J334" s="3">
        <v>294</v>
      </c>
      <c r="K334" s="3">
        <f>VLOOKUP($A334,'SegEnds_NonXtal_BW#'!$A:$Z,8,FALSE)+VLOOKUP($A334,A:AL,10,FALSE)-50</f>
        <v>307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334</v>
      </c>
      <c r="P334" s="3">
        <v>361</v>
      </c>
      <c r="Q334" s="3">
        <f>VLOOKUP($A334,'SegEnds_NonXtal_BW#'!$A:$Z,12,FALSE)+VLOOKUP($A334,A:AL,16,FALSE)-50</f>
        <v>370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3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374</v>
      </c>
      <c r="V334" s="3">
        <v>386</v>
      </c>
      <c r="W334" s="3">
        <f>IF(ISERROR(VLOOKUP($A334,'SegEnds_NonXtal_BW#'!$A:$Z,16,FALSE)+VLOOKUP($A334,A:AL,22,FALSE)-50),"-",(VLOOKUP($A334,'SegEnds_NonXtal_BW#'!$A:$Z,16,FALSE)+VLOOKUP($A334,A:AL,22,FALSE)-50))</f>
        <v>399</v>
      </c>
      <c r="X334" s="3">
        <f>IF(ISERROR(VLOOKUP($A334,'SegEnds_NonXtal_BW#'!$A:$Z,17,FALSE)+VLOOKUP($A334,A:AL,25,FALSE)-50),"-",(VLOOKUP($A334,'SegEnds_NonXtal_BW#'!$A:$Z,17,FALSE)+VLOOKUP($A334,A:AL,25,FALSE)-50))</f>
        <v>411</v>
      </c>
      <c r="Y334" s="3">
        <v>411</v>
      </c>
      <c r="Z334" s="3">
        <f t="shared" si="202"/>
        <v>413</v>
      </c>
      <c r="AA334" s="3">
        <f>IF(ISERROR(VLOOKUP($A334,'SegEnds_NonXtal_BW#'!$A:$Z,19,FALSE)+VLOOKUP($A334,A:AL,28,FALSE)-50),"-",(VLOOKUP($A334,'SegEnds_NonXtal_BW#'!$A:$Z,19,FALSE)+VLOOKUP($A334,A:AL,28,FALSE)-50))</f>
        <v>418</v>
      </c>
      <c r="AB334" s="3">
        <v>432</v>
      </c>
      <c r="AC334" s="3">
        <f>IF(ISERROR((VLOOKUP($A334,'SegEnds_NonXtal_BW#'!$A:$Z,20,FALSE)+VLOOKUP($A334,A:AL,28,FALSE)-50)),"-",(VLOOKUP($A334,'SegEnds_NonXtal_BW#'!$A:$Z,20,FALSE)+VLOOKUP($A334,A:AL,28,FALSE)-50))</f>
        <v>454</v>
      </c>
      <c r="AD334" s="3">
        <f>IF(ISERROR(VLOOKUP($A334,'SegEnds_NonXtal_BW#'!$A:$Z,21,FALSE)+VLOOKUP($A334,A:AL,31,FALSE)-50),"-",(VLOOKUP($A334,'SegEnds_NonXtal_BW#'!$A:$Z,21,FALSE)+VLOOKUP($A334,A:AL,31,FALSE)-50))</f>
        <v>461</v>
      </c>
      <c r="AE334" s="3">
        <v>487</v>
      </c>
      <c r="AF334" s="3">
        <f>IF(ISERROR((VLOOKUP($A334,'SegEnds_NonXtal_BW#'!$A:$Z,22,FALSE)+VLOOKUP($A334,A:AL,31,FALSE)-50)),"-",(VLOOKUP($A334,'SegEnds_NonXtal_BW#'!$A:$Z,22,FALSE)+VLOOKUP($A334,A:AL,31,FALSE)-50))</f>
        <v>515</v>
      </c>
      <c r="AG334" s="3">
        <f>IF(ISERROR(VLOOKUP($A334,'SegEnds_NonXtal_BW#'!$A:$Z,23,FALSE)+VLOOKUP($A334,A:AL,34,FALSE)-50),"-",(VLOOKUP($A334,'SegEnds_NonXtal_BW#'!$A:$Z,23,FALSE)+VLOOKUP($A334,A:AL,34,FALSE)-50))</f>
        <v>527</v>
      </c>
      <c r="AH334" s="3">
        <v>542</v>
      </c>
      <c r="AI334" s="3">
        <f>IF(ISERROR((VLOOKUP($A334,'SegEnds_NonXtal_BW#'!$A:$Z,24,FALSE)+VLOOKUP($A334,A:AL,34,FALSE)-50)),"-",(VLOOKUP($A334,'SegEnds_NonXtal_BW#'!$A:$Z,24,FALSE)+VLOOKUP($A334,A:AL,34,FALSE)-50))</f>
        <v>549</v>
      </c>
      <c r="AJ334" s="3">
        <f>IF(ISERROR(VLOOKUP($A334,'SegEnds_NonXtal_BW#'!$A:$Z,25,FALSE)+VLOOKUP($A334,A:AL,37,FALSE)-50),"-",(VLOOKUP($A334,'SegEnds_NonXtal_BW#'!$A:$Z,25,FALSE)+VLOOKUP($A334,A:AL,37,FALSE)-50))</f>
        <v>550</v>
      </c>
      <c r="AK334" s="3">
        <v>553</v>
      </c>
      <c r="AL334" s="3">
        <f>IF(ISERROR((VLOOKUP($A334,'SegEnds_NonXtal_BW#'!$A:$Z,26,FALSE)+VLOOKUP($A334,A:AL,37,FALSE)-50)),"-",(VLOOKUP($A334,'SegEnds_NonXtal_BW#'!$A:$Z,26,FALSE)+VLOOKUP($A334,A:AL,37,FALSE)-50))</f>
        <v>565</v>
      </c>
      <c r="AM334" s="28" t="str">
        <f>VLOOKUP(A334,Classification!A:B,2,FALSE)</f>
        <v>F</v>
      </c>
      <c r="AN334" s="28" t="b">
        <f t="shared" si="200"/>
        <v>1</v>
      </c>
      <c r="AO334" s="3" t="str">
        <f>IF(ISERROR(MATCH(A334,'SegEnds_Xtal_Prot#'!B:B, 0)), "NoXtal", "Xtal")</f>
        <v>NoXtal</v>
      </c>
      <c r="AP334" s="3">
        <f t="shared" si="185"/>
        <v>1</v>
      </c>
      <c r="AQ334" s="3">
        <f t="shared" si="186"/>
        <v>1</v>
      </c>
      <c r="AR334" s="3" t="str">
        <f t="shared" si="187"/>
        <v>-</v>
      </c>
      <c r="AS334" s="3" t="str">
        <f t="shared" si="188"/>
        <v>-</v>
      </c>
      <c r="AT334" s="3" t="str">
        <f t="shared" si="189"/>
        <v>-</v>
      </c>
      <c r="AU334" s="3" t="str">
        <f t="shared" si="190"/>
        <v>-</v>
      </c>
      <c r="AV334" s="3">
        <f t="shared" si="191"/>
        <v>12</v>
      </c>
      <c r="AW334" s="3">
        <f t="shared" si="192"/>
        <v>5</v>
      </c>
      <c r="AX334" s="3">
        <f t="shared" si="193"/>
        <v>7</v>
      </c>
      <c r="AY334" s="3">
        <f t="shared" si="194"/>
        <v>12</v>
      </c>
      <c r="AZ334" s="3">
        <f t="shared" si="195"/>
        <v>1</v>
      </c>
      <c r="BA334" s="3">
        <f>IF(ISERROR(LEN(VLOOKUP(A334,Seqs!A:E,2,FALSE))-AL334),"-",LEN(VLOOKUP(A334,Seqs!A:E,2,FALSE))-AL334)</f>
        <v>9</v>
      </c>
      <c r="BB334" s="16">
        <f t="shared" si="196"/>
        <v>26</v>
      </c>
      <c r="BC334" s="9" t="str">
        <f t="shared" si="197"/>
        <v>-</v>
      </c>
      <c r="BD334" s="3">
        <f t="shared" si="198"/>
        <v>26</v>
      </c>
      <c r="BE334" s="3">
        <f t="shared" si="199"/>
        <v>55</v>
      </c>
      <c r="BF334" s="3">
        <f>AH334-AE334</f>
        <v>55</v>
      </c>
    </row>
    <row r="335" spans="1:58" s="3" customFormat="1" x14ac:dyDescent="0.2">
      <c r="A335" s="3" t="s">
        <v>454</v>
      </c>
      <c r="B335" s="3" t="str">
        <f>LOWER(VLOOKUP(A335,Xtal_Templ!A:B,2,FALSE))</f>
        <v>smo_human</v>
      </c>
      <c r="C335" s="3">
        <f>VLOOKUP($A335,'SegEnds_NonXtal_BW#'!$A:$Z,3,FALSE)+D335-50</f>
        <v>271</v>
      </c>
      <c r="D335" s="3">
        <v>292</v>
      </c>
      <c r="E335" s="3">
        <f>IF(ISERROR(VLOOKUP($A335,'SegEnds_NonXtal_BW#'!$A:$Z,4,FALSE)+VLOOKUP($A335,A:AL,4,FALSE)-50),"-",(VLOOKUP($A335,'SegEnds_NonXtal_BW#'!$A:$Z,4,FALSE)+VLOOKUP($A335,A:AL,4,FALSE)-50))</f>
        <v>302</v>
      </c>
      <c r="F335" s="3">
        <f t="shared" si="201"/>
        <v>303</v>
      </c>
      <c r="G335" s="3">
        <v>306</v>
      </c>
      <c r="H335" s="3">
        <f t="shared" si="184"/>
        <v>307</v>
      </c>
      <c r="I335" s="3">
        <f t="shared" si="184"/>
        <v>308</v>
      </c>
      <c r="J335" s="3">
        <v>318</v>
      </c>
      <c r="K335" s="3">
        <f>VLOOKUP($A335,'SegEnds_NonXtal_BW#'!$A:$Z,8,FALSE)+VLOOKUP($A335,A:AL,10,FALSE)-50</f>
        <v>331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394</v>
      </c>
      <c r="P335" s="3">
        <v>421</v>
      </c>
      <c r="Q335" s="3">
        <f>VLOOKUP($A335,'SegEnds_NonXtal_BW#'!$A:$Z,12,FALSE)+VLOOKUP($A335,A:AL,16,FALSE)-50</f>
        <v>430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3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434</v>
      </c>
      <c r="V335" s="3">
        <v>446</v>
      </c>
      <c r="W335" s="3">
        <f>IF(ISERROR(VLOOKUP($A335,'SegEnds_NonXtal_BW#'!$A:$Z,16,FALSE)+VLOOKUP($A335,A:AL,22,FALSE)-50),"-",(VLOOKUP($A335,'SegEnds_NonXtal_BW#'!$A:$Z,16,FALSE)+VLOOKUP($A335,A:AL,22,FALSE)-50))</f>
        <v>459</v>
      </c>
      <c r="X335" s="3">
        <f>IF(ISERROR(VLOOKUP($A335,'SegEnds_NonXtal_BW#'!$A:$Z,17,FALSE)+VLOOKUP($A335,A:AL,25,FALSE)-50),"-",(VLOOKUP($A335,'SegEnds_NonXtal_BW#'!$A:$Z,17,FALSE)+VLOOKUP($A335,A:AL,25,FALSE)-50))</f>
        <v>471</v>
      </c>
      <c r="Y335" s="3">
        <v>471</v>
      </c>
      <c r="Z335" s="3">
        <f t="shared" si="202"/>
        <v>473</v>
      </c>
      <c r="AA335" s="3">
        <f>IF(ISERROR(VLOOKUP($A335,'SegEnds_NonXtal_BW#'!$A:$Z,19,FALSE)+VLOOKUP($A335,A:AL,28,FALSE)-50),"-",(VLOOKUP($A335,'SegEnds_NonXtal_BW#'!$A:$Z,19,FALSE)+VLOOKUP($A335,A:AL,28,FALSE)-50))</f>
        <v>478</v>
      </c>
      <c r="AB335" s="3">
        <v>492</v>
      </c>
      <c r="AC335" s="3">
        <f>IF(ISERROR((VLOOKUP($A335,'SegEnds_NonXtal_BW#'!$A:$Z,20,FALSE)+VLOOKUP($A335,A:AL,28,FALSE)-50)),"-",(VLOOKUP($A335,'SegEnds_NonXtal_BW#'!$A:$Z,20,FALSE)+VLOOKUP($A335,A:AL,28,FALSE)-50))</f>
        <v>514</v>
      </c>
      <c r="AD335" s="3">
        <f>IF(ISERROR(VLOOKUP($A335,'SegEnds_NonXtal_BW#'!$A:$Z,21,FALSE)+VLOOKUP($A335,A:AL,31,FALSE)-50),"-",(VLOOKUP($A335,'SegEnds_NonXtal_BW#'!$A:$Z,21,FALSE)+VLOOKUP($A335,A:AL,31,FALSE)-50))</f>
        <v>523</v>
      </c>
      <c r="AE335" s="3">
        <v>549</v>
      </c>
      <c r="AF335" s="3">
        <f>IF(ISERROR((VLOOKUP($A335,'SegEnds_NonXtal_BW#'!$A:$Z,22,FALSE)+VLOOKUP($A335,A:AL,31,FALSE)-50)),"-",(VLOOKUP($A335,'SegEnds_NonXtal_BW#'!$A:$Z,22,FALSE)+VLOOKUP($A335,A:AL,31,FALSE)-50))</f>
        <v>577</v>
      </c>
      <c r="AG335" s="3">
        <f>IF(ISERROR(VLOOKUP($A335,'SegEnds_NonXtal_BW#'!$A:$Z,23,FALSE)+VLOOKUP($A335,A:AL,34,FALSE)-50),"-",(VLOOKUP($A335,'SegEnds_NonXtal_BW#'!$A:$Z,23,FALSE)+VLOOKUP($A335,A:AL,34,FALSE)-50))</f>
        <v>583</v>
      </c>
      <c r="AH335" s="3">
        <v>598</v>
      </c>
      <c r="AI335" s="3">
        <f>IF(ISERROR((VLOOKUP($A335,'SegEnds_NonXtal_BW#'!$A:$Z,24,FALSE)+VLOOKUP($A335,A:AL,34,FALSE)-50)),"-",(VLOOKUP($A335,'SegEnds_NonXtal_BW#'!$A:$Z,24,FALSE)+VLOOKUP($A335,A:AL,34,FALSE)-50))</f>
        <v>605</v>
      </c>
      <c r="AJ335" s="3">
        <f>IF(ISERROR(VLOOKUP($A335,'SegEnds_NonXtal_BW#'!$A:$Z,25,FALSE)+VLOOKUP($A335,A:AL,37,FALSE)-50),"-",(VLOOKUP($A335,'SegEnds_NonXtal_BW#'!$A:$Z,25,FALSE)+VLOOKUP($A335,A:AL,37,FALSE)-50))</f>
        <v>606</v>
      </c>
      <c r="AK335" s="3">
        <v>609</v>
      </c>
      <c r="AL335" s="3">
        <f>IF(ISERROR((VLOOKUP($A335,'SegEnds_NonXtal_BW#'!$A:$Z,26,FALSE)+VLOOKUP($A335,A:AL,37,FALSE)-50)),"-",(VLOOKUP($A335,'SegEnds_NonXtal_BW#'!$A:$Z,26,FALSE)+VLOOKUP($A335,A:AL,37,FALSE)-50))</f>
        <v>621</v>
      </c>
      <c r="AM335" s="28" t="str">
        <f>VLOOKUP(A335,Classification!A:B,2,FALSE)</f>
        <v>F</v>
      </c>
      <c r="AN335" s="28" t="b">
        <f t="shared" si="200"/>
        <v>1</v>
      </c>
      <c r="AO335" s="3" t="str">
        <f>IF(ISERROR(MATCH(A335,'SegEnds_Xtal_Prot#'!B:B, 0)), "NoXtal", "Xtal")</f>
        <v>NoXtal</v>
      </c>
      <c r="AP335" s="3">
        <f t="shared" si="185"/>
        <v>1</v>
      </c>
      <c r="AQ335" s="3">
        <f t="shared" si="186"/>
        <v>1</v>
      </c>
      <c r="AR335" s="3" t="str">
        <f t="shared" si="187"/>
        <v>-</v>
      </c>
      <c r="AS335" s="3" t="str">
        <f t="shared" si="188"/>
        <v>-</v>
      </c>
      <c r="AT335" s="3" t="str">
        <f t="shared" si="189"/>
        <v>-</v>
      </c>
      <c r="AU335" s="3" t="str">
        <f t="shared" si="190"/>
        <v>-</v>
      </c>
      <c r="AV335" s="3">
        <f t="shared" si="191"/>
        <v>12</v>
      </c>
      <c r="AW335" s="3">
        <f t="shared" si="192"/>
        <v>5</v>
      </c>
      <c r="AX335" s="3">
        <f t="shared" si="193"/>
        <v>9</v>
      </c>
      <c r="AY335" s="3">
        <f t="shared" si="194"/>
        <v>6</v>
      </c>
      <c r="AZ335" s="3">
        <f t="shared" si="195"/>
        <v>1</v>
      </c>
      <c r="BA335" s="3">
        <f>IF(ISERROR(LEN(VLOOKUP(A335,Seqs!A:E,2,FALSE))-AL335),"-",LEN(VLOOKUP(A335,Seqs!A:E,2,FALSE))-AL335)</f>
        <v>73</v>
      </c>
      <c r="BB335" s="16">
        <f t="shared" si="196"/>
        <v>26</v>
      </c>
      <c r="BC335" s="9" t="str">
        <f t="shared" si="197"/>
        <v>-</v>
      </c>
      <c r="BD335" s="3">
        <f t="shared" si="198"/>
        <v>26</v>
      </c>
      <c r="BE335" s="3">
        <f t="shared" si="199"/>
        <v>57</v>
      </c>
    </row>
    <row r="336" spans="1:58" s="3" customFormat="1" x14ac:dyDescent="0.2">
      <c r="A336" s="3" t="s">
        <v>455</v>
      </c>
      <c r="B336" s="3" t="str">
        <f>LOWER(VLOOKUP(A336,Xtal_Templ!A:B,2,FALSE))</f>
        <v>smo_human</v>
      </c>
      <c r="C336" s="3">
        <f>VLOOKUP($A336,'SegEnds_NonXtal_BW#'!$A:$Z,3,FALSE)+D336-50</f>
        <v>225</v>
      </c>
      <c r="D336" s="3">
        <v>246</v>
      </c>
      <c r="E336" s="3">
        <f>IF(ISERROR(VLOOKUP($A336,'SegEnds_NonXtal_BW#'!$A:$Z,4,FALSE)+VLOOKUP($A336,A:AL,4,FALSE)-50),"-",(VLOOKUP($A336,'SegEnds_NonXtal_BW#'!$A:$Z,4,FALSE)+VLOOKUP($A336,A:AL,4,FALSE)-50))</f>
        <v>256</v>
      </c>
      <c r="F336" s="3">
        <f t="shared" si="201"/>
        <v>257</v>
      </c>
      <c r="G336" s="3">
        <v>260</v>
      </c>
      <c r="H336" s="3">
        <f t="shared" si="184"/>
        <v>261</v>
      </c>
      <c r="I336" s="3">
        <f t="shared" si="184"/>
        <v>262</v>
      </c>
      <c r="J336" s="3">
        <v>272</v>
      </c>
      <c r="K336" s="3">
        <f>VLOOKUP($A336,'SegEnds_NonXtal_BW#'!$A:$Z,8,FALSE)+VLOOKUP($A336,A:AL,10,FALSE)-50</f>
        <v>285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311</v>
      </c>
      <c r="P336" s="3">
        <v>338</v>
      </c>
      <c r="Q336" s="3">
        <f>VLOOKUP($A336,'SegEnds_NonXtal_BW#'!$A:$Z,12,FALSE)+VLOOKUP($A336,A:AL,16,FALSE)-50</f>
        <v>347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3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351</v>
      </c>
      <c r="V336" s="3">
        <v>363</v>
      </c>
      <c r="W336" s="3">
        <f>IF(ISERROR(VLOOKUP($A336,'SegEnds_NonXtal_BW#'!$A:$Z,16,FALSE)+VLOOKUP($A336,A:AL,22,FALSE)-50),"-",(VLOOKUP($A336,'SegEnds_NonXtal_BW#'!$A:$Z,16,FALSE)+VLOOKUP($A336,A:AL,22,FALSE)-50))</f>
        <v>376</v>
      </c>
      <c r="X336" s="3">
        <f>IF(ISERROR(VLOOKUP($A336,'SegEnds_NonXtal_BW#'!$A:$Z,17,FALSE)+VLOOKUP($A336,A:AL,25,FALSE)-50),"-",(VLOOKUP($A336,'SegEnds_NonXtal_BW#'!$A:$Z,17,FALSE)+VLOOKUP($A336,A:AL,25,FALSE)-50))</f>
        <v>388</v>
      </c>
      <c r="Y336" s="3">
        <v>388</v>
      </c>
      <c r="Z336" s="3">
        <f t="shared" si="202"/>
        <v>390</v>
      </c>
      <c r="AA336" s="3">
        <f>IF(ISERROR(VLOOKUP($A336,'SegEnds_NonXtal_BW#'!$A:$Z,19,FALSE)+VLOOKUP($A336,A:AL,28,FALSE)-50),"-",(VLOOKUP($A336,'SegEnds_NonXtal_BW#'!$A:$Z,19,FALSE)+VLOOKUP($A336,A:AL,28,FALSE)-50))</f>
        <v>395</v>
      </c>
      <c r="AB336" s="3">
        <v>409</v>
      </c>
      <c r="AC336" s="3">
        <f>IF(ISERROR((VLOOKUP($A336,'SegEnds_NonXtal_BW#'!$A:$Z,20,FALSE)+VLOOKUP($A336,A:AL,28,FALSE)-50)),"-",(VLOOKUP($A336,'SegEnds_NonXtal_BW#'!$A:$Z,20,FALSE)+VLOOKUP($A336,A:AL,28,FALSE)-50))</f>
        <v>431</v>
      </c>
      <c r="AD336" s="3">
        <f>IF(ISERROR(VLOOKUP($A336,'SegEnds_NonXtal_BW#'!$A:$Z,21,FALSE)+VLOOKUP($A336,A:AL,31,FALSE)-50),"-",(VLOOKUP($A336,'SegEnds_NonXtal_BW#'!$A:$Z,21,FALSE)+VLOOKUP($A336,A:AL,31,FALSE)-50))</f>
        <v>438</v>
      </c>
      <c r="AE336" s="3">
        <v>464</v>
      </c>
      <c r="AF336" s="3">
        <f>IF(ISERROR((VLOOKUP($A336,'SegEnds_NonXtal_BW#'!$A:$Z,22,FALSE)+VLOOKUP($A336,A:AL,31,FALSE)-50)),"-",(VLOOKUP($A336,'SegEnds_NonXtal_BW#'!$A:$Z,22,FALSE)+VLOOKUP($A336,A:AL,31,FALSE)-50))</f>
        <v>492</v>
      </c>
      <c r="AG336" s="3">
        <f>IF(ISERROR(VLOOKUP($A336,'SegEnds_NonXtal_BW#'!$A:$Z,23,FALSE)+VLOOKUP($A336,A:AL,34,FALSE)-50),"-",(VLOOKUP($A336,'SegEnds_NonXtal_BW#'!$A:$Z,23,FALSE)+VLOOKUP($A336,A:AL,34,FALSE)-50))</f>
        <v>507</v>
      </c>
      <c r="AH336" s="3">
        <v>522</v>
      </c>
      <c r="AI336" s="3">
        <f>IF(ISERROR((VLOOKUP($A336,'SegEnds_NonXtal_BW#'!$A:$Z,24,FALSE)+VLOOKUP($A336,A:AL,34,FALSE)-50)),"-",(VLOOKUP($A336,'SegEnds_NonXtal_BW#'!$A:$Z,24,FALSE)+VLOOKUP($A336,A:AL,34,FALSE)-50))</f>
        <v>529</v>
      </c>
      <c r="AJ336" s="3">
        <f>IF(ISERROR(VLOOKUP($A336,'SegEnds_NonXtal_BW#'!$A:$Z,25,FALSE)+VLOOKUP($A336,A:AL,37,FALSE)-50),"-",(VLOOKUP($A336,'SegEnds_NonXtal_BW#'!$A:$Z,25,FALSE)+VLOOKUP($A336,A:AL,37,FALSE)-50))</f>
        <v>530</v>
      </c>
      <c r="AK336" s="3">
        <v>533</v>
      </c>
      <c r="AL336" s="3">
        <f>IF(ISERROR((VLOOKUP($A336,'SegEnds_NonXtal_BW#'!$A:$Z,26,FALSE)+VLOOKUP($A336,A:AL,37,FALSE)-50)),"-",(VLOOKUP($A336,'SegEnds_NonXtal_BW#'!$A:$Z,26,FALSE)+VLOOKUP($A336,A:AL,37,FALSE)-50))</f>
        <v>545</v>
      </c>
      <c r="AM336" s="28" t="str">
        <f>VLOOKUP(A336,Classification!A:B,2,FALSE)</f>
        <v>F</v>
      </c>
      <c r="AN336" s="28" t="b">
        <f t="shared" si="200"/>
        <v>1</v>
      </c>
      <c r="AO336" s="3" t="str">
        <f>IF(ISERROR(MATCH(A336,'SegEnds_Xtal_Prot#'!B:B, 0)), "NoXtal", "Xtal")</f>
        <v>NoXtal</v>
      </c>
      <c r="AP336" s="3">
        <f t="shared" si="185"/>
        <v>1</v>
      </c>
      <c r="AQ336" s="3">
        <f t="shared" si="186"/>
        <v>1</v>
      </c>
      <c r="AR336" s="3" t="str">
        <f t="shared" si="187"/>
        <v>-</v>
      </c>
      <c r="AS336" s="3" t="str">
        <f t="shared" si="188"/>
        <v>-</v>
      </c>
      <c r="AT336" s="3" t="str">
        <f t="shared" si="189"/>
        <v>-</v>
      </c>
      <c r="AU336" s="3" t="str">
        <f t="shared" si="190"/>
        <v>-</v>
      </c>
      <c r="AV336" s="3">
        <f t="shared" si="191"/>
        <v>12</v>
      </c>
      <c r="AW336" s="3">
        <f t="shared" si="192"/>
        <v>5</v>
      </c>
      <c r="AX336" s="3">
        <f t="shared" si="193"/>
        <v>7</v>
      </c>
      <c r="AY336" s="3">
        <f t="shared" si="194"/>
        <v>15</v>
      </c>
      <c r="AZ336" s="3">
        <f t="shared" si="195"/>
        <v>1</v>
      </c>
      <c r="BA336" s="3">
        <f>IF(ISERROR(LEN(VLOOKUP(A336,Seqs!A:E,2,FALSE))-AL336),"-",LEN(VLOOKUP(A336,Seqs!A:E,2,FALSE))-AL336)</f>
        <v>46</v>
      </c>
      <c r="BB336" s="16">
        <f t="shared" si="196"/>
        <v>26</v>
      </c>
      <c r="BC336" s="9" t="str">
        <f t="shared" si="197"/>
        <v>-</v>
      </c>
      <c r="BD336" s="3">
        <f t="shared" si="198"/>
        <v>26</v>
      </c>
      <c r="BE336" s="3">
        <f t="shared" si="199"/>
        <v>55</v>
      </c>
    </row>
    <row r="337" spans="1:58" s="3" customFormat="1" x14ac:dyDescent="0.2">
      <c r="A337" s="3" t="s">
        <v>481</v>
      </c>
      <c r="B337" s="3" t="str">
        <f>LOWER(VLOOKUP(A337,Xtal_Templ!A:B,2,FALSE))</f>
        <v>agtr1_human</v>
      </c>
      <c r="C337" s="3">
        <v>20</v>
      </c>
      <c r="D337" s="3">
        <v>53</v>
      </c>
      <c r="E337" s="3">
        <f>IF(ISERROR(VLOOKUP($A337,'SegEnds_NonXtal_BW#'!$A:$Z,4,FALSE)+VLOOKUP($A337,A:AL,4,FALSE)-50),"-",(VLOOKUP($A337,'SegEnds_NonXtal_BW#'!$A:$Z,4,FALSE)+VLOOKUP($A337,A:AL,4,FALSE)-50))</f>
        <v>63</v>
      </c>
      <c r="F337" s="3" t="str">
        <f>IF(ISERROR(VLOOKUP($A337,'SegEnds_NonXtal_BW#'!$A:$Z,5,FALSE)+VLOOKUP($A337,A:AL,7,FALSE)-50),"-",(VLOOKUP($A337,'SegEnds_NonXtal_BW#'!$A:$Z,5,FALSE)+VLOOKUP($A337,A:AL,7,FALSE)-50))</f>
        <v>-</v>
      </c>
      <c r="G337" s="3" t="s">
        <v>23</v>
      </c>
      <c r="H337" s="3" t="str">
        <f>IF(ISERROR(VLOOKUP($A337,'SegEnds_NonXtal_BW#'!$A:$Z,6,FALSE)+VLOOKUP($A337,A:AL,7,FALSE)-50),"-",(VLOOKUP($A337,'SegEnds_NonXtal_BW#'!$A:$Z,6,FALSE)+VLOOKUP($A337,A:AL,7,FALSE)-50))</f>
        <v>-</v>
      </c>
      <c r="I337" s="3">
        <f>VLOOKUP($A337,'SegEnds_NonXtal_BW#'!$A:$Z,7,FALSE)+J337-50</f>
        <v>60</v>
      </c>
      <c r="J337" s="3">
        <v>71</v>
      </c>
      <c r="K337" s="3">
        <f>VLOOKUP($A337,'SegEnds_NonXtal_BW#'!$A:$Z,8,FALSE)+VLOOKUP($A337,A:AL,10,FALSE)-50</f>
        <v>84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125</v>
      </c>
      <c r="P337" s="3">
        <v>152</v>
      </c>
      <c r="Q337" s="3">
        <f>VLOOKUP($A337,'SegEnds_NonXtal_BW#'!$A:$Z,12,FALSE)+VLOOKUP($A337,A:AL,16,FALSE)-50</f>
        <v>158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3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175</v>
      </c>
      <c r="V337" s="3">
        <v>185</v>
      </c>
      <c r="W337" s="3">
        <f>IF(ISERROR(VLOOKUP($A337,'SegEnds_NonXtal_BW#'!$A:$Z,16,FALSE)+VLOOKUP($A337,A:AL,22,FALSE)-50),"-",(VLOOKUP($A337,'SegEnds_NonXtal_BW#'!$A:$Z,16,FALSE)+VLOOKUP($A337,A:AL,22,FALSE)-50))</f>
        <v>199</v>
      </c>
      <c r="X337" s="3" t="str">
        <f>IF(ISERROR(VLOOKUP($A337,'SegEnds_NonXtal_BW#'!$A:$Z,17,FALSE)+VLOOKUP($A337,A:AL,25,FALSE)-50),"-",(VLOOKUP($A337,'SegEnds_NonXtal_BW#'!$A:$Z,17,FALSE)+VLOOKUP($A337,A:AL,25,FALSE)-50))</f>
        <v>-</v>
      </c>
      <c r="Y337" s="3" t="s">
        <v>23</v>
      </c>
      <c r="Z337" s="3" t="str">
        <f>IF(ISERROR(VLOOKUP($A337,'SegEnds_NonXtal_BW#'!$A:$Z,18,FALSE)+VLOOKUP($A337,A:AL,25,FALSE)-50),"-",(VLOOKUP($A337,'SegEnds_NonXtal_BW#'!$A:$Z,18,FALSE)+VLOOKUP($A337,A:AL,25,FALSE)-50))</f>
        <v>-</v>
      </c>
      <c r="AA337" s="3">
        <f>IF(ISERROR(VLOOKUP($A337,'SegEnds_NonXtal_BW#'!$A:$Z,19,FALSE)+VLOOKUP($A337,A:AL,28,FALSE)-50),"-",(VLOOKUP($A337,'SegEnds_NonXtal_BW#'!$A:$Z,19,FALSE)+VLOOKUP($A337,A:AL,28,FALSE)-50))</f>
        <v>257</v>
      </c>
      <c r="AB337" s="3">
        <v>268</v>
      </c>
      <c r="AC337" s="3">
        <f>IF(ISERROR((VLOOKUP($A337,'SegEnds_NonXtal_BW#'!$A:$Z,20,FALSE)+VLOOKUP($A337,A:AL,28,FALSE)-50)),"-",(VLOOKUP($A337,'SegEnds_NonXtal_BW#'!$A:$Z,20,FALSE)+VLOOKUP($A337,A:AL,28,FALSE)-50))</f>
        <v>279</v>
      </c>
      <c r="AD337" s="3">
        <f>IF(ISERROR(VLOOKUP($A337,'SegEnds_NonXtal_BW#'!$A:$Z,21,FALSE)+VLOOKUP($A337,A:AL,31,FALSE)-50),"-",(VLOOKUP($A337,'SegEnds_NonXtal_BW#'!$A:$Z,21,FALSE)+VLOOKUP($A337,A:AL,31,FALSE)-50))</f>
        <v>326</v>
      </c>
      <c r="AE337" s="3">
        <v>347</v>
      </c>
      <c r="AF337" s="3">
        <f>IF(ISERROR((VLOOKUP($A337,'SegEnds_NonXtal_BW#'!$A:$Z,22,FALSE)+VLOOKUP($A337,A:AL,31,FALSE)-50)),"-",(VLOOKUP($A337,'SegEnds_NonXtal_BW#'!$A:$Z,22,FALSE)+VLOOKUP($A337,A:AL,31,FALSE)-50))</f>
        <v>350</v>
      </c>
      <c r="AG337" s="3">
        <f>IF(ISERROR(VLOOKUP($A337,'SegEnds_NonXtal_BW#'!$A:$Z,23,FALSE)+VLOOKUP($A337,A:AL,34,FALSE)-50),"-",(VLOOKUP($A337,'SegEnds_NonXtal_BW#'!$A:$Z,23,FALSE)+VLOOKUP($A337,A:AL,34,FALSE)-50))</f>
        <v>365</v>
      </c>
      <c r="AH337" s="3">
        <v>380</v>
      </c>
      <c r="AI337" s="3">
        <f>IF(ISERROR((VLOOKUP($A337,'SegEnds_NonXtal_BW#'!$A:$Z,24,FALSE)+VLOOKUP($A337,A:AL,34,FALSE)-50)),"-",(VLOOKUP($A337,'SegEnds_NonXtal_BW#'!$A:$Z,24,FALSE)+VLOOKUP($A337,A:AL,34,FALSE)-50))</f>
        <v>386</v>
      </c>
      <c r="AJ337" s="3">
        <f>IF(ISERROR(VLOOKUP($A337,'SegEnds_NonXtal_BW#'!$A:$Z,25,FALSE)+VLOOKUP($A337,A:AL,37,FALSE)-50),"-",(VLOOKUP($A337,'SegEnds_NonXtal_BW#'!$A:$Z,25,FALSE)+VLOOKUP($A337,A:AL,37,FALSE)-50))</f>
        <v>387</v>
      </c>
      <c r="AK337" s="3">
        <v>390</v>
      </c>
      <c r="AL337" s="3">
        <f>IF(ISERROR((VLOOKUP($A337,'SegEnds_NonXtal_BW#'!$A:$Z,26,FALSE)+VLOOKUP($A337,A:AL,37,FALSE)-50)),"-",(VLOOKUP($A337,'SegEnds_NonXtal_BW#'!$A:$Z,26,FALSE)+VLOOKUP($A337,A:AL,37,FALSE)-50))</f>
        <v>397</v>
      </c>
      <c r="AM337" s="28" t="str">
        <f>VLOOKUP(A337,Classification!A:B,2,FALSE)</f>
        <v>O</v>
      </c>
      <c r="AN337" s="28" t="b">
        <f t="shared" si="200"/>
        <v>1</v>
      </c>
      <c r="AO337" s="3" t="str">
        <f>IF(ISERROR(MATCH(A337,'SegEnds_Xtal_Prot#'!B:B, 0)), "NoXtal", "Xtal")</f>
        <v>NoXtal</v>
      </c>
      <c r="AP337" s="3" t="str">
        <f t="shared" si="185"/>
        <v>-</v>
      </c>
      <c r="AQ337" s="3" t="str">
        <f t="shared" si="186"/>
        <v>-</v>
      </c>
      <c r="AR337" s="3" t="str">
        <f t="shared" si="187"/>
        <v>-</v>
      </c>
      <c r="AS337" s="3" t="str">
        <f t="shared" si="188"/>
        <v>-</v>
      </c>
      <c r="AT337" s="3" t="str">
        <f t="shared" si="189"/>
        <v>-</v>
      </c>
      <c r="AU337" s="3" t="str">
        <f t="shared" si="190"/>
        <v>-</v>
      </c>
      <c r="AV337" s="3" t="str">
        <f t="shared" si="191"/>
        <v>-</v>
      </c>
      <c r="AW337" s="3" t="str">
        <f t="shared" si="192"/>
        <v>-</v>
      </c>
      <c r="AX337" s="3">
        <f t="shared" si="193"/>
        <v>47</v>
      </c>
      <c r="AY337" s="3">
        <f t="shared" si="194"/>
        <v>15</v>
      </c>
      <c r="AZ337" s="3">
        <f t="shared" si="195"/>
        <v>1</v>
      </c>
      <c r="BA337" s="3">
        <f>IF(ISERROR(LEN(VLOOKUP(A337,Seqs!A:E,2,FALSE))-AL337),"-",LEN(VLOOKUP(A337,Seqs!A:E,2,FALSE))-AL337)</f>
        <v>20</v>
      </c>
      <c r="BB337" s="16">
        <f t="shared" si="196"/>
        <v>18</v>
      </c>
      <c r="BC337" s="9" t="str">
        <f t="shared" si="197"/>
        <v>-</v>
      </c>
      <c r="BD337" s="3">
        <f t="shared" si="198"/>
        <v>18</v>
      </c>
      <c r="BE337" s="3">
        <f t="shared" si="199"/>
        <v>79</v>
      </c>
      <c r="BF337" s="3">
        <f>AH337-AE337</f>
        <v>33</v>
      </c>
    </row>
    <row r="338" spans="1:58" s="3" customFormat="1" x14ac:dyDescent="0.2">
      <c r="A338" s="3" t="s">
        <v>106</v>
      </c>
      <c r="B338" s="3" t="str">
        <f>LOWER(VLOOKUP(A338,Xtal_Templ!A:B,2,FALSE))</f>
        <v>grm5_human</v>
      </c>
      <c r="C338" s="3">
        <f>VLOOKUP($A338,'SegEnds_NonXtal_BW#'!$A:$Z,3,FALSE)+D338-50</f>
        <v>590</v>
      </c>
      <c r="D338" s="3">
        <v>606</v>
      </c>
      <c r="E338" s="3">
        <f>IF(ISERROR(VLOOKUP($A338,'SegEnds_NonXtal_BW#'!$A:$Z,4,FALSE)+VLOOKUP($A338,A:AL,4,FALSE)-50),"-",(VLOOKUP($A338,'SegEnds_NonXtal_BW#'!$A:$Z,4,FALSE)+VLOOKUP($A338,A:AL,4,FALSE)-50))</f>
        <v>616</v>
      </c>
      <c r="F338" s="3">
        <f>G338-3</f>
        <v>619</v>
      </c>
      <c r="G338" s="3">
        <v>622</v>
      </c>
      <c r="H338" s="3">
        <f>G338+3</f>
        <v>625</v>
      </c>
      <c r="I338" s="3">
        <f t="shared" ref="I338:I344" si="203">H338+1</f>
        <v>626</v>
      </c>
      <c r="J338" s="3">
        <v>637</v>
      </c>
      <c r="K338" s="3">
        <f>VLOOKUP($A338,'SegEnds_NonXtal_BW#'!$A:$Z,8,FALSE)+VLOOKUP($A338,A:AL,10,FALSE)-50</f>
        <v>648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660</v>
      </c>
      <c r="P338" s="3">
        <v>688</v>
      </c>
      <c r="Q338" s="3">
        <f>VLOOKUP($A338,'SegEnds_NonXtal_BW#'!$A:$Z,12,FALSE)+VLOOKUP($A338,A:AL,16,FALSE)-50</f>
        <v>692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3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706</v>
      </c>
      <c r="V338" s="3">
        <v>718</v>
      </c>
      <c r="W338" s="3">
        <f>IF(ISERROR(VLOOKUP($A338,'SegEnds_NonXtal_BW#'!$A:$Z,16,FALSE)+VLOOKUP($A338,A:AL,22,FALSE)-50),"-",(VLOOKUP($A338,'SegEnds_NonXtal_BW#'!$A:$Z,16,FALSE)+VLOOKUP($A338,A:AL,22,FALSE)-50))</f>
        <v>732</v>
      </c>
      <c r="X338" s="3">
        <f>IF(ISERROR(VLOOKUP($A338,'SegEnds_NonXtal_BW#'!$A:$Z,17,FALSE)+VLOOKUP($A338,A:AL,25,FALSE)-50),"-",(VLOOKUP($A338,'SegEnds_NonXtal_BW#'!$A:$Z,17,FALSE)+VLOOKUP($A338,A:AL,25,FALSE)-50))</f>
        <v>761</v>
      </c>
      <c r="Y338" s="3">
        <v>761</v>
      </c>
      <c r="Z338" s="3">
        <f t="shared" ref="Z338:Z344" si="204">Y338+2</f>
        <v>763</v>
      </c>
      <c r="AA338" s="3">
        <f>IF(ISERROR(VLOOKUP($A338,'SegEnds_NonXtal_BW#'!$A:$Z,19,FALSE)+VLOOKUP($A338,A:AL,28,FALSE)-50),"-",(VLOOKUP($A338,'SegEnds_NonXtal_BW#'!$A:$Z,19,FALSE)+VLOOKUP($A338,A:AL,28,FALSE)-50))</f>
        <v>767</v>
      </c>
      <c r="AB338" s="3">
        <v>780</v>
      </c>
      <c r="AC338" s="3">
        <f>IF(ISERROR((VLOOKUP($A338,'SegEnds_NonXtal_BW#'!$A:$Z,20,FALSE)+VLOOKUP($A338,A:AL,28,FALSE)-50)),"-",(VLOOKUP($A338,'SegEnds_NonXtal_BW#'!$A:$Z,20,FALSE)+VLOOKUP($A338,A:AL,28,FALSE)-50))</f>
        <v>791</v>
      </c>
      <c r="AD338" s="3">
        <f>IF(ISERROR(VLOOKUP($A338,'SegEnds_NonXtal_BW#'!$A:$Z,21,FALSE)+VLOOKUP($A338,A:AL,31,FALSE)-50),"-",(VLOOKUP($A338,'SegEnds_NonXtal_BW#'!$A:$Z,21,FALSE)+VLOOKUP($A338,A:AL,31,FALSE)-50))</f>
        <v>801</v>
      </c>
      <c r="AE338" s="3">
        <v>818</v>
      </c>
      <c r="AF338" s="3">
        <f>IF(ISERROR((VLOOKUP($A338,'SegEnds_NonXtal_BW#'!$A:$Z,22,FALSE)+VLOOKUP($A338,A:AL,31,FALSE)-50)),"-",(VLOOKUP($A338,'SegEnds_NonXtal_BW#'!$A:$Z,22,FALSE)+VLOOKUP($A338,A:AL,31,FALSE)-50))</f>
        <v>825</v>
      </c>
      <c r="AG338" s="3">
        <f>IF(ISERROR(VLOOKUP($A338,'SegEnds_NonXtal_BW#'!$A:$Z,23,FALSE)+VLOOKUP($A338,A:AL,34,FALSE)-50),"-",(VLOOKUP($A338,'SegEnds_NonXtal_BW#'!$A:$Z,23,FALSE)+VLOOKUP($A338,A:AL,34,FALSE)-50))</f>
        <v>833</v>
      </c>
      <c r="AH338" s="3">
        <v>849</v>
      </c>
      <c r="AI338" s="3">
        <f>IF(ISERROR((VLOOKUP($A338,'SegEnds_NonXtal_BW#'!$A:$Z,24,FALSE)+VLOOKUP($A338,A:AL,34,FALSE)-50)),"-",(VLOOKUP($A338,'SegEnds_NonXtal_BW#'!$A:$Z,24,FALSE)+VLOOKUP($A338,A:AL,34,FALSE)-50))</f>
        <v>862</v>
      </c>
      <c r="AJ338" s="3">
        <f>IF(ISERROR(VLOOKUP($A338,'SegEnds_NonXtal_BW#'!$A:$Z,25,FALSE)+VLOOKUP($A338,A:AL,37,FALSE)-50),"-",(VLOOKUP($A338,'SegEnds_NonXtal_BW#'!$A:$Z,25,FALSE)+VLOOKUP($A338,A:AL,37,FALSE)-50))</f>
        <v>863</v>
      </c>
      <c r="AK338" s="3">
        <v>866</v>
      </c>
      <c r="AL338" s="3">
        <f>IF(ISERROR((VLOOKUP($A338,'SegEnds_NonXtal_BW#'!$A:$Z,26,FALSE)+VLOOKUP($A338,A:AL,37,FALSE)-50)),"-",(VLOOKUP($A338,'SegEnds_NonXtal_BW#'!$A:$Z,26,FALSE)+VLOOKUP($A338,A:AL,37,FALSE)-50))</f>
        <v>875</v>
      </c>
      <c r="AM338" s="28" t="str">
        <f>VLOOKUP(A338,Classification!A:B,2,FALSE)</f>
        <v>C</v>
      </c>
      <c r="AN338" s="28" t="b">
        <f t="shared" si="200"/>
        <v>1</v>
      </c>
      <c r="AO338" s="3" t="str">
        <f>IF(ISERROR(MATCH(A338,'SegEnds_Xtal_Prot#'!B:B, 0)), "NoXtal", "Xtal")</f>
        <v>NoXtal</v>
      </c>
      <c r="AP338" s="3">
        <f t="shared" si="185"/>
        <v>3</v>
      </c>
      <c r="AQ338" s="3">
        <f t="shared" si="186"/>
        <v>1</v>
      </c>
      <c r="AR338" s="3" t="str">
        <f t="shared" si="187"/>
        <v>-</v>
      </c>
      <c r="AS338" s="3" t="str">
        <f t="shared" si="188"/>
        <v>-</v>
      </c>
      <c r="AT338" s="3" t="str">
        <f t="shared" si="189"/>
        <v>-</v>
      </c>
      <c r="AU338" s="3" t="str">
        <f t="shared" si="190"/>
        <v>-</v>
      </c>
      <c r="AV338" s="3">
        <f t="shared" si="191"/>
        <v>29</v>
      </c>
      <c r="AW338" s="3">
        <f t="shared" si="192"/>
        <v>4</v>
      </c>
      <c r="AX338" s="3">
        <f t="shared" si="193"/>
        <v>10</v>
      </c>
      <c r="AY338" s="3">
        <f t="shared" si="194"/>
        <v>8</v>
      </c>
      <c r="AZ338" s="3">
        <f t="shared" si="195"/>
        <v>1</v>
      </c>
      <c r="BA338" s="3">
        <f>IF(ISERROR(LEN(VLOOKUP(A338,Seqs!A:E,2,FALSE))-AL338),"-",LEN(VLOOKUP(A338,Seqs!A:E,2,FALSE))-AL338)</f>
        <v>86</v>
      </c>
      <c r="BB338" s="16">
        <f t="shared" si="196"/>
        <v>31</v>
      </c>
      <c r="BC338" s="9" t="str">
        <f t="shared" si="197"/>
        <v>-</v>
      </c>
      <c r="BD338" s="3">
        <f t="shared" si="198"/>
        <v>31</v>
      </c>
      <c r="BE338" s="3">
        <f t="shared" si="199"/>
        <v>38</v>
      </c>
    </row>
    <row r="339" spans="1:58" s="3" customFormat="1" x14ac:dyDescent="0.2">
      <c r="A339" s="3" t="s">
        <v>107</v>
      </c>
      <c r="B339" s="3" t="str">
        <f>LOWER(VLOOKUP(A339,Xtal_Templ!A:B,2,FALSE))</f>
        <v>grm5_human</v>
      </c>
      <c r="C339" s="3">
        <f>VLOOKUP($A339,'SegEnds_NonXtal_BW#'!$A:$Z,3,FALSE)+D339-50</f>
        <v>480</v>
      </c>
      <c r="D339" s="3">
        <v>496</v>
      </c>
      <c r="E339" s="3">
        <f>IF(ISERROR(VLOOKUP($A339,'SegEnds_NonXtal_BW#'!$A:$Z,4,FALSE)+VLOOKUP($A339,A:AL,4,FALSE)-50),"-",(VLOOKUP($A339,'SegEnds_NonXtal_BW#'!$A:$Z,4,FALSE)+VLOOKUP($A339,A:AL,4,FALSE)-50))</f>
        <v>506</v>
      </c>
      <c r="F339" s="3">
        <f>G339-3</f>
        <v>509</v>
      </c>
      <c r="G339" s="3">
        <v>512</v>
      </c>
      <c r="H339" s="3">
        <f>G339+3</f>
        <v>515</v>
      </c>
      <c r="I339" s="3">
        <f t="shared" si="203"/>
        <v>516</v>
      </c>
      <c r="J339" s="3">
        <v>527</v>
      </c>
      <c r="K339" s="3">
        <f>VLOOKUP($A339,'SegEnds_NonXtal_BW#'!$A:$Z,8,FALSE)+VLOOKUP($A339,A:AL,10,FALSE)-50</f>
        <v>538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550</v>
      </c>
      <c r="P339" s="3">
        <v>578</v>
      </c>
      <c r="Q339" s="3">
        <f>VLOOKUP($A339,'SegEnds_NonXtal_BW#'!$A:$Z,12,FALSE)+VLOOKUP($A339,A:AL,16,FALSE)-50</f>
        <v>582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3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593</v>
      </c>
      <c r="V339" s="3">
        <v>605</v>
      </c>
      <c r="W339" s="3">
        <f>IF(ISERROR(VLOOKUP($A339,'SegEnds_NonXtal_BW#'!$A:$Z,16,FALSE)+VLOOKUP($A339,A:AL,22,FALSE)-50),"-",(VLOOKUP($A339,'SegEnds_NonXtal_BW#'!$A:$Z,16,FALSE)+VLOOKUP($A339,A:AL,22,FALSE)-50))</f>
        <v>619</v>
      </c>
      <c r="X339" s="3">
        <f>IF(ISERROR(VLOOKUP($A339,'SegEnds_NonXtal_BW#'!$A:$Z,17,FALSE)+VLOOKUP($A339,A:AL,25,FALSE)-50),"-",(VLOOKUP($A339,'SegEnds_NonXtal_BW#'!$A:$Z,17,FALSE)+VLOOKUP($A339,A:AL,25,FALSE)-50))</f>
        <v>648</v>
      </c>
      <c r="Y339" s="3">
        <v>648</v>
      </c>
      <c r="Z339" s="3">
        <f t="shared" si="204"/>
        <v>650</v>
      </c>
      <c r="AA339" s="3">
        <f>IF(ISERROR(VLOOKUP($A339,'SegEnds_NonXtal_BW#'!$A:$Z,19,FALSE)+VLOOKUP($A339,A:AL,28,FALSE)-50),"-",(VLOOKUP($A339,'SegEnds_NonXtal_BW#'!$A:$Z,19,FALSE)+VLOOKUP($A339,A:AL,28,FALSE)-50))</f>
        <v>654</v>
      </c>
      <c r="AB339" s="3">
        <v>667</v>
      </c>
      <c r="AC339" s="3">
        <f>IF(ISERROR((VLOOKUP($A339,'SegEnds_NonXtal_BW#'!$A:$Z,20,FALSE)+VLOOKUP($A339,A:AL,28,FALSE)-50)),"-",(VLOOKUP($A339,'SegEnds_NonXtal_BW#'!$A:$Z,20,FALSE)+VLOOKUP($A339,A:AL,28,FALSE)-50))</f>
        <v>678</v>
      </c>
      <c r="AD339" s="3">
        <f>IF(ISERROR(VLOOKUP($A339,'SegEnds_NonXtal_BW#'!$A:$Z,21,FALSE)+VLOOKUP($A339,A:AL,31,FALSE)-50),"-",(VLOOKUP($A339,'SegEnds_NonXtal_BW#'!$A:$Z,21,FALSE)+VLOOKUP($A339,A:AL,31,FALSE)-50))</f>
        <v>688</v>
      </c>
      <c r="AE339" s="3">
        <v>705</v>
      </c>
      <c r="AF339" s="3">
        <f>IF(ISERROR((VLOOKUP($A339,'SegEnds_NonXtal_BW#'!$A:$Z,22,FALSE)+VLOOKUP($A339,A:AL,31,FALSE)-50)),"-",(VLOOKUP($A339,'SegEnds_NonXtal_BW#'!$A:$Z,22,FALSE)+VLOOKUP($A339,A:AL,31,FALSE)-50))</f>
        <v>712</v>
      </c>
      <c r="AG339" s="3">
        <f>IF(ISERROR(VLOOKUP($A339,'SegEnds_NonXtal_BW#'!$A:$Z,23,FALSE)+VLOOKUP($A339,A:AL,34,FALSE)-50),"-",(VLOOKUP($A339,'SegEnds_NonXtal_BW#'!$A:$Z,23,FALSE)+VLOOKUP($A339,A:AL,34,FALSE)-50))</f>
        <v>720</v>
      </c>
      <c r="AH339" s="3">
        <v>736</v>
      </c>
      <c r="AI339" s="3">
        <f>IF(ISERROR((VLOOKUP($A339,'SegEnds_NonXtal_BW#'!$A:$Z,24,FALSE)+VLOOKUP($A339,A:AL,34,FALSE)-50)),"-",(VLOOKUP($A339,'SegEnds_NonXtal_BW#'!$A:$Z,24,FALSE)+VLOOKUP($A339,A:AL,34,FALSE)-50))</f>
        <v>749</v>
      </c>
      <c r="AJ339" s="3">
        <f>IF(ISERROR(VLOOKUP($A339,'SegEnds_NonXtal_BW#'!$A:$Z,25,FALSE)+VLOOKUP($A339,A:AL,37,FALSE)-50),"-",(VLOOKUP($A339,'SegEnds_NonXtal_BW#'!$A:$Z,25,FALSE)+VLOOKUP($A339,A:AL,37,FALSE)-50))</f>
        <v>750</v>
      </c>
      <c r="AK339" s="3">
        <v>753</v>
      </c>
      <c r="AL339" s="3">
        <f>IF(ISERROR((VLOOKUP($A339,'SegEnds_NonXtal_BW#'!$A:$Z,26,FALSE)+VLOOKUP($A339,A:AL,37,FALSE)-50)),"-",(VLOOKUP($A339,'SegEnds_NonXtal_BW#'!$A:$Z,26,FALSE)+VLOOKUP($A339,A:AL,37,FALSE)-50))</f>
        <v>762</v>
      </c>
      <c r="AM339" s="28" t="str">
        <f>VLOOKUP(A339,Classification!A:B,2,FALSE)</f>
        <v>C</v>
      </c>
      <c r="AN339" s="28" t="b">
        <f t="shared" si="200"/>
        <v>1</v>
      </c>
      <c r="AO339" s="3" t="str">
        <f>IF(ISERROR(MATCH(A339,'SegEnds_Xtal_Prot#'!B:B, 0)), "NoXtal", "Xtal")</f>
        <v>NoXtal</v>
      </c>
      <c r="AP339" s="3">
        <f t="shared" si="185"/>
        <v>3</v>
      </c>
      <c r="AQ339" s="3">
        <f t="shared" si="186"/>
        <v>1</v>
      </c>
      <c r="AR339" s="3" t="str">
        <f t="shared" si="187"/>
        <v>-</v>
      </c>
      <c r="AS339" s="3" t="str">
        <f t="shared" si="188"/>
        <v>-</v>
      </c>
      <c r="AT339" s="3" t="str">
        <f t="shared" si="189"/>
        <v>-</v>
      </c>
      <c r="AU339" s="3" t="str">
        <f t="shared" si="190"/>
        <v>-</v>
      </c>
      <c r="AV339" s="3">
        <f t="shared" si="191"/>
        <v>29</v>
      </c>
      <c r="AW339" s="3">
        <f t="shared" si="192"/>
        <v>4</v>
      </c>
      <c r="AX339" s="3">
        <f t="shared" si="193"/>
        <v>10</v>
      </c>
      <c r="AY339" s="3">
        <f t="shared" si="194"/>
        <v>8</v>
      </c>
      <c r="AZ339" s="3">
        <f t="shared" si="195"/>
        <v>1</v>
      </c>
      <c r="BA339" s="3">
        <f>IF(ISERROR(LEN(VLOOKUP(A339,Seqs!A:E,2,FALSE))-AL339),"-",LEN(VLOOKUP(A339,Seqs!A:E,2,FALSE))-AL339)</f>
        <v>179</v>
      </c>
      <c r="BB339" s="16">
        <f t="shared" si="196"/>
        <v>31</v>
      </c>
      <c r="BC339" s="9" t="str">
        <f t="shared" si="197"/>
        <v>-</v>
      </c>
      <c r="BD339" s="3">
        <f t="shared" si="198"/>
        <v>31</v>
      </c>
      <c r="BE339" s="3">
        <f t="shared" si="199"/>
        <v>38</v>
      </c>
    </row>
    <row r="340" spans="1:58" s="3" customFormat="1" x14ac:dyDescent="0.2">
      <c r="A340" s="3" t="s">
        <v>404</v>
      </c>
      <c r="B340" s="3" t="str">
        <f>LOWER(VLOOKUP(A340,Xtal_Templ!A:B,2,FALSE))</f>
        <v>glr_human</v>
      </c>
      <c r="C340" s="3">
        <f>VLOOKUP($A340,'SegEnds_NonXtal_BW#'!$A:$Z,3,FALSE)+D340-50</f>
        <v>119</v>
      </c>
      <c r="D340" s="3">
        <v>144</v>
      </c>
      <c r="E340" s="3">
        <f>IF(ISERROR(VLOOKUP($A340,'SegEnds_NonXtal_BW#'!$A:$Z,4,FALSE)+VLOOKUP($A340,A:AL,4,FALSE)-50),"-",(VLOOKUP($A340,'SegEnds_NonXtal_BW#'!$A:$Z,4,FALSE)+VLOOKUP($A340,A:AL,4,FALSE)-50))</f>
        <v>154</v>
      </c>
      <c r="F340" s="3">
        <f>G340-2</f>
        <v>155</v>
      </c>
      <c r="G340" s="3">
        <v>157</v>
      </c>
      <c r="H340" s="3">
        <f>G340+1</f>
        <v>158</v>
      </c>
      <c r="I340" s="3">
        <f t="shared" si="203"/>
        <v>159</v>
      </c>
      <c r="J340" s="3">
        <v>172</v>
      </c>
      <c r="K340" s="3">
        <f>VLOOKUP($A340,'SegEnds_NonXtal_BW#'!$A:$Z,8,FALSE)+VLOOKUP($A340,A:AL,10,FALSE)-50</f>
        <v>186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198</v>
      </c>
      <c r="P340" s="3">
        <v>227</v>
      </c>
      <c r="Q340" s="3">
        <f>VLOOKUP($A340,'SegEnds_NonXtal_BW#'!$A:$Z,12,FALSE)+VLOOKUP($A340,A:AL,16,FALSE)-50</f>
        <v>233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3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240</v>
      </c>
      <c r="V340" s="3">
        <v>250</v>
      </c>
      <c r="W340" s="3">
        <f>IF(ISERROR(VLOOKUP($A340,'SegEnds_NonXtal_BW#'!$A:$Z,16,FALSE)+VLOOKUP($A340,A:AL,22,FALSE)-50),"-",(VLOOKUP($A340,'SegEnds_NonXtal_BW#'!$A:$Z,16,FALSE)+VLOOKUP($A340,A:AL,22,FALSE)-50))</f>
        <v>268</v>
      </c>
      <c r="X340" s="3">
        <f>IF(ISERROR(VLOOKUP($A340,'SegEnds_NonXtal_BW#'!$A:$Z,17,FALSE)+VLOOKUP($A340,A:AL,25,FALSE)-50),"-",(VLOOKUP($A340,'SegEnds_NonXtal_BW#'!$A:$Z,17,FALSE)+VLOOKUP($A340,A:AL,25,FALSE)-50))</f>
        <v>272</v>
      </c>
      <c r="Y340" s="3">
        <v>272</v>
      </c>
      <c r="Z340" s="3">
        <f t="shared" si="204"/>
        <v>274</v>
      </c>
      <c r="AA340" s="3">
        <f>IF(ISERROR(VLOOKUP($A340,'SegEnds_NonXtal_BW#'!$A:$Z,19,FALSE)+VLOOKUP($A340,A:AL,28,FALSE)-50),"-",(VLOOKUP($A340,'SegEnds_NonXtal_BW#'!$A:$Z,19,FALSE)+VLOOKUP($A340,A:AL,28,FALSE)-50))</f>
        <v>281</v>
      </c>
      <c r="AB340" s="3">
        <v>292</v>
      </c>
      <c r="AC340" s="3">
        <f>IF(ISERROR((VLOOKUP($A340,'SegEnds_NonXtal_BW#'!$A:$Z,20,FALSE)+VLOOKUP($A340,A:AL,28,FALSE)-50)),"-",(VLOOKUP($A340,'SegEnds_NonXtal_BW#'!$A:$Z,20,FALSE)+VLOOKUP($A340,A:AL,28,FALSE)-50))</f>
        <v>311</v>
      </c>
      <c r="AD340" s="3">
        <f>IF(ISERROR(VLOOKUP($A340,'SegEnds_NonXtal_BW#'!$A:$Z,21,FALSE)+VLOOKUP($A340,A:AL,31,FALSE)-50),"-",(VLOOKUP($A340,'SegEnds_NonXtal_BW#'!$A:$Z,21,FALSE)+VLOOKUP($A340,A:AL,31,FALSE)-50))</f>
        <v>319</v>
      </c>
      <c r="AE340" s="3">
        <v>344</v>
      </c>
      <c r="AF340" s="3">
        <f>IF(ISERROR((VLOOKUP($A340,'SegEnds_NonXtal_BW#'!$A:$Z,22,FALSE)+VLOOKUP($A340,A:AL,31,FALSE)-50)),"-",(VLOOKUP($A340,'SegEnds_NonXtal_BW#'!$A:$Z,22,FALSE)+VLOOKUP($A340,A:AL,31,FALSE)-50))</f>
        <v>347</v>
      </c>
      <c r="AG340" s="3">
        <f>IF(ISERROR(VLOOKUP($A340,'SegEnds_NonXtal_BW#'!$A:$Z,23,FALSE)+VLOOKUP($A340,A:AL,34,FALSE)-50),"-",(VLOOKUP($A340,'SegEnds_NonXtal_BW#'!$A:$Z,23,FALSE)+VLOOKUP($A340,A:AL,34,FALSE)-50))</f>
        <v>354</v>
      </c>
      <c r="AH340" s="3">
        <v>373</v>
      </c>
      <c r="AI340" s="3">
        <f>IF(ISERROR((VLOOKUP($A340,'SegEnds_NonXtal_BW#'!$A:$Z,24,FALSE)+VLOOKUP($A340,A:AL,34,FALSE)-50)),"-",(VLOOKUP($A340,'SegEnds_NonXtal_BW#'!$A:$Z,24,FALSE)+VLOOKUP($A340,A:AL,34,FALSE)-50))</f>
        <v>379</v>
      </c>
      <c r="AJ340" s="3">
        <f>IF(ISERROR(VLOOKUP($A340,'SegEnds_NonXtal_BW#'!$A:$Z,25,FALSE)+VLOOKUP($A340,A:AL,37,FALSE)-50),"-",(VLOOKUP($A340,'SegEnds_NonXtal_BW#'!$A:$Z,25,FALSE)+VLOOKUP($A340,A:AL,37,FALSE)-50))</f>
        <v>380</v>
      </c>
      <c r="AK340" s="3">
        <v>383</v>
      </c>
      <c r="AL340" s="3">
        <f>IF(ISERROR((VLOOKUP($A340,'SegEnds_NonXtal_BW#'!$A:$Z,26,FALSE)+VLOOKUP($A340,A:AL,37,FALSE)-50)),"-",(VLOOKUP($A340,'SegEnds_NonXtal_BW#'!$A:$Z,26,FALSE)+VLOOKUP($A340,A:AL,37,FALSE)-50))</f>
        <v>405</v>
      </c>
      <c r="AM340" s="28" t="str">
        <f>VLOOKUP(A340,Classification!A:B,2,FALSE)</f>
        <v>B1</v>
      </c>
      <c r="AN340" s="28" t="b">
        <f t="shared" si="200"/>
        <v>1</v>
      </c>
      <c r="AO340" s="3" t="str">
        <f>IF(ISERROR(MATCH(A340,'SegEnds_Xtal_Prot#'!B:B, 0)), "NoXtal", "Xtal")</f>
        <v>NoXtal</v>
      </c>
      <c r="AP340" s="3">
        <f t="shared" si="185"/>
        <v>1</v>
      </c>
      <c r="AQ340" s="3">
        <f t="shared" si="186"/>
        <v>1</v>
      </c>
      <c r="AR340" s="3" t="str">
        <f t="shared" si="187"/>
        <v>-</v>
      </c>
      <c r="AS340" s="3" t="str">
        <f t="shared" si="188"/>
        <v>-</v>
      </c>
      <c r="AT340" s="3" t="str">
        <f t="shared" si="189"/>
        <v>-</v>
      </c>
      <c r="AU340" s="3" t="str">
        <f t="shared" si="190"/>
        <v>-</v>
      </c>
      <c r="AV340" s="3">
        <f t="shared" si="191"/>
        <v>4</v>
      </c>
      <c r="AW340" s="3">
        <f t="shared" si="192"/>
        <v>7</v>
      </c>
      <c r="AX340" s="3">
        <f t="shared" si="193"/>
        <v>8</v>
      </c>
      <c r="AY340" s="3">
        <f t="shared" si="194"/>
        <v>7</v>
      </c>
      <c r="AZ340" s="3">
        <f t="shared" si="195"/>
        <v>1</v>
      </c>
      <c r="BA340" s="3">
        <f>IF(ISERROR(LEN(VLOOKUP(A340,Seqs!A:E,2,FALSE))-AL340),"-",LEN(VLOOKUP(A340,Seqs!A:E,2,FALSE))-AL340)</f>
        <v>18</v>
      </c>
      <c r="BB340" s="16">
        <f t="shared" si="196"/>
        <v>28</v>
      </c>
      <c r="BC340" s="9" t="str">
        <f t="shared" si="197"/>
        <v>-</v>
      </c>
      <c r="BD340" s="3">
        <f t="shared" si="198"/>
        <v>28</v>
      </c>
      <c r="BE340" s="3">
        <f t="shared" si="199"/>
        <v>52</v>
      </c>
      <c r="BF340" s="3">
        <f>AH340-AE340</f>
        <v>29</v>
      </c>
    </row>
    <row r="341" spans="1:58" s="3" customFormat="1" x14ac:dyDescent="0.2">
      <c r="A341" s="3" t="s">
        <v>405</v>
      </c>
      <c r="B341" s="3" t="str">
        <f>LOWER(VLOOKUP(A341,Xtal_Templ!A:B,2,FALSE))</f>
        <v>glr_human</v>
      </c>
      <c r="C341" s="3">
        <f>VLOOKUP($A341,'SegEnds_NonXtal_BW#'!$A:$Z,3,FALSE)+D341-50</f>
        <v>127</v>
      </c>
      <c r="D341" s="3">
        <v>152</v>
      </c>
      <c r="E341" s="3">
        <f>IF(ISERROR(VLOOKUP($A341,'SegEnds_NonXtal_BW#'!$A:$Z,4,FALSE)+VLOOKUP($A341,A:AL,4,FALSE)-50),"-",(VLOOKUP($A341,'SegEnds_NonXtal_BW#'!$A:$Z,4,FALSE)+VLOOKUP($A341,A:AL,4,FALSE)-50))</f>
        <v>162</v>
      </c>
      <c r="F341" s="3">
        <f>G341-2</f>
        <v>163</v>
      </c>
      <c r="G341" s="3">
        <v>165</v>
      </c>
      <c r="H341" s="3">
        <f>G341+1</f>
        <v>166</v>
      </c>
      <c r="I341" s="3">
        <f t="shared" si="203"/>
        <v>167</v>
      </c>
      <c r="J341" s="3">
        <v>180</v>
      </c>
      <c r="K341" s="3">
        <f>VLOOKUP($A341,'SegEnds_NonXtal_BW#'!$A:$Z,8,FALSE)+VLOOKUP($A341,A:AL,10,FALSE)-50</f>
        <v>194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214</v>
      </c>
      <c r="P341" s="3">
        <v>241</v>
      </c>
      <c r="Q341" s="3">
        <f>VLOOKUP($A341,'SegEnds_NonXtal_BW#'!$A:$Z,12,FALSE)+VLOOKUP($A341,A:AL,16,FALSE)-50</f>
        <v>247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3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254</v>
      </c>
      <c r="V341" s="3">
        <v>264</v>
      </c>
      <c r="W341" s="3">
        <f>IF(ISERROR(VLOOKUP($A341,'SegEnds_NonXtal_BW#'!$A:$Z,16,FALSE)+VLOOKUP($A341,A:AL,22,FALSE)-50),"-",(VLOOKUP($A341,'SegEnds_NonXtal_BW#'!$A:$Z,16,FALSE)+VLOOKUP($A341,A:AL,22,FALSE)-50))</f>
        <v>282</v>
      </c>
      <c r="X341" s="3">
        <f>IF(ISERROR(VLOOKUP($A341,'SegEnds_NonXtal_BW#'!$A:$Z,17,FALSE)+VLOOKUP($A341,A:AL,25,FALSE)-50),"-",(VLOOKUP($A341,'SegEnds_NonXtal_BW#'!$A:$Z,17,FALSE)+VLOOKUP($A341,A:AL,25,FALSE)-50))</f>
        <v>286</v>
      </c>
      <c r="Y341" s="3">
        <v>286</v>
      </c>
      <c r="Z341" s="3">
        <f t="shared" si="204"/>
        <v>288</v>
      </c>
      <c r="AA341" s="3">
        <f>IF(ISERROR(VLOOKUP($A341,'SegEnds_NonXtal_BW#'!$A:$Z,19,FALSE)+VLOOKUP($A341,A:AL,28,FALSE)-50),"-",(VLOOKUP($A341,'SegEnds_NonXtal_BW#'!$A:$Z,19,FALSE)+VLOOKUP($A341,A:AL,28,FALSE)-50))</f>
        <v>295</v>
      </c>
      <c r="AB341" s="3">
        <v>306</v>
      </c>
      <c r="AC341" s="3">
        <f>IF(ISERROR((VLOOKUP($A341,'SegEnds_NonXtal_BW#'!$A:$Z,20,FALSE)+VLOOKUP($A341,A:AL,28,FALSE)-50)),"-",(VLOOKUP($A341,'SegEnds_NonXtal_BW#'!$A:$Z,20,FALSE)+VLOOKUP($A341,A:AL,28,FALSE)-50))</f>
        <v>327</v>
      </c>
      <c r="AD341" s="3">
        <f>IF(ISERROR(VLOOKUP($A341,'SegEnds_NonXtal_BW#'!$A:$Z,21,FALSE)+VLOOKUP($A341,A:AL,31,FALSE)-50),"-",(VLOOKUP($A341,'SegEnds_NonXtal_BW#'!$A:$Z,21,FALSE)+VLOOKUP($A341,A:AL,31,FALSE)-50))</f>
        <v>334</v>
      </c>
      <c r="AE341" s="3">
        <v>356</v>
      </c>
      <c r="AF341" s="3">
        <f>IF(ISERROR((VLOOKUP($A341,'SegEnds_NonXtal_BW#'!$A:$Z,22,FALSE)+VLOOKUP($A341,A:AL,31,FALSE)-50)),"-",(VLOOKUP($A341,'SegEnds_NonXtal_BW#'!$A:$Z,22,FALSE)+VLOOKUP($A341,A:AL,31,FALSE)-50))</f>
        <v>359</v>
      </c>
      <c r="AG341" s="3">
        <f>IF(ISERROR(VLOOKUP($A341,'SegEnds_NonXtal_BW#'!$A:$Z,23,FALSE)+VLOOKUP($A341,A:AL,34,FALSE)-50),"-",(VLOOKUP($A341,'SegEnds_NonXtal_BW#'!$A:$Z,23,FALSE)+VLOOKUP($A341,A:AL,34,FALSE)-50))</f>
        <v>366</v>
      </c>
      <c r="AH341" s="3">
        <v>389</v>
      </c>
      <c r="AI341" s="3">
        <f>IF(ISERROR((VLOOKUP($A341,'SegEnds_NonXtal_BW#'!$A:$Z,24,FALSE)+VLOOKUP($A341,A:AL,34,FALSE)-50)),"-",(VLOOKUP($A341,'SegEnds_NonXtal_BW#'!$A:$Z,24,FALSE)+VLOOKUP($A341,A:AL,34,FALSE)-50))</f>
        <v>395</v>
      </c>
      <c r="AJ341" s="3">
        <f>IF(ISERROR(VLOOKUP($A341,'SegEnds_NonXtal_BW#'!$A:$Z,25,FALSE)+VLOOKUP($A341,A:AL,37,FALSE)-50),"-",(VLOOKUP($A341,'SegEnds_NonXtal_BW#'!$A:$Z,25,FALSE)+VLOOKUP($A341,A:AL,37,FALSE)-50))</f>
        <v>396</v>
      </c>
      <c r="AK341" s="3">
        <v>399</v>
      </c>
      <c r="AL341" s="3">
        <f>IF(ISERROR((VLOOKUP($A341,'SegEnds_NonXtal_BW#'!$A:$Z,26,FALSE)+VLOOKUP($A341,A:AL,37,FALSE)-50)),"-",(VLOOKUP($A341,'SegEnds_NonXtal_BW#'!$A:$Z,26,FALSE)+VLOOKUP($A341,A:AL,37,FALSE)-50))</f>
        <v>421</v>
      </c>
      <c r="AM341" s="28" t="str">
        <f>VLOOKUP(A341,Classification!A:B,2,FALSE)</f>
        <v>B1</v>
      </c>
      <c r="AN341" s="28" t="b">
        <f t="shared" si="200"/>
        <v>1</v>
      </c>
      <c r="AO341" s="3" t="str">
        <f>IF(ISERROR(MATCH(A341,'SegEnds_Xtal_Prot#'!B:B, 0)), "NoXtal", "Xtal")</f>
        <v>NoXtal</v>
      </c>
      <c r="AP341" s="3">
        <f t="shared" si="185"/>
        <v>1</v>
      </c>
      <c r="AQ341" s="3">
        <f t="shared" si="186"/>
        <v>1</v>
      </c>
      <c r="AR341" s="3" t="str">
        <f t="shared" si="187"/>
        <v>-</v>
      </c>
      <c r="AS341" s="3" t="str">
        <f t="shared" si="188"/>
        <v>-</v>
      </c>
      <c r="AT341" s="3" t="str">
        <f t="shared" si="189"/>
        <v>-</v>
      </c>
      <c r="AU341" s="3" t="str">
        <f t="shared" si="190"/>
        <v>-</v>
      </c>
      <c r="AV341" s="3">
        <f t="shared" si="191"/>
        <v>4</v>
      </c>
      <c r="AW341" s="3">
        <f t="shared" si="192"/>
        <v>7</v>
      </c>
      <c r="AX341" s="3">
        <f t="shared" si="193"/>
        <v>7</v>
      </c>
      <c r="AY341" s="3">
        <f t="shared" si="194"/>
        <v>7</v>
      </c>
      <c r="AZ341" s="3">
        <f t="shared" si="195"/>
        <v>1</v>
      </c>
      <c r="BA341" s="3">
        <f>IF(ISERROR(LEN(VLOOKUP(A341,Seqs!A:E,2,FALSE))-AL341),"-",LEN(VLOOKUP(A341,Seqs!A:E,2,FALSE))-AL341)</f>
        <v>45</v>
      </c>
      <c r="BB341" s="16">
        <f t="shared" si="196"/>
        <v>28</v>
      </c>
      <c r="BC341" s="9" t="str">
        <f t="shared" si="197"/>
        <v>-</v>
      </c>
      <c r="BD341" s="3">
        <f t="shared" si="198"/>
        <v>28</v>
      </c>
      <c r="BE341" s="3">
        <f t="shared" si="199"/>
        <v>50</v>
      </c>
    </row>
    <row r="342" spans="1:58" s="3" customFormat="1" x14ac:dyDescent="0.2">
      <c r="A342" s="3" t="s">
        <v>406</v>
      </c>
      <c r="B342" s="3" t="str">
        <f>LOWER(VLOOKUP(A342,Xtal_Templ!A:B,2,FALSE))</f>
        <v>glp1r_human</v>
      </c>
      <c r="C342" s="3">
        <f>VLOOKUP($A342,'SegEnds_NonXtal_BW#'!$A:$Z,3,FALSE)+D342-50</f>
        <v>138</v>
      </c>
      <c r="D342" s="3">
        <v>159</v>
      </c>
      <c r="E342" s="3">
        <f>IF(ISERROR(VLOOKUP($A342,'SegEnds_NonXtal_BW#'!$A:$Z,4,FALSE)+VLOOKUP($A342,A:AL,4,FALSE)-50),"-",(VLOOKUP($A342,'SegEnds_NonXtal_BW#'!$A:$Z,4,FALSE)+VLOOKUP($A342,A:AL,4,FALSE)-50))</f>
        <v>169</v>
      </c>
      <c r="F342" s="3">
        <f>G342-2</f>
        <v>170</v>
      </c>
      <c r="G342" s="3">
        <v>172</v>
      </c>
      <c r="H342" s="3">
        <f>G342+1</f>
        <v>173</v>
      </c>
      <c r="I342" s="3">
        <f t="shared" si="203"/>
        <v>174</v>
      </c>
      <c r="J342" s="3">
        <v>187</v>
      </c>
      <c r="K342" s="3">
        <f>VLOOKUP($A342,'SegEnds_NonXtal_BW#'!$A:$Z,8,FALSE)+VLOOKUP($A342,A:AL,10,FALSE)-50</f>
        <v>201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224</v>
      </c>
      <c r="P342" s="3">
        <v>251</v>
      </c>
      <c r="Q342" s="3">
        <f>VLOOKUP($A342,'SegEnds_NonXtal_BW#'!$A:$Z,12,FALSE)+VLOOKUP($A342,A:AL,16,FALSE)-50</f>
        <v>257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3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262</v>
      </c>
      <c r="V342" s="3">
        <v>274</v>
      </c>
      <c r="W342" s="3">
        <f>IF(ISERROR(VLOOKUP($A342,'SegEnds_NonXtal_BW#'!$A:$Z,16,FALSE)+VLOOKUP($A342,A:AL,22,FALSE)-50),"-",(VLOOKUP($A342,'SegEnds_NonXtal_BW#'!$A:$Z,16,FALSE)+VLOOKUP($A342,A:AL,22,FALSE)-50))</f>
        <v>292</v>
      </c>
      <c r="X342" s="3">
        <f>IF(ISERROR(VLOOKUP($A342,'SegEnds_NonXtal_BW#'!$A:$Z,17,FALSE)+VLOOKUP($A342,A:AL,25,FALSE)-50),"-",(VLOOKUP($A342,'SegEnds_NonXtal_BW#'!$A:$Z,17,FALSE)+VLOOKUP($A342,A:AL,25,FALSE)-50))</f>
        <v>296</v>
      </c>
      <c r="Y342" s="3">
        <v>296</v>
      </c>
      <c r="Z342" s="3">
        <f t="shared" si="204"/>
        <v>298</v>
      </c>
      <c r="AA342" s="3">
        <f>IF(ISERROR(VLOOKUP($A342,'SegEnds_NonXtal_BW#'!$A:$Z,19,FALSE)+VLOOKUP($A342,A:AL,28,FALSE)-50),"-",(VLOOKUP($A342,'SegEnds_NonXtal_BW#'!$A:$Z,19,FALSE)+VLOOKUP($A342,A:AL,28,FALSE)-50))</f>
        <v>305</v>
      </c>
      <c r="AB342" s="3">
        <v>316</v>
      </c>
      <c r="AC342" s="3">
        <f>IF(ISERROR((VLOOKUP($A342,'SegEnds_NonXtal_BW#'!$A:$Z,20,FALSE)+VLOOKUP($A342,A:AL,28,FALSE)-50)),"-",(VLOOKUP($A342,'SegEnds_NonXtal_BW#'!$A:$Z,20,FALSE)+VLOOKUP($A342,A:AL,28,FALSE)-50))</f>
        <v>337</v>
      </c>
      <c r="AD342" s="3">
        <f>IF(ISERROR(VLOOKUP($A342,'SegEnds_NonXtal_BW#'!$A:$Z,21,FALSE)+VLOOKUP($A342,A:AL,31,FALSE)-50),"-",(VLOOKUP($A342,'SegEnds_NonXtal_BW#'!$A:$Z,21,FALSE)+VLOOKUP($A342,A:AL,31,FALSE)-50))</f>
        <v>344</v>
      </c>
      <c r="AE342" s="3">
        <v>366</v>
      </c>
      <c r="AF342" s="3">
        <f>IF(ISERROR((VLOOKUP($A342,'SegEnds_NonXtal_BW#'!$A:$Z,22,FALSE)+VLOOKUP($A342,A:AL,31,FALSE)-50)),"-",(VLOOKUP($A342,'SegEnds_NonXtal_BW#'!$A:$Z,22,FALSE)+VLOOKUP($A342,A:AL,31,FALSE)-50))</f>
        <v>374</v>
      </c>
      <c r="AG342" s="3">
        <f>IF(ISERROR(VLOOKUP($A342,'SegEnds_NonXtal_BW#'!$A:$Z,23,FALSE)+VLOOKUP($A342,A:AL,34,FALSE)-50),"-",(VLOOKUP($A342,'SegEnds_NonXtal_BW#'!$A:$Z,23,FALSE)+VLOOKUP($A342,A:AL,34,FALSE)-50))</f>
        <v>376</v>
      </c>
      <c r="AH342" s="3">
        <v>399</v>
      </c>
      <c r="AI342" s="3">
        <f>IF(ISERROR((VLOOKUP($A342,'SegEnds_NonXtal_BW#'!$A:$Z,24,FALSE)+VLOOKUP($A342,A:AL,34,FALSE)-50)),"-",(VLOOKUP($A342,'SegEnds_NonXtal_BW#'!$A:$Z,24,FALSE)+VLOOKUP($A342,A:AL,34,FALSE)-50))</f>
        <v>405</v>
      </c>
      <c r="AJ342" s="3">
        <f>IF(ISERROR(VLOOKUP($A342,'SegEnds_NonXtal_BW#'!$A:$Z,25,FALSE)+VLOOKUP($A342,A:AL,37,FALSE)-50),"-",(VLOOKUP($A342,'SegEnds_NonXtal_BW#'!$A:$Z,25,FALSE)+VLOOKUP($A342,A:AL,37,FALSE)-50))</f>
        <v>406</v>
      </c>
      <c r="AK342" s="3">
        <v>409</v>
      </c>
      <c r="AL342" s="3">
        <f>IF(ISERROR((VLOOKUP($A342,'SegEnds_NonXtal_BW#'!$A:$Z,26,FALSE)+VLOOKUP($A342,A:AL,37,FALSE)-50)),"-",(VLOOKUP($A342,'SegEnds_NonXtal_BW#'!$A:$Z,26,FALSE)+VLOOKUP($A342,A:AL,37,FALSE)-50))</f>
        <v>431</v>
      </c>
      <c r="AM342" s="28" t="str">
        <f>VLOOKUP(A342,Classification!A:B,2,FALSE)</f>
        <v>B1</v>
      </c>
      <c r="AN342" s="28" t="b">
        <f t="shared" si="200"/>
        <v>1</v>
      </c>
      <c r="AO342" s="3" t="str">
        <f>IF(ISERROR(MATCH(A342,'SegEnds_Xtal_Prot#'!B:B, 0)), "NoXtal", "Xtal")</f>
        <v>Xtal</v>
      </c>
      <c r="AP342" s="3">
        <f t="shared" si="185"/>
        <v>1</v>
      </c>
      <c r="AQ342" s="3">
        <f t="shared" si="186"/>
        <v>1</v>
      </c>
      <c r="AR342" s="3" t="str">
        <f t="shared" si="187"/>
        <v>-</v>
      </c>
      <c r="AS342" s="3" t="str">
        <f t="shared" si="188"/>
        <v>-</v>
      </c>
      <c r="AT342" s="3" t="str">
        <f t="shared" si="189"/>
        <v>-</v>
      </c>
      <c r="AU342" s="3" t="str">
        <f t="shared" si="190"/>
        <v>-</v>
      </c>
      <c r="AV342" s="3">
        <f t="shared" si="191"/>
        <v>4</v>
      </c>
      <c r="AW342" s="3">
        <f t="shared" si="192"/>
        <v>7</v>
      </c>
      <c r="AX342" s="3">
        <f t="shared" si="193"/>
        <v>7</v>
      </c>
      <c r="AY342" s="3">
        <f t="shared" si="194"/>
        <v>2</v>
      </c>
      <c r="AZ342" s="3">
        <f t="shared" si="195"/>
        <v>1</v>
      </c>
      <c r="BA342" s="3">
        <f>IF(ISERROR(LEN(VLOOKUP(A342,Seqs!A:E,2,FALSE))-AL342),"-",LEN(VLOOKUP(A342,Seqs!A:E,2,FALSE))-AL342)</f>
        <v>32</v>
      </c>
      <c r="BB342" s="16">
        <f t="shared" si="196"/>
        <v>28</v>
      </c>
      <c r="BC342" s="9" t="str">
        <f t="shared" si="197"/>
        <v>-</v>
      </c>
      <c r="BD342" s="3">
        <f t="shared" si="198"/>
        <v>28</v>
      </c>
      <c r="BE342" s="3">
        <f t="shared" si="199"/>
        <v>50</v>
      </c>
    </row>
    <row r="343" spans="1:58" s="3" customFormat="1" x14ac:dyDescent="0.2">
      <c r="A343" s="3" t="s">
        <v>407</v>
      </c>
      <c r="B343" s="3" t="str">
        <f>LOWER(VLOOKUP(A343,Xtal_Templ!A:B,2,FALSE))</f>
        <v>glr_human</v>
      </c>
      <c r="C343" s="3">
        <f>VLOOKUP($A343,'SegEnds_NonXtal_BW#'!$A:$Z,3,FALSE)+D343-50</f>
        <v>168</v>
      </c>
      <c r="D343" s="3">
        <v>193</v>
      </c>
      <c r="E343" s="3">
        <f>IF(ISERROR(VLOOKUP($A343,'SegEnds_NonXtal_BW#'!$A:$Z,4,FALSE)+VLOOKUP($A343,A:AL,4,FALSE)-50),"-",(VLOOKUP($A343,'SegEnds_NonXtal_BW#'!$A:$Z,4,FALSE)+VLOOKUP($A343,A:AL,4,FALSE)-50))</f>
        <v>203</v>
      </c>
      <c r="F343" s="3">
        <f>G343-2</f>
        <v>204</v>
      </c>
      <c r="G343" s="3">
        <v>206</v>
      </c>
      <c r="H343" s="3">
        <f>G343+1</f>
        <v>207</v>
      </c>
      <c r="I343" s="3">
        <f t="shared" si="203"/>
        <v>208</v>
      </c>
      <c r="J343" s="3">
        <v>221</v>
      </c>
      <c r="K343" s="3">
        <f>VLOOKUP($A343,'SegEnds_NonXtal_BW#'!$A:$Z,8,FALSE)+VLOOKUP($A343,A:AL,10,FALSE)-50</f>
        <v>235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258</v>
      </c>
      <c r="P343" s="3">
        <v>285</v>
      </c>
      <c r="Q343" s="3">
        <f>VLOOKUP($A343,'SegEnds_NonXtal_BW#'!$A:$Z,12,FALSE)+VLOOKUP($A343,A:AL,16,FALSE)-50</f>
        <v>291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3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298</v>
      </c>
      <c r="V343" s="3">
        <v>308</v>
      </c>
      <c r="W343" s="3">
        <f>IF(ISERROR(VLOOKUP($A343,'SegEnds_NonXtal_BW#'!$A:$Z,16,FALSE)+VLOOKUP($A343,A:AL,22,FALSE)-50),"-",(VLOOKUP($A343,'SegEnds_NonXtal_BW#'!$A:$Z,16,FALSE)+VLOOKUP($A343,A:AL,22,FALSE)-50))</f>
        <v>326</v>
      </c>
      <c r="X343" s="3">
        <f>IF(ISERROR(VLOOKUP($A343,'SegEnds_NonXtal_BW#'!$A:$Z,17,FALSE)+VLOOKUP($A343,A:AL,25,FALSE)-50),"-",(VLOOKUP($A343,'SegEnds_NonXtal_BW#'!$A:$Z,17,FALSE)+VLOOKUP($A343,A:AL,25,FALSE)-50))</f>
        <v>330</v>
      </c>
      <c r="Y343" s="3">
        <v>330</v>
      </c>
      <c r="Z343" s="3">
        <f t="shared" si="204"/>
        <v>332</v>
      </c>
      <c r="AA343" s="3">
        <f>IF(ISERROR(VLOOKUP($A343,'SegEnds_NonXtal_BW#'!$A:$Z,19,FALSE)+VLOOKUP($A343,A:AL,28,FALSE)-50),"-",(VLOOKUP($A343,'SegEnds_NonXtal_BW#'!$A:$Z,19,FALSE)+VLOOKUP($A343,A:AL,28,FALSE)-50))</f>
        <v>339</v>
      </c>
      <c r="AB343" s="3">
        <v>350</v>
      </c>
      <c r="AC343" s="3">
        <f>IF(ISERROR((VLOOKUP($A343,'SegEnds_NonXtal_BW#'!$A:$Z,20,FALSE)+VLOOKUP($A343,A:AL,28,FALSE)-50)),"-",(VLOOKUP($A343,'SegEnds_NonXtal_BW#'!$A:$Z,20,FALSE)+VLOOKUP($A343,A:AL,28,FALSE)-50))</f>
        <v>371</v>
      </c>
      <c r="AD343" s="3">
        <f>IF(ISERROR(VLOOKUP($A343,'SegEnds_NonXtal_BW#'!$A:$Z,21,FALSE)+VLOOKUP($A343,A:AL,31,FALSE)-50),"-",(VLOOKUP($A343,'SegEnds_NonXtal_BW#'!$A:$Z,21,FALSE)+VLOOKUP($A343,A:AL,31,FALSE)-50))</f>
        <v>378</v>
      </c>
      <c r="AE343" s="3">
        <v>400</v>
      </c>
      <c r="AF343" s="3">
        <f>IF(ISERROR((VLOOKUP($A343,'SegEnds_NonXtal_BW#'!$A:$Z,22,FALSE)+VLOOKUP($A343,A:AL,31,FALSE)-50)),"-",(VLOOKUP($A343,'SegEnds_NonXtal_BW#'!$A:$Z,22,FALSE)+VLOOKUP($A343,A:AL,31,FALSE)-50))</f>
        <v>403</v>
      </c>
      <c r="AG343" s="3">
        <f>IF(ISERROR(VLOOKUP($A343,'SegEnds_NonXtal_BW#'!$A:$Z,23,FALSE)+VLOOKUP($A343,A:AL,34,FALSE)-50),"-",(VLOOKUP($A343,'SegEnds_NonXtal_BW#'!$A:$Z,23,FALSE)+VLOOKUP($A343,A:AL,34,FALSE)-50))</f>
        <v>410</v>
      </c>
      <c r="AH343" s="3">
        <v>433</v>
      </c>
      <c r="AI343" s="3">
        <f>IF(ISERROR((VLOOKUP($A343,'SegEnds_NonXtal_BW#'!$A:$Z,24,FALSE)+VLOOKUP($A343,A:AL,34,FALSE)-50)),"-",(VLOOKUP($A343,'SegEnds_NonXtal_BW#'!$A:$Z,24,FALSE)+VLOOKUP($A343,A:AL,34,FALSE)-50))</f>
        <v>439</v>
      </c>
      <c r="AJ343" s="3">
        <f>IF(ISERROR(VLOOKUP($A343,'SegEnds_NonXtal_BW#'!$A:$Z,25,FALSE)+VLOOKUP($A343,A:AL,37,FALSE)-50),"-",(VLOOKUP($A343,'SegEnds_NonXtal_BW#'!$A:$Z,25,FALSE)+VLOOKUP($A343,A:AL,37,FALSE)-50))</f>
        <v>440</v>
      </c>
      <c r="AK343" s="3">
        <v>443</v>
      </c>
      <c r="AL343" s="3">
        <f>IF(ISERROR((VLOOKUP($A343,'SegEnds_NonXtal_BW#'!$A:$Z,26,FALSE)+VLOOKUP($A343,A:AL,37,FALSE)-50)),"-",(VLOOKUP($A343,'SegEnds_NonXtal_BW#'!$A:$Z,26,FALSE)+VLOOKUP($A343,A:AL,37,FALSE)-50))</f>
        <v>465</v>
      </c>
      <c r="AM343" s="28" t="str">
        <f>VLOOKUP(A343,Classification!A:B,2,FALSE)</f>
        <v>B1</v>
      </c>
      <c r="AN343" s="28" t="b">
        <f t="shared" si="200"/>
        <v>1</v>
      </c>
      <c r="AO343" s="3" t="str">
        <f>IF(ISERROR(MATCH(A343,'SegEnds_Xtal_Prot#'!B:B, 0)), "NoXtal", "Xtal")</f>
        <v>NoXtal</v>
      </c>
      <c r="AP343" s="3">
        <f t="shared" si="185"/>
        <v>1</v>
      </c>
      <c r="AQ343" s="3">
        <f t="shared" si="186"/>
        <v>1</v>
      </c>
      <c r="AR343" s="3" t="str">
        <f t="shared" si="187"/>
        <v>-</v>
      </c>
      <c r="AS343" s="3" t="str">
        <f t="shared" si="188"/>
        <v>-</v>
      </c>
      <c r="AT343" s="3" t="str">
        <f t="shared" si="189"/>
        <v>-</v>
      </c>
      <c r="AU343" s="3" t="str">
        <f t="shared" si="190"/>
        <v>-</v>
      </c>
      <c r="AV343" s="3">
        <f t="shared" si="191"/>
        <v>4</v>
      </c>
      <c r="AW343" s="3">
        <f t="shared" si="192"/>
        <v>7</v>
      </c>
      <c r="AX343" s="3">
        <f t="shared" si="193"/>
        <v>7</v>
      </c>
      <c r="AY343" s="3">
        <f t="shared" si="194"/>
        <v>7</v>
      </c>
      <c r="AZ343" s="3">
        <f t="shared" si="195"/>
        <v>1</v>
      </c>
      <c r="BA343" s="3">
        <f>IF(ISERROR(LEN(VLOOKUP(A343,Seqs!A:E,2,FALSE))-AL343),"-",LEN(VLOOKUP(A343,Seqs!A:E,2,FALSE))-AL343)</f>
        <v>88</v>
      </c>
      <c r="BB343" s="16">
        <f t="shared" si="196"/>
        <v>28</v>
      </c>
      <c r="BC343" s="9" t="str">
        <f t="shared" si="197"/>
        <v>-</v>
      </c>
      <c r="BD343" s="3">
        <f t="shared" si="198"/>
        <v>28</v>
      </c>
      <c r="BE343" s="3">
        <f t="shared" si="199"/>
        <v>50</v>
      </c>
    </row>
    <row r="344" spans="1:58" s="3" customFormat="1" x14ac:dyDescent="0.2">
      <c r="A344" s="3" t="s">
        <v>32</v>
      </c>
      <c r="B344" s="3" t="str">
        <f>LOWER(VLOOKUP(A344,Xtal_Templ!A:B,2,FALSE))</f>
        <v>glr_human</v>
      </c>
      <c r="C344" s="3">
        <f>VLOOKUP($A344,'SegEnds_NonXtal_BW#'!$A:$Z,3,FALSE)+D344-50</f>
        <v>131</v>
      </c>
      <c r="D344" s="3">
        <v>156</v>
      </c>
      <c r="E344" s="3">
        <f>IF(ISERROR(VLOOKUP($A344,'SegEnds_NonXtal_BW#'!$A:$Z,4,FALSE)+VLOOKUP($A344,A:AL,4,FALSE)-50),"-",(VLOOKUP($A344,'SegEnds_NonXtal_BW#'!$A:$Z,4,FALSE)+VLOOKUP($A344,A:AL,4,FALSE)-50))</f>
        <v>166</v>
      </c>
      <c r="F344" s="3">
        <f>G344-2</f>
        <v>167</v>
      </c>
      <c r="G344" s="3">
        <v>169</v>
      </c>
      <c r="H344" s="3">
        <f>G344+1</f>
        <v>170</v>
      </c>
      <c r="I344" s="3">
        <f t="shared" si="203"/>
        <v>171</v>
      </c>
      <c r="J344" s="3">
        <v>184</v>
      </c>
      <c r="K344" s="3">
        <f>VLOOKUP($A344,'SegEnds_NonXtal_BW#'!$A:$Z,8,FALSE)+VLOOKUP($A344,A:AL,10,FALSE)-50</f>
        <v>201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217</v>
      </c>
      <c r="P344" s="3">
        <v>249</v>
      </c>
      <c r="Q344" s="3">
        <f>VLOOKUP($A344,'SegEnds_NonXtal_BW#'!$A:$Z,12,FALSE)+VLOOKUP($A344,A:AL,16,FALSE)-50</f>
        <v>255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3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262</v>
      </c>
      <c r="V344" s="3">
        <v>272</v>
      </c>
      <c r="W344" s="3">
        <f>IF(ISERROR(VLOOKUP($A344,'SegEnds_NonXtal_BW#'!$A:$Z,16,FALSE)+VLOOKUP($A344,A:AL,22,FALSE)-50),"-",(VLOOKUP($A344,'SegEnds_NonXtal_BW#'!$A:$Z,16,FALSE)+VLOOKUP($A344,A:AL,22,FALSE)-50))</f>
        <v>290</v>
      </c>
      <c r="X344" s="3">
        <f>IF(ISERROR(VLOOKUP($A344,'SegEnds_NonXtal_BW#'!$A:$Z,17,FALSE)+VLOOKUP($A344,A:AL,25,FALSE)-50),"-",(VLOOKUP($A344,'SegEnds_NonXtal_BW#'!$A:$Z,17,FALSE)+VLOOKUP($A344,A:AL,25,FALSE)-50))</f>
        <v>294</v>
      </c>
      <c r="Y344" s="3">
        <v>294</v>
      </c>
      <c r="Z344" s="3">
        <f t="shared" si="204"/>
        <v>296</v>
      </c>
      <c r="AA344" s="3">
        <f>IF(ISERROR(VLOOKUP($A344,'SegEnds_NonXtal_BW#'!$A:$Z,19,FALSE)+VLOOKUP($A344,A:AL,28,FALSE)-50),"-",(VLOOKUP($A344,'SegEnds_NonXtal_BW#'!$A:$Z,19,FALSE)+VLOOKUP($A344,A:AL,28,FALSE)-50))</f>
        <v>300</v>
      </c>
      <c r="AB344" s="3">
        <v>314</v>
      </c>
      <c r="AC344" s="3">
        <f>IF(ISERROR((VLOOKUP($A344,'SegEnds_NonXtal_BW#'!$A:$Z,20,FALSE)+VLOOKUP($A344,A:AL,28,FALSE)-50)),"-",(VLOOKUP($A344,'SegEnds_NonXtal_BW#'!$A:$Z,20,FALSE)+VLOOKUP($A344,A:AL,28,FALSE)-50))</f>
        <v>335</v>
      </c>
      <c r="AD344" s="3">
        <f>IF(ISERROR(VLOOKUP($A344,'SegEnds_NonXtal_BW#'!$A:$Z,21,FALSE)+VLOOKUP($A344,A:AL,31,FALSE)-50),"-",(VLOOKUP($A344,'SegEnds_NonXtal_BW#'!$A:$Z,21,FALSE)+VLOOKUP($A344,A:AL,31,FALSE)-50))</f>
        <v>343</v>
      </c>
      <c r="AE344" s="3">
        <v>364</v>
      </c>
      <c r="AF344" s="3">
        <f>IF(ISERROR((VLOOKUP($A344,'SegEnds_NonXtal_BW#'!$A:$Z,22,FALSE)+VLOOKUP($A344,A:AL,31,FALSE)-50)),"-",(VLOOKUP($A344,'SegEnds_NonXtal_BW#'!$A:$Z,22,FALSE)+VLOOKUP($A344,A:AL,31,FALSE)-50))</f>
        <v>367</v>
      </c>
      <c r="AG344" s="3">
        <f>IF(ISERROR(VLOOKUP($A344,'SegEnds_NonXtal_BW#'!$A:$Z,23,FALSE)+VLOOKUP($A344,A:AL,34,FALSE)-50),"-",(VLOOKUP($A344,'SegEnds_NonXtal_BW#'!$A:$Z,23,FALSE)+VLOOKUP($A344,A:AL,34,FALSE)-50))</f>
        <v>374</v>
      </c>
      <c r="AH344" s="3">
        <v>397</v>
      </c>
      <c r="AI344" s="3">
        <f>IF(ISERROR((VLOOKUP($A344,'SegEnds_NonXtal_BW#'!$A:$Z,24,FALSE)+VLOOKUP($A344,A:AL,34,FALSE)-50)),"-",(VLOOKUP($A344,'SegEnds_NonXtal_BW#'!$A:$Z,24,FALSE)+VLOOKUP($A344,A:AL,34,FALSE)-50))</f>
        <v>403</v>
      </c>
      <c r="AJ344" s="3">
        <f>IF(ISERROR(VLOOKUP($A344,'SegEnds_NonXtal_BW#'!$A:$Z,25,FALSE)+VLOOKUP($A344,A:AL,37,FALSE)-50),"-",(VLOOKUP($A344,'SegEnds_NonXtal_BW#'!$A:$Z,25,FALSE)+VLOOKUP($A344,A:AL,37,FALSE)-50))</f>
        <v>404</v>
      </c>
      <c r="AK344" s="3">
        <v>407</v>
      </c>
      <c r="AL344" s="3">
        <f>IF(ISERROR((VLOOKUP($A344,'SegEnds_NonXtal_BW#'!$A:$Z,26,FALSE)+VLOOKUP($A344,A:AL,37,FALSE)-50)),"-",(VLOOKUP($A344,'SegEnds_NonXtal_BW#'!$A:$Z,26,FALSE)+VLOOKUP($A344,A:AL,37,FALSE)-50))</f>
        <v>429</v>
      </c>
      <c r="AM344" s="28" t="str">
        <f>VLOOKUP(A344,Classification!A:B,2,FALSE)</f>
        <v>B1</v>
      </c>
      <c r="AN344" s="28" t="b">
        <f t="shared" si="200"/>
        <v>1</v>
      </c>
      <c r="AO344" s="3" t="str">
        <f>IF(ISERROR(MATCH(A344,'SegEnds_Xtal_Prot#'!B:B, 0)), "NoXtal", "Xtal")</f>
        <v>Xtal</v>
      </c>
      <c r="AP344" s="3">
        <f t="shared" si="185"/>
        <v>1</v>
      </c>
      <c r="AQ344" s="3">
        <f t="shared" si="186"/>
        <v>1</v>
      </c>
      <c r="AR344" s="3" t="str">
        <f t="shared" si="187"/>
        <v>-</v>
      </c>
      <c r="AS344" s="3" t="str">
        <f t="shared" si="188"/>
        <v>-</v>
      </c>
      <c r="AT344" s="3" t="str">
        <f t="shared" si="189"/>
        <v>-</v>
      </c>
      <c r="AU344" s="3" t="str">
        <f t="shared" si="190"/>
        <v>-</v>
      </c>
      <c r="AV344" s="3">
        <f t="shared" si="191"/>
        <v>4</v>
      </c>
      <c r="AW344" s="3">
        <f t="shared" si="192"/>
        <v>4</v>
      </c>
      <c r="AX344" s="3">
        <f t="shared" si="193"/>
        <v>8</v>
      </c>
      <c r="AY344" s="3">
        <f t="shared" si="194"/>
        <v>7</v>
      </c>
      <c r="AZ344" s="3">
        <f t="shared" si="195"/>
        <v>1</v>
      </c>
      <c r="BA344" s="3">
        <f>IF(ISERROR(LEN(VLOOKUP(A344,Seqs!A:E,2,FALSE))-AL344),"-",LEN(VLOOKUP(A344,Seqs!A:E,2,FALSE))-AL344)</f>
        <v>48</v>
      </c>
      <c r="BB344" s="16">
        <f t="shared" si="196"/>
        <v>28</v>
      </c>
      <c r="BC344" s="9" t="str">
        <f t="shared" si="197"/>
        <v>-</v>
      </c>
      <c r="BD344" s="3">
        <f t="shared" si="198"/>
        <v>28</v>
      </c>
      <c r="BE344" s="3">
        <f t="shared" si="199"/>
        <v>50</v>
      </c>
    </row>
    <row r="345" spans="1:58" s="3" customFormat="1" x14ac:dyDescent="0.2">
      <c r="A345" s="3" t="s">
        <v>482</v>
      </c>
      <c r="B345" s="3" t="str">
        <f>LOWER(VLOOKUP(A345,Xtal_Templ!A:B,2,FALSE))</f>
        <v>ccr9_human</v>
      </c>
      <c r="C345" s="3">
        <v>202</v>
      </c>
      <c r="D345" s="3">
        <v>231</v>
      </c>
      <c r="E345" s="3">
        <f>IF(ISERROR(VLOOKUP($A345,'SegEnds_NonXtal_BW#'!$A:$Z,4,FALSE)+VLOOKUP($A345,A:AL,4,FALSE)-50),"-",(VLOOKUP($A345,'SegEnds_NonXtal_BW#'!$A:$Z,4,FALSE)+VLOOKUP($A345,A:AL,4,FALSE)-50))</f>
        <v>241</v>
      </c>
      <c r="F345" s="3" t="str">
        <f>IF(ISERROR(VLOOKUP($A345,'SegEnds_NonXtal_BW#'!$A:$Z,5,FALSE)+VLOOKUP($A345,A:AL,7,FALSE)-50),"-",(VLOOKUP($A345,'SegEnds_NonXtal_BW#'!$A:$Z,5,FALSE)+VLOOKUP($A345,A:AL,7,FALSE)-50))</f>
        <v>-</v>
      </c>
      <c r="G345" s="3" t="s">
        <v>23</v>
      </c>
      <c r="H345" s="3" t="str">
        <f>IF(ISERROR(VLOOKUP($A345,'SegEnds_NonXtal_BW#'!$A:$Z,6,FALSE)+VLOOKUP($A345,A:AL,7,FALSE)-50),"-",(VLOOKUP($A345,'SegEnds_NonXtal_BW#'!$A:$Z,6,FALSE)+VLOOKUP($A345,A:AL,7,FALSE)-50))</f>
        <v>-</v>
      </c>
      <c r="I345" s="3">
        <f>VLOOKUP($A345,'SegEnds_NonXtal_BW#'!$A:$Z,7,FALSE)+J345-50</f>
        <v>269</v>
      </c>
      <c r="J345" s="3">
        <v>280</v>
      </c>
      <c r="K345" s="3">
        <f>VLOOKUP($A345,'SegEnds_NonXtal_BW#'!$A:$Z,8,FALSE)+VLOOKUP($A345,A:AL,10,FALSE)-50</f>
        <v>293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327</v>
      </c>
      <c r="P345" s="3">
        <v>354</v>
      </c>
      <c r="Q345" s="3">
        <f>VLOOKUP($A345,'SegEnds_NonXtal_BW#'!$A:$Z,12,FALSE)+VLOOKUP($A345,A:AL,16,FALSE)-50</f>
        <v>360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3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381</v>
      </c>
      <c r="V345" s="3">
        <v>391</v>
      </c>
      <c r="W345" s="3">
        <f>IF(ISERROR(VLOOKUP($A345,'SegEnds_NonXtal_BW#'!$A:$Z,16,FALSE)+VLOOKUP($A345,A:AL,22,FALSE)-50),"-",(VLOOKUP($A345,'SegEnds_NonXtal_BW#'!$A:$Z,16,FALSE)+VLOOKUP($A345,A:AL,22,FALSE)-50))</f>
        <v>405</v>
      </c>
      <c r="X345" s="3" t="str">
        <f>IF(ISERROR(VLOOKUP($A345,'SegEnds_NonXtal_BW#'!$A:$Z,17,FALSE)+VLOOKUP($A345,A:AL,25,FALSE)-50),"-",(VLOOKUP($A345,'SegEnds_NonXtal_BW#'!$A:$Z,17,FALSE)+VLOOKUP($A345,A:AL,25,FALSE)-50))</f>
        <v>-</v>
      </c>
      <c r="Y345" s="3" t="s">
        <v>23</v>
      </c>
      <c r="Z345" s="3" t="str">
        <f>IF(ISERROR(VLOOKUP($A345,'SegEnds_NonXtal_BW#'!$A:$Z,18,FALSE)+VLOOKUP($A345,A:AL,25,FALSE)-50),"-",(VLOOKUP($A345,'SegEnds_NonXtal_BW#'!$A:$Z,18,FALSE)+VLOOKUP($A345,A:AL,25,FALSE)-50))</f>
        <v>-</v>
      </c>
      <c r="AA345" s="3">
        <f>IF(ISERROR(VLOOKUP($A345,'SegEnds_NonXtal_BW#'!$A:$Z,19,FALSE)+VLOOKUP($A345,A:AL,28,FALSE)-50),"-",(VLOOKUP($A345,'SegEnds_NonXtal_BW#'!$A:$Z,19,FALSE)+VLOOKUP($A345,A:AL,28,FALSE)-50))</f>
        <v>461</v>
      </c>
      <c r="AB345" s="3">
        <v>472</v>
      </c>
      <c r="AC345" s="3">
        <f>IF(ISERROR((VLOOKUP($A345,'SegEnds_NonXtal_BW#'!$A:$Z,20,FALSE)+VLOOKUP($A345,A:AL,28,FALSE)-50)),"-",(VLOOKUP($A345,'SegEnds_NonXtal_BW#'!$A:$Z,20,FALSE)+VLOOKUP($A345,A:AL,28,FALSE)-50))</f>
        <v>483</v>
      </c>
      <c r="AD345" s="3">
        <f>IF(ISERROR(VLOOKUP($A345,'SegEnds_NonXtal_BW#'!$A:$Z,21,FALSE)+VLOOKUP($A345,A:AL,31,FALSE)-50),"-",(VLOOKUP($A345,'SegEnds_NonXtal_BW#'!$A:$Z,21,FALSE)+VLOOKUP($A345,A:AL,31,FALSE)-50))</f>
        <v>488</v>
      </c>
      <c r="AE345" s="3">
        <v>509</v>
      </c>
      <c r="AF345" s="3">
        <f>IF(ISERROR((VLOOKUP($A345,'SegEnds_NonXtal_BW#'!$A:$Z,22,FALSE)+VLOOKUP($A345,A:AL,31,FALSE)-50)),"-",(VLOOKUP($A345,'SegEnds_NonXtal_BW#'!$A:$Z,22,FALSE)+VLOOKUP($A345,A:AL,31,FALSE)-50))</f>
        <v>512</v>
      </c>
      <c r="AG345" s="3">
        <f>IF(ISERROR(VLOOKUP($A345,'SegEnds_NonXtal_BW#'!$A:$Z,23,FALSE)+VLOOKUP($A345,A:AL,34,FALSE)-50),"-",(VLOOKUP($A345,'SegEnds_NonXtal_BW#'!$A:$Z,23,FALSE)+VLOOKUP($A345,A:AL,34,FALSE)-50))</f>
        <v>538</v>
      </c>
      <c r="AH345" s="3">
        <v>553</v>
      </c>
      <c r="AI345" s="3">
        <f>IF(ISERROR((VLOOKUP($A345,'SegEnds_NonXtal_BW#'!$A:$Z,24,FALSE)+VLOOKUP($A345,A:AL,34,FALSE)-50)),"-",(VLOOKUP($A345,'SegEnds_NonXtal_BW#'!$A:$Z,24,FALSE)+VLOOKUP($A345,A:AL,34,FALSE)-50))</f>
        <v>559</v>
      </c>
      <c r="AJ345" s="3">
        <f>IF(ISERROR(VLOOKUP($A345,'SegEnds_NonXtal_BW#'!$A:$Z,25,FALSE)+VLOOKUP($A345,A:AL,37,FALSE)-50),"-",(VLOOKUP($A345,'SegEnds_NonXtal_BW#'!$A:$Z,25,FALSE)+VLOOKUP($A345,A:AL,37,FALSE)-50))</f>
        <v>561</v>
      </c>
      <c r="AK345" s="3">
        <v>564</v>
      </c>
      <c r="AL345" s="3">
        <f>IF(ISERROR((VLOOKUP($A345,'SegEnds_NonXtal_BW#'!$A:$Z,26,FALSE)+VLOOKUP($A345,A:AL,37,FALSE)-50)),"-",(VLOOKUP($A345,'SegEnds_NonXtal_BW#'!$A:$Z,26,FALSE)+VLOOKUP($A345,A:AL,37,FALSE)-50))</f>
        <v>571</v>
      </c>
      <c r="AM345" s="28" t="str">
        <f>VLOOKUP(A345,Classification!A:B,2,FALSE)</f>
        <v>O</v>
      </c>
      <c r="AN345" s="28" t="b">
        <f t="shared" si="200"/>
        <v>1</v>
      </c>
      <c r="AO345" s="3" t="str">
        <f>IF(ISERROR(MATCH(A345,'SegEnds_Xtal_Prot#'!B:B, 0)), "NoXtal", "Xtal")</f>
        <v>NoXtal</v>
      </c>
      <c r="AP345" s="3" t="str">
        <f t="shared" si="185"/>
        <v>-</v>
      </c>
      <c r="AQ345" s="3" t="str">
        <f t="shared" si="186"/>
        <v>-</v>
      </c>
      <c r="AR345" s="3" t="str">
        <f t="shared" si="187"/>
        <v>-</v>
      </c>
      <c r="AS345" s="3" t="str">
        <f t="shared" si="188"/>
        <v>-</v>
      </c>
      <c r="AT345" s="3" t="str">
        <f t="shared" si="189"/>
        <v>-</v>
      </c>
      <c r="AU345" s="3" t="str">
        <f t="shared" si="190"/>
        <v>-</v>
      </c>
      <c r="AV345" s="3" t="str">
        <f t="shared" si="191"/>
        <v>-</v>
      </c>
      <c r="AW345" s="3" t="str">
        <f t="shared" si="192"/>
        <v>-</v>
      </c>
      <c r="AX345" s="3">
        <f t="shared" si="193"/>
        <v>5</v>
      </c>
      <c r="AY345" s="3">
        <f t="shared" si="194"/>
        <v>26</v>
      </c>
      <c r="AZ345" s="3">
        <f t="shared" si="195"/>
        <v>2</v>
      </c>
      <c r="BA345" s="3">
        <f>IF(ISERROR(LEN(VLOOKUP(A345,Seqs!A:E,2,FALSE))-AL345),"-",LEN(VLOOKUP(A345,Seqs!A:E,2,FALSE))-AL345)</f>
        <v>29</v>
      </c>
      <c r="BB345" s="16">
        <f t="shared" si="196"/>
        <v>49</v>
      </c>
      <c r="BC345" s="9" t="str">
        <f t="shared" si="197"/>
        <v>-</v>
      </c>
      <c r="BD345" s="3">
        <f t="shared" si="198"/>
        <v>49</v>
      </c>
      <c r="BE345" s="3">
        <f t="shared" si="199"/>
        <v>37</v>
      </c>
      <c r="BF345" s="3">
        <f>AH345-AE345</f>
        <v>44</v>
      </c>
    </row>
    <row r="346" spans="1:58" s="3" customFormat="1" x14ac:dyDescent="0.2">
      <c r="A346" s="3" t="s">
        <v>1423</v>
      </c>
      <c r="B346" s="3" t="str">
        <f>LOWER(VLOOKUP(A346,Xtal_Templ!A:B,2,FALSE))</f>
        <v>crfr1_human</v>
      </c>
      <c r="C346" s="3">
        <f>VLOOKUP($A346,'SegEnds_NonXtal_BW#'!$A:$Z,3,FALSE)+D346-50</f>
        <v>852</v>
      </c>
      <c r="D346" s="3">
        <v>879</v>
      </c>
      <c r="E346" s="3">
        <f>IF(ISERROR(VLOOKUP($A346,'SegEnds_NonXtal_BW#'!$A:$Z,4,FALSE)+VLOOKUP($A346,A:AL,4,FALSE)-50),"-",(VLOOKUP($A346,'SegEnds_NonXtal_BW#'!$A:$Z,4,FALSE)+VLOOKUP($A346,A:AL,4,FALSE)-50))</f>
        <v>889</v>
      </c>
      <c r="F346" s="3">
        <f>G346-2</f>
        <v>890</v>
      </c>
      <c r="G346" s="3">
        <v>892</v>
      </c>
      <c r="H346" s="3">
        <f>G346+1</f>
        <v>893</v>
      </c>
      <c r="I346" s="3">
        <f>H346+1</f>
        <v>894</v>
      </c>
      <c r="J346" s="3">
        <v>908</v>
      </c>
      <c r="K346" s="3">
        <f>VLOOKUP($A346,'SegEnds_NonXtal_BW#'!$A:$Z,8,FALSE)+VLOOKUP($A346,A:AL,10,FALSE)-50</f>
        <v>921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928</v>
      </c>
      <c r="P346" s="3">
        <v>955</v>
      </c>
      <c r="Q346" s="3">
        <f>VLOOKUP($A346,'SegEnds_NonXtal_BW#'!$A:$Z,12,FALSE)+VLOOKUP($A346,A:AL,16,FALSE)-50</f>
        <v>961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3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969</v>
      </c>
      <c r="V346" s="3">
        <v>979</v>
      </c>
      <c r="W346" s="3">
        <f>IF(ISERROR(VLOOKUP($A346,'SegEnds_NonXtal_BW#'!$A:$Z,16,FALSE)+VLOOKUP($A346,A:AL,22,FALSE)-50),"-",(VLOOKUP($A346,'SegEnds_NonXtal_BW#'!$A:$Z,16,FALSE)+VLOOKUP($A346,A:AL,22,FALSE)-50))</f>
        <v>997</v>
      </c>
      <c r="X346" s="3">
        <f>IF(ISERROR(VLOOKUP($A346,'SegEnds_NonXtal_BW#'!$A:$Z,17,FALSE)+VLOOKUP($A346,A:AL,25,FALSE)-50),"-",(VLOOKUP($A346,'SegEnds_NonXtal_BW#'!$A:$Z,17,FALSE)+VLOOKUP($A346,A:AL,25,FALSE)-50))</f>
        <v>1013</v>
      </c>
      <c r="Y346" s="3">
        <v>1013</v>
      </c>
      <c r="Z346" s="3">
        <f>Y346+2</f>
        <v>1015</v>
      </c>
      <c r="AA346" s="3">
        <f>IF(ISERROR(VLOOKUP($A346,'SegEnds_NonXtal_BW#'!$A:$Z,19,FALSE)+VLOOKUP($A346,A:AL,28,FALSE)-50),"-",(VLOOKUP($A346,'SegEnds_NonXtal_BW#'!$A:$Z,19,FALSE)+VLOOKUP($A346,A:AL,28,FALSE)-50))</f>
        <v>1018</v>
      </c>
      <c r="AB346" s="3">
        <v>1032</v>
      </c>
      <c r="AC346" s="3">
        <f>IF(ISERROR((VLOOKUP($A346,'SegEnds_NonXtal_BW#'!$A:$Z,20,FALSE)+VLOOKUP($A346,A:AL,28,FALSE)-50)),"-",(VLOOKUP($A346,'SegEnds_NonXtal_BW#'!$A:$Z,20,FALSE)+VLOOKUP($A346,A:AL,28,FALSE)-50))</f>
        <v>1051</v>
      </c>
      <c r="AD346" s="3">
        <f>IF(ISERROR(VLOOKUP($A346,'SegEnds_NonXtal_BW#'!$A:$Z,21,FALSE)+VLOOKUP($A346,A:AL,31,FALSE)-50),"-",(VLOOKUP($A346,'SegEnds_NonXtal_BW#'!$A:$Z,21,FALSE)+VLOOKUP($A346,A:AL,31,FALSE)-50))</f>
        <v>1062</v>
      </c>
      <c r="AE346" s="3">
        <v>1083</v>
      </c>
      <c r="AF346" s="3">
        <f>IF(ISERROR((VLOOKUP($A346,'SegEnds_NonXtal_BW#'!$A:$Z,22,FALSE)+VLOOKUP($A346,A:AL,31,FALSE)-50)),"-",(VLOOKUP($A346,'SegEnds_NonXtal_BW#'!$A:$Z,22,FALSE)+VLOOKUP($A346,A:AL,31,FALSE)-50))</f>
        <v>1086</v>
      </c>
      <c r="AG346" s="3">
        <f>IF(ISERROR(VLOOKUP($A346,'SegEnds_NonXtal_BW#'!$A:$Z,23,FALSE)+VLOOKUP($A346,A:AL,34,FALSE)-50),"-",(VLOOKUP($A346,'SegEnds_NonXtal_BW#'!$A:$Z,23,FALSE)+VLOOKUP($A346,A:AL,34,FALSE)-50))</f>
        <v>1092</v>
      </c>
      <c r="AH346" s="3">
        <v>1111</v>
      </c>
      <c r="AI346" s="3">
        <f>IF(ISERROR((VLOOKUP($A346,'SegEnds_NonXtal_BW#'!$A:$Z,24,FALSE)+VLOOKUP($A346,A:AL,34,FALSE)-50)),"-",(VLOOKUP($A346,'SegEnds_NonXtal_BW#'!$A:$Z,24,FALSE)+VLOOKUP($A346,A:AL,34,FALSE)-50))</f>
        <v>1117</v>
      </c>
      <c r="AJ346" s="3">
        <f>IF(ISERROR(VLOOKUP($A346,'SegEnds_NonXtal_BW#'!$A:$Z,25,FALSE)+VLOOKUP($A346,A:AL,37,FALSE)-50),"-",(VLOOKUP($A346,'SegEnds_NonXtal_BW#'!$A:$Z,25,FALSE)+VLOOKUP($A346,A:AL,37,FALSE)-50))</f>
        <v>1118</v>
      </c>
      <c r="AK346" s="3">
        <v>1121</v>
      </c>
      <c r="AL346" s="3">
        <f>IF(ISERROR((VLOOKUP($A346,'SegEnds_NonXtal_BW#'!$A:$Z,26,FALSE)+VLOOKUP($A346,A:AL,37,FALSE)-50)),"-",(VLOOKUP($A346,'SegEnds_NonXtal_BW#'!$A:$Z,26,FALSE)+VLOOKUP($A346,A:AL,37,FALSE)-50))</f>
        <v>1134</v>
      </c>
      <c r="AM346" s="28" t="str">
        <f>VLOOKUP(A346,Classification!A:B,2,FALSE)</f>
        <v>B2</v>
      </c>
      <c r="AN346" s="28" t="b">
        <f t="shared" si="200"/>
        <v>1</v>
      </c>
      <c r="AO346" s="3" t="str">
        <f>IF(ISERROR(MATCH(A346,'SegEnds_Xtal_Prot#'!B:B, 0)), "NoXtal", "Xtal")</f>
        <v>NoXtal</v>
      </c>
      <c r="AP346" s="3">
        <f t="shared" si="185"/>
        <v>1</v>
      </c>
      <c r="AQ346" s="3">
        <f t="shared" si="186"/>
        <v>1</v>
      </c>
      <c r="AR346" s="3" t="str">
        <f t="shared" si="187"/>
        <v>-</v>
      </c>
      <c r="AS346" s="3" t="str">
        <f t="shared" si="188"/>
        <v>-</v>
      </c>
      <c r="AT346" s="3" t="str">
        <f t="shared" si="189"/>
        <v>-</v>
      </c>
      <c r="AU346" s="3" t="str">
        <f t="shared" si="190"/>
        <v>-</v>
      </c>
      <c r="AV346" s="3">
        <f t="shared" si="191"/>
        <v>16</v>
      </c>
      <c r="AW346" s="3">
        <f t="shared" si="192"/>
        <v>3</v>
      </c>
      <c r="AX346" s="3">
        <f t="shared" si="193"/>
        <v>11</v>
      </c>
      <c r="AY346" s="3">
        <f t="shared" si="194"/>
        <v>6</v>
      </c>
      <c r="AZ346" s="3">
        <f t="shared" si="195"/>
        <v>1</v>
      </c>
      <c r="BA346" s="3">
        <f>IF(ISERROR(LEN(VLOOKUP(A346,Seqs!A:E,2,FALSE))-AL346),"-",LEN(VLOOKUP(A346,Seqs!A:E,2,FALSE))-AL346)</f>
        <v>87</v>
      </c>
      <c r="BB346" s="16">
        <f t="shared" si="196"/>
        <v>29</v>
      </c>
      <c r="BC346" s="9" t="str">
        <f t="shared" si="197"/>
        <v>-</v>
      </c>
      <c r="BD346" s="3">
        <f t="shared" si="198"/>
        <v>29</v>
      </c>
      <c r="BE346" s="3">
        <f t="shared" si="199"/>
        <v>51</v>
      </c>
    </row>
    <row r="347" spans="1:58" s="3" customFormat="1" x14ac:dyDescent="0.2">
      <c r="A347" s="3" t="s">
        <v>214</v>
      </c>
      <c r="B347" s="3" t="str">
        <f>LOWER(VLOOKUP(A347,Xtal_Templ!A:B,2,FALSE))</f>
        <v>p2ry1_human</v>
      </c>
      <c r="C347" s="3">
        <f>VLOOKUP($A347,'SegEnds_NonXtal_BW#'!$A:$Z,3,FALSE)+D347-50</f>
        <v>40</v>
      </c>
      <c r="D347" s="3">
        <v>60</v>
      </c>
      <c r="E347" s="3">
        <f>IF(ISERROR(VLOOKUP($A347,'SegEnds_NonXtal_BW#'!$A:$Z,4,FALSE)+VLOOKUP($A347,A:AL,4,FALSE)-50),"-",(VLOOKUP($A347,'SegEnds_NonXtal_BW#'!$A:$Z,4,FALSE)+VLOOKUP($A347,A:AL,4,FALSE)-50))</f>
        <v>70</v>
      </c>
      <c r="F347" s="3" t="str">
        <f>IF(ISERROR(VLOOKUP($A347,'SegEnds_NonXtal_BW#'!$A:$Z,5,FALSE)+VLOOKUP($A347,A:AL,7,FALSE)-50),"-",(VLOOKUP($A347,'SegEnds_NonXtal_BW#'!$A:$Z,5,FALSE)+VLOOKUP($A347,A:AL,7,FALSE)-50))</f>
        <v>-</v>
      </c>
      <c r="G347" s="3" t="s">
        <v>23</v>
      </c>
      <c r="H347" s="3" t="str">
        <f>IF(ISERROR(VLOOKUP($A347,'SegEnds_NonXtal_BW#'!$A:$Z,6,FALSE)+VLOOKUP($A347,A:AL,7,FALSE)-50),"-",(VLOOKUP($A347,'SegEnds_NonXtal_BW#'!$A:$Z,6,FALSE)+VLOOKUP($A347,A:AL,7,FALSE)-50))</f>
        <v>-</v>
      </c>
      <c r="I347" s="3">
        <f>VLOOKUP($A347,'SegEnds_NonXtal_BW#'!$A:$Z,7,FALSE)+J347-50</f>
        <v>75</v>
      </c>
      <c r="J347" s="3">
        <v>88</v>
      </c>
      <c r="K347" s="3">
        <f>VLOOKUP($A347,'SegEnds_NonXtal_BW#'!$A:$Z,8,FALSE)+VLOOKUP($A347,A:AL,10,FALSE)-50</f>
        <v>104</v>
      </c>
      <c r="L347" s="3">
        <f>M347-1</f>
        <v>107</v>
      </c>
      <c r="M347" s="3">
        <v>108</v>
      </c>
      <c r="N347" s="3">
        <f>M347+2</f>
        <v>110</v>
      </c>
      <c r="O347" s="3">
        <f>N347+1</f>
        <v>111</v>
      </c>
      <c r="P347" s="3">
        <v>140</v>
      </c>
      <c r="Q347" s="3">
        <f>VLOOKUP($A347,'SegEnds_NonXtal_BW#'!$A:$Z,12,FALSE)+VLOOKUP($A347,A:AL,16,FALSE)-50</f>
        <v>146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3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155</v>
      </c>
      <c r="V347" s="3">
        <v>167</v>
      </c>
      <c r="W347" s="3">
        <f>IF(ISERROR(VLOOKUP($A347,'SegEnds_NonXtal_BW#'!$A:$Z,16,FALSE)+VLOOKUP($A347,A:AL,22,FALSE)-50),"-",(VLOOKUP($A347,'SegEnds_NonXtal_BW#'!$A:$Z,16,FALSE)+VLOOKUP($A347,A:AL,22,FALSE)-50))</f>
        <v>181</v>
      </c>
      <c r="X347" s="3">
        <f>IF(ISERROR(VLOOKUP($A347,'SegEnds_NonXtal_BW#'!$A:$Z,17,FALSE)+VLOOKUP($A347,A:AL,25,FALSE)-50),"-",(VLOOKUP($A347,'SegEnds_NonXtal_BW#'!$A:$Z,17,FALSE)+VLOOKUP($A347,A:AL,25,FALSE)-50))</f>
        <v>186</v>
      </c>
      <c r="Y347" s="3">
        <v>186</v>
      </c>
      <c r="Z347" s="3">
        <f>Y347+2</f>
        <v>188</v>
      </c>
      <c r="AA347" s="3">
        <f>IF(ISERROR(VLOOKUP($A347,'SegEnds_NonXtal_BW#'!$A:$Z,19,FALSE)+VLOOKUP($A347,A:AL,28,FALSE)-50),"-",(VLOOKUP($A347,'SegEnds_NonXtal_BW#'!$A:$Z,19,FALSE)+VLOOKUP($A347,A:AL,28,FALSE)-50))</f>
        <v>193</v>
      </c>
      <c r="AB347" s="3">
        <v>211</v>
      </c>
      <c r="AC347" s="3">
        <f>IF(ISERROR((VLOOKUP($A347,'SegEnds_NonXtal_BW#'!$A:$Z,20,FALSE)+VLOOKUP($A347,A:AL,28,FALSE)-50)),"-",(VLOOKUP($A347,'SegEnds_NonXtal_BW#'!$A:$Z,20,FALSE)+VLOOKUP($A347,A:AL,28,FALSE)-50))</f>
        <v>228</v>
      </c>
      <c r="AD347" s="3">
        <f>IF(ISERROR(VLOOKUP($A347,'SegEnds_NonXtal_BW#'!$A:$Z,21,FALSE)+VLOOKUP($A347,A:AL,31,FALSE)-50),"-",(VLOOKUP($A347,'SegEnds_NonXtal_BW#'!$A:$Z,21,FALSE)+VLOOKUP($A347,A:AL,31,FALSE)-50))</f>
        <v>233</v>
      </c>
      <c r="AE347" s="3">
        <v>257</v>
      </c>
      <c r="AF347" s="3">
        <f>IF(ISERROR((VLOOKUP($A347,'SegEnds_NonXtal_BW#'!$A:$Z,22,FALSE)+VLOOKUP($A347,A:AL,31,FALSE)-50)),"-",(VLOOKUP($A347,'SegEnds_NonXtal_BW#'!$A:$Z,22,FALSE)+VLOOKUP($A347,A:AL,31,FALSE)-50))</f>
        <v>271</v>
      </c>
      <c r="AG347" s="3">
        <f>IF(ISERROR(VLOOKUP($A347,'SegEnds_NonXtal_BW#'!$A:$Z,23,FALSE)+VLOOKUP($A347,A:AL,34,FALSE)-50),"-",(VLOOKUP($A347,'SegEnds_NonXtal_BW#'!$A:$Z,23,FALSE)+VLOOKUP($A347,A:AL,34,FALSE)-50))</f>
        <v>279</v>
      </c>
      <c r="AH347" s="3">
        <v>305</v>
      </c>
      <c r="AI347" s="3">
        <f>IF(ISERROR((VLOOKUP($A347,'SegEnds_NonXtal_BW#'!$A:$Z,24,FALSE)+VLOOKUP($A347,A:AL,34,FALSE)-50)),"-",(VLOOKUP($A347,'SegEnds_NonXtal_BW#'!$A:$Z,24,FALSE)+VLOOKUP($A347,A:AL,34,FALSE)-50))</f>
        <v>311</v>
      </c>
      <c r="AJ347" s="3">
        <f>IF(ISERROR(VLOOKUP($A347,'SegEnds_NonXtal_BW#'!$A:$Z,25,FALSE)+VLOOKUP($A347,A:AL,37,FALSE)-50),"-",(VLOOKUP($A347,'SegEnds_NonXtal_BW#'!$A:$Z,25,FALSE)+VLOOKUP($A347,A:AL,37,FALSE)-50))</f>
        <v>312</v>
      </c>
      <c r="AK347" s="3">
        <v>315</v>
      </c>
      <c r="AL347" s="3">
        <f>IF(ISERROR((VLOOKUP($A347,'SegEnds_NonXtal_BW#'!$A:$Z,26,FALSE)+VLOOKUP($A347,A:AL,37,FALSE)-50)),"-",(VLOOKUP($A347,'SegEnds_NonXtal_BW#'!$A:$Z,26,FALSE)+VLOOKUP($A347,A:AL,37,FALSE)-50))</f>
        <v>324</v>
      </c>
      <c r="AM347" s="28" t="str">
        <f>VLOOKUP(A347,Classification!A:B,2,FALSE)</f>
        <v>A</v>
      </c>
      <c r="AN347" s="28" t="b">
        <f t="shared" si="200"/>
        <v>1</v>
      </c>
      <c r="AO347" s="3" t="str">
        <f>IF(ISERROR(MATCH(A347,'SegEnds_Xtal_Prot#'!B:B, 0)), "NoXtal", "Xtal")</f>
        <v>NoXtal</v>
      </c>
      <c r="AP347" s="3" t="str">
        <f t="shared" si="185"/>
        <v>-</v>
      </c>
      <c r="AQ347" s="3" t="str">
        <f t="shared" si="186"/>
        <v>-</v>
      </c>
      <c r="AR347" s="3">
        <f t="shared" si="187"/>
        <v>3</v>
      </c>
      <c r="AS347" s="3">
        <f t="shared" si="188"/>
        <v>1</v>
      </c>
      <c r="AT347" s="3" t="str">
        <f t="shared" si="189"/>
        <v>-</v>
      </c>
      <c r="AU347" s="3" t="str">
        <f t="shared" si="190"/>
        <v>-</v>
      </c>
      <c r="AV347" s="3">
        <f t="shared" si="191"/>
        <v>5</v>
      </c>
      <c r="AW347" s="3">
        <f t="shared" si="192"/>
        <v>5</v>
      </c>
      <c r="AX347" s="3">
        <f t="shared" si="193"/>
        <v>5</v>
      </c>
      <c r="AY347" s="3">
        <f t="shared" si="194"/>
        <v>8</v>
      </c>
      <c r="AZ347" s="3">
        <f t="shared" si="195"/>
        <v>1</v>
      </c>
      <c r="BA347" s="3">
        <f>IF(ISERROR(LEN(VLOOKUP(A347,Seqs!A:E,2,FALSE))-AL347),"-",LEN(VLOOKUP(A347,Seqs!A:E,2,FALSE))-AL347)</f>
        <v>56</v>
      </c>
      <c r="BB347" s="16">
        <f t="shared" si="196"/>
        <v>28</v>
      </c>
      <c r="BC347" s="9" t="str">
        <f t="shared" si="197"/>
        <v>-</v>
      </c>
      <c r="BD347" s="3">
        <f t="shared" si="198"/>
        <v>28</v>
      </c>
      <c r="BE347" s="3">
        <f t="shared" si="199"/>
        <v>46</v>
      </c>
    </row>
    <row r="348" spans="1:58" s="3" customFormat="1" x14ac:dyDescent="0.2">
      <c r="A348" s="3" t="s">
        <v>215</v>
      </c>
      <c r="B348" s="3" t="str">
        <f>LOWER(VLOOKUP(A348,Xtal_Templ!A:B,2,FALSE))</f>
        <v>ox1r_human</v>
      </c>
      <c r="C348" s="3">
        <f>VLOOKUP($A348,'SegEnds_NonXtal_BW#'!$A:$Z,3,FALSE)+D348-50</f>
        <v>103</v>
      </c>
      <c r="D348" s="3">
        <v>121</v>
      </c>
      <c r="E348" s="3">
        <f>IF(ISERROR(VLOOKUP($A348,'SegEnds_NonXtal_BW#'!$A:$Z,4,FALSE)+VLOOKUP($A348,A:AL,4,FALSE)-50),"-",(VLOOKUP($A348,'SegEnds_NonXtal_BW#'!$A:$Z,4,FALSE)+VLOOKUP($A348,A:AL,4,FALSE)-50))</f>
        <v>131</v>
      </c>
      <c r="F348" s="3">
        <f>G348-2</f>
        <v>132</v>
      </c>
      <c r="G348" s="3">
        <v>134</v>
      </c>
      <c r="H348" s="3">
        <f>G348+1</f>
        <v>135</v>
      </c>
      <c r="I348" s="3">
        <f>H348+1</f>
        <v>136</v>
      </c>
      <c r="J348" s="3">
        <v>149</v>
      </c>
      <c r="K348" s="3">
        <f>VLOOKUP($A348,'SegEnds_NonXtal_BW#'!$A:$Z,8,FALSE)+VLOOKUP($A348,A:AL,10,FALSE)-50</f>
        <v>166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177</v>
      </c>
      <c r="P348" s="3">
        <v>209</v>
      </c>
      <c r="Q348" s="3">
        <f>VLOOKUP($A348,'SegEnds_NonXtal_BW#'!$A:$Z,12,FALSE)+VLOOKUP($A348,A:AL,16,FALSE)-50</f>
        <v>215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3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222</v>
      </c>
      <c r="V348" s="3">
        <v>234</v>
      </c>
      <c r="W348" s="3">
        <f>IF(ISERROR(VLOOKUP($A348,'SegEnds_NonXtal_BW#'!$A:$Z,16,FALSE)+VLOOKUP($A348,A:AL,22,FALSE)-50),"-",(VLOOKUP($A348,'SegEnds_NonXtal_BW#'!$A:$Z,16,FALSE)+VLOOKUP($A348,A:AL,22,FALSE)-50))</f>
        <v>248</v>
      </c>
      <c r="X348" s="3">
        <f>IF(ISERROR(VLOOKUP($A348,'SegEnds_NonXtal_BW#'!$A:$Z,17,FALSE)+VLOOKUP($A348,A:AL,25,FALSE)-50),"-",(VLOOKUP($A348,'SegEnds_NonXtal_BW#'!$A:$Z,17,FALSE)+VLOOKUP($A348,A:AL,25,FALSE)-50))</f>
        <v>262</v>
      </c>
      <c r="Y348" s="3">
        <v>262</v>
      </c>
      <c r="Z348" s="3">
        <f>Y348+2</f>
        <v>264</v>
      </c>
      <c r="AA348" s="3">
        <f>IF(ISERROR(VLOOKUP($A348,'SegEnds_NonXtal_BW#'!$A:$Z,19,FALSE)+VLOOKUP($A348,A:AL,28,FALSE)-50),"-",(VLOOKUP($A348,'SegEnds_NonXtal_BW#'!$A:$Z,19,FALSE)+VLOOKUP($A348,A:AL,28,FALSE)-50))</f>
        <v>271</v>
      </c>
      <c r="AB348" s="3">
        <v>289</v>
      </c>
      <c r="AC348" s="3">
        <f>IF(ISERROR((VLOOKUP($A348,'SegEnds_NonXtal_BW#'!$A:$Z,20,FALSE)+VLOOKUP($A348,A:AL,28,FALSE)-50)),"-",(VLOOKUP($A348,'SegEnds_NonXtal_BW#'!$A:$Z,20,FALSE)+VLOOKUP($A348,A:AL,28,FALSE)-50))</f>
        <v>311</v>
      </c>
      <c r="AD348" s="3">
        <f>IF(ISERROR(VLOOKUP($A348,'SegEnds_NonXtal_BW#'!$A:$Z,21,FALSE)+VLOOKUP($A348,A:AL,31,FALSE)-50),"-",(VLOOKUP($A348,'SegEnds_NonXtal_BW#'!$A:$Z,21,FALSE)+VLOOKUP($A348,A:AL,31,FALSE)-50))</f>
        <v>320</v>
      </c>
      <c r="AE348" s="3">
        <v>346</v>
      </c>
      <c r="AF348" s="3">
        <f>IF(ISERROR((VLOOKUP($A348,'SegEnds_NonXtal_BW#'!$A:$Z,22,FALSE)+VLOOKUP($A348,A:AL,31,FALSE)-50)),"-",(VLOOKUP($A348,'SegEnds_NonXtal_BW#'!$A:$Z,22,FALSE)+VLOOKUP($A348,A:AL,31,FALSE)-50))</f>
        <v>357</v>
      </c>
      <c r="AG348" s="3">
        <f>IF(ISERROR(VLOOKUP($A348,'SegEnds_NonXtal_BW#'!$A:$Z,23,FALSE)+VLOOKUP($A348,A:AL,34,FALSE)-50),"-",(VLOOKUP($A348,'SegEnds_NonXtal_BW#'!$A:$Z,23,FALSE)+VLOOKUP($A348,A:AL,34,FALSE)-50))</f>
        <v>362</v>
      </c>
      <c r="AH348" s="3">
        <v>384</v>
      </c>
      <c r="AI348" s="3">
        <f>IF(ISERROR((VLOOKUP($A348,'SegEnds_NonXtal_BW#'!$A:$Z,24,FALSE)+VLOOKUP($A348,A:AL,34,FALSE)-50)),"-",(VLOOKUP($A348,'SegEnds_NonXtal_BW#'!$A:$Z,24,FALSE)+VLOOKUP($A348,A:AL,34,FALSE)-50))</f>
        <v>390</v>
      </c>
      <c r="AJ348" s="3">
        <f>IF(ISERROR(VLOOKUP($A348,'SegEnds_NonXtal_BW#'!$A:$Z,25,FALSE)+VLOOKUP($A348,A:AL,37,FALSE)-50),"-",(VLOOKUP($A348,'SegEnds_NonXtal_BW#'!$A:$Z,25,FALSE)+VLOOKUP($A348,A:AL,37,FALSE)-50))</f>
        <v>391</v>
      </c>
      <c r="AK348" s="3">
        <v>394</v>
      </c>
      <c r="AL348" s="3">
        <f>IF(ISERROR((VLOOKUP($A348,'SegEnds_NonXtal_BW#'!$A:$Z,26,FALSE)+VLOOKUP($A348,A:AL,37,FALSE)-50)),"-",(VLOOKUP($A348,'SegEnds_NonXtal_BW#'!$A:$Z,26,FALSE)+VLOOKUP($A348,A:AL,37,FALSE)-50))</f>
        <v>402</v>
      </c>
      <c r="AM348" s="28" t="str">
        <f>VLOOKUP(A348,Classification!A:B,2,FALSE)</f>
        <v>A</v>
      </c>
      <c r="AN348" s="28" t="b">
        <f t="shared" si="200"/>
        <v>1</v>
      </c>
      <c r="AO348" s="3" t="str">
        <f>IF(ISERROR(MATCH(A348,'SegEnds_Xtal_Prot#'!B:B, 0)), "NoXtal", "Xtal")</f>
        <v>NoXtal</v>
      </c>
      <c r="AP348" s="3">
        <f t="shared" si="185"/>
        <v>1</v>
      </c>
      <c r="AQ348" s="3">
        <f t="shared" si="186"/>
        <v>1</v>
      </c>
      <c r="AR348" s="3" t="str">
        <f t="shared" si="187"/>
        <v>-</v>
      </c>
      <c r="AS348" s="3" t="str">
        <f t="shared" si="188"/>
        <v>-</v>
      </c>
      <c r="AT348" s="3" t="str">
        <f t="shared" si="189"/>
        <v>-</v>
      </c>
      <c r="AU348" s="3" t="str">
        <f t="shared" si="190"/>
        <v>-</v>
      </c>
      <c r="AV348" s="3">
        <f t="shared" si="191"/>
        <v>14</v>
      </c>
      <c r="AW348" s="3">
        <f t="shared" si="192"/>
        <v>7</v>
      </c>
      <c r="AX348" s="3">
        <f t="shared" si="193"/>
        <v>9</v>
      </c>
      <c r="AY348" s="3">
        <f t="shared" si="194"/>
        <v>5</v>
      </c>
      <c r="AZ348" s="3">
        <f t="shared" si="195"/>
        <v>1</v>
      </c>
      <c r="BA348" s="3">
        <f>IF(ISERROR(LEN(VLOOKUP(A348,Seqs!A:E,2,FALSE))-AL348),"-",LEN(VLOOKUP(A348,Seqs!A:E,2,FALSE))-AL348)</f>
        <v>92</v>
      </c>
      <c r="BB348" s="16">
        <f t="shared" si="196"/>
        <v>28</v>
      </c>
      <c r="BC348" s="9" t="str">
        <f t="shared" si="197"/>
        <v>-</v>
      </c>
      <c r="BD348" s="3">
        <f t="shared" si="198"/>
        <v>28</v>
      </c>
      <c r="BE348" s="3">
        <f t="shared" si="199"/>
        <v>57</v>
      </c>
    </row>
    <row r="349" spans="1:58" s="3" customFormat="1" x14ac:dyDescent="0.2">
      <c r="A349" s="3" t="s">
        <v>485</v>
      </c>
      <c r="B349" s="3" t="str">
        <f>LOWER(VLOOKUP(A349,Xtal_Templ!A:B,2,FALSE))</f>
        <v>aa2ar_human</v>
      </c>
      <c r="C349" s="3">
        <v>12</v>
      </c>
      <c r="D349" s="3">
        <v>42</v>
      </c>
      <c r="E349" s="3">
        <f>IF(ISERROR(VLOOKUP($A349,'SegEnds_NonXtal_BW#'!$A:$Z,4,FALSE)+VLOOKUP($A349,A:AL,4,FALSE)-50),"-",(VLOOKUP($A349,'SegEnds_NonXtal_BW#'!$A:$Z,4,FALSE)+VLOOKUP($A349,A:AL,4,FALSE)-50))</f>
        <v>52</v>
      </c>
      <c r="F349" s="3" t="str">
        <f>IF(ISERROR(VLOOKUP($A349,'SegEnds_NonXtal_BW#'!$A:$Z,5,FALSE)+VLOOKUP($A349,A:AL,7,FALSE)-50),"-",(VLOOKUP($A349,'SegEnds_NonXtal_BW#'!$A:$Z,5,FALSE)+VLOOKUP($A349,A:AL,7,FALSE)-50))</f>
        <v>-</v>
      </c>
      <c r="G349" s="3" t="s">
        <v>23</v>
      </c>
      <c r="H349" s="3" t="str">
        <f>IF(ISERROR(VLOOKUP($A349,'SegEnds_NonXtal_BW#'!$A:$Z,6,FALSE)+VLOOKUP($A349,A:AL,7,FALSE)-50),"-",(VLOOKUP($A349,'SegEnds_NonXtal_BW#'!$A:$Z,6,FALSE)+VLOOKUP($A349,A:AL,7,FALSE)-50))</f>
        <v>-</v>
      </c>
      <c r="I349" s="3">
        <f>VLOOKUP($A349,'SegEnds_NonXtal_BW#'!$A:$Z,7,FALSE)+J349-50</f>
        <v>67</v>
      </c>
      <c r="J349" s="3">
        <v>78</v>
      </c>
      <c r="K349" s="3">
        <f>VLOOKUP($A349,'SegEnds_NonXtal_BW#'!$A:$Z,8,FALSE)+VLOOKUP($A349,A:AL,10,FALSE)-50</f>
        <v>91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114</v>
      </c>
      <c r="P349" s="3">
        <v>141</v>
      </c>
      <c r="Q349" s="3">
        <f>VLOOKUP($A349,'SegEnds_NonXtal_BW#'!$A:$Z,12,FALSE)+VLOOKUP($A349,A:AL,16,FALSE)-50</f>
        <v>147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3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152</v>
      </c>
      <c r="V349" s="3">
        <v>162</v>
      </c>
      <c r="W349" s="3">
        <f>IF(ISERROR(VLOOKUP($A349,'SegEnds_NonXtal_BW#'!$A:$Z,16,FALSE)+VLOOKUP($A349,A:AL,22,FALSE)-50),"-",(VLOOKUP($A349,'SegEnds_NonXtal_BW#'!$A:$Z,16,FALSE)+VLOOKUP($A349,A:AL,22,FALSE)-50))</f>
        <v>176</v>
      </c>
      <c r="X349" s="3" t="str">
        <f>IF(ISERROR(VLOOKUP($A349,'SegEnds_NonXtal_BW#'!$A:$Z,17,FALSE)+VLOOKUP($A349,A:AL,25,FALSE)-50),"-",(VLOOKUP($A349,'SegEnds_NonXtal_BW#'!$A:$Z,17,FALSE)+VLOOKUP($A349,A:AL,25,FALSE)-50))</f>
        <v>-</v>
      </c>
      <c r="Y349" s="3" t="s">
        <v>23</v>
      </c>
      <c r="Z349" s="3" t="str">
        <f>IF(ISERROR(VLOOKUP($A349,'SegEnds_NonXtal_BW#'!$A:$Z,18,FALSE)+VLOOKUP($A349,A:AL,25,FALSE)-50),"-",(VLOOKUP($A349,'SegEnds_NonXtal_BW#'!$A:$Z,18,FALSE)+VLOOKUP($A349,A:AL,25,FALSE)-50))</f>
        <v>-</v>
      </c>
      <c r="AA349" s="3">
        <f>IF(ISERROR(VLOOKUP($A349,'SegEnds_NonXtal_BW#'!$A:$Z,19,FALSE)+VLOOKUP($A349,A:AL,28,FALSE)-50),"-",(VLOOKUP($A349,'SegEnds_NonXtal_BW#'!$A:$Z,19,FALSE)+VLOOKUP($A349,A:AL,28,FALSE)-50))</f>
        <v>190</v>
      </c>
      <c r="AB349" s="3">
        <v>201</v>
      </c>
      <c r="AC349" s="3">
        <f>IF(ISERROR((VLOOKUP($A349,'SegEnds_NonXtal_BW#'!$A:$Z,20,FALSE)+VLOOKUP($A349,A:AL,28,FALSE)-50)),"-",(VLOOKUP($A349,'SegEnds_NonXtal_BW#'!$A:$Z,20,FALSE)+VLOOKUP($A349,A:AL,28,FALSE)-50))</f>
        <v>212</v>
      </c>
      <c r="AD349" s="3">
        <f>IF(ISERROR(VLOOKUP($A349,'SegEnds_NonXtal_BW#'!$A:$Z,21,FALSE)+VLOOKUP($A349,A:AL,31,FALSE)-50),"-",(VLOOKUP($A349,'SegEnds_NonXtal_BW#'!$A:$Z,21,FALSE)+VLOOKUP($A349,A:AL,31,FALSE)-50))</f>
        <v>238</v>
      </c>
      <c r="AE349" s="3">
        <v>259</v>
      </c>
      <c r="AF349" s="3">
        <f>IF(ISERROR((VLOOKUP($A349,'SegEnds_NonXtal_BW#'!$A:$Z,22,FALSE)+VLOOKUP($A349,A:AL,31,FALSE)-50)),"-",(VLOOKUP($A349,'SegEnds_NonXtal_BW#'!$A:$Z,22,FALSE)+VLOOKUP($A349,A:AL,31,FALSE)-50))</f>
        <v>262</v>
      </c>
      <c r="AG349" s="3">
        <f>IF(ISERROR(VLOOKUP($A349,'SegEnds_NonXtal_BW#'!$A:$Z,23,FALSE)+VLOOKUP($A349,A:AL,34,FALSE)-50),"-",(VLOOKUP($A349,'SegEnds_NonXtal_BW#'!$A:$Z,23,FALSE)+VLOOKUP($A349,A:AL,34,FALSE)-50))</f>
        <v>293</v>
      </c>
      <c r="AH349" s="3">
        <v>308</v>
      </c>
      <c r="AI349" s="3">
        <f>IF(ISERROR((VLOOKUP($A349,'SegEnds_NonXtal_BW#'!$A:$Z,24,FALSE)+VLOOKUP($A349,A:AL,34,FALSE)-50)),"-",(VLOOKUP($A349,'SegEnds_NonXtal_BW#'!$A:$Z,24,FALSE)+VLOOKUP($A349,A:AL,34,FALSE)-50))</f>
        <v>314</v>
      </c>
      <c r="AJ349" s="3">
        <f>IF(ISERROR(VLOOKUP($A349,'SegEnds_NonXtal_BW#'!$A:$Z,25,FALSE)+VLOOKUP($A349,A:AL,37,FALSE)-50),"-",(VLOOKUP($A349,'SegEnds_NonXtal_BW#'!$A:$Z,25,FALSE)+VLOOKUP($A349,A:AL,37,FALSE)-50))</f>
        <v>315</v>
      </c>
      <c r="AK349" s="3">
        <v>318</v>
      </c>
      <c r="AL349" s="3">
        <f>IF(ISERROR((VLOOKUP($A349,'SegEnds_NonXtal_BW#'!$A:$Z,26,FALSE)+VLOOKUP($A349,A:AL,37,FALSE)-50)),"-",(VLOOKUP($A349,'SegEnds_NonXtal_BW#'!$A:$Z,26,FALSE)+VLOOKUP($A349,A:AL,37,FALSE)-50))</f>
        <v>325</v>
      </c>
      <c r="AM349" s="28" t="str">
        <f>VLOOKUP(A349,Classification!A:B,2,FALSE)</f>
        <v>O</v>
      </c>
      <c r="AN349" s="28" t="b">
        <f t="shared" si="200"/>
        <v>1</v>
      </c>
      <c r="AO349" s="3" t="str">
        <f>IF(ISERROR(MATCH(A349,'SegEnds_Xtal_Prot#'!B:B, 0)), "NoXtal", "Xtal")</f>
        <v>NoXtal</v>
      </c>
      <c r="AP349" s="3" t="str">
        <f t="shared" si="185"/>
        <v>-</v>
      </c>
      <c r="AQ349" s="3" t="str">
        <f t="shared" si="186"/>
        <v>-</v>
      </c>
      <c r="AR349" s="3" t="str">
        <f t="shared" si="187"/>
        <v>-</v>
      </c>
      <c r="AS349" s="3" t="str">
        <f t="shared" si="188"/>
        <v>-</v>
      </c>
      <c r="AT349" s="3" t="str">
        <f t="shared" si="189"/>
        <v>-</v>
      </c>
      <c r="AU349" s="3" t="str">
        <f t="shared" si="190"/>
        <v>-</v>
      </c>
      <c r="AV349" s="3" t="str">
        <f t="shared" si="191"/>
        <v>-</v>
      </c>
      <c r="AW349" s="3" t="str">
        <f t="shared" si="192"/>
        <v>-</v>
      </c>
      <c r="AX349" s="3">
        <f t="shared" si="193"/>
        <v>26</v>
      </c>
      <c r="AY349" s="3">
        <f t="shared" si="194"/>
        <v>31</v>
      </c>
      <c r="AZ349" s="3">
        <f t="shared" si="195"/>
        <v>1</v>
      </c>
      <c r="BA349" s="3">
        <f>IF(ISERROR(LEN(VLOOKUP(A349,Seqs!A:E,2,FALSE))-AL349),"-",LEN(VLOOKUP(A349,Seqs!A:E,2,FALSE))-AL349)</f>
        <v>79</v>
      </c>
      <c r="BB349" s="16">
        <f t="shared" si="196"/>
        <v>36</v>
      </c>
      <c r="BC349" s="9" t="str">
        <f t="shared" si="197"/>
        <v>-</v>
      </c>
      <c r="BD349" s="3">
        <f t="shared" si="198"/>
        <v>36</v>
      </c>
      <c r="BE349" s="3">
        <f t="shared" si="199"/>
        <v>58</v>
      </c>
    </row>
    <row r="350" spans="1:58" s="3" customFormat="1" x14ac:dyDescent="0.2">
      <c r="A350" s="3" t="s">
        <v>219</v>
      </c>
      <c r="B350" s="3" t="str">
        <f>LOWER(VLOOKUP(A350,Xtal_Templ!A:B,2,FALSE))</f>
        <v>agtr1_human</v>
      </c>
      <c r="C350" s="3">
        <f>VLOOKUP($A350,'SegEnds_NonXtal_BW#'!$A:$Z,3,FALSE)+D350-50</f>
        <v>25</v>
      </c>
      <c r="D350" s="3">
        <v>45</v>
      </c>
      <c r="E350" s="3">
        <f>IF(ISERROR(VLOOKUP($A350,'SegEnds_NonXtal_BW#'!$A:$Z,4,FALSE)+VLOOKUP($A350,A:AL,4,FALSE)-50),"-",(VLOOKUP($A350,'SegEnds_NonXtal_BW#'!$A:$Z,4,FALSE)+VLOOKUP($A350,A:AL,4,FALSE)-50))</f>
        <v>55</v>
      </c>
      <c r="F350" s="3" t="str">
        <f>IF(ISERROR(VLOOKUP($A350,'SegEnds_NonXtal_BW#'!$A:$Z,5,FALSE)+VLOOKUP($A350,A:AL,7,FALSE)-50),"-",(VLOOKUP($A350,'SegEnds_NonXtal_BW#'!$A:$Z,5,FALSE)+VLOOKUP($A350,A:AL,7,FALSE)-50))</f>
        <v>-</v>
      </c>
      <c r="G350" s="3" t="s">
        <v>23</v>
      </c>
      <c r="H350" s="3" t="str">
        <f>IF(ISERROR(VLOOKUP($A350,'SegEnds_NonXtal_BW#'!$A:$Z,6,FALSE)+VLOOKUP($A350,A:AL,7,FALSE)-50),"-",(VLOOKUP($A350,'SegEnds_NonXtal_BW#'!$A:$Z,6,FALSE)+VLOOKUP($A350,A:AL,7,FALSE)-50))</f>
        <v>-</v>
      </c>
      <c r="I350" s="3">
        <f>VLOOKUP($A350,'SegEnds_NonXtal_BW#'!$A:$Z,7,FALSE)+J350-50</f>
        <v>65</v>
      </c>
      <c r="J350" s="3">
        <v>78</v>
      </c>
      <c r="K350" s="3">
        <f>VLOOKUP($A350,'SegEnds_NonXtal_BW#'!$A:$Z,8,FALSE)+VLOOKUP($A350,A:AL,10,FALSE)-50</f>
        <v>91</v>
      </c>
      <c r="L350" s="3">
        <f>M350-1</f>
        <v>94</v>
      </c>
      <c r="M350" s="3">
        <v>95</v>
      </c>
      <c r="N350" s="3">
        <f>M350+2</f>
        <v>97</v>
      </c>
      <c r="O350" s="3">
        <f>N350+1</f>
        <v>98</v>
      </c>
      <c r="P350" s="3">
        <v>127</v>
      </c>
      <c r="Q350" s="3">
        <f>VLOOKUP($A350,'SegEnds_NonXtal_BW#'!$A:$Z,12,FALSE)+VLOOKUP($A350,A:AL,16,FALSE)-50</f>
        <v>133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3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140</v>
      </c>
      <c r="V350" s="3">
        <v>152</v>
      </c>
      <c r="W350" s="3">
        <f>IF(ISERROR(VLOOKUP($A350,'SegEnds_NonXtal_BW#'!$A:$Z,16,FALSE)+VLOOKUP($A350,A:AL,22,FALSE)-50),"-",(VLOOKUP($A350,'SegEnds_NonXtal_BW#'!$A:$Z,16,FALSE)+VLOOKUP($A350,A:AL,22,FALSE)-50))</f>
        <v>166</v>
      </c>
      <c r="X350" s="3" t="str">
        <f>IF(ISERROR(VLOOKUP($A350,'SegEnds_NonXtal_BW#'!$A:$Z,17,FALSE)+VLOOKUP($A350,A:AL,25,FALSE)-50),"-",(VLOOKUP($A350,'SegEnds_NonXtal_BW#'!$A:$Z,17,FALSE)+VLOOKUP($A350,A:AL,25,FALSE)-50))</f>
        <v>-</v>
      </c>
      <c r="Y350" s="3" t="s">
        <v>23</v>
      </c>
      <c r="Z350" s="3" t="str">
        <f>IF(ISERROR(VLOOKUP($A350,'SegEnds_NonXtal_BW#'!$A:$Z,18,FALSE)+VLOOKUP($A350,A:AL,25,FALSE)-50),"-",(VLOOKUP($A350,'SegEnds_NonXtal_BW#'!$A:$Z,18,FALSE)+VLOOKUP($A350,A:AL,25,FALSE)-50))</f>
        <v>-</v>
      </c>
      <c r="AA350" s="3">
        <f>IF(ISERROR(VLOOKUP($A350,'SegEnds_NonXtal_BW#'!$A:$Z,19,FALSE)+VLOOKUP($A350,A:AL,28,FALSE)-50),"-",(VLOOKUP($A350,'SegEnds_NonXtal_BW#'!$A:$Z,19,FALSE)+VLOOKUP($A350,A:AL,28,FALSE)-50))</f>
        <v>183</v>
      </c>
      <c r="AB350" s="3">
        <v>199</v>
      </c>
      <c r="AC350" s="3">
        <f>IF(ISERROR((VLOOKUP($A350,'SegEnds_NonXtal_BW#'!$A:$Z,20,FALSE)+VLOOKUP($A350,A:AL,28,FALSE)-50)),"-",(VLOOKUP($A350,'SegEnds_NonXtal_BW#'!$A:$Z,20,FALSE)+VLOOKUP($A350,A:AL,28,FALSE)-50))</f>
        <v>217</v>
      </c>
      <c r="AD350" s="3">
        <f>IF(ISERROR(VLOOKUP($A350,'SegEnds_NonXtal_BW#'!$A:$Z,21,FALSE)+VLOOKUP($A350,A:AL,31,FALSE)-50),"-",(VLOOKUP($A350,'SegEnds_NonXtal_BW#'!$A:$Z,21,FALSE)+VLOOKUP($A350,A:AL,31,FALSE)-50))</f>
        <v>222</v>
      </c>
      <c r="AE350" s="3">
        <v>248</v>
      </c>
      <c r="AF350" s="3">
        <f>IF(ISERROR((VLOOKUP($A350,'SegEnds_NonXtal_BW#'!$A:$Z,22,FALSE)+VLOOKUP($A350,A:AL,31,FALSE)-50)),"-",(VLOOKUP($A350,'SegEnds_NonXtal_BW#'!$A:$Z,22,FALSE)+VLOOKUP($A350,A:AL,31,FALSE)-50))</f>
        <v>262</v>
      </c>
      <c r="AG350" s="3">
        <f>IF(ISERROR(VLOOKUP($A350,'SegEnds_NonXtal_BW#'!$A:$Z,23,FALSE)+VLOOKUP($A350,A:AL,34,FALSE)-50),"-",(VLOOKUP($A350,'SegEnds_NonXtal_BW#'!$A:$Z,23,FALSE)+VLOOKUP($A350,A:AL,34,FALSE)-50))</f>
        <v>267</v>
      </c>
      <c r="AH350" s="3">
        <v>293</v>
      </c>
      <c r="AI350" s="3">
        <f>IF(ISERROR((VLOOKUP($A350,'SegEnds_NonXtal_BW#'!$A:$Z,24,FALSE)+VLOOKUP($A350,A:AL,34,FALSE)-50)),"-",(VLOOKUP($A350,'SegEnds_NonXtal_BW#'!$A:$Z,24,FALSE)+VLOOKUP($A350,A:AL,34,FALSE)-50))</f>
        <v>299</v>
      </c>
      <c r="AJ350" s="3">
        <f>IF(ISERROR(VLOOKUP($A350,'SegEnds_NonXtal_BW#'!$A:$Z,25,FALSE)+VLOOKUP($A350,A:AL,37,FALSE)-50),"-",(VLOOKUP($A350,'SegEnds_NonXtal_BW#'!$A:$Z,25,FALSE)+VLOOKUP($A350,A:AL,37,FALSE)-50))</f>
        <v>300</v>
      </c>
      <c r="AK350" s="3">
        <v>303</v>
      </c>
      <c r="AL350" s="3">
        <f>IF(ISERROR((VLOOKUP($A350,'SegEnds_NonXtal_BW#'!$A:$Z,26,FALSE)+VLOOKUP($A350,A:AL,37,FALSE)-50)),"-",(VLOOKUP($A350,'SegEnds_NonXtal_BW#'!$A:$Z,26,FALSE)+VLOOKUP($A350,A:AL,37,FALSE)-50))</f>
        <v>314</v>
      </c>
      <c r="AM350" s="28" t="str">
        <f>VLOOKUP(A350,Classification!A:B,2,FALSE)</f>
        <v>A</v>
      </c>
      <c r="AN350" s="28" t="b">
        <f t="shared" si="200"/>
        <v>1</v>
      </c>
      <c r="AO350" s="3" t="str">
        <f>IF(ISERROR(MATCH(A350,'SegEnds_Xtal_Prot#'!B:B, 0)), "NoXtal", "Xtal")</f>
        <v>NoXtal</v>
      </c>
      <c r="AP350" s="3" t="str">
        <f t="shared" si="185"/>
        <v>-</v>
      </c>
      <c r="AQ350" s="3" t="str">
        <f t="shared" si="186"/>
        <v>-</v>
      </c>
      <c r="AR350" s="3">
        <f t="shared" si="187"/>
        <v>3</v>
      </c>
      <c r="AS350" s="3">
        <f t="shared" si="188"/>
        <v>1</v>
      </c>
      <c r="AT350" s="3" t="str">
        <f t="shared" si="189"/>
        <v>-</v>
      </c>
      <c r="AU350" s="3" t="str">
        <f t="shared" si="190"/>
        <v>-</v>
      </c>
      <c r="AV350" s="3" t="str">
        <f t="shared" si="191"/>
        <v>-</v>
      </c>
      <c r="AW350" s="3" t="str">
        <f t="shared" si="192"/>
        <v>-</v>
      </c>
      <c r="AX350" s="3">
        <f t="shared" si="193"/>
        <v>5</v>
      </c>
      <c r="AY350" s="3">
        <f t="shared" si="194"/>
        <v>5</v>
      </c>
      <c r="AZ350" s="3">
        <f t="shared" si="195"/>
        <v>1</v>
      </c>
      <c r="BA350" s="3">
        <f>IF(ISERROR(LEN(VLOOKUP(A350,Seqs!A:E,2,FALSE))-AL350),"-",LEN(VLOOKUP(A350,Seqs!A:E,2,FALSE))-AL350)</f>
        <v>19</v>
      </c>
      <c r="BB350" s="16">
        <f t="shared" si="196"/>
        <v>33</v>
      </c>
      <c r="BC350" s="9" t="str">
        <f t="shared" si="197"/>
        <v>-</v>
      </c>
      <c r="BD350" s="3">
        <f t="shared" si="198"/>
        <v>33</v>
      </c>
      <c r="BE350" s="3">
        <f t="shared" si="199"/>
        <v>49</v>
      </c>
      <c r="BF350" s="3">
        <f>AH350-AE350</f>
        <v>45</v>
      </c>
    </row>
    <row r="351" spans="1:58" s="3" customFormat="1" x14ac:dyDescent="0.2">
      <c r="A351" s="3" t="s">
        <v>221</v>
      </c>
      <c r="B351" s="3" t="str">
        <f>LOWER(VLOOKUP(A351,Xtal_Templ!A:B,2,FALSE))</f>
        <v>s1pr1_human</v>
      </c>
      <c r="C351" s="3">
        <f>VLOOKUP($A351,'SegEnds_NonXtal_BW#'!$A:$Z,3,FALSE)+D351-50</f>
        <v>12</v>
      </c>
      <c r="D351" s="3">
        <v>33</v>
      </c>
      <c r="E351" s="3">
        <f>IF(ISERROR(VLOOKUP($A351,'SegEnds_NonXtal_BW#'!$A:$Z,4,FALSE)+VLOOKUP($A351,A:AL,4,FALSE)-50),"-",(VLOOKUP($A351,'SegEnds_NonXtal_BW#'!$A:$Z,4,FALSE)+VLOOKUP($A351,A:AL,4,FALSE)-50))</f>
        <v>43</v>
      </c>
      <c r="F351" s="3" t="str">
        <f>IF(ISERROR(VLOOKUP($A351,'SegEnds_NonXtal_BW#'!$A:$Z,5,FALSE)+VLOOKUP($A351,A:AL,7,FALSE)-50),"-",(VLOOKUP($A351,'SegEnds_NonXtal_BW#'!$A:$Z,5,FALSE)+VLOOKUP($A351,A:AL,7,FALSE)-50))</f>
        <v>-</v>
      </c>
      <c r="G351" s="3" t="s">
        <v>23</v>
      </c>
      <c r="H351" s="3" t="str">
        <f>IF(ISERROR(VLOOKUP($A351,'SegEnds_NonXtal_BW#'!$A:$Z,6,FALSE)+VLOOKUP($A351,A:AL,7,FALSE)-50),"-",(VLOOKUP($A351,'SegEnds_NonXtal_BW#'!$A:$Z,6,FALSE)+VLOOKUP($A351,A:AL,7,FALSE)-50))</f>
        <v>-</v>
      </c>
      <c r="I351" s="3">
        <f>VLOOKUP($A351,'SegEnds_NonXtal_BW#'!$A:$Z,7,FALSE)+J351-50</f>
        <v>49</v>
      </c>
      <c r="J351" s="3">
        <v>62</v>
      </c>
      <c r="K351" s="3">
        <f>VLOOKUP($A351,'SegEnds_NonXtal_BW#'!$A:$Z,8,FALSE)+VLOOKUP($A351,A:AL,10,FALSE)-50</f>
        <v>79</v>
      </c>
      <c r="L351" s="3">
        <f>M351-1</f>
        <v>87</v>
      </c>
      <c r="M351" s="3">
        <v>88</v>
      </c>
      <c r="N351" s="3">
        <f>M351+2</f>
        <v>90</v>
      </c>
      <c r="O351" s="3">
        <f>N351+1</f>
        <v>91</v>
      </c>
      <c r="P351" s="3">
        <v>131</v>
      </c>
      <c r="Q351" s="3">
        <f>VLOOKUP($A351,'SegEnds_NonXtal_BW#'!$A:$Z,12,FALSE)+VLOOKUP($A351,A:AL,16,FALSE)-50</f>
        <v>137</v>
      </c>
      <c r="R351" s="3" t="str">
        <f>S351</f>
        <v>-</v>
      </c>
      <c r="S351" s="3" t="s">
        <v>23</v>
      </c>
      <c r="T351" s="103" t="s">
        <v>23</v>
      </c>
      <c r="U351" s="9">
        <f>IF(ISERROR(VLOOKUP($A351,'SegEnds_NonXtal_BW#'!$A:$Z,15,FALSE)+VLOOKUP($A351,A:AL,22,FALSE)-50),"-",VLOOKUP($A351,'SegEnds_NonXtal_BW#'!$A:$Z,15,FALSE)+VLOOKUP($A351,A:AL,22,FALSE)-50)</f>
        <v>146</v>
      </c>
      <c r="V351" s="3">
        <v>158</v>
      </c>
      <c r="W351" s="3">
        <f>IF(ISERROR(VLOOKUP($A351,'SegEnds_NonXtal_BW#'!$A:$Z,16,FALSE)+VLOOKUP($A351,A:AL,22,FALSE)-50),"-",(VLOOKUP($A351,'SegEnds_NonXtal_BW#'!$A:$Z,16,FALSE)+VLOOKUP($A351,A:AL,22,FALSE)-50))</f>
        <v>171</v>
      </c>
      <c r="X351" s="3" t="str">
        <f>IF(ISERROR(VLOOKUP($A351,'SegEnds_NonXtal_BW#'!$A:$Z,17,FALSE)+VLOOKUP($A351,A:AL,25,FALSE)-50),"-",(VLOOKUP($A351,'SegEnds_NonXtal_BW#'!$A:$Z,17,FALSE)+VLOOKUP($A351,A:AL,25,FALSE)-50))</f>
        <v>-</v>
      </c>
      <c r="Y351" s="3" t="s">
        <v>23</v>
      </c>
      <c r="Z351" s="3" t="str">
        <f>IF(ISERROR(VLOOKUP($A351,'SegEnds_NonXtal_BW#'!$A:$Z,18,FALSE)+VLOOKUP($A351,A:AL,25,FALSE)-50),"-",(VLOOKUP($A351,'SegEnds_NonXtal_BW#'!$A:$Z,18,FALSE)+VLOOKUP($A351,A:AL,25,FALSE)-50))</f>
        <v>-</v>
      </c>
      <c r="AA351" s="3">
        <f>IF(ISERROR(VLOOKUP($A351,'SegEnds_NonXtal_BW#'!$A:$Z,19,FALSE)+VLOOKUP($A351,A:AL,28,FALSE)-50),"-",(VLOOKUP($A351,'SegEnds_NonXtal_BW#'!$A:$Z,19,FALSE)+VLOOKUP($A351,A:AL,28,FALSE)-50))</f>
        <v>197</v>
      </c>
      <c r="AB351" s="3">
        <v>211</v>
      </c>
      <c r="AC351" s="3">
        <f>IF(ISERROR((VLOOKUP($A351,'SegEnds_NonXtal_BW#'!$A:$Z,20,FALSE)+VLOOKUP($A351,A:AL,28,FALSE)-50)),"-",(VLOOKUP($A351,'SegEnds_NonXtal_BW#'!$A:$Z,20,FALSE)+VLOOKUP($A351,A:AL,28,FALSE)-50))</f>
        <v>237</v>
      </c>
      <c r="AD351" s="3">
        <f>IF(ISERROR(VLOOKUP($A351,'SegEnds_NonXtal_BW#'!$A:$Z,21,FALSE)+VLOOKUP($A351,A:AL,31,FALSE)-50),"-",(VLOOKUP($A351,'SegEnds_NonXtal_BW#'!$A:$Z,21,FALSE)+VLOOKUP($A351,A:AL,31,FALSE)-50))</f>
        <v>299</v>
      </c>
      <c r="AE351" s="3">
        <v>325</v>
      </c>
      <c r="AF351" s="3">
        <f>IF(ISERROR((VLOOKUP($A351,'SegEnds_NonXtal_BW#'!$A:$Z,22,FALSE)+VLOOKUP($A351,A:AL,31,FALSE)-50)),"-",(VLOOKUP($A351,'SegEnds_NonXtal_BW#'!$A:$Z,22,FALSE)+VLOOKUP($A351,A:AL,31,FALSE)-50))</f>
        <v>336</v>
      </c>
      <c r="AG351" s="3">
        <f>IF(ISERROR(VLOOKUP($A351,'SegEnds_NonXtal_BW#'!$A:$Z,23,FALSE)+VLOOKUP($A351,A:AL,34,FALSE)-50),"-",(VLOOKUP($A351,'SegEnds_NonXtal_BW#'!$A:$Z,23,FALSE)+VLOOKUP($A351,A:AL,34,FALSE)-50))</f>
        <v>341</v>
      </c>
      <c r="AH351" s="3">
        <v>359</v>
      </c>
      <c r="AI351" s="3">
        <f>IF(ISERROR((VLOOKUP($A351,'SegEnds_NonXtal_BW#'!$A:$Z,24,FALSE)+VLOOKUP($A351,A:AL,34,FALSE)-50)),"-",(VLOOKUP($A351,'SegEnds_NonXtal_BW#'!$A:$Z,24,FALSE)+VLOOKUP($A351,A:AL,34,FALSE)-50))</f>
        <v>365</v>
      </c>
      <c r="AJ351" s="3">
        <f>IF(ISERROR(VLOOKUP($A351,'SegEnds_NonXtal_BW#'!$A:$Z,25,FALSE)+VLOOKUP($A351,A:AL,37,FALSE)-50),"-",(VLOOKUP($A351,'SegEnds_NonXtal_BW#'!$A:$Z,25,FALSE)+VLOOKUP($A351,A:AL,37,FALSE)-50))</f>
        <v>366</v>
      </c>
      <c r="AK351" s="3">
        <v>369</v>
      </c>
      <c r="AL351" s="3">
        <f>IF(ISERROR((VLOOKUP($A351,'SegEnds_NonXtal_BW#'!$A:$Z,26,FALSE)+VLOOKUP($A351,A:AL,37,FALSE)-50)),"-",(VLOOKUP($A351,'SegEnds_NonXtal_BW#'!$A:$Z,26,FALSE)+VLOOKUP($A351,A:AL,37,FALSE)-50))</f>
        <v>378</v>
      </c>
      <c r="AM351" s="28" t="str">
        <f>VLOOKUP(A351,Classification!A:B,2,FALSE)</f>
        <v>A</v>
      </c>
      <c r="AN351" s="28" t="b">
        <f t="shared" si="200"/>
        <v>1</v>
      </c>
      <c r="AO351" s="3" t="str">
        <f>IF(ISERROR(MATCH(A351,'SegEnds_Xtal_Prot#'!B:B, 0)), "NoXtal", "Xtal")</f>
        <v>NoXtal</v>
      </c>
      <c r="AP351" s="3" t="str">
        <f t="shared" si="185"/>
        <v>-</v>
      </c>
      <c r="AQ351" s="3" t="str">
        <f t="shared" si="186"/>
        <v>-</v>
      </c>
      <c r="AR351" s="3">
        <f t="shared" si="187"/>
        <v>8</v>
      </c>
      <c r="AS351" s="3">
        <f t="shared" si="188"/>
        <v>1</v>
      </c>
      <c r="AT351" s="3" t="str">
        <f t="shared" si="189"/>
        <v>-</v>
      </c>
      <c r="AU351" s="3" t="str">
        <f t="shared" si="190"/>
        <v>-</v>
      </c>
      <c r="AV351" s="3" t="str">
        <f t="shared" si="191"/>
        <v>-</v>
      </c>
      <c r="AW351" s="3" t="str">
        <f t="shared" si="192"/>
        <v>-</v>
      </c>
      <c r="AX351" s="3">
        <f t="shared" si="193"/>
        <v>62</v>
      </c>
      <c r="AY351" s="3">
        <f t="shared" si="194"/>
        <v>5</v>
      </c>
      <c r="AZ351" s="3">
        <f t="shared" si="195"/>
        <v>1</v>
      </c>
      <c r="BA351" s="3">
        <f>IF(ISERROR(LEN(VLOOKUP(A351,Seqs!A:E,2,FALSE))-AL351),"-",LEN(VLOOKUP(A351,Seqs!A:E,2,FALSE))-AL351)</f>
        <v>353</v>
      </c>
      <c r="BB351" s="16">
        <f t="shared" si="196"/>
        <v>29</v>
      </c>
      <c r="BC351" s="9" t="str">
        <f t="shared" si="197"/>
        <v>-</v>
      </c>
      <c r="BD351" s="3">
        <f t="shared" si="198"/>
        <v>29</v>
      </c>
      <c r="BE351" s="3">
        <f t="shared" si="199"/>
        <v>114</v>
      </c>
    </row>
    <row r="352" spans="1:58" s="3" customFormat="1" x14ac:dyDescent="0.2">
      <c r="A352" s="3" t="s">
        <v>222</v>
      </c>
      <c r="B352" s="3" t="str">
        <f>LOWER(VLOOKUP(A352,Xtal_Templ!A:B,2,FALSE))</f>
        <v>ox2r_human</v>
      </c>
      <c r="C352" s="3">
        <f>VLOOKUP($A352,'SegEnds_NonXtal_BW#'!$A:$Z,3,FALSE)+D352-50</f>
        <v>41</v>
      </c>
      <c r="D352" s="3">
        <v>60</v>
      </c>
      <c r="E352" s="3">
        <f>IF(ISERROR(VLOOKUP($A352,'SegEnds_NonXtal_BW#'!$A:$Z,4,FALSE)+VLOOKUP($A352,A:AL,4,FALSE)-50),"-",(VLOOKUP($A352,'SegEnds_NonXtal_BW#'!$A:$Z,4,FALSE)+VLOOKUP($A352,A:AL,4,FALSE)-50))</f>
        <v>70</v>
      </c>
      <c r="F352" s="3" t="str">
        <f>IF(ISERROR(VLOOKUP($A352,'SegEnds_NonXtal_BW#'!$A:$Z,5,FALSE)+VLOOKUP($A352,A:AL,7,FALSE)-50),"-",(VLOOKUP($A352,'SegEnds_NonXtal_BW#'!$A:$Z,5,FALSE)+VLOOKUP($A352,A:AL,7,FALSE)-50))</f>
        <v>-</v>
      </c>
      <c r="G352" s="3" t="s">
        <v>23</v>
      </c>
      <c r="H352" s="3" t="str">
        <f>IF(ISERROR(VLOOKUP($A352,'SegEnds_NonXtal_BW#'!$A:$Z,6,FALSE)+VLOOKUP($A352,A:AL,7,FALSE)-50),"-",(VLOOKUP($A352,'SegEnds_NonXtal_BW#'!$A:$Z,6,FALSE)+VLOOKUP($A352,A:AL,7,FALSE)-50))</f>
        <v>-</v>
      </c>
      <c r="I352" s="3">
        <f>VLOOKUP($A352,'SegEnds_NonXtal_BW#'!$A:$Z,7,FALSE)+J352-50</f>
        <v>80</v>
      </c>
      <c r="J352" s="3">
        <v>93</v>
      </c>
      <c r="K352" s="3">
        <f>VLOOKUP($A352,'SegEnds_NonXtal_BW#'!$A:$Z,8,FALSE)+VLOOKUP($A352,A:AL,10,FALSE)-50</f>
        <v>110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115</v>
      </c>
      <c r="P352" s="3">
        <v>147</v>
      </c>
      <c r="Q352" s="3">
        <f>VLOOKUP($A352,'SegEnds_NonXtal_BW#'!$A:$Z,12,FALSE)+VLOOKUP($A352,A:AL,16,FALSE)-50</f>
        <v>153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3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157</v>
      </c>
      <c r="V352" s="3">
        <v>169</v>
      </c>
      <c r="W352" s="3">
        <f>IF(ISERROR(VLOOKUP($A352,'SegEnds_NonXtal_BW#'!$A:$Z,16,FALSE)+VLOOKUP($A352,A:AL,22,FALSE)-50),"-",(VLOOKUP($A352,'SegEnds_NonXtal_BW#'!$A:$Z,16,FALSE)+VLOOKUP($A352,A:AL,22,FALSE)-50))</f>
        <v>183</v>
      </c>
      <c r="X352" s="3">
        <f>IF(ISERROR(VLOOKUP($A352,'SegEnds_NonXtal_BW#'!$A:$Z,17,FALSE)+VLOOKUP($A352,A:AL,25,FALSE)-50),"-",(VLOOKUP($A352,'SegEnds_NonXtal_BW#'!$A:$Z,17,FALSE)+VLOOKUP($A352,A:AL,25,FALSE)-50))</f>
        <v>217</v>
      </c>
      <c r="Y352" s="3">
        <v>217</v>
      </c>
      <c r="Z352" s="3">
        <f>Y352+2</f>
        <v>219</v>
      </c>
      <c r="AA352" s="3">
        <f>IF(ISERROR(VLOOKUP($A352,'SegEnds_NonXtal_BW#'!$A:$Z,19,FALSE)+VLOOKUP($A352,A:AL,28,FALSE)-50),"-",(VLOOKUP($A352,'SegEnds_NonXtal_BW#'!$A:$Z,19,FALSE)+VLOOKUP($A352,A:AL,28,FALSE)-50))</f>
        <v>226</v>
      </c>
      <c r="AB352" s="3">
        <v>244</v>
      </c>
      <c r="AC352" s="3">
        <f>IF(ISERROR((VLOOKUP($A352,'SegEnds_NonXtal_BW#'!$A:$Z,20,FALSE)+VLOOKUP($A352,A:AL,28,FALSE)-50)),"-",(VLOOKUP($A352,'SegEnds_NonXtal_BW#'!$A:$Z,20,FALSE)+VLOOKUP($A352,A:AL,28,FALSE)-50))</f>
        <v>268</v>
      </c>
      <c r="AD352" s="3">
        <f>IF(ISERROR(VLOOKUP($A352,'SegEnds_NonXtal_BW#'!$A:$Z,21,FALSE)+VLOOKUP($A352,A:AL,31,FALSE)-50),"-",(VLOOKUP($A352,'SegEnds_NonXtal_BW#'!$A:$Z,21,FALSE)+VLOOKUP($A352,A:AL,31,FALSE)-50))</f>
        <v>281</v>
      </c>
      <c r="AE352" s="3">
        <v>310</v>
      </c>
      <c r="AF352" s="3">
        <f>IF(ISERROR((VLOOKUP($A352,'SegEnds_NonXtal_BW#'!$A:$Z,22,FALSE)+VLOOKUP($A352,A:AL,31,FALSE)-50)),"-",(VLOOKUP($A352,'SegEnds_NonXtal_BW#'!$A:$Z,22,FALSE)+VLOOKUP($A352,A:AL,31,FALSE)-50))</f>
        <v>321</v>
      </c>
      <c r="AG352" s="3">
        <f>IF(ISERROR(VLOOKUP($A352,'SegEnds_NonXtal_BW#'!$A:$Z,23,FALSE)+VLOOKUP($A352,A:AL,34,FALSE)-50),"-",(VLOOKUP($A352,'SegEnds_NonXtal_BW#'!$A:$Z,23,FALSE)+VLOOKUP($A352,A:AL,34,FALSE)-50))</f>
        <v>327</v>
      </c>
      <c r="AH352" s="3">
        <v>349</v>
      </c>
      <c r="AI352" s="3">
        <f>IF(ISERROR((VLOOKUP($A352,'SegEnds_NonXtal_BW#'!$A:$Z,24,FALSE)+VLOOKUP($A352,A:AL,34,FALSE)-50)),"-",(VLOOKUP($A352,'SegEnds_NonXtal_BW#'!$A:$Z,24,FALSE)+VLOOKUP($A352,A:AL,34,FALSE)-50))</f>
        <v>355</v>
      </c>
      <c r="AJ352" s="3">
        <f>IF(ISERROR(VLOOKUP($A352,'SegEnds_NonXtal_BW#'!$A:$Z,25,FALSE)+VLOOKUP($A352,A:AL,37,FALSE)-50),"-",(VLOOKUP($A352,'SegEnds_NonXtal_BW#'!$A:$Z,25,FALSE)+VLOOKUP($A352,A:AL,37,FALSE)-50))</f>
        <v>356</v>
      </c>
      <c r="AK352" s="3">
        <v>359</v>
      </c>
      <c r="AL352" s="3">
        <f>IF(ISERROR((VLOOKUP($A352,'SegEnds_NonXtal_BW#'!$A:$Z,26,FALSE)+VLOOKUP($A352,A:AL,37,FALSE)-50)),"-",(VLOOKUP($A352,'SegEnds_NonXtal_BW#'!$A:$Z,26,FALSE)+VLOOKUP($A352,A:AL,37,FALSE)-50))</f>
        <v>367</v>
      </c>
      <c r="AM352" s="28" t="str">
        <f>VLOOKUP(A352,Classification!A:B,2,FALSE)</f>
        <v>A</v>
      </c>
      <c r="AN352" s="28" t="b">
        <f t="shared" si="200"/>
        <v>1</v>
      </c>
      <c r="AO352" s="3" t="str">
        <f>IF(ISERROR(MATCH(A352,'SegEnds_Xtal_Prot#'!B:B, 0)), "NoXtal", "Xtal")</f>
        <v>NoXtal</v>
      </c>
      <c r="AP352" s="3" t="str">
        <f t="shared" si="185"/>
        <v>-</v>
      </c>
      <c r="AQ352" s="3" t="str">
        <f t="shared" si="186"/>
        <v>-</v>
      </c>
      <c r="AR352" s="3" t="str">
        <f t="shared" si="187"/>
        <v>-</v>
      </c>
      <c r="AS352" s="3" t="str">
        <f t="shared" si="188"/>
        <v>-</v>
      </c>
      <c r="AT352" s="3" t="str">
        <f t="shared" si="189"/>
        <v>-</v>
      </c>
      <c r="AU352" s="3" t="str">
        <f t="shared" si="190"/>
        <v>-</v>
      </c>
      <c r="AV352" s="3">
        <f t="shared" si="191"/>
        <v>34</v>
      </c>
      <c r="AW352" s="3">
        <f t="shared" si="192"/>
        <v>7</v>
      </c>
      <c r="AX352" s="3">
        <f t="shared" si="193"/>
        <v>13</v>
      </c>
      <c r="AY352" s="3">
        <f t="shared" si="194"/>
        <v>6</v>
      </c>
      <c r="AZ352" s="3">
        <f t="shared" si="195"/>
        <v>1</v>
      </c>
      <c r="BA352" s="3">
        <f>IF(ISERROR(LEN(VLOOKUP(A352,Seqs!A:E,2,FALSE))-AL352),"-",LEN(VLOOKUP(A352,Seqs!A:E,2,FALSE))-AL352)</f>
        <v>67</v>
      </c>
      <c r="BB352" s="16">
        <f t="shared" si="196"/>
        <v>33</v>
      </c>
      <c r="BC352" s="9" t="str">
        <f t="shared" si="197"/>
        <v>-</v>
      </c>
      <c r="BD352" s="3">
        <f t="shared" si="198"/>
        <v>33</v>
      </c>
      <c r="BE352" s="3">
        <f t="shared" si="199"/>
        <v>66</v>
      </c>
    </row>
    <row r="353" spans="1:57" s="3" customFormat="1" x14ac:dyDescent="0.2">
      <c r="A353" s="3" t="s">
        <v>108</v>
      </c>
      <c r="B353" s="3" t="str">
        <f>LOWER(VLOOKUP(A353,Xtal_Templ!A:B,2,FALSE))</f>
        <v>grm1_human</v>
      </c>
      <c r="C353" s="3">
        <f>VLOOKUP($A353,'SegEnds_NonXtal_BW#'!$A:$Z,3,FALSE)+D353-50</f>
        <v>48</v>
      </c>
      <c r="D353" s="3">
        <v>64</v>
      </c>
      <c r="E353" s="3">
        <f>IF(ISERROR(VLOOKUP($A353,'SegEnds_NonXtal_BW#'!$A:$Z,4,FALSE)+VLOOKUP($A353,A:AL,4,FALSE)-50),"-",(VLOOKUP($A353,'SegEnds_NonXtal_BW#'!$A:$Z,4,FALSE)+VLOOKUP($A353,A:AL,4,FALSE)-50))</f>
        <v>74</v>
      </c>
      <c r="F353" s="3">
        <f>G353-3</f>
        <v>77</v>
      </c>
      <c r="G353" s="3">
        <v>80</v>
      </c>
      <c r="H353" s="3">
        <f>G353+3</f>
        <v>83</v>
      </c>
      <c r="I353" s="3">
        <f>H353+1</f>
        <v>84</v>
      </c>
      <c r="J353" s="3">
        <v>95</v>
      </c>
      <c r="K353" s="3">
        <f>VLOOKUP($A353,'SegEnds_NonXtal_BW#'!$A:$Z,8,FALSE)+VLOOKUP($A353,A:AL,10,FALSE)-50</f>
        <v>106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117</v>
      </c>
      <c r="P353" s="3">
        <v>145</v>
      </c>
      <c r="Q353" s="3">
        <f>VLOOKUP($A353,'SegEnds_NonXtal_BW#'!$A:$Z,12,FALSE)+VLOOKUP($A353,A:AL,16,FALSE)-50</f>
        <v>149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3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161</v>
      </c>
      <c r="V353" s="3">
        <v>173</v>
      </c>
      <c r="W353" s="3">
        <f>IF(ISERROR(VLOOKUP($A353,'SegEnds_NonXtal_BW#'!$A:$Z,16,FALSE)+VLOOKUP($A353,A:AL,22,FALSE)-50),"-",(VLOOKUP($A353,'SegEnds_NonXtal_BW#'!$A:$Z,16,FALSE)+VLOOKUP($A353,A:AL,22,FALSE)-50))</f>
        <v>187</v>
      </c>
      <c r="X353" s="3" t="str">
        <f>IF(ISERROR(VLOOKUP($A353,'SegEnds_NonXtal_BW#'!$A:$Z,17,FALSE)+VLOOKUP($A353,A:AL,25,FALSE)-50),"-",(VLOOKUP($A353,'SegEnds_NonXtal_BW#'!$A:$Z,17,FALSE)+VLOOKUP($A353,A:AL,25,FALSE)-50))</f>
        <v>-</v>
      </c>
      <c r="Y353" s="3" t="s">
        <v>23</v>
      </c>
      <c r="Z353" s="3" t="str">
        <f>IF(ISERROR(VLOOKUP($A353,'SegEnds_NonXtal_BW#'!$A:$Z,18,FALSE)+VLOOKUP($A353,A:AL,25,FALSE)-50),"-",(VLOOKUP($A353,'SegEnds_NonXtal_BW#'!$A:$Z,18,FALSE)+VLOOKUP($A353,A:AL,25,FALSE)-50))</f>
        <v>-</v>
      </c>
      <c r="AA353" s="3">
        <f>IF(ISERROR(VLOOKUP($A353,'SegEnds_NonXtal_BW#'!$A:$Z,19,FALSE)+VLOOKUP($A353,A:AL,28,FALSE)-50),"-",(VLOOKUP($A353,'SegEnds_NonXtal_BW#'!$A:$Z,19,FALSE)+VLOOKUP($A353,A:AL,28,FALSE)-50))</f>
        <v>222</v>
      </c>
      <c r="AB353" s="3">
        <v>235</v>
      </c>
      <c r="AC353" s="3">
        <f>IF(ISERROR((VLOOKUP($A353,'SegEnds_NonXtal_BW#'!$A:$Z,20,FALSE)+VLOOKUP($A353,A:AL,28,FALSE)-50)),"-",(VLOOKUP($A353,'SegEnds_NonXtal_BW#'!$A:$Z,20,FALSE)+VLOOKUP($A353,A:AL,28,FALSE)-50))</f>
        <v>246</v>
      </c>
      <c r="AD353" s="3">
        <f>IF(ISERROR(VLOOKUP($A353,'SegEnds_NonXtal_BW#'!$A:$Z,21,FALSE)+VLOOKUP($A353,A:AL,31,FALSE)-50),"-",(VLOOKUP($A353,'SegEnds_NonXtal_BW#'!$A:$Z,21,FALSE)+VLOOKUP($A353,A:AL,31,FALSE)-50))</f>
        <v>257</v>
      </c>
      <c r="AE353" s="3">
        <v>274</v>
      </c>
      <c r="AF353" s="3">
        <f>IF(ISERROR((VLOOKUP($A353,'SegEnds_NonXtal_BW#'!$A:$Z,22,FALSE)+VLOOKUP($A353,A:AL,31,FALSE)-50)),"-",(VLOOKUP($A353,'SegEnds_NonXtal_BW#'!$A:$Z,22,FALSE)+VLOOKUP($A353,A:AL,31,FALSE)-50))</f>
        <v>281</v>
      </c>
      <c r="AG353" s="3">
        <f>IF(ISERROR(VLOOKUP($A353,'SegEnds_NonXtal_BW#'!$A:$Z,23,FALSE)+VLOOKUP($A353,A:AL,34,FALSE)-50),"-",(VLOOKUP($A353,'SegEnds_NonXtal_BW#'!$A:$Z,23,FALSE)+VLOOKUP($A353,A:AL,34,FALSE)-50))</f>
        <v>288</v>
      </c>
      <c r="AH353" s="3">
        <v>304</v>
      </c>
      <c r="AI353" s="3">
        <f>IF(ISERROR((VLOOKUP($A353,'SegEnds_NonXtal_BW#'!$A:$Z,24,FALSE)+VLOOKUP($A353,A:AL,34,FALSE)-50)),"-",(VLOOKUP($A353,'SegEnds_NonXtal_BW#'!$A:$Z,24,FALSE)+VLOOKUP($A353,A:AL,34,FALSE)-50))</f>
        <v>317</v>
      </c>
      <c r="AJ353" s="3">
        <f>IF(ISERROR(VLOOKUP($A353,'SegEnds_NonXtal_BW#'!$A:$Z,25,FALSE)+VLOOKUP($A353,A:AL,37,FALSE)-50),"-",(VLOOKUP($A353,'SegEnds_NonXtal_BW#'!$A:$Z,25,FALSE)+VLOOKUP($A353,A:AL,37,FALSE)-50))</f>
        <v>318</v>
      </c>
      <c r="AK353" s="3">
        <v>321</v>
      </c>
      <c r="AL353" s="3">
        <f>IF(ISERROR((VLOOKUP($A353,'SegEnds_NonXtal_BW#'!$A:$Z,26,FALSE)+VLOOKUP($A353,A:AL,37,FALSE)-50)),"-",(VLOOKUP($A353,'SegEnds_NonXtal_BW#'!$A:$Z,26,FALSE)+VLOOKUP($A353,A:AL,37,FALSE)-50))</f>
        <v>330</v>
      </c>
      <c r="AM353" s="28" t="str">
        <f>VLOOKUP(A353,Classification!A:B,2,FALSE)</f>
        <v>C</v>
      </c>
      <c r="AN353" s="28" t="b">
        <f t="shared" si="200"/>
        <v>1</v>
      </c>
      <c r="AO353" s="3" t="str">
        <f>IF(ISERROR(MATCH(A353,'SegEnds_Xtal_Prot#'!B:B, 0)), "NoXtal", "Xtal")</f>
        <v>NoXtal</v>
      </c>
      <c r="AP353" s="3">
        <f t="shared" si="185"/>
        <v>3</v>
      </c>
      <c r="AQ353" s="3">
        <f t="shared" si="186"/>
        <v>1</v>
      </c>
      <c r="AR353" s="3" t="str">
        <f t="shared" si="187"/>
        <v>-</v>
      </c>
      <c r="AS353" s="3" t="str">
        <f t="shared" si="188"/>
        <v>-</v>
      </c>
      <c r="AT353" s="3" t="str">
        <f t="shared" si="189"/>
        <v>-</v>
      </c>
      <c r="AU353" s="3" t="str">
        <f t="shared" si="190"/>
        <v>-</v>
      </c>
      <c r="AV353" s="3" t="str">
        <f t="shared" si="191"/>
        <v>-</v>
      </c>
      <c r="AW353" s="3" t="str">
        <f t="shared" si="192"/>
        <v>-</v>
      </c>
      <c r="AX353" s="3">
        <f t="shared" si="193"/>
        <v>11</v>
      </c>
      <c r="AY353" s="3">
        <f t="shared" si="194"/>
        <v>7</v>
      </c>
      <c r="AZ353" s="3">
        <f t="shared" si="195"/>
        <v>1</v>
      </c>
      <c r="BA353" s="3">
        <f>IF(ISERROR(LEN(VLOOKUP(A353,Seqs!A:E,2,FALSE))-AL353),"-",LEN(VLOOKUP(A353,Seqs!A:E,2,FALSE))-AL353)</f>
        <v>484</v>
      </c>
      <c r="BB353" s="16">
        <f t="shared" si="196"/>
        <v>31</v>
      </c>
      <c r="BC353" s="9" t="str">
        <f t="shared" si="197"/>
        <v>-</v>
      </c>
      <c r="BD353" s="3">
        <f t="shared" si="198"/>
        <v>31</v>
      </c>
      <c r="BE353" s="3">
        <f t="shared" si="199"/>
        <v>39</v>
      </c>
    </row>
    <row r="354" spans="1:57" s="3" customFormat="1" x14ac:dyDescent="0.2">
      <c r="A354" s="3" t="s">
        <v>486</v>
      </c>
      <c r="B354" s="3" t="str">
        <f>LOWER(VLOOKUP(A354,Xtal_Templ!A:B,2,FALSE))</f>
        <v>5ht2b_human</v>
      </c>
      <c r="C354" s="3">
        <f>VLOOKUP($A354,'SegEnds_NonXtal_BW#'!$A:$Z,3,FALSE)+D354-50</f>
        <v>11</v>
      </c>
      <c r="D354" s="3">
        <v>29</v>
      </c>
      <c r="E354" s="3">
        <f>IF(ISERROR(VLOOKUP($A354,'SegEnds_NonXtal_BW#'!$A:$Z,4,FALSE)+VLOOKUP($A354,A:AL,4,FALSE)-50),"-",(VLOOKUP($A354,'SegEnds_NonXtal_BW#'!$A:$Z,4,FALSE)+VLOOKUP($A354,A:AL,4,FALSE)-50))</f>
        <v>39</v>
      </c>
      <c r="F354" s="3" t="str">
        <f>IF(ISERROR(VLOOKUP($A354,'SegEnds_NonXtal_BW#'!$A:$Z,5,FALSE)+VLOOKUP($A354,A:AL,7,FALSE)-50),"-",(VLOOKUP($A354,'SegEnds_NonXtal_BW#'!$A:$Z,5,FALSE)+VLOOKUP($A354,A:AL,7,FALSE)-50))</f>
        <v>-</v>
      </c>
      <c r="G354" s="3" t="s">
        <v>23</v>
      </c>
      <c r="H354" s="3" t="str">
        <f>IF(ISERROR(VLOOKUP($A354,'SegEnds_NonXtal_BW#'!$A:$Z,6,FALSE)+VLOOKUP($A354,A:AL,7,FALSE)-50),"-",(VLOOKUP($A354,'SegEnds_NonXtal_BW#'!$A:$Z,6,FALSE)+VLOOKUP($A354,A:AL,7,FALSE)-50))</f>
        <v>-</v>
      </c>
      <c r="I354" s="3">
        <f>VLOOKUP($A354,'SegEnds_NonXtal_BW#'!$A:$Z,7,FALSE)+J354-50</f>
        <v>46</v>
      </c>
      <c r="J354" s="3">
        <v>57</v>
      </c>
      <c r="K354" s="3">
        <f>VLOOKUP($A354,'SegEnds_NonXtal_BW#'!$A:$Z,8,FALSE)+VLOOKUP($A354,A:AL,10,FALSE)-50</f>
        <v>70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77</v>
      </c>
      <c r="P354" s="3">
        <v>104</v>
      </c>
      <c r="Q354" s="3">
        <f>VLOOKUP($A354,'SegEnds_NonXtal_BW#'!$A:$Z,12,FALSE)+VLOOKUP($A354,A:AL,16,FALSE)-50</f>
        <v>110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3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125</v>
      </c>
      <c r="V354" s="3">
        <v>135</v>
      </c>
      <c r="W354" s="3">
        <f>IF(ISERROR(VLOOKUP($A354,'SegEnds_NonXtal_BW#'!$A:$Z,16,FALSE)+VLOOKUP($A354,A:AL,22,FALSE)-50),"-",(VLOOKUP($A354,'SegEnds_NonXtal_BW#'!$A:$Z,16,FALSE)+VLOOKUP($A354,A:AL,22,FALSE)-50))</f>
        <v>149</v>
      </c>
      <c r="X354" s="3" t="str">
        <f>IF(ISERROR(VLOOKUP($A354,'SegEnds_NonXtal_BW#'!$A:$Z,17,FALSE)+VLOOKUP($A354,A:AL,25,FALSE)-50),"-",(VLOOKUP($A354,'SegEnds_NonXtal_BW#'!$A:$Z,17,FALSE)+VLOOKUP($A354,A:AL,25,FALSE)-50))</f>
        <v>-</v>
      </c>
      <c r="Y354" s="3" t="s">
        <v>23</v>
      </c>
      <c r="Z354" s="3" t="str">
        <f>IF(ISERROR(VLOOKUP($A354,'SegEnds_NonXtal_BW#'!$A:$Z,18,FALSE)+VLOOKUP($A354,A:AL,25,FALSE)-50),"-",(VLOOKUP($A354,'SegEnds_NonXtal_BW#'!$A:$Z,18,FALSE)+VLOOKUP($A354,A:AL,25,FALSE)-50))</f>
        <v>-</v>
      </c>
      <c r="AA354" s="3">
        <f>IF(ISERROR(VLOOKUP($A354,'SegEnds_NonXtal_BW#'!$A:$Z,19,FALSE)+VLOOKUP($A354,A:AL,28,FALSE)-50),"-",(VLOOKUP($A354,'SegEnds_NonXtal_BW#'!$A:$Z,19,FALSE)+VLOOKUP($A354,A:AL,28,FALSE)-50))</f>
        <v>153</v>
      </c>
      <c r="AB354" s="3">
        <v>164</v>
      </c>
      <c r="AC354" s="3">
        <f>IF(ISERROR((VLOOKUP($A354,'SegEnds_NonXtal_BW#'!$A:$Z,20,FALSE)+VLOOKUP($A354,A:AL,28,FALSE)-50)),"-",(VLOOKUP($A354,'SegEnds_NonXtal_BW#'!$A:$Z,20,FALSE)+VLOOKUP($A354,A:AL,28,FALSE)-50))</f>
        <v>175</v>
      </c>
      <c r="AD354" s="3">
        <f>IF(ISERROR(VLOOKUP($A354,'SegEnds_NonXtal_BW#'!$A:$Z,21,FALSE)+VLOOKUP($A354,A:AL,31,FALSE)-50),"-",(VLOOKUP($A354,'SegEnds_NonXtal_BW#'!$A:$Z,21,FALSE)+VLOOKUP($A354,A:AL,31,FALSE)-50))</f>
        <v>210</v>
      </c>
      <c r="AE354" s="3">
        <v>231</v>
      </c>
      <c r="AF354" s="3">
        <f>IF(ISERROR((VLOOKUP($A354,'SegEnds_NonXtal_BW#'!$A:$Z,22,FALSE)+VLOOKUP($A354,A:AL,31,FALSE)-50)),"-",(VLOOKUP($A354,'SegEnds_NonXtal_BW#'!$A:$Z,22,FALSE)+VLOOKUP($A354,A:AL,31,FALSE)-50))</f>
        <v>234</v>
      </c>
      <c r="AG354" s="3">
        <f>IF(ISERROR(VLOOKUP($A354,'SegEnds_NonXtal_BW#'!$A:$Z,23,FALSE)+VLOOKUP($A354,A:AL,34,FALSE)-50),"-",(VLOOKUP($A354,'SegEnds_NonXtal_BW#'!$A:$Z,23,FALSE)+VLOOKUP($A354,A:AL,34,FALSE)-50))</f>
        <v>261</v>
      </c>
      <c r="AH354" s="3">
        <v>276</v>
      </c>
      <c r="AI354" s="3">
        <f>IF(ISERROR((VLOOKUP($A354,'SegEnds_NonXtal_BW#'!$A:$Z,24,FALSE)+VLOOKUP($A354,A:AL,34,FALSE)-50)),"-",(VLOOKUP($A354,'SegEnds_NonXtal_BW#'!$A:$Z,24,FALSE)+VLOOKUP($A354,A:AL,34,FALSE)-50))</f>
        <v>282</v>
      </c>
      <c r="AJ354" s="3">
        <v>286</v>
      </c>
      <c r="AK354" s="3">
        <v>294</v>
      </c>
      <c r="AL354" s="3">
        <f>IF(ISERROR((VLOOKUP($A354,'SegEnds_NonXtal_BW#'!$A:$Z,26,FALSE)+VLOOKUP($A354,A:AL,37,FALSE)-50)),"-",(VLOOKUP($A354,'SegEnds_NonXtal_BW#'!$A:$Z,26,FALSE)+VLOOKUP($A354,A:AL,37,FALSE)-50))</f>
        <v>301</v>
      </c>
      <c r="AM354" s="28" t="str">
        <f>VLOOKUP(A354,Classification!A:B,2,FALSE)</f>
        <v>O</v>
      </c>
      <c r="AN354" s="28" t="b">
        <f t="shared" si="200"/>
        <v>1</v>
      </c>
      <c r="AO354" s="3" t="str">
        <f>IF(ISERROR(MATCH(A354,'SegEnds_Xtal_Prot#'!B:B, 0)), "NoXtal", "Xtal")</f>
        <v>NoXtal</v>
      </c>
      <c r="AP354" s="3" t="str">
        <f t="shared" si="185"/>
        <v>-</v>
      </c>
      <c r="AQ354" s="3" t="str">
        <f t="shared" si="186"/>
        <v>-</v>
      </c>
      <c r="AR354" s="3" t="str">
        <f t="shared" si="187"/>
        <v>-</v>
      </c>
      <c r="AS354" s="3" t="str">
        <f t="shared" si="188"/>
        <v>-</v>
      </c>
      <c r="AT354" s="3" t="str">
        <f t="shared" si="189"/>
        <v>-</v>
      </c>
      <c r="AU354" s="3" t="str">
        <f t="shared" si="190"/>
        <v>-</v>
      </c>
      <c r="AV354" s="3" t="str">
        <f t="shared" si="191"/>
        <v>-</v>
      </c>
      <c r="AW354" s="3" t="str">
        <f t="shared" si="192"/>
        <v>-</v>
      </c>
      <c r="AX354" s="3">
        <f t="shared" si="193"/>
        <v>35</v>
      </c>
      <c r="AY354" s="3">
        <f t="shared" si="194"/>
        <v>27</v>
      </c>
      <c r="AZ354" s="3">
        <f t="shared" si="195"/>
        <v>4</v>
      </c>
      <c r="BA354" s="3">
        <f>IF(ISERROR(LEN(VLOOKUP(A354,Seqs!A:E,2,FALSE))-AL354),"-",LEN(VLOOKUP(A354,Seqs!A:E,2,FALSE))-AL354)</f>
        <v>34</v>
      </c>
      <c r="BB354" s="16">
        <f t="shared" si="196"/>
        <v>28</v>
      </c>
      <c r="BC354" s="9" t="str">
        <f t="shared" si="197"/>
        <v>-</v>
      </c>
      <c r="BD354" s="3">
        <f t="shared" si="198"/>
        <v>28</v>
      </c>
      <c r="BE354" s="3">
        <f t="shared" si="199"/>
        <v>67</v>
      </c>
    </row>
    <row r="355" spans="1:57" s="3" customFormat="1" x14ac:dyDescent="0.2">
      <c r="A355" s="3" t="s">
        <v>109</v>
      </c>
      <c r="B355" s="3" t="str">
        <f>LOWER(VLOOKUP(A355,Xtal_Templ!A:B,2,FALSE))</f>
        <v>grm1_human</v>
      </c>
      <c r="C355" s="3">
        <f>VLOOKUP($A355,'SegEnds_NonXtal_BW#'!$A:$Z,3,FALSE)+D355-50</f>
        <v>415</v>
      </c>
      <c r="D355" s="3">
        <v>431</v>
      </c>
      <c r="E355" s="3">
        <f>IF(ISERROR(VLOOKUP($A355,'SegEnds_NonXtal_BW#'!$A:$Z,4,FALSE)+VLOOKUP($A355,A:AL,4,FALSE)-50),"-",(VLOOKUP($A355,'SegEnds_NonXtal_BW#'!$A:$Z,4,FALSE)+VLOOKUP($A355,A:AL,4,FALSE)-50))</f>
        <v>441</v>
      </c>
      <c r="F355" s="3">
        <f>G355-3</f>
        <v>444</v>
      </c>
      <c r="G355" s="3">
        <v>447</v>
      </c>
      <c r="H355" s="3">
        <f>G355+3</f>
        <v>450</v>
      </c>
      <c r="I355" s="3">
        <f>H355+1</f>
        <v>451</v>
      </c>
      <c r="J355" s="3">
        <v>462</v>
      </c>
      <c r="K355" s="3">
        <f>VLOOKUP($A355,'SegEnds_NonXtal_BW#'!$A:$Z,8,FALSE)+VLOOKUP($A355,A:AL,10,FALSE)-50</f>
        <v>473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478</v>
      </c>
      <c r="P355" s="3">
        <v>506</v>
      </c>
      <c r="Q355" s="3">
        <f>VLOOKUP($A355,'SegEnds_NonXtal_BW#'!$A:$Z,12,FALSE)+VLOOKUP($A355,A:AL,16,FALSE)-50</f>
        <v>510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3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512</v>
      </c>
      <c r="V355" s="3">
        <v>524</v>
      </c>
      <c r="W355" s="3">
        <f>IF(ISERROR(VLOOKUP($A355,'SegEnds_NonXtal_BW#'!$A:$Z,16,FALSE)+VLOOKUP($A355,A:AL,22,FALSE)-50),"-",(VLOOKUP($A355,'SegEnds_NonXtal_BW#'!$A:$Z,16,FALSE)+VLOOKUP($A355,A:AL,22,FALSE)-50))</f>
        <v>538</v>
      </c>
      <c r="X355" s="3">
        <f>IF(ISERROR(VLOOKUP($A355,'SegEnds_NonXtal_BW#'!$A:$Z,17,FALSE)+VLOOKUP($A355,A:AL,25,FALSE)-50),"-",(VLOOKUP($A355,'SegEnds_NonXtal_BW#'!$A:$Z,17,FALSE)+VLOOKUP($A355,A:AL,25,FALSE)-50))</f>
        <v>573</v>
      </c>
      <c r="Y355" s="3">
        <v>573</v>
      </c>
      <c r="Z355" s="3">
        <f t="shared" ref="Z355:Z361" si="205">Y355+2</f>
        <v>575</v>
      </c>
      <c r="AA355" s="3">
        <f>IF(ISERROR(VLOOKUP($A355,'SegEnds_NonXtal_BW#'!$A:$Z,19,FALSE)+VLOOKUP($A355,A:AL,28,FALSE)-50),"-",(VLOOKUP($A355,'SegEnds_NonXtal_BW#'!$A:$Z,19,FALSE)+VLOOKUP($A355,A:AL,28,FALSE)-50))</f>
        <v>576</v>
      </c>
      <c r="AB355" s="3">
        <v>589</v>
      </c>
      <c r="AC355" s="3">
        <f>IF(ISERROR((VLOOKUP($A355,'SegEnds_NonXtal_BW#'!$A:$Z,20,FALSE)+VLOOKUP($A355,A:AL,28,FALSE)-50)),"-",(VLOOKUP($A355,'SegEnds_NonXtal_BW#'!$A:$Z,20,FALSE)+VLOOKUP($A355,A:AL,28,FALSE)-50))</f>
        <v>600</v>
      </c>
      <c r="AD355" s="3">
        <f>IF(ISERROR(VLOOKUP($A355,'SegEnds_NonXtal_BW#'!$A:$Z,21,FALSE)+VLOOKUP($A355,A:AL,31,FALSE)-50),"-",(VLOOKUP($A355,'SegEnds_NonXtal_BW#'!$A:$Z,21,FALSE)+VLOOKUP($A355,A:AL,31,FALSE)-50))</f>
        <v>609</v>
      </c>
      <c r="AE355" s="3">
        <v>626</v>
      </c>
      <c r="AF355" s="3">
        <f>IF(ISERROR((VLOOKUP($A355,'SegEnds_NonXtal_BW#'!$A:$Z,22,FALSE)+VLOOKUP($A355,A:AL,31,FALSE)-50)),"-",(VLOOKUP($A355,'SegEnds_NonXtal_BW#'!$A:$Z,22,FALSE)+VLOOKUP($A355,A:AL,31,FALSE)-50))</f>
        <v>633</v>
      </c>
      <c r="AG355" s="3">
        <f>IF(ISERROR(VLOOKUP($A355,'SegEnds_NonXtal_BW#'!$A:$Z,23,FALSE)+VLOOKUP($A355,A:AL,34,FALSE)-50),"-",(VLOOKUP($A355,'SegEnds_NonXtal_BW#'!$A:$Z,23,FALSE)+VLOOKUP($A355,A:AL,34,FALSE)-50))</f>
        <v>643</v>
      </c>
      <c r="AH355" s="3">
        <v>659</v>
      </c>
      <c r="AI355" s="3">
        <f>IF(ISERROR((VLOOKUP($A355,'SegEnds_NonXtal_BW#'!$A:$Z,24,FALSE)+VLOOKUP($A355,A:AL,34,FALSE)-50)),"-",(VLOOKUP($A355,'SegEnds_NonXtal_BW#'!$A:$Z,24,FALSE)+VLOOKUP($A355,A:AL,34,FALSE)-50))</f>
        <v>672</v>
      </c>
      <c r="AJ355" s="3">
        <f>IF(ISERROR(VLOOKUP($A355,'SegEnds_NonXtal_BW#'!$A:$Z,25,FALSE)+VLOOKUP($A355,A:AL,37,FALSE)-50),"-",(VLOOKUP($A355,'SegEnds_NonXtal_BW#'!$A:$Z,25,FALSE)+VLOOKUP($A355,A:AL,37,FALSE)-50))</f>
        <v>673</v>
      </c>
      <c r="AK355" s="3">
        <v>676</v>
      </c>
      <c r="AL355" s="3">
        <f>IF(ISERROR((VLOOKUP($A355,'SegEnds_NonXtal_BW#'!$A:$Z,26,FALSE)+VLOOKUP($A355,A:AL,37,FALSE)-50)),"-",(VLOOKUP($A355,'SegEnds_NonXtal_BW#'!$A:$Z,26,FALSE)+VLOOKUP($A355,A:AL,37,FALSE)-50))</f>
        <v>685</v>
      </c>
      <c r="AM355" s="28" t="str">
        <f>VLOOKUP(A355,Classification!A:B,2,FALSE)</f>
        <v>C</v>
      </c>
      <c r="AN355" s="28" t="b">
        <f t="shared" si="200"/>
        <v>1</v>
      </c>
      <c r="AO355" s="3" t="str">
        <f>IF(ISERROR(MATCH(A355,'SegEnds_Xtal_Prot#'!B:B, 0)), "NoXtal", "Xtal")</f>
        <v>NoXtal</v>
      </c>
      <c r="AP355" s="3">
        <f t="shared" si="185"/>
        <v>3</v>
      </c>
      <c r="AQ355" s="3">
        <f t="shared" si="186"/>
        <v>1</v>
      </c>
      <c r="AR355" s="3" t="str">
        <f t="shared" si="187"/>
        <v>-</v>
      </c>
      <c r="AS355" s="3" t="str">
        <f t="shared" si="188"/>
        <v>-</v>
      </c>
      <c r="AT355" s="3" t="str">
        <f t="shared" si="189"/>
        <v>-</v>
      </c>
      <c r="AU355" s="3" t="str">
        <f t="shared" si="190"/>
        <v>-</v>
      </c>
      <c r="AV355" s="3">
        <f t="shared" si="191"/>
        <v>35</v>
      </c>
      <c r="AW355" s="3">
        <f t="shared" si="192"/>
        <v>1</v>
      </c>
      <c r="AX355" s="3">
        <f t="shared" si="193"/>
        <v>9</v>
      </c>
      <c r="AY355" s="3">
        <f t="shared" si="194"/>
        <v>10</v>
      </c>
      <c r="AZ355" s="3">
        <f t="shared" si="195"/>
        <v>1</v>
      </c>
      <c r="BA355" s="3">
        <f>IF(ISERROR(LEN(VLOOKUP(A355,Seqs!A:E,2,FALSE))-AL355),"-",LEN(VLOOKUP(A355,Seqs!A:E,2,FALSE))-AL355)</f>
        <v>530</v>
      </c>
      <c r="BB355" s="16">
        <f t="shared" si="196"/>
        <v>31</v>
      </c>
      <c r="BC355" s="9" t="str">
        <f t="shared" si="197"/>
        <v>-</v>
      </c>
      <c r="BD355" s="3">
        <f t="shared" si="198"/>
        <v>31</v>
      </c>
      <c r="BE355" s="3">
        <f t="shared" si="199"/>
        <v>37</v>
      </c>
    </row>
    <row r="356" spans="1:57" s="3" customFormat="1" x14ac:dyDescent="0.2">
      <c r="A356" s="3" t="s">
        <v>226</v>
      </c>
      <c r="B356" s="3" t="str">
        <f>LOWER(VLOOKUP(A356,Xtal_Templ!A:B,2,FALSE))</f>
        <v>par1_human</v>
      </c>
      <c r="C356" s="3">
        <f>VLOOKUP($A356,'SegEnds_NonXtal_BW#'!$A:$Z,3,FALSE)+D356-50</f>
        <v>18</v>
      </c>
      <c r="D356" s="3">
        <v>39</v>
      </c>
      <c r="E356" s="3">
        <f>IF(ISERROR(VLOOKUP($A356,'SegEnds_NonXtal_BW#'!$A:$Z,4,FALSE)+VLOOKUP($A356,A:AL,4,FALSE)-50),"-",(VLOOKUP($A356,'SegEnds_NonXtal_BW#'!$A:$Z,4,FALSE)+VLOOKUP($A356,A:AL,4,FALSE)-50))</f>
        <v>49</v>
      </c>
      <c r="F356" s="3" t="str">
        <f>IF(ISERROR(VLOOKUP($A356,'SegEnds_NonXtal_BW#'!$A:$Z,5,FALSE)+VLOOKUP($A356,A:AL,7,FALSE)-50),"-",(VLOOKUP($A356,'SegEnds_NonXtal_BW#'!$A:$Z,5,FALSE)+VLOOKUP($A356,A:AL,7,FALSE)-50))</f>
        <v>-</v>
      </c>
      <c r="G356" s="3" t="s">
        <v>23</v>
      </c>
      <c r="H356" s="3" t="str">
        <f>IF(ISERROR(VLOOKUP($A356,'SegEnds_NonXtal_BW#'!$A:$Z,6,FALSE)+VLOOKUP($A356,A:AL,7,FALSE)-50),"-",(VLOOKUP($A356,'SegEnds_NonXtal_BW#'!$A:$Z,6,FALSE)+VLOOKUP($A356,A:AL,7,FALSE)-50))</f>
        <v>-</v>
      </c>
      <c r="I356" s="3">
        <f>VLOOKUP($A356,'SegEnds_NonXtal_BW#'!$A:$Z,7,FALSE)+J356-50</f>
        <v>53</v>
      </c>
      <c r="J356" s="3">
        <v>66</v>
      </c>
      <c r="K356" s="3">
        <f>VLOOKUP($A356,'SegEnds_NonXtal_BW#'!$A:$Z,8,FALSE)+VLOOKUP($A356,A:AL,10,FALSE)-50</f>
        <v>82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88</v>
      </c>
      <c r="P356" s="3">
        <v>120</v>
      </c>
      <c r="Q356" s="3">
        <f>VLOOKUP($A356,'SegEnds_NonXtal_BW#'!$A:$Z,12,FALSE)+VLOOKUP($A356,A:AL,16,FALSE)-50</f>
        <v>126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3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135</v>
      </c>
      <c r="V356" s="3">
        <v>147</v>
      </c>
      <c r="W356" s="3">
        <f>IF(ISERROR(VLOOKUP($A356,'SegEnds_NonXtal_BW#'!$A:$Z,16,FALSE)+VLOOKUP($A356,A:AL,22,FALSE)-50),"-",(VLOOKUP($A356,'SegEnds_NonXtal_BW#'!$A:$Z,16,FALSE)+VLOOKUP($A356,A:AL,22,FALSE)-50))</f>
        <v>160</v>
      </c>
      <c r="X356" s="3">
        <f>IF(ISERROR(VLOOKUP($A356,'SegEnds_NonXtal_BW#'!$A:$Z,17,FALSE)+VLOOKUP($A356,A:AL,25,FALSE)-50),"-",(VLOOKUP($A356,'SegEnds_NonXtal_BW#'!$A:$Z,17,FALSE)+VLOOKUP($A356,A:AL,25,FALSE)-50))</f>
        <v>174</v>
      </c>
      <c r="Y356" s="3">
        <v>174</v>
      </c>
      <c r="Z356" s="3">
        <f t="shared" si="205"/>
        <v>176</v>
      </c>
      <c r="AA356" s="3">
        <f>IF(ISERROR(VLOOKUP($A356,'SegEnds_NonXtal_BW#'!$A:$Z,19,FALSE)+VLOOKUP($A356,A:AL,28,FALSE)-50),"-",(VLOOKUP($A356,'SegEnds_NonXtal_BW#'!$A:$Z,19,FALSE)+VLOOKUP($A356,A:AL,28,FALSE)-50))</f>
        <v>181</v>
      </c>
      <c r="AB356" s="3">
        <v>196</v>
      </c>
      <c r="AC356" s="3">
        <f>IF(ISERROR((VLOOKUP($A356,'SegEnds_NonXtal_BW#'!$A:$Z,20,FALSE)+VLOOKUP($A356,A:AL,28,FALSE)-50)),"-",(VLOOKUP($A356,'SegEnds_NonXtal_BW#'!$A:$Z,20,FALSE)+VLOOKUP($A356,A:AL,28,FALSE)-50))</f>
        <v>219</v>
      </c>
      <c r="AD356" s="3">
        <f>IF(ISERROR(VLOOKUP($A356,'SegEnds_NonXtal_BW#'!$A:$Z,21,FALSE)+VLOOKUP($A356,A:AL,31,FALSE)-50),"-",(VLOOKUP($A356,'SegEnds_NonXtal_BW#'!$A:$Z,21,FALSE)+VLOOKUP($A356,A:AL,31,FALSE)-50))</f>
        <v>228</v>
      </c>
      <c r="AE356" s="3">
        <v>254</v>
      </c>
      <c r="AF356" s="3">
        <f>IF(ISERROR((VLOOKUP($A356,'SegEnds_NonXtal_BW#'!$A:$Z,22,FALSE)+VLOOKUP($A356,A:AL,31,FALSE)-50)),"-",(VLOOKUP($A356,'SegEnds_NonXtal_BW#'!$A:$Z,22,FALSE)+VLOOKUP($A356,A:AL,31,FALSE)-50))</f>
        <v>265</v>
      </c>
      <c r="AG356" s="3">
        <f>IF(ISERROR(VLOOKUP($A356,'SegEnds_NonXtal_BW#'!$A:$Z,23,FALSE)+VLOOKUP($A356,A:AL,34,FALSE)-50),"-",(VLOOKUP($A356,'SegEnds_NonXtal_BW#'!$A:$Z,23,FALSE)+VLOOKUP($A356,A:AL,34,FALSE)-50))</f>
        <v>270</v>
      </c>
      <c r="AH356" s="3">
        <v>289</v>
      </c>
      <c r="AI356" s="3">
        <f>IF(ISERROR((VLOOKUP($A356,'SegEnds_NonXtal_BW#'!$A:$Z,24,FALSE)+VLOOKUP($A356,A:AL,34,FALSE)-50)),"-",(VLOOKUP($A356,'SegEnds_NonXtal_BW#'!$A:$Z,24,FALSE)+VLOOKUP($A356,A:AL,34,FALSE)-50))</f>
        <v>295</v>
      </c>
      <c r="AJ356" s="3">
        <f>IF(ISERROR(VLOOKUP($A356,'SegEnds_NonXtal_BW#'!$A:$Z,25,FALSE)+VLOOKUP($A356,A:AL,37,FALSE)-50),"-",(VLOOKUP($A356,'SegEnds_NonXtal_BW#'!$A:$Z,25,FALSE)+VLOOKUP($A356,A:AL,37,FALSE)-50))</f>
        <v>296</v>
      </c>
      <c r="AK356" s="3">
        <v>299</v>
      </c>
      <c r="AL356" s="3">
        <f>IF(ISERROR((VLOOKUP($A356,'SegEnds_NonXtal_BW#'!$A:$Z,26,FALSE)+VLOOKUP($A356,A:AL,37,FALSE)-50)),"-",(VLOOKUP($A356,'SegEnds_NonXtal_BW#'!$A:$Z,26,FALSE)+VLOOKUP($A356,A:AL,37,FALSE)-50))</f>
        <v>310</v>
      </c>
      <c r="AM356" s="28" t="str">
        <f>VLOOKUP(A356,Classification!A:B,2,FALSE)</f>
        <v>A</v>
      </c>
      <c r="AN356" s="28" t="b">
        <f t="shared" si="200"/>
        <v>1</v>
      </c>
      <c r="AO356" s="3" t="str">
        <f>IF(ISERROR(MATCH(A356,'SegEnds_Xtal_Prot#'!B:B, 0)), "NoXtal", "Xtal")</f>
        <v>NoXtal</v>
      </c>
      <c r="AP356" s="3" t="str">
        <f t="shared" si="185"/>
        <v>-</v>
      </c>
      <c r="AQ356" s="3" t="str">
        <f t="shared" si="186"/>
        <v>-</v>
      </c>
      <c r="AR356" s="3" t="str">
        <f t="shared" si="187"/>
        <v>-</v>
      </c>
      <c r="AS356" s="3" t="str">
        <f t="shared" si="188"/>
        <v>-</v>
      </c>
      <c r="AT356" s="3" t="str">
        <f t="shared" si="189"/>
        <v>-</v>
      </c>
      <c r="AU356" s="3" t="str">
        <f t="shared" si="190"/>
        <v>-</v>
      </c>
      <c r="AV356" s="3">
        <f t="shared" si="191"/>
        <v>14</v>
      </c>
      <c r="AW356" s="3">
        <f t="shared" si="192"/>
        <v>5</v>
      </c>
      <c r="AX356" s="3">
        <f t="shared" si="193"/>
        <v>9</v>
      </c>
      <c r="AY356" s="3">
        <f t="shared" si="194"/>
        <v>5</v>
      </c>
      <c r="AZ356" s="3">
        <f t="shared" si="195"/>
        <v>1</v>
      </c>
      <c r="BA356" s="3">
        <f>IF(ISERROR(LEN(VLOOKUP(A356,Seqs!A:E,2,FALSE))-AL356),"-",LEN(VLOOKUP(A356,Seqs!A:E,2,FALSE))-AL356)</f>
        <v>28</v>
      </c>
      <c r="BB356" s="16">
        <f t="shared" si="196"/>
        <v>27</v>
      </c>
      <c r="BC356" s="9" t="str">
        <f t="shared" si="197"/>
        <v>-</v>
      </c>
      <c r="BD356" s="3">
        <f t="shared" si="198"/>
        <v>27</v>
      </c>
      <c r="BE356" s="3">
        <f t="shared" si="199"/>
        <v>58</v>
      </c>
    </row>
    <row r="357" spans="1:57" s="3" customFormat="1" x14ac:dyDescent="0.2">
      <c r="A357" s="3" t="s">
        <v>232</v>
      </c>
      <c r="B357" s="3" t="str">
        <f>LOWER(VLOOKUP(A357,Xtal_Templ!A:B,2,FALSE))</f>
        <v>ox1r_human</v>
      </c>
      <c r="C357" s="3">
        <f>VLOOKUP($A357,'SegEnds_NonXtal_BW#'!$A:$Z,3,FALSE)+D357-50</f>
        <v>41</v>
      </c>
      <c r="D357" s="3">
        <v>59</v>
      </c>
      <c r="E357" s="3">
        <f>IF(ISERROR(VLOOKUP($A357,'SegEnds_NonXtal_BW#'!$A:$Z,4,FALSE)+VLOOKUP($A357,A:AL,4,FALSE)-50),"-",(VLOOKUP($A357,'SegEnds_NonXtal_BW#'!$A:$Z,4,FALSE)+VLOOKUP($A357,A:AL,4,FALSE)-50))</f>
        <v>69</v>
      </c>
      <c r="F357" s="3">
        <f>G357-2</f>
        <v>70</v>
      </c>
      <c r="G357" s="3">
        <v>72</v>
      </c>
      <c r="H357" s="3">
        <f>G357+1</f>
        <v>73</v>
      </c>
      <c r="I357" s="3">
        <f>H357+1</f>
        <v>74</v>
      </c>
      <c r="J357" s="3">
        <v>87</v>
      </c>
      <c r="K357" s="3">
        <f>VLOOKUP($A357,'SegEnds_NonXtal_BW#'!$A:$Z,8,FALSE)+VLOOKUP($A357,A:AL,10,FALSE)-50</f>
        <v>104</v>
      </c>
      <c r="L357" s="3">
        <f>M357-1</f>
        <v>108</v>
      </c>
      <c r="M357" s="3">
        <v>109</v>
      </c>
      <c r="N357" s="3">
        <f>M357+2</f>
        <v>111</v>
      </c>
      <c r="O357" s="3">
        <f>N357+1</f>
        <v>112</v>
      </c>
      <c r="P357" s="3">
        <v>142</v>
      </c>
      <c r="Q357" s="3">
        <f>VLOOKUP($A357,'SegEnds_NonXtal_BW#'!$A:$Z,12,FALSE)+VLOOKUP($A357,A:AL,16,FALSE)-50</f>
        <v>148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3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155</v>
      </c>
      <c r="V357" s="3">
        <v>167</v>
      </c>
      <c r="W357" s="3">
        <f>IF(ISERROR(VLOOKUP($A357,'SegEnds_NonXtal_BW#'!$A:$Z,16,FALSE)+VLOOKUP($A357,A:AL,22,FALSE)-50),"-",(VLOOKUP($A357,'SegEnds_NonXtal_BW#'!$A:$Z,16,FALSE)+VLOOKUP($A357,A:AL,22,FALSE)-50))</f>
        <v>181</v>
      </c>
      <c r="X357" s="3">
        <f>IF(ISERROR(VLOOKUP($A357,'SegEnds_NonXtal_BW#'!$A:$Z,17,FALSE)+VLOOKUP($A357,A:AL,25,FALSE)-50),"-",(VLOOKUP($A357,'SegEnds_NonXtal_BW#'!$A:$Z,17,FALSE)+VLOOKUP($A357,A:AL,25,FALSE)-50))</f>
        <v>192</v>
      </c>
      <c r="Y357" s="3">
        <v>192</v>
      </c>
      <c r="Z357" s="3">
        <f t="shared" si="205"/>
        <v>194</v>
      </c>
      <c r="AA357" s="3">
        <f>IF(ISERROR(VLOOKUP($A357,'SegEnds_NonXtal_BW#'!$A:$Z,19,FALSE)+VLOOKUP($A357,A:AL,28,FALSE)-50),"-",(VLOOKUP($A357,'SegEnds_NonXtal_BW#'!$A:$Z,19,FALSE)+VLOOKUP($A357,A:AL,28,FALSE)-50))</f>
        <v>199</v>
      </c>
      <c r="AB357" s="3">
        <v>217</v>
      </c>
      <c r="AC357" s="3">
        <f>IF(ISERROR((VLOOKUP($A357,'SegEnds_NonXtal_BW#'!$A:$Z,20,FALSE)+VLOOKUP($A357,A:AL,28,FALSE)-50)),"-",(VLOOKUP($A357,'SegEnds_NonXtal_BW#'!$A:$Z,20,FALSE)+VLOOKUP($A357,A:AL,28,FALSE)-50))</f>
        <v>241</v>
      </c>
      <c r="AD357" s="3">
        <f>IF(ISERROR(VLOOKUP($A357,'SegEnds_NonXtal_BW#'!$A:$Z,21,FALSE)+VLOOKUP($A357,A:AL,31,FALSE)-50),"-",(VLOOKUP($A357,'SegEnds_NonXtal_BW#'!$A:$Z,21,FALSE)+VLOOKUP($A357,A:AL,31,FALSE)-50))</f>
        <v>252</v>
      </c>
      <c r="AE357" s="3">
        <v>281</v>
      </c>
      <c r="AF357" s="3">
        <f>IF(ISERROR((VLOOKUP($A357,'SegEnds_NonXtal_BW#'!$A:$Z,22,FALSE)+VLOOKUP($A357,A:AL,31,FALSE)-50)),"-",(VLOOKUP($A357,'SegEnds_NonXtal_BW#'!$A:$Z,22,FALSE)+VLOOKUP($A357,A:AL,31,FALSE)-50))</f>
        <v>292</v>
      </c>
      <c r="AG357" s="3">
        <f>IF(ISERROR(VLOOKUP($A357,'SegEnds_NonXtal_BW#'!$A:$Z,23,FALSE)+VLOOKUP($A357,A:AL,34,FALSE)-50),"-",(VLOOKUP($A357,'SegEnds_NonXtal_BW#'!$A:$Z,23,FALSE)+VLOOKUP($A357,A:AL,34,FALSE)-50))</f>
        <v>298</v>
      </c>
      <c r="AH357" s="3">
        <v>317</v>
      </c>
      <c r="AI357" s="3">
        <f>IF(ISERROR((VLOOKUP($A357,'SegEnds_NonXtal_BW#'!$A:$Z,24,FALSE)+VLOOKUP($A357,A:AL,34,FALSE)-50)),"-",(VLOOKUP($A357,'SegEnds_NonXtal_BW#'!$A:$Z,24,FALSE)+VLOOKUP($A357,A:AL,34,FALSE)-50))</f>
        <v>323</v>
      </c>
      <c r="AJ357" s="3">
        <f>IF(ISERROR(VLOOKUP($A357,'SegEnds_NonXtal_BW#'!$A:$Z,25,FALSE)+VLOOKUP($A357,A:AL,37,FALSE)-50),"-",(VLOOKUP($A357,'SegEnds_NonXtal_BW#'!$A:$Z,25,FALSE)+VLOOKUP($A357,A:AL,37,FALSE)-50))</f>
        <v>324</v>
      </c>
      <c r="AK357" s="3">
        <v>327</v>
      </c>
      <c r="AL357" s="3">
        <f>IF(ISERROR((VLOOKUP($A357,'SegEnds_NonXtal_BW#'!$A:$Z,26,FALSE)+VLOOKUP($A357,A:AL,37,FALSE)-50)),"-",(VLOOKUP($A357,'SegEnds_NonXtal_BW#'!$A:$Z,26,FALSE)+VLOOKUP($A357,A:AL,37,FALSE)-50))</f>
        <v>335</v>
      </c>
      <c r="AM357" s="28" t="str">
        <f>VLOOKUP(A357,Classification!A:B,2,FALSE)</f>
        <v>A</v>
      </c>
      <c r="AN357" s="28" t="b">
        <f t="shared" si="200"/>
        <v>1</v>
      </c>
      <c r="AO357" s="3" t="str">
        <f>IF(ISERROR(MATCH(A357,'SegEnds_Xtal_Prot#'!B:B, 0)), "NoXtal", "Xtal")</f>
        <v>NoXtal</v>
      </c>
      <c r="AP357" s="3">
        <f t="shared" si="185"/>
        <v>1</v>
      </c>
      <c r="AQ357" s="3">
        <f t="shared" si="186"/>
        <v>1</v>
      </c>
      <c r="AR357" s="3">
        <f t="shared" si="187"/>
        <v>4</v>
      </c>
      <c r="AS357" s="3">
        <f t="shared" si="188"/>
        <v>1</v>
      </c>
      <c r="AT357" s="3" t="str">
        <f t="shared" si="189"/>
        <v>-</v>
      </c>
      <c r="AU357" s="3" t="str">
        <f t="shared" si="190"/>
        <v>-</v>
      </c>
      <c r="AV357" s="3">
        <f t="shared" si="191"/>
        <v>11</v>
      </c>
      <c r="AW357" s="3">
        <f t="shared" si="192"/>
        <v>5</v>
      </c>
      <c r="AX357" s="3">
        <f t="shared" si="193"/>
        <v>11</v>
      </c>
      <c r="AY357" s="3">
        <f t="shared" si="194"/>
        <v>6</v>
      </c>
      <c r="AZ357" s="3">
        <f t="shared" si="195"/>
        <v>1</v>
      </c>
      <c r="BA357" s="3">
        <f>IF(ISERROR(LEN(VLOOKUP(A357,Seqs!A:E,2,FALSE))-AL357),"-",LEN(VLOOKUP(A357,Seqs!A:E,2,FALSE))-AL357)</f>
        <v>180</v>
      </c>
      <c r="BB357" s="16">
        <f t="shared" si="196"/>
        <v>28</v>
      </c>
      <c r="BC357" s="9" t="str">
        <f t="shared" si="197"/>
        <v>-</v>
      </c>
      <c r="BD357" s="3">
        <f t="shared" si="198"/>
        <v>28</v>
      </c>
      <c r="BE357" s="3">
        <f t="shared" si="199"/>
        <v>64</v>
      </c>
    </row>
    <row r="358" spans="1:57" s="3" customFormat="1" x14ac:dyDescent="0.2">
      <c r="A358" s="3" t="s">
        <v>110</v>
      </c>
      <c r="B358" s="3" t="str">
        <f>LOWER(VLOOKUP(A358,Xtal_Templ!A:B,2,FALSE))</f>
        <v>grm1_human</v>
      </c>
      <c r="C358" s="3">
        <f>VLOOKUP($A358,'SegEnds_NonXtal_BW#'!$A:$Z,3,FALSE)+D358-50</f>
        <v>379</v>
      </c>
      <c r="D358" s="3">
        <v>395</v>
      </c>
      <c r="E358" s="3">
        <f>IF(ISERROR(VLOOKUP($A358,'SegEnds_NonXtal_BW#'!$A:$Z,4,FALSE)+VLOOKUP($A358,A:AL,4,FALSE)-50),"-",(VLOOKUP($A358,'SegEnds_NonXtal_BW#'!$A:$Z,4,FALSE)+VLOOKUP($A358,A:AL,4,FALSE)-50))</f>
        <v>405</v>
      </c>
      <c r="F358" s="3">
        <f>G358-3</f>
        <v>408</v>
      </c>
      <c r="G358" s="3">
        <v>411</v>
      </c>
      <c r="H358" s="3">
        <f>G358+3</f>
        <v>414</v>
      </c>
      <c r="I358" s="3">
        <f t="shared" ref="I358:I364" si="206">H358+1</f>
        <v>415</v>
      </c>
      <c r="J358" s="3">
        <v>426</v>
      </c>
      <c r="K358" s="3">
        <f>VLOOKUP($A358,'SegEnds_NonXtal_BW#'!$A:$Z,8,FALSE)+VLOOKUP($A358,A:AL,10,FALSE)-50</f>
        <v>437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442</v>
      </c>
      <c r="P358" s="3">
        <v>470</v>
      </c>
      <c r="Q358" s="3">
        <f>VLOOKUP($A358,'SegEnds_NonXtal_BW#'!$A:$Z,12,FALSE)+VLOOKUP($A358,A:AL,16,FALSE)-50</f>
        <v>474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3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476</v>
      </c>
      <c r="V358" s="3">
        <v>488</v>
      </c>
      <c r="W358" s="3">
        <f>IF(ISERROR(VLOOKUP($A358,'SegEnds_NonXtal_BW#'!$A:$Z,16,FALSE)+VLOOKUP($A358,A:AL,22,FALSE)-50),"-",(VLOOKUP($A358,'SegEnds_NonXtal_BW#'!$A:$Z,16,FALSE)+VLOOKUP($A358,A:AL,22,FALSE)-50))</f>
        <v>502</v>
      </c>
      <c r="X358" s="3">
        <f>IF(ISERROR(VLOOKUP($A358,'SegEnds_NonXtal_BW#'!$A:$Z,17,FALSE)+VLOOKUP($A358,A:AL,25,FALSE)-50),"-",(VLOOKUP($A358,'SegEnds_NonXtal_BW#'!$A:$Z,17,FALSE)+VLOOKUP($A358,A:AL,25,FALSE)-50))</f>
        <v>537</v>
      </c>
      <c r="Y358" s="3">
        <v>537</v>
      </c>
      <c r="Z358" s="3">
        <f t="shared" si="205"/>
        <v>539</v>
      </c>
      <c r="AA358" s="3">
        <f>IF(ISERROR(VLOOKUP($A358,'SegEnds_NonXtal_BW#'!$A:$Z,19,FALSE)+VLOOKUP($A358,A:AL,28,FALSE)-50),"-",(VLOOKUP($A358,'SegEnds_NonXtal_BW#'!$A:$Z,19,FALSE)+VLOOKUP($A358,A:AL,28,FALSE)-50))</f>
        <v>540</v>
      </c>
      <c r="AB358" s="3">
        <v>553</v>
      </c>
      <c r="AC358" s="3">
        <f>IF(ISERROR((VLOOKUP($A358,'SegEnds_NonXtal_BW#'!$A:$Z,20,FALSE)+VLOOKUP($A358,A:AL,28,FALSE)-50)),"-",(VLOOKUP($A358,'SegEnds_NonXtal_BW#'!$A:$Z,20,FALSE)+VLOOKUP($A358,A:AL,28,FALSE)-50))</f>
        <v>564</v>
      </c>
      <c r="AD358" s="3">
        <f>IF(ISERROR(VLOOKUP($A358,'SegEnds_NonXtal_BW#'!$A:$Z,21,FALSE)+VLOOKUP($A358,A:AL,31,FALSE)-50),"-",(VLOOKUP($A358,'SegEnds_NonXtal_BW#'!$A:$Z,21,FALSE)+VLOOKUP($A358,A:AL,31,FALSE)-50))</f>
        <v>573</v>
      </c>
      <c r="AE358" s="3">
        <v>590</v>
      </c>
      <c r="AF358" s="3">
        <f>IF(ISERROR((VLOOKUP($A358,'SegEnds_NonXtal_BW#'!$A:$Z,22,FALSE)+VLOOKUP($A358,A:AL,31,FALSE)-50)),"-",(VLOOKUP($A358,'SegEnds_NonXtal_BW#'!$A:$Z,22,FALSE)+VLOOKUP($A358,A:AL,31,FALSE)-50))</f>
        <v>597</v>
      </c>
      <c r="AG358" s="3">
        <f>IF(ISERROR(VLOOKUP($A358,'SegEnds_NonXtal_BW#'!$A:$Z,23,FALSE)+VLOOKUP($A358,A:AL,34,FALSE)-50),"-",(VLOOKUP($A358,'SegEnds_NonXtal_BW#'!$A:$Z,23,FALSE)+VLOOKUP($A358,A:AL,34,FALSE)-50))</f>
        <v>607</v>
      </c>
      <c r="AH358" s="3">
        <v>623</v>
      </c>
      <c r="AI358" s="3">
        <f>IF(ISERROR((VLOOKUP($A358,'SegEnds_NonXtal_BW#'!$A:$Z,24,FALSE)+VLOOKUP($A358,A:AL,34,FALSE)-50)),"-",(VLOOKUP($A358,'SegEnds_NonXtal_BW#'!$A:$Z,24,FALSE)+VLOOKUP($A358,A:AL,34,FALSE)-50))</f>
        <v>636</v>
      </c>
      <c r="AJ358" s="3">
        <f>IF(ISERROR(VLOOKUP($A358,'SegEnds_NonXtal_BW#'!$A:$Z,25,FALSE)+VLOOKUP($A358,A:AL,37,FALSE)-50),"-",(VLOOKUP($A358,'SegEnds_NonXtal_BW#'!$A:$Z,25,FALSE)+VLOOKUP($A358,A:AL,37,FALSE)-50))</f>
        <v>637</v>
      </c>
      <c r="AK358" s="3">
        <v>640</v>
      </c>
      <c r="AL358" s="3">
        <f>IF(ISERROR((VLOOKUP($A358,'SegEnds_NonXtal_BW#'!$A:$Z,26,FALSE)+VLOOKUP($A358,A:AL,37,FALSE)-50)),"-",(VLOOKUP($A358,'SegEnds_NonXtal_BW#'!$A:$Z,26,FALSE)+VLOOKUP($A358,A:AL,37,FALSE)-50))</f>
        <v>649</v>
      </c>
      <c r="AM358" s="28" t="str">
        <f>VLOOKUP(A358,Classification!A:B,2,FALSE)</f>
        <v>C</v>
      </c>
      <c r="AN358" s="28" t="b">
        <f t="shared" si="200"/>
        <v>1</v>
      </c>
      <c r="AO358" s="3" t="str">
        <f>IF(ISERROR(MATCH(A358,'SegEnds_Xtal_Prot#'!B:B, 0)), "NoXtal", "Xtal")</f>
        <v>NoXtal</v>
      </c>
      <c r="AP358" s="3">
        <f t="shared" si="185"/>
        <v>3</v>
      </c>
      <c r="AQ358" s="3">
        <f t="shared" si="186"/>
        <v>1</v>
      </c>
      <c r="AR358" s="3" t="str">
        <f t="shared" si="187"/>
        <v>-</v>
      </c>
      <c r="AS358" s="3" t="str">
        <f t="shared" si="188"/>
        <v>-</v>
      </c>
      <c r="AT358" s="3" t="str">
        <f t="shared" si="189"/>
        <v>-</v>
      </c>
      <c r="AU358" s="3" t="str">
        <f t="shared" si="190"/>
        <v>-</v>
      </c>
      <c r="AV358" s="3">
        <f t="shared" si="191"/>
        <v>35</v>
      </c>
      <c r="AW358" s="3">
        <f t="shared" si="192"/>
        <v>1</v>
      </c>
      <c r="AX358" s="3">
        <f t="shared" si="193"/>
        <v>9</v>
      </c>
      <c r="AY358" s="3">
        <f t="shared" si="194"/>
        <v>10</v>
      </c>
      <c r="AZ358" s="3">
        <f t="shared" si="195"/>
        <v>1</v>
      </c>
      <c r="BA358" s="3">
        <f>IF(ISERROR(LEN(VLOOKUP(A358,Seqs!A:E,2,FALSE))-AL358),"-",LEN(VLOOKUP(A358,Seqs!A:E,2,FALSE))-AL358)</f>
        <v>1718</v>
      </c>
      <c r="BB358" s="16">
        <f t="shared" si="196"/>
        <v>31</v>
      </c>
      <c r="BC358" s="9" t="str">
        <f t="shared" si="197"/>
        <v>-</v>
      </c>
      <c r="BD358" s="3">
        <f t="shared" si="198"/>
        <v>31</v>
      </c>
      <c r="BE358" s="3">
        <f t="shared" si="199"/>
        <v>37</v>
      </c>
    </row>
    <row r="359" spans="1:57" s="3" customFormat="1" x14ac:dyDescent="0.2">
      <c r="A359" s="3" t="s">
        <v>235</v>
      </c>
      <c r="B359" s="3" t="str">
        <f>LOWER(VLOOKUP(A359,Xtal_Templ!A:B,2,FALSE))</f>
        <v>lpar1_human</v>
      </c>
      <c r="C359" s="3">
        <f>VLOOKUP($A359,'SegEnds_NonXtal_BW#'!$A:$Z,3,FALSE)+D359-50</f>
        <v>12</v>
      </c>
      <c r="D359" s="3">
        <v>32</v>
      </c>
      <c r="E359" s="3">
        <f>IF(ISERROR(VLOOKUP($A359,'SegEnds_NonXtal_BW#'!$A:$Z,4,FALSE)+VLOOKUP($A359,A:AL,4,FALSE)-50),"-",(VLOOKUP($A359,'SegEnds_NonXtal_BW#'!$A:$Z,4,FALSE)+VLOOKUP($A359,A:AL,4,FALSE)-50))</f>
        <v>42</v>
      </c>
      <c r="F359" s="3">
        <f>G359-2</f>
        <v>43</v>
      </c>
      <c r="G359" s="3">
        <v>45</v>
      </c>
      <c r="H359" s="3">
        <f>G359+1</f>
        <v>46</v>
      </c>
      <c r="I359" s="3">
        <f t="shared" si="206"/>
        <v>47</v>
      </c>
      <c r="J359" s="3">
        <v>61</v>
      </c>
      <c r="K359" s="3">
        <f>VLOOKUP($A359,'SegEnds_NonXtal_BW#'!$A:$Z,8,FALSE)+VLOOKUP($A359,A:AL,10,FALSE)-50</f>
        <v>77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84</v>
      </c>
      <c r="P359" s="3">
        <v>110</v>
      </c>
      <c r="Q359" s="3">
        <f>VLOOKUP($A359,'SegEnds_NonXtal_BW#'!$A:$Z,12,FALSE)+VLOOKUP($A359,A:AL,16,FALSE)-50</f>
        <v>116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3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120</v>
      </c>
      <c r="V359" s="3">
        <v>132</v>
      </c>
      <c r="W359" s="3">
        <f>IF(ISERROR(VLOOKUP($A359,'SegEnds_NonXtal_BW#'!$A:$Z,16,FALSE)+VLOOKUP($A359,A:AL,22,FALSE)-50),"-",(VLOOKUP($A359,'SegEnds_NonXtal_BW#'!$A:$Z,16,FALSE)+VLOOKUP($A359,A:AL,22,FALSE)-50))</f>
        <v>145</v>
      </c>
      <c r="X359" s="3">
        <f>IF(ISERROR(VLOOKUP($A359,'SegEnds_NonXtal_BW#'!$A:$Z,17,FALSE)+VLOOKUP($A359,A:AL,25,FALSE)-50),"-",(VLOOKUP($A359,'SegEnds_NonXtal_BW#'!$A:$Z,17,FALSE)+VLOOKUP($A359,A:AL,25,FALSE)-50))</f>
        <v>155</v>
      </c>
      <c r="Y359" s="3">
        <v>155</v>
      </c>
      <c r="Z359" s="3">
        <f t="shared" si="205"/>
        <v>157</v>
      </c>
      <c r="AA359" s="3">
        <f>IF(ISERROR(VLOOKUP($A359,'SegEnds_NonXtal_BW#'!$A:$Z,19,FALSE)+VLOOKUP($A359,A:AL,28,FALSE)-50),"-",(VLOOKUP($A359,'SegEnds_NonXtal_BW#'!$A:$Z,19,FALSE)+VLOOKUP($A359,A:AL,28,FALSE)-50))</f>
        <v>161</v>
      </c>
      <c r="AB359" s="3">
        <v>176</v>
      </c>
      <c r="AC359" s="3">
        <f>IF(ISERROR((VLOOKUP($A359,'SegEnds_NonXtal_BW#'!$A:$Z,20,FALSE)+VLOOKUP($A359,A:AL,28,FALSE)-50)),"-",(VLOOKUP($A359,'SegEnds_NonXtal_BW#'!$A:$Z,20,FALSE)+VLOOKUP($A359,A:AL,28,FALSE)-50))</f>
        <v>200</v>
      </c>
      <c r="AD359" s="3">
        <f>IF(ISERROR(VLOOKUP($A359,'SegEnds_NonXtal_BW#'!$A:$Z,21,FALSE)+VLOOKUP($A359,A:AL,31,FALSE)-50),"-",(VLOOKUP($A359,'SegEnds_NonXtal_BW#'!$A:$Z,21,FALSE)+VLOOKUP($A359,A:AL,31,FALSE)-50))</f>
        <v>210</v>
      </c>
      <c r="AE359" s="3">
        <v>239</v>
      </c>
      <c r="AF359" s="3">
        <f>IF(ISERROR((VLOOKUP($A359,'SegEnds_NonXtal_BW#'!$A:$Z,22,FALSE)+VLOOKUP($A359,A:AL,31,FALSE)-50)),"-",(VLOOKUP($A359,'SegEnds_NonXtal_BW#'!$A:$Z,22,FALSE)+VLOOKUP($A359,A:AL,31,FALSE)-50))</f>
        <v>250</v>
      </c>
      <c r="AG359" s="3">
        <f>IF(ISERROR(VLOOKUP($A359,'SegEnds_NonXtal_BW#'!$A:$Z,23,FALSE)+VLOOKUP($A359,A:AL,34,FALSE)-50),"-",(VLOOKUP($A359,'SegEnds_NonXtal_BW#'!$A:$Z,23,FALSE)+VLOOKUP($A359,A:AL,34,FALSE)-50))</f>
        <v>255</v>
      </c>
      <c r="AH359" s="3">
        <v>277</v>
      </c>
      <c r="AI359" s="3">
        <f>IF(ISERROR((VLOOKUP($A359,'SegEnds_NonXtal_BW#'!$A:$Z,24,FALSE)+VLOOKUP($A359,A:AL,34,FALSE)-50)),"-",(VLOOKUP($A359,'SegEnds_NonXtal_BW#'!$A:$Z,24,FALSE)+VLOOKUP($A359,A:AL,34,FALSE)-50))</f>
        <v>283</v>
      </c>
      <c r="AJ359" s="3">
        <f>IF(ISERROR(VLOOKUP($A359,'SegEnds_NonXtal_BW#'!$A:$Z,25,FALSE)+VLOOKUP($A359,A:AL,37,FALSE)-50),"-",(VLOOKUP($A359,'SegEnds_NonXtal_BW#'!$A:$Z,25,FALSE)+VLOOKUP($A359,A:AL,37,FALSE)-50))</f>
        <v>284</v>
      </c>
      <c r="AK359" s="3">
        <v>287</v>
      </c>
      <c r="AL359" s="3">
        <f>IF(ISERROR((VLOOKUP($A359,'SegEnds_NonXtal_BW#'!$A:$Z,26,FALSE)+VLOOKUP($A359,A:AL,37,FALSE)-50)),"-",(VLOOKUP($A359,'SegEnds_NonXtal_BW#'!$A:$Z,26,FALSE)+VLOOKUP($A359,A:AL,37,FALSE)-50))</f>
        <v>296</v>
      </c>
      <c r="AM359" s="28" t="str">
        <f>VLOOKUP(A359,Classification!A:B,2,FALSE)</f>
        <v>A</v>
      </c>
      <c r="AN359" s="28" t="b">
        <f t="shared" si="200"/>
        <v>1</v>
      </c>
      <c r="AO359" s="3" t="str">
        <f>IF(ISERROR(MATCH(A359,'SegEnds_Xtal_Prot#'!B:B, 0)), "NoXtal", "Xtal")</f>
        <v>NoXtal</v>
      </c>
      <c r="AP359" s="3">
        <f t="shared" si="185"/>
        <v>1</v>
      </c>
      <c r="AQ359" s="3">
        <f t="shared" si="186"/>
        <v>1</v>
      </c>
      <c r="AR359" s="3" t="str">
        <f t="shared" si="187"/>
        <v>-</v>
      </c>
      <c r="AS359" s="3" t="str">
        <f t="shared" si="188"/>
        <v>-</v>
      </c>
      <c r="AT359" s="3" t="str">
        <f t="shared" si="189"/>
        <v>-</v>
      </c>
      <c r="AU359" s="3" t="str">
        <f t="shared" si="190"/>
        <v>-</v>
      </c>
      <c r="AV359" s="3">
        <f t="shared" si="191"/>
        <v>10</v>
      </c>
      <c r="AW359" s="3">
        <f t="shared" si="192"/>
        <v>4</v>
      </c>
      <c r="AX359" s="3">
        <f t="shared" si="193"/>
        <v>10</v>
      </c>
      <c r="AY359" s="3">
        <f t="shared" si="194"/>
        <v>5</v>
      </c>
      <c r="AZ359" s="3">
        <f t="shared" si="195"/>
        <v>1</v>
      </c>
      <c r="BA359" s="3">
        <f>IF(ISERROR(LEN(VLOOKUP(A359,Seqs!A:E,2,FALSE))-AL359),"-",LEN(VLOOKUP(A359,Seqs!A:E,2,FALSE))-AL359)</f>
        <v>34</v>
      </c>
      <c r="BB359" s="16">
        <f t="shared" si="196"/>
        <v>29</v>
      </c>
      <c r="BC359" s="9" t="str">
        <f t="shared" si="197"/>
        <v>-</v>
      </c>
      <c r="BD359" s="3">
        <f t="shared" si="198"/>
        <v>29</v>
      </c>
      <c r="BE359" s="3">
        <f t="shared" si="199"/>
        <v>63</v>
      </c>
    </row>
    <row r="360" spans="1:57" s="3" customFormat="1" x14ac:dyDescent="0.2">
      <c r="A360" s="3" t="s">
        <v>111</v>
      </c>
      <c r="B360" s="3" t="str">
        <f>LOWER(VLOOKUP(A360,Xtal_Templ!A:B,2,FALSE))</f>
        <v>grm1_human</v>
      </c>
      <c r="C360" s="3">
        <f>VLOOKUP($A360,'SegEnds_NonXtal_BW#'!$A:$Z,3,FALSE)+D360-50</f>
        <v>54</v>
      </c>
      <c r="D360" s="3">
        <v>70</v>
      </c>
      <c r="E360" s="3">
        <f>IF(ISERROR(VLOOKUP($A360,'SegEnds_NonXtal_BW#'!$A:$Z,4,FALSE)+VLOOKUP($A360,A:AL,4,FALSE)-50),"-",(VLOOKUP($A360,'SegEnds_NonXtal_BW#'!$A:$Z,4,FALSE)+VLOOKUP($A360,A:AL,4,FALSE)-50))</f>
        <v>80</v>
      </c>
      <c r="F360" s="3">
        <f>G360-3</f>
        <v>81</v>
      </c>
      <c r="G360" s="3">
        <v>84</v>
      </c>
      <c r="H360" s="3">
        <f>G360+3</f>
        <v>87</v>
      </c>
      <c r="I360" s="3">
        <f t="shared" si="206"/>
        <v>88</v>
      </c>
      <c r="J360" s="3">
        <v>103</v>
      </c>
      <c r="K360" s="3">
        <f>VLOOKUP($A360,'SegEnds_NonXtal_BW#'!$A:$Z,8,FALSE)+VLOOKUP($A360,A:AL,10,FALSE)-50</f>
        <v>114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119</v>
      </c>
      <c r="P360" s="3">
        <v>147</v>
      </c>
      <c r="Q360" s="3">
        <f>VLOOKUP($A360,'SegEnds_NonXtal_BW#'!$A:$Z,12,FALSE)+VLOOKUP($A360,A:AL,16,FALSE)-50</f>
        <v>151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3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158</v>
      </c>
      <c r="V360" s="3">
        <v>170</v>
      </c>
      <c r="W360" s="3">
        <f>IF(ISERROR(VLOOKUP($A360,'SegEnds_NonXtal_BW#'!$A:$Z,16,FALSE)+VLOOKUP($A360,A:AL,22,FALSE)-50),"-",(VLOOKUP($A360,'SegEnds_NonXtal_BW#'!$A:$Z,16,FALSE)+VLOOKUP($A360,A:AL,22,FALSE)-50))</f>
        <v>184</v>
      </c>
      <c r="X360" s="3">
        <f>IF(ISERROR(VLOOKUP($A360,'SegEnds_NonXtal_BW#'!$A:$Z,17,FALSE)+VLOOKUP($A360,A:AL,25,FALSE)-50),"-",(VLOOKUP($A360,'SegEnds_NonXtal_BW#'!$A:$Z,17,FALSE)+VLOOKUP($A360,A:AL,25,FALSE)-50))</f>
        <v>193</v>
      </c>
      <c r="Y360" s="3">
        <v>193</v>
      </c>
      <c r="Z360" s="3">
        <f t="shared" si="205"/>
        <v>195</v>
      </c>
      <c r="AA360" s="3">
        <f>IF(ISERROR(VLOOKUP($A360,'SegEnds_NonXtal_BW#'!$A:$Z,19,FALSE)+VLOOKUP($A360,A:AL,28,FALSE)-50),"-",(VLOOKUP($A360,'SegEnds_NonXtal_BW#'!$A:$Z,19,FALSE)+VLOOKUP($A360,A:AL,28,FALSE)-50))</f>
        <v>197</v>
      </c>
      <c r="AB360" s="3">
        <v>210</v>
      </c>
      <c r="AC360" s="3">
        <f>IF(ISERROR((VLOOKUP($A360,'SegEnds_NonXtal_BW#'!$A:$Z,20,FALSE)+VLOOKUP($A360,A:AL,28,FALSE)-50)),"-",(VLOOKUP($A360,'SegEnds_NonXtal_BW#'!$A:$Z,20,FALSE)+VLOOKUP($A360,A:AL,28,FALSE)-50))</f>
        <v>221</v>
      </c>
      <c r="AD360" s="3">
        <f>IF(ISERROR(VLOOKUP($A360,'SegEnds_NonXtal_BW#'!$A:$Z,21,FALSE)+VLOOKUP($A360,A:AL,31,FALSE)-50),"-",(VLOOKUP($A360,'SegEnds_NonXtal_BW#'!$A:$Z,21,FALSE)+VLOOKUP($A360,A:AL,31,FALSE)-50))</f>
        <v>232</v>
      </c>
      <c r="AE360" s="3">
        <v>249</v>
      </c>
      <c r="AF360" s="3">
        <f>IF(ISERROR((VLOOKUP($A360,'SegEnds_NonXtal_BW#'!$A:$Z,22,FALSE)+VLOOKUP($A360,A:AL,31,FALSE)-50)),"-",(VLOOKUP($A360,'SegEnds_NonXtal_BW#'!$A:$Z,22,FALSE)+VLOOKUP($A360,A:AL,31,FALSE)-50))</f>
        <v>256</v>
      </c>
      <c r="AG360" s="3">
        <f>IF(ISERROR(VLOOKUP($A360,'SegEnds_NonXtal_BW#'!$A:$Z,23,FALSE)+VLOOKUP($A360,A:AL,34,FALSE)-50),"-",(VLOOKUP($A360,'SegEnds_NonXtal_BW#'!$A:$Z,23,FALSE)+VLOOKUP($A360,A:AL,34,FALSE)-50))</f>
        <v>268</v>
      </c>
      <c r="AH360" s="3">
        <v>284</v>
      </c>
      <c r="AI360" s="3">
        <f>IF(ISERROR((VLOOKUP($A360,'SegEnds_NonXtal_BW#'!$A:$Z,24,FALSE)+VLOOKUP($A360,A:AL,34,FALSE)-50)),"-",(VLOOKUP($A360,'SegEnds_NonXtal_BW#'!$A:$Z,24,FALSE)+VLOOKUP($A360,A:AL,34,FALSE)-50))</f>
        <v>297</v>
      </c>
      <c r="AJ360" s="3">
        <f>IF(ISERROR(VLOOKUP($A360,'SegEnds_NonXtal_BW#'!$A:$Z,25,FALSE)+VLOOKUP($A360,A:AL,37,FALSE)-50),"-",(VLOOKUP($A360,'SegEnds_NonXtal_BW#'!$A:$Z,25,FALSE)+VLOOKUP($A360,A:AL,37,FALSE)-50))</f>
        <v>299</v>
      </c>
      <c r="AK360" s="3">
        <v>302</v>
      </c>
      <c r="AL360" s="3">
        <f>IF(ISERROR((VLOOKUP($A360,'SegEnds_NonXtal_BW#'!$A:$Z,26,FALSE)+VLOOKUP($A360,A:AL,37,FALSE)-50)),"-",(VLOOKUP($A360,'SegEnds_NonXtal_BW#'!$A:$Z,26,FALSE)+VLOOKUP($A360,A:AL,37,FALSE)-50))</f>
        <v>311</v>
      </c>
      <c r="AM360" s="28" t="str">
        <f>VLOOKUP(A360,Classification!A:B,2,FALSE)</f>
        <v>C</v>
      </c>
      <c r="AN360" s="28" t="b">
        <f t="shared" si="200"/>
        <v>1</v>
      </c>
      <c r="AO360" s="3" t="str">
        <f>IF(ISERROR(MATCH(A360,'SegEnds_Xtal_Prot#'!B:B, 0)), "NoXtal", "Xtal")</f>
        <v>NoXtal</v>
      </c>
      <c r="AP360" s="3">
        <f t="shared" si="185"/>
        <v>1</v>
      </c>
      <c r="AQ360" s="3">
        <f t="shared" si="186"/>
        <v>1</v>
      </c>
      <c r="AR360" s="3" t="str">
        <f t="shared" si="187"/>
        <v>-</v>
      </c>
      <c r="AS360" s="3" t="str">
        <f t="shared" si="188"/>
        <v>-</v>
      </c>
      <c r="AT360" s="3" t="str">
        <f t="shared" si="189"/>
        <v>-</v>
      </c>
      <c r="AU360" s="3" t="str">
        <f t="shared" si="190"/>
        <v>-</v>
      </c>
      <c r="AV360" s="3">
        <f t="shared" si="191"/>
        <v>9</v>
      </c>
      <c r="AW360" s="3">
        <f t="shared" si="192"/>
        <v>2</v>
      </c>
      <c r="AX360" s="3">
        <f t="shared" si="193"/>
        <v>11</v>
      </c>
      <c r="AY360" s="3">
        <f t="shared" si="194"/>
        <v>12</v>
      </c>
      <c r="AZ360" s="3">
        <f t="shared" si="195"/>
        <v>2</v>
      </c>
      <c r="BA360" s="3">
        <f>IF(ISERROR(LEN(VLOOKUP(A360,Seqs!A:E,2,FALSE))-AL360),"-",LEN(VLOOKUP(A360,Seqs!A:E,2,FALSE))-AL360)</f>
        <v>92</v>
      </c>
      <c r="BB360" s="16">
        <f t="shared" si="196"/>
        <v>33</v>
      </c>
      <c r="BC360" s="9" t="str">
        <f t="shared" si="197"/>
        <v>-</v>
      </c>
      <c r="BD360" s="3">
        <f t="shared" si="198"/>
        <v>33</v>
      </c>
      <c r="BE360" s="3">
        <f t="shared" si="199"/>
        <v>39</v>
      </c>
    </row>
    <row r="361" spans="1:57" s="3" customFormat="1" x14ac:dyDescent="0.2">
      <c r="A361" s="3" t="s">
        <v>112</v>
      </c>
      <c r="B361" s="3" t="str">
        <f>LOWER(VLOOKUP(A361,Xtal_Templ!A:B,2,FALSE))</f>
        <v>grm1_human</v>
      </c>
      <c r="C361" s="3">
        <f>VLOOKUP($A361,'SegEnds_NonXtal_BW#'!$A:$Z,3,FALSE)+D361-50</f>
        <v>48</v>
      </c>
      <c r="D361" s="3">
        <v>64</v>
      </c>
      <c r="E361" s="3">
        <f>IF(ISERROR(VLOOKUP($A361,'SegEnds_NonXtal_BW#'!$A:$Z,4,FALSE)+VLOOKUP($A361,A:AL,4,FALSE)-50),"-",(VLOOKUP($A361,'SegEnds_NonXtal_BW#'!$A:$Z,4,FALSE)+VLOOKUP($A361,A:AL,4,FALSE)-50))</f>
        <v>74</v>
      </c>
      <c r="F361" s="3">
        <f>G361-3</f>
        <v>75</v>
      </c>
      <c r="G361" s="3">
        <v>78</v>
      </c>
      <c r="H361" s="3">
        <f>G361+3</f>
        <v>81</v>
      </c>
      <c r="I361" s="3">
        <f t="shared" si="206"/>
        <v>82</v>
      </c>
      <c r="J361" s="3">
        <v>97</v>
      </c>
      <c r="K361" s="3">
        <f>VLOOKUP($A361,'SegEnds_NonXtal_BW#'!$A:$Z,8,FALSE)+VLOOKUP($A361,A:AL,10,FALSE)-50</f>
        <v>108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113</v>
      </c>
      <c r="P361" s="3">
        <v>141</v>
      </c>
      <c r="Q361" s="3">
        <f>VLOOKUP($A361,'SegEnds_NonXtal_BW#'!$A:$Z,12,FALSE)+VLOOKUP($A361,A:AL,16,FALSE)-50</f>
        <v>145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3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152</v>
      </c>
      <c r="V361" s="3">
        <v>164</v>
      </c>
      <c r="W361" s="3">
        <f>IF(ISERROR(VLOOKUP($A361,'SegEnds_NonXtal_BW#'!$A:$Z,16,FALSE)+VLOOKUP($A361,A:AL,22,FALSE)-50),"-",(VLOOKUP($A361,'SegEnds_NonXtal_BW#'!$A:$Z,16,FALSE)+VLOOKUP($A361,A:AL,22,FALSE)-50))</f>
        <v>178</v>
      </c>
      <c r="X361" s="3">
        <f>IF(ISERROR(VLOOKUP($A361,'SegEnds_NonXtal_BW#'!$A:$Z,17,FALSE)+VLOOKUP($A361,A:AL,25,FALSE)-50),"-",(VLOOKUP($A361,'SegEnds_NonXtal_BW#'!$A:$Z,17,FALSE)+VLOOKUP($A361,A:AL,25,FALSE)-50))</f>
        <v>202</v>
      </c>
      <c r="Y361" s="3">
        <v>202</v>
      </c>
      <c r="Z361" s="3">
        <f t="shared" si="205"/>
        <v>204</v>
      </c>
      <c r="AA361" s="3">
        <f>IF(ISERROR(VLOOKUP($A361,'SegEnds_NonXtal_BW#'!$A:$Z,19,FALSE)+VLOOKUP($A361,A:AL,28,FALSE)-50),"-",(VLOOKUP($A361,'SegEnds_NonXtal_BW#'!$A:$Z,19,FALSE)+VLOOKUP($A361,A:AL,28,FALSE)-50))</f>
        <v>206</v>
      </c>
      <c r="AB361" s="3">
        <v>219</v>
      </c>
      <c r="AC361" s="3">
        <f>IF(ISERROR((VLOOKUP($A361,'SegEnds_NonXtal_BW#'!$A:$Z,20,FALSE)+VLOOKUP($A361,A:AL,28,FALSE)-50)),"-",(VLOOKUP($A361,'SegEnds_NonXtal_BW#'!$A:$Z,20,FALSE)+VLOOKUP($A361,A:AL,28,FALSE)-50))</f>
        <v>230</v>
      </c>
      <c r="AD361" s="3">
        <f>IF(ISERROR(VLOOKUP($A361,'SegEnds_NonXtal_BW#'!$A:$Z,21,FALSE)+VLOOKUP($A361,A:AL,31,FALSE)-50),"-",(VLOOKUP($A361,'SegEnds_NonXtal_BW#'!$A:$Z,21,FALSE)+VLOOKUP($A361,A:AL,31,FALSE)-50))</f>
        <v>241</v>
      </c>
      <c r="AE361" s="3">
        <v>258</v>
      </c>
      <c r="AF361" s="3">
        <f>IF(ISERROR((VLOOKUP($A361,'SegEnds_NonXtal_BW#'!$A:$Z,22,FALSE)+VLOOKUP($A361,A:AL,31,FALSE)-50)),"-",(VLOOKUP($A361,'SegEnds_NonXtal_BW#'!$A:$Z,22,FALSE)+VLOOKUP($A361,A:AL,31,FALSE)-50))</f>
        <v>265</v>
      </c>
      <c r="AG361" s="3">
        <f>IF(ISERROR(VLOOKUP($A361,'SegEnds_NonXtal_BW#'!$A:$Z,23,FALSE)+VLOOKUP($A361,A:AL,34,FALSE)-50),"-",(VLOOKUP($A361,'SegEnds_NonXtal_BW#'!$A:$Z,23,FALSE)+VLOOKUP($A361,A:AL,34,FALSE)-50))</f>
        <v>276</v>
      </c>
      <c r="AH361" s="3">
        <v>292</v>
      </c>
      <c r="AI361" s="3">
        <f>IF(ISERROR((VLOOKUP($A361,'SegEnds_NonXtal_BW#'!$A:$Z,24,FALSE)+VLOOKUP($A361,A:AL,34,FALSE)-50)),"-",(VLOOKUP($A361,'SegEnds_NonXtal_BW#'!$A:$Z,24,FALSE)+VLOOKUP($A361,A:AL,34,FALSE)-50))</f>
        <v>305</v>
      </c>
      <c r="AJ361" s="3">
        <f>IF(ISERROR(VLOOKUP($A361,'SegEnds_NonXtal_BW#'!$A:$Z,25,FALSE)+VLOOKUP($A361,A:AL,37,FALSE)-50),"-",(VLOOKUP($A361,'SegEnds_NonXtal_BW#'!$A:$Z,25,FALSE)+VLOOKUP($A361,A:AL,37,FALSE)-50))</f>
        <v>307</v>
      </c>
      <c r="AK361" s="3">
        <v>310</v>
      </c>
      <c r="AL361" s="3">
        <v>319</v>
      </c>
      <c r="AM361" s="28" t="str">
        <f>VLOOKUP(A361,Classification!A:B,2,FALSE)</f>
        <v>C</v>
      </c>
      <c r="AN361" s="28" t="b">
        <f t="shared" si="200"/>
        <v>1</v>
      </c>
      <c r="AO361" s="3" t="str">
        <f>IF(ISERROR(MATCH(A361,'SegEnds_Xtal_Prot#'!B:B, 0)), "NoXtal", "Xtal")</f>
        <v>NoXtal</v>
      </c>
      <c r="AP361" s="3">
        <f t="shared" si="185"/>
        <v>1</v>
      </c>
      <c r="AQ361" s="3">
        <f t="shared" si="186"/>
        <v>1</v>
      </c>
      <c r="AR361" s="3" t="str">
        <f t="shared" si="187"/>
        <v>-</v>
      </c>
      <c r="AS361" s="3" t="str">
        <f t="shared" si="188"/>
        <v>-</v>
      </c>
      <c r="AT361" s="3" t="str">
        <f t="shared" si="189"/>
        <v>-</v>
      </c>
      <c r="AU361" s="3" t="str">
        <f t="shared" si="190"/>
        <v>-</v>
      </c>
      <c r="AV361" s="3">
        <f t="shared" si="191"/>
        <v>24</v>
      </c>
      <c r="AW361" s="3">
        <f t="shared" si="192"/>
        <v>2</v>
      </c>
      <c r="AX361" s="3">
        <f t="shared" si="193"/>
        <v>11</v>
      </c>
      <c r="AY361" s="3">
        <f t="shared" si="194"/>
        <v>11</v>
      </c>
      <c r="AZ361" s="3">
        <f t="shared" si="195"/>
        <v>2</v>
      </c>
      <c r="BA361" s="3">
        <f>IF(ISERROR(LEN(VLOOKUP(A361,Seqs!A:E,2,FALSE))-AL361),"-",LEN(VLOOKUP(A361,Seqs!A:E,2,FALSE))-AL361)</f>
        <v>122</v>
      </c>
      <c r="BB361" s="16">
        <f t="shared" si="196"/>
        <v>33</v>
      </c>
      <c r="BC361" s="9" t="str">
        <f t="shared" si="197"/>
        <v>-</v>
      </c>
      <c r="BD361" s="3">
        <f t="shared" si="198"/>
        <v>33</v>
      </c>
      <c r="BE361" s="3">
        <f t="shared" si="199"/>
        <v>39</v>
      </c>
    </row>
    <row r="362" spans="1:57" s="3" customFormat="1" x14ac:dyDescent="0.2">
      <c r="A362" s="3" t="s">
        <v>113</v>
      </c>
      <c r="B362" s="3" t="str">
        <f>LOWER(VLOOKUP(A362,Xtal_Templ!A:B,2,FALSE))</f>
        <v>grm1_human</v>
      </c>
      <c r="C362" s="3">
        <f>VLOOKUP($A362,'SegEnds_NonXtal_BW#'!$A:$Z,3,FALSE)+D362-50</f>
        <v>21</v>
      </c>
      <c r="D362" s="3">
        <v>37</v>
      </c>
      <c r="E362" s="3">
        <f>IF(ISERROR(VLOOKUP($A362,'SegEnds_NonXtal_BW#'!$A:$Z,4,FALSE)+VLOOKUP($A362,A:AL,4,FALSE)-50),"-",(VLOOKUP($A362,'SegEnds_NonXtal_BW#'!$A:$Z,4,FALSE)+VLOOKUP($A362,A:AL,4,FALSE)-50))</f>
        <v>47</v>
      </c>
      <c r="F362" s="3">
        <f>G362-3</f>
        <v>48</v>
      </c>
      <c r="G362" s="3">
        <v>51</v>
      </c>
      <c r="H362" s="3">
        <f>G362+3</f>
        <v>54</v>
      </c>
      <c r="I362" s="3">
        <f t="shared" si="206"/>
        <v>55</v>
      </c>
      <c r="J362" s="3">
        <v>70</v>
      </c>
      <c r="K362" s="3">
        <f>VLOOKUP($A362,'SegEnds_NonXtal_BW#'!$A:$Z,8,FALSE)+VLOOKUP($A362,A:AL,10,FALSE)-50</f>
        <v>81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86</v>
      </c>
      <c r="P362" s="3">
        <v>114</v>
      </c>
      <c r="Q362" s="3">
        <f>VLOOKUP($A362,'SegEnds_NonXtal_BW#'!$A:$Z,12,FALSE)+VLOOKUP($A362,A:AL,16,FALSE)-50</f>
        <v>118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3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125</v>
      </c>
      <c r="V362" s="3">
        <v>137</v>
      </c>
      <c r="W362" s="3">
        <f>IF(ISERROR(VLOOKUP($A362,'SegEnds_NonXtal_BW#'!$A:$Z,16,FALSE)+VLOOKUP($A362,A:AL,22,FALSE)-50),"-",(VLOOKUP($A362,'SegEnds_NonXtal_BW#'!$A:$Z,16,FALSE)+VLOOKUP($A362,A:AL,22,FALSE)-50))</f>
        <v>151</v>
      </c>
      <c r="X362" s="3" t="str">
        <f>IF(ISERROR(VLOOKUP($A362,'SegEnds_NonXtal_BW#'!$A:$Z,17,FALSE)+VLOOKUP($A362,A:AL,25,FALSE)-50),"-",(VLOOKUP($A362,'SegEnds_NonXtal_BW#'!$A:$Z,17,FALSE)+VLOOKUP($A362,A:AL,25,FALSE)-50))</f>
        <v>-</v>
      </c>
      <c r="Y362" s="3" t="s">
        <v>23</v>
      </c>
      <c r="Z362" s="3" t="str">
        <f>IF(ISERROR(VLOOKUP($A362,'SegEnds_NonXtal_BW#'!$A:$Z,18,FALSE)+VLOOKUP($A362,A:AL,25,FALSE)-50),"-",(VLOOKUP($A362,'SegEnds_NonXtal_BW#'!$A:$Z,18,FALSE)+VLOOKUP($A362,A:AL,25,FALSE)-50))</f>
        <v>-</v>
      </c>
      <c r="AA362" s="3">
        <f>IF(ISERROR(VLOOKUP($A362,'SegEnds_NonXtal_BW#'!$A:$Z,19,FALSE)+VLOOKUP($A362,A:AL,28,FALSE)-50),"-",(VLOOKUP($A362,'SegEnds_NonXtal_BW#'!$A:$Z,19,FALSE)+VLOOKUP($A362,A:AL,28,FALSE)-50))</f>
        <v>167</v>
      </c>
      <c r="AB362" s="3">
        <v>180</v>
      </c>
      <c r="AC362" s="3">
        <f>IF(ISERROR((VLOOKUP($A362,'SegEnds_NonXtal_BW#'!$A:$Z,20,FALSE)+VLOOKUP($A362,A:AL,28,FALSE)-50)),"-",(VLOOKUP($A362,'SegEnds_NonXtal_BW#'!$A:$Z,20,FALSE)+VLOOKUP($A362,A:AL,28,FALSE)-50))</f>
        <v>191</v>
      </c>
      <c r="AD362" s="3">
        <f>IF(ISERROR(VLOOKUP($A362,'SegEnds_NonXtal_BW#'!$A:$Z,21,FALSE)+VLOOKUP($A362,A:AL,31,FALSE)-50),"-",(VLOOKUP($A362,'SegEnds_NonXtal_BW#'!$A:$Z,21,FALSE)+VLOOKUP($A362,A:AL,31,FALSE)-50))</f>
        <v>202</v>
      </c>
      <c r="AE362" s="3">
        <v>219</v>
      </c>
      <c r="AF362" s="3">
        <f>IF(ISERROR((VLOOKUP($A362,'SegEnds_NonXtal_BW#'!$A:$Z,22,FALSE)+VLOOKUP($A362,A:AL,31,FALSE)-50)),"-",(VLOOKUP($A362,'SegEnds_NonXtal_BW#'!$A:$Z,22,FALSE)+VLOOKUP($A362,A:AL,31,FALSE)-50))</f>
        <v>226</v>
      </c>
      <c r="AG362" s="3">
        <f>IF(ISERROR(VLOOKUP($A362,'SegEnds_NonXtal_BW#'!$A:$Z,23,FALSE)+VLOOKUP($A362,A:AL,34,FALSE)-50),"-",(VLOOKUP($A362,'SegEnds_NonXtal_BW#'!$A:$Z,23,FALSE)+VLOOKUP($A362,A:AL,34,FALSE)-50))</f>
        <v>238</v>
      </c>
      <c r="AH362" s="3">
        <v>254</v>
      </c>
      <c r="AI362" s="3">
        <f>IF(ISERROR((VLOOKUP($A362,'SegEnds_NonXtal_BW#'!$A:$Z,24,FALSE)+VLOOKUP($A362,A:AL,34,FALSE)-50)),"-",(VLOOKUP($A362,'SegEnds_NonXtal_BW#'!$A:$Z,24,FALSE)+VLOOKUP($A362,A:AL,34,FALSE)-50))</f>
        <v>267</v>
      </c>
      <c r="AJ362" s="9">
        <f>IF(ISERROR(VLOOKUP($A362,'SegEnds_NonXtal_BW#'!$A:$Z,25,FALSE)+VLOOKUP($A362,A:AL,37,FALSE)-50),"-",(VLOOKUP($A362,'SegEnds_NonXtal_BW#'!$A:$Z,25,FALSE)+VLOOKUP($A362,A:AL,37,FALSE)-50))</f>
        <v>270</v>
      </c>
      <c r="AK362" s="3">
        <v>273</v>
      </c>
      <c r="AL362" s="3">
        <v>281</v>
      </c>
      <c r="AM362" s="28" t="str">
        <f>VLOOKUP(A362,Classification!A:B,2,FALSE)</f>
        <v>C</v>
      </c>
      <c r="AN362" s="28" t="b">
        <f t="shared" si="200"/>
        <v>1</v>
      </c>
      <c r="AO362" s="3" t="str">
        <f>IF(ISERROR(MATCH(A362,'SegEnds_Xtal_Prot#'!B:B, 0)), "NoXtal", "Xtal")</f>
        <v>NoXtal</v>
      </c>
      <c r="AP362" s="3">
        <f t="shared" si="185"/>
        <v>1</v>
      </c>
      <c r="AQ362" s="3">
        <f t="shared" si="186"/>
        <v>1</v>
      </c>
      <c r="AR362" s="3" t="str">
        <f t="shared" si="187"/>
        <v>-</v>
      </c>
      <c r="AS362" s="3" t="str">
        <f t="shared" si="188"/>
        <v>-</v>
      </c>
      <c r="AT362" s="3" t="str">
        <f t="shared" si="189"/>
        <v>-</v>
      </c>
      <c r="AU362" s="3" t="str">
        <f t="shared" si="190"/>
        <v>-</v>
      </c>
      <c r="AV362" s="3" t="str">
        <f t="shared" si="191"/>
        <v>-</v>
      </c>
      <c r="AW362" s="3" t="str">
        <f t="shared" si="192"/>
        <v>-</v>
      </c>
      <c r="AX362" s="3">
        <f t="shared" si="193"/>
        <v>11</v>
      </c>
      <c r="AY362" s="3">
        <f t="shared" si="194"/>
        <v>12</v>
      </c>
      <c r="AZ362" s="3">
        <f t="shared" si="195"/>
        <v>3</v>
      </c>
      <c r="BA362" s="3">
        <f>IF(ISERROR(LEN(VLOOKUP(A362,Seqs!A:E,2,FALSE))-AL362),"-",LEN(VLOOKUP(A362,Seqs!A:E,2,FALSE))-AL362)</f>
        <v>64</v>
      </c>
      <c r="BB362" s="16">
        <f t="shared" si="196"/>
        <v>33</v>
      </c>
      <c r="BC362" s="9" t="str">
        <f t="shared" si="197"/>
        <v>-</v>
      </c>
      <c r="BD362" s="3">
        <f t="shared" si="198"/>
        <v>33</v>
      </c>
      <c r="BE362" s="3">
        <f t="shared" si="199"/>
        <v>39</v>
      </c>
    </row>
    <row r="363" spans="1:57" s="3" customFormat="1" x14ac:dyDescent="0.2">
      <c r="A363" s="3" t="s">
        <v>114</v>
      </c>
      <c r="B363" s="3" t="str">
        <f>LOWER(VLOOKUP(A363,Xtal_Templ!A:B,2,FALSE))</f>
        <v>grm1_human</v>
      </c>
      <c r="C363" s="3">
        <f>VLOOKUP($A363,'SegEnds_NonXtal_BW#'!$A:$Z,3,FALSE)+D363-50</f>
        <v>592</v>
      </c>
      <c r="D363" s="3">
        <v>608</v>
      </c>
      <c r="E363" s="3">
        <f>IF(ISERROR(VLOOKUP($A363,'SegEnds_NonXtal_BW#'!$A:$Z,4,FALSE)+VLOOKUP($A363,A:AL,4,FALSE)-50),"-",(VLOOKUP($A363,'SegEnds_NonXtal_BW#'!$A:$Z,4,FALSE)+VLOOKUP($A363,A:AL,4,FALSE)-50))</f>
        <v>618</v>
      </c>
      <c r="F363" s="3">
        <f>G363-3</f>
        <v>621</v>
      </c>
      <c r="G363" s="3">
        <v>624</v>
      </c>
      <c r="H363" s="3">
        <f>G363+3</f>
        <v>627</v>
      </c>
      <c r="I363" s="3">
        <f t="shared" si="206"/>
        <v>628</v>
      </c>
      <c r="J363" s="3">
        <v>640</v>
      </c>
      <c r="K363" s="3">
        <f>VLOOKUP($A363,'SegEnds_NonXtal_BW#'!$A:$Z,8,FALSE)+VLOOKUP($A363,A:AL,10,FALSE)-50</f>
        <v>651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656</v>
      </c>
      <c r="P363" s="3">
        <v>684</v>
      </c>
      <c r="Q363" s="3">
        <f>VLOOKUP($A363,'SegEnds_NonXtal_BW#'!$A:$Z,12,FALSE)+VLOOKUP($A363,A:AL,16,FALSE)-50</f>
        <v>688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3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700</v>
      </c>
      <c r="V363" s="3">
        <v>712</v>
      </c>
      <c r="W363" s="3">
        <f>IF(ISERROR(VLOOKUP($A363,'SegEnds_NonXtal_BW#'!$A:$Z,16,FALSE)+VLOOKUP($A363,A:AL,22,FALSE)-50),"-",(VLOOKUP($A363,'SegEnds_NonXtal_BW#'!$A:$Z,16,FALSE)+VLOOKUP($A363,A:AL,22,FALSE)-50))</f>
        <v>726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ref="Z363:Z395" si="207">Y363+2</f>
        <v>746</v>
      </c>
      <c r="AA363" s="3">
        <f>IF(ISERROR(VLOOKUP($A363,'SegEnds_NonXtal_BW#'!$A:$Z,19,FALSE)+VLOOKUP($A363,A:AL,28,FALSE)-50),"-",(VLOOKUP($A363,'SegEnds_NonXtal_BW#'!$A:$Z,19,FALSE)+VLOOKUP($A363,A:AL,28,FALSE)-50))</f>
        <v>749</v>
      </c>
      <c r="AB363" s="3">
        <v>762</v>
      </c>
      <c r="AC363" s="3">
        <f>IF(ISERROR((VLOOKUP($A363,'SegEnds_NonXtal_BW#'!$A:$Z,20,FALSE)+VLOOKUP($A363,A:AL,28,FALSE)-50)),"-",(VLOOKUP($A363,'SegEnds_NonXtal_BW#'!$A:$Z,20,FALSE)+VLOOKUP($A363,A:AL,28,FALSE)-50))</f>
        <v>773</v>
      </c>
      <c r="AD363" s="3">
        <f>IF(ISERROR(VLOOKUP($A363,'SegEnds_NonXtal_BW#'!$A:$Z,21,FALSE)+VLOOKUP($A363,A:AL,31,FALSE)-50),"-",(VLOOKUP($A363,'SegEnds_NonXtal_BW#'!$A:$Z,21,FALSE)+VLOOKUP($A363,A:AL,31,FALSE)-50))</f>
        <v>780</v>
      </c>
      <c r="AE363" s="3">
        <v>797</v>
      </c>
      <c r="AF363" s="3">
        <f>IF(ISERROR((VLOOKUP($A363,'SegEnds_NonXtal_BW#'!$A:$Z,22,FALSE)+VLOOKUP($A363,A:AL,31,FALSE)-50)),"-",(VLOOKUP($A363,'SegEnds_NonXtal_BW#'!$A:$Z,22,FALSE)+VLOOKUP($A363,A:AL,31,FALSE)-50))</f>
        <v>804</v>
      </c>
      <c r="AG363" s="3">
        <f>IF(ISERROR(VLOOKUP($A363,'SegEnds_NonXtal_BW#'!$A:$Z,23,FALSE)+VLOOKUP($A363,A:AL,34,FALSE)-50),"-",(VLOOKUP($A363,'SegEnds_NonXtal_BW#'!$A:$Z,23,FALSE)+VLOOKUP($A363,A:AL,34,FALSE)-50))</f>
        <v>810</v>
      </c>
      <c r="AH363" s="3">
        <v>826</v>
      </c>
      <c r="AI363" s="3">
        <f>IF(ISERROR((VLOOKUP($A363,'SegEnds_NonXtal_BW#'!$A:$Z,24,FALSE)+VLOOKUP($A363,A:AL,34,FALSE)-50)),"-",(VLOOKUP($A363,'SegEnds_NonXtal_BW#'!$A:$Z,24,FALSE)+VLOOKUP($A363,A:AL,34,FALSE)-50))</f>
        <v>839</v>
      </c>
      <c r="AJ363" s="3">
        <f>IF(ISERROR(VLOOKUP($A363,'SegEnds_NonXtal_BW#'!$A:$Z,25,FALSE)+VLOOKUP($A363,A:AL,37,FALSE)-50),"-",(VLOOKUP($A363,'SegEnds_NonXtal_BW#'!$A:$Z,25,FALSE)+VLOOKUP($A363,A:AL,37,FALSE)-50))</f>
        <v>840</v>
      </c>
      <c r="AK363" s="3">
        <v>843</v>
      </c>
      <c r="AL363" s="3">
        <f>IF(ISERROR((VLOOKUP($A363,'SegEnds_NonXtal_BW#'!$A:$Z,26,FALSE)+VLOOKUP($A363,A:AL,37,FALSE)-50)),"-",(VLOOKUP($A363,'SegEnds_NonXtal_BW#'!$A:$Z,26,FALSE)+VLOOKUP($A363,A:AL,37,FALSE)-50))</f>
        <v>852</v>
      </c>
      <c r="AM363" s="28" t="str">
        <f>VLOOKUP(A363,Classification!A:B,2,FALSE)</f>
        <v>C</v>
      </c>
      <c r="AN363" s="28" t="b">
        <f t="shared" si="200"/>
        <v>1</v>
      </c>
      <c r="AO363" s="3" t="str">
        <f>IF(ISERROR(MATCH(A363,'SegEnds_Xtal_Prot#'!B:B, 0)), "NoXtal", "Xtal")</f>
        <v>NoXtal</v>
      </c>
      <c r="AP363" s="3">
        <f t="shared" si="185"/>
        <v>3</v>
      </c>
      <c r="AQ363" s="3">
        <f t="shared" si="186"/>
        <v>1</v>
      </c>
      <c r="AR363" s="3" t="str">
        <f t="shared" si="187"/>
        <v>-</v>
      </c>
      <c r="AS363" s="3" t="str">
        <f t="shared" si="188"/>
        <v>-</v>
      </c>
      <c r="AT363" s="3" t="str">
        <f t="shared" si="189"/>
        <v>-</v>
      </c>
      <c r="AU363" s="3" t="str">
        <f t="shared" si="190"/>
        <v>-</v>
      </c>
      <c r="AV363" s="3">
        <f t="shared" si="191"/>
        <v>18</v>
      </c>
      <c r="AW363" s="3">
        <f t="shared" si="192"/>
        <v>3</v>
      </c>
      <c r="AX363" s="3">
        <f t="shared" si="193"/>
        <v>7</v>
      </c>
      <c r="AY363" s="3">
        <f t="shared" si="194"/>
        <v>6</v>
      </c>
      <c r="AZ363" s="3">
        <f t="shared" si="195"/>
        <v>1</v>
      </c>
      <c r="BA363" s="3">
        <f>IF(ISERROR(LEN(VLOOKUP(A363,Seqs!A:E,2,FALSE))-AL363),"-",LEN(VLOOKUP(A363,Seqs!A:E,2,FALSE))-AL363)</f>
        <v>74</v>
      </c>
      <c r="BB363" s="16">
        <f t="shared" si="196"/>
        <v>32</v>
      </c>
      <c r="BC363" s="9" t="str">
        <f t="shared" si="197"/>
        <v>-</v>
      </c>
      <c r="BD363" s="3">
        <f t="shared" si="198"/>
        <v>32</v>
      </c>
      <c r="BE363" s="3">
        <f t="shared" si="199"/>
        <v>35</v>
      </c>
    </row>
    <row r="364" spans="1:57" s="3" customFormat="1" ht="17" customHeight="1" x14ac:dyDescent="0.2">
      <c r="A364" s="3" t="s">
        <v>259</v>
      </c>
      <c r="B364" s="3" t="str">
        <f>LOWER(VLOOKUP(A364,Xtal_Templ!A:B,2,FALSE))</f>
        <v>5ht1b_human</v>
      </c>
      <c r="C364" s="3">
        <f>VLOOKUP($A364,'SegEnds_NonXtal_BW#'!$A:$Z,3,FALSE)+D364-50</f>
        <v>31</v>
      </c>
      <c r="D364" s="3">
        <v>52</v>
      </c>
      <c r="E364" s="3">
        <f>IF(ISERROR(VLOOKUP($A364,'SegEnds_NonXtal_BW#'!$A:$Z,4,FALSE)+VLOOKUP($A364,A:AL,4,FALSE)-50),"-",(VLOOKUP($A364,'SegEnds_NonXtal_BW#'!$A:$Z,4,FALSE)+VLOOKUP($A364,A:AL,4,FALSE)-50))</f>
        <v>62</v>
      </c>
      <c r="F364" s="3">
        <f>G364-2</f>
        <v>63</v>
      </c>
      <c r="G364" s="3">
        <v>65</v>
      </c>
      <c r="H364" s="3">
        <f>G364+1</f>
        <v>66</v>
      </c>
      <c r="I364" s="3">
        <f t="shared" si="206"/>
        <v>67</v>
      </c>
      <c r="J364" s="3">
        <v>80</v>
      </c>
      <c r="K364" s="3">
        <f>VLOOKUP($A364,'SegEnds_NonXtal_BW#'!$A:$Z,8,FALSE)+VLOOKUP($A364,A:AL,10,FALSE)-50</f>
        <v>97</v>
      </c>
      <c r="L364" s="3">
        <f>M364-1</f>
        <v>99</v>
      </c>
      <c r="M364" s="3">
        <v>100</v>
      </c>
      <c r="N364" s="3">
        <f>M364+2</f>
        <v>102</v>
      </c>
      <c r="O364" s="3">
        <f>N364+1</f>
        <v>103</v>
      </c>
      <c r="P364" s="3">
        <v>132</v>
      </c>
      <c r="Q364" s="3">
        <f>VLOOKUP($A364,'SegEnds_NonXtal_BW#'!$A:$Z,12,FALSE)+VLOOKUP($A364,A:AL,16,FALSE)-50</f>
        <v>138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3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144</v>
      </c>
      <c r="V364" s="3">
        <v>156</v>
      </c>
      <c r="W364" s="3">
        <f>IF(ISERROR(VLOOKUP($A364,'SegEnds_NonXtal_BW#'!$A:$Z,16,FALSE)+VLOOKUP($A364,A:AL,22,FALSE)-50),"-",(VLOOKUP($A364,'SegEnds_NonXtal_BW#'!$A:$Z,16,FALSE)+VLOOKUP($A364,A:AL,22,FALSE)-50))</f>
        <v>169</v>
      </c>
      <c r="X364" s="3">
        <f>IF(ISERROR(VLOOKUP($A364,'SegEnds_NonXtal_BW#'!$A:$Z,17,FALSE)+VLOOKUP($A364,A:AL,25,FALSE)-50),"-",(VLOOKUP($A364,'SegEnds_NonXtal_BW#'!$A:$Z,17,FALSE)+VLOOKUP($A364,A:AL,25,FALSE)-50))</f>
        <v>182</v>
      </c>
      <c r="Y364" s="3">
        <v>182</v>
      </c>
      <c r="Z364" s="3">
        <f t="shared" si="207"/>
        <v>184</v>
      </c>
      <c r="AA364" s="3">
        <f>IF(ISERROR(VLOOKUP($A364,'SegEnds_NonXtal_BW#'!$A:$Z,19,FALSE)+VLOOKUP($A364,A:AL,28,FALSE)-50),"-",(VLOOKUP($A364,'SegEnds_NonXtal_BW#'!$A:$Z,19,FALSE)+VLOOKUP($A364,A:AL,28,FALSE)-50))</f>
        <v>192</v>
      </c>
      <c r="AB364" s="3">
        <v>207</v>
      </c>
      <c r="AC364" s="3">
        <f>IF(ISERROR((VLOOKUP($A364,'SegEnds_NonXtal_BW#'!$A:$Z,20,FALSE)+VLOOKUP($A364,A:AL,28,FALSE)-50)),"-",(VLOOKUP($A364,'SegEnds_NonXtal_BW#'!$A:$Z,20,FALSE)+VLOOKUP($A364,A:AL,28,FALSE)-50))</f>
        <v>233</v>
      </c>
      <c r="AD364" s="3">
        <f>IF(ISERROR(VLOOKUP($A364,'SegEnds_NonXtal_BW#'!$A:$Z,21,FALSE)+VLOOKUP($A364,A:AL,31,FALSE)-50),"-",(VLOOKUP($A364,'SegEnds_NonXtal_BW#'!$A:$Z,21,FALSE)+VLOOKUP($A364,A:AL,31,FALSE)-50))</f>
        <v>256</v>
      </c>
      <c r="AE364" s="3">
        <v>282</v>
      </c>
      <c r="AF364" s="3">
        <f>IF(ISERROR((VLOOKUP($A364,'SegEnds_NonXtal_BW#'!$A:$Z,22,FALSE)+VLOOKUP($A364,A:AL,31,FALSE)-50)),"-",(VLOOKUP($A364,'SegEnds_NonXtal_BW#'!$A:$Z,22,FALSE)+VLOOKUP($A364,A:AL,31,FALSE)-50))</f>
        <v>293</v>
      </c>
      <c r="AG364" s="3">
        <f>IF(ISERROR(VLOOKUP($A364,'SegEnds_NonXtal_BW#'!$A:$Z,23,FALSE)+VLOOKUP($A364,A:AL,34,FALSE)-50),"-",(VLOOKUP($A364,'SegEnds_NonXtal_BW#'!$A:$Z,23,FALSE)+VLOOKUP($A364,A:AL,34,FALSE)-50))</f>
        <v>299</v>
      </c>
      <c r="AH364" s="3">
        <v>321</v>
      </c>
      <c r="AI364" s="3">
        <v>327</v>
      </c>
      <c r="AJ364" s="3">
        <f>IF(ISERROR(VLOOKUP($A364,'SegEnds_NonXtal_BW#'!$A:$Z,25,FALSE)+VLOOKUP($A364,A:AL,37,FALSE)-50),"-",(VLOOKUP($A364,'SegEnds_NonXtal_BW#'!$A:$Z,25,FALSE)+VLOOKUP($A364,A:AL,37,FALSE)-50))</f>
        <v>328</v>
      </c>
      <c r="AK364" s="3">
        <v>331</v>
      </c>
      <c r="AL364" s="3">
        <f>IF(ISERROR((VLOOKUP($A364,'SegEnds_NonXtal_BW#'!$A:$Z,26,FALSE)+VLOOKUP($A364,A:AL,37,FALSE)-50)),"-",(VLOOKUP($A364,'SegEnds_NonXtal_BW#'!$A:$Z,26,FALSE)+VLOOKUP($A364,A:AL,37,FALSE)-50))</f>
        <v>339</v>
      </c>
      <c r="AM364" s="28" t="str">
        <f>VLOOKUP(A364,Classification!A:B,2,FALSE)</f>
        <v>A</v>
      </c>
      <c r="AN364" s="28" t="b">
        <f t="shared" si="200"/>
        <v>1</v>
      </c>
      <c r="AO364" s="3" t="str">
        <f>IF(ISERROR(MATCH(A364,'SegEnds_Xtal_Prot#'!B:B, 0)), "NoXtal", "Xtal")</f>
        <v>NoXtal</v>
      </c>
      <c r="AP364" s="3">
        <f t="shared" si="185"/>
        <v>1</v>
      </c>
      <c r="AQ364" s="3">
        <f t="shared" si="186"/>
        <v>1</v>
      </c>
      <c r="AR364" s="3">
        <f t="shared" si="187"/>
        <v>2</v>
      </c>
      <c r="AS364" s="3">
        <f t="shared" si="188"/>
        <v>1</v>
      </c>
      <c r="AT364" s="3" t="str">
        <f t="shared" si="189"/>
        <v>-</v>
      </c>
      <c r="AU364" s="3" t="str">
        <f t="shared" si="190"/>
        <v>-</v>
      </c>
      <c r="AV364" s="3">
        <f t="shared" si="191"/>
        <v>13</v>
      </c>
      <c r="AW364" s="3">
        <f t="shared" si="192"/>
        <v>8</v>
      </c>
      <c r="AX364" s="3">
        <f t="shared" si="193"/>
        <v>23</v>
      </c>
      <c r="AY364" s="3">
        <f t="shared" si="194"/>
        <v>6</v>
      </c>
      <c r="AZ364" s="3">
        <f t="shared" si="195"/>
        <v>1</v>
      </c>
      <c r="BA364" s="3">
        <f>IF(ISERROR(LEN(VLOOKUP(A364,Seqs!A:E,2,FALSE))-AL364),"-",LEN(VLOOKUP(A364,Seqs!A:E,2,FALSE))-AL364)</f>
        <v>33</v>
      </c>
      <c r="BB364" s="16">
        <f t="shared" si="196"/>
        <v>28</v>
      </c>
      <c r="BC364" s="9" t="str">
        <f t="shared" si="197"/>
        <v>-</v>
      </c>
      <c r="BD364" s="3">
        <f t="shared" si="198"/>
        <v>28</v>
      </c>
      <c r="BE364" s="3">
        <f t="shared" si="199"/>
        <v>75</v>
      </c>
    </row>
    <row r="365" spans="1:57" s="3" customFormat="1" x14ac:dyDescent="0.2">
      <c r="A365" s="3" t="s">
        <v>264</v>
      </c>
      <c r="B365" s="3" t="str">
        <f>LOWER(VLOOKUP(A365,Xtal_Templ!A:B,2,FALSE))</f>
        <v>drd3_human</v>
      </c>
      <c r="C365" s="3">
        <f>VLOOKUP($A365,'SegEnds_NonXtal_BW#'!$A:$Z,3,FALSE)+D365-50</f>
        <v>11</v>
      </c>
      <c r="D365" s="3">
        <v>32</v>
      </c>
      <c r="E365" s="3">
        <f>IF(ISERROR(VLOOKUP($A365,'SegEnds_NonXtal_BW#'!$A:$Z,4,FALSE)+VLOOKUP($A365,A:AL,4,FALSE)-50),"-",(VLOOKUP($A365,'SegEnds_NonXtal_BW#'!$A:$Z,4,FALSE)+VLOOKUP($A365,A:AL,4,FALSE)-50))</f>
        <v>42</v>
      </c>
      <c r="F365" s="3" t="str">
        <f>IF(ISERROR(VLOOKUP($A365,'SegEnds_NonXtal_BW#'!$A:$Z,5,FALSE)+VLOOKUP($A365,A:AL,7,FALSE)-50),"-",(VLOOKUP($A365,'SegEnds_NonXtal_BW#'!$A:$Z,5,FALSE)+VLOOKUP($A365,A:AL,7,FALSE)-50))</f>
        <v>-</v>
      </c>
      <c r="G365" s="3" t="s">
        <v>23</v>
      </c>
      <c r="H365" s="3" t="str">
        <f>IF(ISERROR(VLOOKUP($A365,'SegEnds_NonXtal_BW#'!$A:$Z,6,FALSE)+VLOOKUP($A365,A:AL,7,FALSE)-50),"-",(VLOOKUP($A365,'SegEnds_NonXtal_BW#'!$A:$Z,6,FALSE)+VLOOKUP($A365,A:AL,7,FALSE)-50))</f>
        <v>-</v>
      </c>
      <c r="I365" s="3">
        <f>VLOOKUP($A365,'SegEnds_NonXtal_BW#'!$A:$Z,7,FALSE)+J365-50</f>
        <v>45</v>
      </c>
      <c r="J365" s="3">
        <v>58</v>
      </c>
      <c r="K365" s="3">
        <f>VLOOKUP($A365,'SegEnds_NonXtal_BW#'!$A:$Z,8,FALSE)+VLOOKUP($A365,A:AL,10,FALSE)-50</f>
        <v>75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81</v>
      </c>
      <c r="P365" s="3">
        <v>113</v>
      </c>
      <c r="Q365" s="3">
        <f>VLOOKUP($A365,'SegEnds_NonXtal_BW#'!$A:$Z,12,FALSE)+VLOOKUP($A365,A:AL,16,FALSE)-50</f>
        <v>119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3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125</v>
      </c>
      <c r="V365" s="3">
        <v>137</v>
      </c>
      <c r="W365" s="3">
        <f>IF(ISERROR(VLOOKUP($A365,'SegEnds_NonXtal_BW#'!$A:$Z,16,FALSE)+VLOOKUP($A365,A:AL,22,FALSE)-50),"-",(VLOOKUP($A365,'SegEnds_NonXtal_BW#'!$A:$Z,16,FALSE)+VLOOKUP($A365,A:AL,22,FALSE)-50))</f>
        <v>150</v>
      </c>
      <c r="X365" s="3">
        <f>IF(ISERROR(VLOOKUP($A365,'SegEnds_NonXtal_BW#'!$A:$Z,17,FALSE)+VLOOKUP($A365,A:AL,25,FALSE)-50),"-",(VLOOKUP($A365,'SegEnds_NonXtal_BW#'!$A:$Z,17,FALSE)+VLOOKUP($A365,A:AL,25,FALSE)-50))</f>
        <v>162</v>
      </c>
      <c r="Y365" s="3">
        <v>162</v>
      </c>
      <c r="Z365" s="3">
        <f t="shared" si="207"/>
        <v>164</v>
      </c>
      <c r="AA365" s="3">
        <f>IF(ISERROR(VLOOKUP($A365,'SegEnds_NonXtal_BW#'!$A:$Z,19,FALSE)+VLOOKUP($A365,A:AL,28,FALSE)-50),"-",(VLOOKUP($A365,'SegEnds_NonXtal_BW#'!$A:$Z,19,FALSE)+VLOOKUP($A365,A:AL,28,FALSE)-50))</f>
        <v>169</v>
      </c>
      <c r="AB365" s="3">
        <v>184</v>
      </c>
      <c r="AC365" s="3">
        <f>IF(ISERROR((VLOOKUP($A365,'SegEnds_NonXtal_BW#'!$A:$Z,20,FALSE)+VLOOKUP($A365,A:AL,28,FALSE)-50)),"-",(VLOOKUP($A365,'SegEnds_NonXtal_BW#'!$A:$Z,20,FALSE)+VLOOKUP($A365,A:AL,28,FALSE)-50))</f>
        <v>210</v>
      </c>
      <c r="AD365" s="3">
        <f>IF(ISERROR(VLOOKUP($A365,'SegEnds_NonXtal_BW#'!$A:$Z,21,FALSE)+VLOOKUP($A365,A:AL,31,FALSE)-50),"-",(VLOOKUP($A365,'SegEnds_NonXtal_BW#'!$A:$Z,21,FALSE)+VLOOKUP($A365,A:AL,31,FALSE)-50))</f>
        <v>230</v>
      </c>
      <c r="AE365" s="3">
        <v>256</v>
      </c>
      <c r="AF365" s="3">
        <f>IF(ISERROR((VLOOKUP($A365,'SegEnds_NonXtal_BW#'!$A:$Z,22,FALSE)+VLOOKUP($A365,A:AL,31,FALSE)-50)),"-",(VLOOKUP($A365,'SegEnds_NonXtal_BW#'!$A:$Z,22,FALSE)+VLOOKUP($A365,A:AL,31,FALSE)-50))</f>
        <v>264</v>
      </c>
      <c r="AG365" s="3">
        <f>IF(ISERROR(VLOOKUP($A365,'SegEnds_NonXtal_BW#'!$A:$Z,23,FALSE)+VLOOKUP($A365,A:AL,34,FALSE)-50),"-",(VLOOKUP($A365,'SegEnds_NonXtal_BW#'!$A:$Z,23,FALSE)+VLOOKUP($A365,A:AL,34,FALSE)-50))</f>
        <v>272</v>
      </c>
      <c r="AH365" s="3">
        <v>287</v>
      </c>
      <c r="AI365" s="3">
        <f>IF(ISERROR((VLOOKUP($A365,'SegEnds_NonXtal_BW#'!$A:$Z,24,FALSE)+VLOOKUP($A365,A:AL,34,FALSE)-50)),"-",(VLOOKUP($A365,'SegEnds_NonXtal_BW#'!$A:$Z,24,FALSE)+VLOOKUP($A365,A:AL,34,FALSE)-50))</f>
        <v>293</v>
      </c>
      <c r="AJ365" s="3">
        <f>IF(ISERROR(VLOOKUP($A365,'SegEnds_NonXtal_BW#'!$A:$Z,25,FALSE)+VLOOKUP($A365,A:AL,37,FALSE)-50),"-",(VLOOKUP($A365,'SegEnds_NonXtal_BW#'!$A:$Z,25,FALSE)+VLOOKUP($A365,A:AL,37,FALSE)-50))</f>
        <v>294</v>
      </c>
      <c r="AK365" s="3">
        <v>297</v>
      </c>
      <c r="AL365" s="3">
        <f>IF(ISERROR((VLOOKUP($A365,'SegEnds_NonXtal_BW#'!$A:$Z,26,FALSE)+VLOOKUP($A365,A:AL,37,FALSE)-50)),"-",(VLOOKUP($A365,'SegEnds_NonXtal_BW#'!$A:$Z,26,FALSE)+VLOOKUP($A365,A:AL,37,FALSE)-50))</f>
        <v>306</v>
      </c>
      <c r="AM365" s="28" t="str">
        <f>VLOOKUP(A365,Classification!A:B,2,FALSE)</f>
        <v>A</v>
      </c>
      <c r="AN365" s="28" t="b">
        <f t="shared" si="200"/>
        <v>1</v>
      </c>
      <c r="AO365" s="3" t="str">
        <f>IF(ISERROR(MATCH(A365,'SegEnds_Xtal_Prot#'!B:B, 0)), "NoXtal", "Xtal")</f>
        <v>NoXtal</v>
      </c>
      <c r="AP365" s="3" t="str">
        <f t="shared" si="185"/>
        <v>-</v>
      </c>
      <c r="AQ365" s="3" t="str">
        <f t="shared" si="186"/>
        <v>-</v>
      </c>
      <c r="AR365" s="3" t="str">
        <f t="shared" si="187"/>
        <v>-</v>
      </c>
      <c r="AS365" s="3" t="str">
        <f t="shared" si="188"/>
        <v>-</v>
      </c>
      <c r="AT365" s="3" t="str">
        <f t="shared" si="189"/>
        <v>-</v>
      </c>
      <c r="AU365" s="3" t="str">
        <f t="shared" si="190"/>
        <v>-</v>
      </c>
      <c r="AV365" s="3">
        <f t="shared" si="191"/>
        <v>12</v>
      </c>
      <c r="AW365" s="3">
        <f t="shared" si="192"/>
        <v>5</v>
      </c>
      <c r="AX365" s="3">
        <f t="shared" si="193"/>
        <v>20</v>
      </c>
      <c r="AY365" s="3">
        <f t="shared" si="194"/>
        <v>8</v>
      </c>
      <c r="AZ365" s="3">
        <f t="shared" si="195"/>
        <v>1</v>
      </c>
      <c r="BA365" s="3">
        <f>IF(ISERROR(LEN(VLOOKUP(A365,Seqs!A:E,2,FALSE))-AL365),"-",LEN(VLOOKUP(A365,Seqs!A:E,2,FALSE))-AL365)</f>
        <v>62</v>
      </c>
      <c r="BB365" s="16">
        <f t="shared" si="196"/>
        <v>26</v>
      </c>
      <c r="BC365" s="9" t="str">
        <f t="shared" si="197"/>
        <v>-</v>
      </c>
      <c r="BD365" s="3">
        <f t="shared" si="198"/>
        <v>26</v>
      </c>
      <c r="BE365" s="3">
        <f t="shared" si="199"/>
        <v>72</v>
      </c>
    </row>
    <row r="366" spans="1:57" s="3" customFormat="1" x14ac:dyDescent="0.2">
      <c r="A366" s="3" t="s">
        <v>265</v>
      </c>
      <c r="B366" s="3" t="str">
        <f>LOWER(VLOOKUP(A366,Xtal_Templ!A:B,2,FALSE))</f>
        <v>5ht2b_human</v>
      </c>
      <c r="C366" s="3">
        <f>VLOOKUP($A366,'SegEnds_NonXtal_BW#'!$A:$Z,3,FALSE)+D366-50</f>
        <v>81</v>
      </c>
      <c r="D366" s="3">
        <v>99</v>
      </c>
      <c r="E366" s="3">
        <f>IF(ISERROR(VLOOKUP($A366,'SegEnds_NonXtal_BW#'!$A:$Z,4,FALSE)+VLOOKUP($A366,A:AL,4,FALSE)-50),"-",(VLOOKUP($A366,'SegEnds_NonXtal_BW#'!$A:$Z,4,FALSE)+VLOOKUP($A366,A:AL,4,FALSE)-50))</f>
        <v>109</v>
      </c>
      <c r="F366" s="3">
        <f>G366-2</f>
        <v>110</v>
      </c>
      <c r="G366" s="3">
        <v>112</v>
      </c>
      <c r="H366" s="3">
        <f t="shared" ref="H366:I368" si="208">G366+1</f>
        <v>113</v>
      </c>
      <c r="I366" s="3">
        <f t="shared" si="208"/>
        <v>114</v>
      </c>
      <c r="J366" s="3">
        <v>127</v>
      </c>
      <c r="K366" s="3">
        <f>VLOOKUP($A366,'SegEnds_NonXtal_BW#'!$A:$Z,8,FALSE)+VLOOKUP($A366,A:AL,10,FALSE)-50</f>
        <v>144</v>
      </c>
      <c r="L366" s="3">
        <f>M366-1</f>
        <v>146</v>
      </c>
      <c r="M366" s="3">
        <v>147</v>
      </c>
      <c r="N366" s="3">
        <f>M366+2</f>
        <v>149</v>
      </c>
      <c r="O366" s="3">
        <f>N366+1</f>
        <v>150</v>
      </c>
      <c r="P366" s="3">
        <v>179</v>
      </c>
      <c r="Q366" s="3">
        <f>VLOOKUP($A366,'SegEnds_NonXtal_BW#'!$A:$Z,12,FALSE)+VLOOKUP($A366,A:AL,16,FALSE)-50</f>
        <v>185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3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191</v>
      </c>
      <c r="V366" s="3">
        <v>203</v>
      </c>
      <c r="W366" s="3">
        <f>IF(ISERROR(VLOOKUP($A366,'SegEnds_NonXtal_BW#'!$A:$Z,16,FALSE)+VLOOKUP($A366,A:AL,22,FALSE)-50),"-",(VLOOKUP($A366,'SegEnds_NonXtal_BW#'!$A:$Z,16,FALSE)+VLOOKUP($A366,A:AL,22,FALSE)-50))</f>
        <v>217</v>
      </c>
      <c r="X366" s="3">
        <f>IF(ISERROR(VLOOKUP($A366,'SegEnds_NonXtal_BW#'!$A:$Z,17,FALSE)+VLOOKUP($A366,A:AL,25,FALSE)-50),"-",(VLOOKUP($A366,'SegEnds_NonXtal_BW#'!$A:$Z,17,FALSE)+VLOOKUP($A366,A:AL,25,FALSE)-50))</f>
        <v>229</v>
      </c>
      <c r="Y366" s="3">
        <v>229</v>
      </c>
      <c r="Z366" s="3">
        <f t="shared" si="207"/>
        <v>231</v>
      </c>
      <c r="AA366" s="3">
        <f>IF(ISERROR(VLOOKUP($A366,'SegEnds_NonXtal_BW#'!$A:$Z,19,FALSE)+VLOOKUP($A366,A:AL,28,FALSE)-50),"-",(VLOOKUP($A366,'SegEnds_NonXtal_BW#'!$A:$Z,19,FALSE)+VLOOKUP($A366,A:AL,28,FALSE)-50))</f>
        <v>239</v>
      </c>
      <c r="AB366" s="3">
        <v>254</v>
      </c>
      <c r="AC366" s="3">
        <f>IF(ISERROR((VLOOKUP($A366,'SegEnds_NonXtal_BW#'!$A:$Z,20,FALSE)+VLOOKUP($A366,A:AL,28,FALSE)-50)),"-",(VLOOKUP($A366,'SegEnds_NonXtal_BW#'!$A:$Z,20,FALSE)+VLOOKUP($A366,A:AL,28,FALSE)-50))</f>
        <v>280</v>
      </c>
      <c r="AD366" s="3">
        <f>IF(ISERROR(VLOOKUP($A366,'SegEnds_NonXtal_BW#'!$A:$Z,21,FALSE)+VLOOKUP($A366,A:AL,31,FALSE)-50),"-",(VLOOKUP($A366,'SegEnds_NonXtal_BW#'!$A:$Z,21,FALSE)+VLOOKUP($A366,A:AL,31,FALSE)-50))</f>
        <v>303</v>
      </c>
      <c r="AE366" s="3">
        <v>329</v>
      </c>
      <c r="AF366" s="3">
        <f>IF(ISERROR((VLOOKUP($A366,'SegEnds_NonXtal_BW#'!$A:$Z,22,FALSE)+VLOOKUP($A366,A:AL,31,FALSE)-50)),"-",(VLOOKUP($A366,'SegEnds_NonXtal_BW#'!$A:$Z,22,FALSE)+VLOOKUP($A366,A:AL,31,FALSE)-50))</f>
        <v>340</v>
      </c>
      <c r="AG366" s="3">
        <f>IF(ISERROR(VLOOKUP($A366,'SegEnds_NonXtal_BW#'!$A:$Z,23,FALSE)+VLOOKUP($A366,A:AL,34,FALSE)-50),"-",(VLOOKUP($A366,'SegEnds_NonXtal_BW#'!$A:$Z,23,FALSE)+VLOOKUP($A366,A:AL,34,FALSE)-50))</f>
        <v>346</v>
      </c>
      <c r="AH366" s="3">
        <v>368</v>
      </c>
      <c r="AI366" s="3">
        <f>IF(ISERROR((VLOOKUP($A366,'SegEnds_NonXtal_BW#'!$A:$Z,24,FALSE)+VLOOKUP($A366,A:AL,34,FALSE)-50)),"-",(VLOOKUP($A366,'SegEnds_NonXtal_BW#'!$A:$Z,24,FALSE)+VLOOKUP($A366,A:AL,34,FALSE)-50))</f>
        <v>374</v>
      </c>
      <c r="AJ366" s="3">
        <f>IF(ISERROR(VLOOKUP($A366,'SegEnds_NonXtal_BW#'!$A:$Z,25,FALSE)+VLOOKUP($A366,A:AL,37,FALSE)-50),"-",(VLOOKUP($A366,'SegEnds_NonXtal_BW#'!$A:$Z,25,FALSE)+VLOOKUP($A366,A:AL,37,FALSE)-50))</f>
        <v>375</v>
      </c>
      <c r="AK366" s="3">
        <v>378</v>
      </c>
      <c r="AL366" s="3">
        <f>IF(ISERROR((VLOOKUP($A366,'SegEnds_NonXtal_BW#'!$A:$Z,26,FALSE)+VLOOKUP($A366,A:AL,37,FALSE)-50)),"-",(VLOOKUP($A366,'SegEnds_NonXtal_BW#'!$A:$Z,26,FALSE)+VLOOKUP($A366,A:AL,37,FALSE)-50))</f>
        <v>386</v>
      </c>
      <c r="AM366" s="28" t="str">
        <f>VLOOKUP(A366,Classification!A:B,2,FALSE)</f>
        <v>A</v>
      </c>
      <c r="AN366" s="28" t="b">
        <f t="shared" si="200"/>
        <v>1</v>
      </c>
      <c r="AO366" s="3" t="str">
        <f>IF(ISERROR(MATCH(A366,'SegEnds_Xtal_Prot#'!B:B, 0)), "NoXtal", "Xtal")</f>
        <v>NoXtal</v>
      </c>
      <c r="AP366" s="3">
        <f t="shared" si="185"/>
        <v>1</v>
      </c>
      <c r="AQ366" s="3">
        <f t="shared" si="186"/>
        <v>1</v>
      </c>
      <c r="AR366" s="3">
        <f t="shared" si="187"/>
        <v>2</v>
      </c>
      <c r="AS366" s="3">
        <f t="shared" si="188"/>
        <v>1</v>
      </c>
      <c r="AT366" s="3" t="str">
        <f t="shared" si="189"/>
        <v>-</v>
      </c>
      <c r="AU366" s="3" t="str">
        <f t="shared" si="190"/>
        <v>-</v>
      </c>
      <c r="AV366" s="3">
        <f t="shared" si="191"/>
        <v>12</v>
      </c>
      <c r="AW366" s="3">
        <f t="shared" si="192"/>
        <v>8</v>
      </c>
      <c r="AX366" s="3">
        <f t="shared" si="193"/>
        <v>23</v>
      </c>
      <c r="AY366" s="3">
        <f t="shared" si="194"/>
        <v>6</v>
      </c>
      <c r="AZ366" s="3">
        <f t="shared" si="195"/>
        <v>1</v>
      </c>
      <c r="BA366" s="3">
        <f>IF(ISERROR(LEN(VLOOKUP(A366,Seqs!A:E,2,FALSE))-AL366),"-",LEN(VLOOKUP(A366,Seqs!A:E,2,FALSE))-AL366)</f>
        <v>33</v>
      </c>
      <c r="BB366" s="16">
        <f t="shared" si="196"/>
        <v>28</v>
      </c>
      <c r="BC366" s="9" t="str">
        <f t="shared" si="197"/>
        <v>-</v>
      </c>
      <c r="BD366" s="3">
        <f t="shared" si="198"/>
        <v>28</v>
      </c>
      <c r="BE366" s="3">
        <f t="shared" si="199"/>
        <v>75</v>
      </c>
    </row>
    <row r="367" spans="1:57" s="3" customFormat="1" x14ac:dyDescent="0.2">
      <c r="A367" s="3" t="s">
        <v>266</v>
      </c>
      <c r="B367" s="3" t="str">
        <f>LOWER(VLOOKUP(A367,Xtal_Templ!A:B,2,FALSE))</f>
        <v>adrb2_human</v>
      </c>
      <c r="C367" s="3">
        <f>VLOOKUP($A367,'SegEnds_NonXtal_BW#'!$A:$Z,3,FALSE)+D367-50</f>
        <v>35</v>
      </c>
      <c r="D367" s="3">
        <v>60</v>
      </c>
      <c r="E367" s="3">
        <f>IF(ISERROR(VLOOKUP($A367,'SegEnds_NonXtal_BW#'!$A:$Z,4,FALSE)+VLOOKUP($A367,A:AL,4,FALSE)-50),"-",(VLOOKUP($A367,'SegEnds_NonXtal_BW#'!$A:$Z,4,FALSE)+VLOOKUP($A367,A:AL,4,FALSE)-50))</f>
        <v>70</v>
      </c>
      <c r="F367" s="3">
        <f>G367-2</f>
        <v>73</v>
      </c>
      <c r="G367" s="3">
        <v>75</v>
      </c>
      <c r="H367" s="3">
        <f t="shared" si="208"/>
        <v>76</v>
      </c>
      <c r="I367" s="3">
        <f t="shared" si="208"/>
        <v>77</v>
      </c>
      <c r="J367" s="3">
        <v>90</v>
      </c>
      <c r="K367" s="3">
        <f>VLOOKUP($A367,'SegEnds_NonXtal_BW#'!$A:$Z,8,FALSE)+VLOOKUP($A367,A:AL,10,FALSE)-50</f>
        <v>107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111</v>
      </c>
      <c r="P367" s="3">
        <v>143</v>
      </c>
      <c r="Q367" s="3">
        <f>VLOOKUP($A367,'SegEnds_NonXtal_BW#'!$A:$Z,12,FALSE)+VLOOKUP($A367,A:AL,16,FALSE)-50</f>
        <v>149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3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157</v>
      </c>
      <c r="V367" s="3">
        <v>169</v>
      </c>
      <c r="W367" s="3">
        <f>IF(ISERROR(VLOOKUP($A367,'SegEnds_NonXtal_BW#'!$A:$Z,16,FALSE)+VLOOKUP($A367,A:AL,22,FALSE)-50),"-",(VLOOKUP($A367,'SegEnds_NonXtal_BW#'!$A:$Z,16,FALSE)+VLOOKUP($A367,A:AL,22,FALSE)-50))</f>
        <v>183</v>
      </c>
      <c r="X367" s="3">
        <f>IF(ISERROR(VLOOKUP($A367,'SegEnds_NonXtal_BW#'!$A:$Z,17,FALSE)+VLOOKUP($A367,A:AL,25,FALSE)-50),"-",(VLOOKUP($A367,'SegEnds_NonXtal_BW#'!$A:$Z,17,FALSE)+VLOOKUP($A367,A:AL,25,FALSE)-50))</f>
        <v>189</v>
      </c>
      <c r="Y367" s="3">
        <v>189</v>
      </c>
      <c r="Z367" s="3">
        <f t="shared" si="207"/>
        <v>191</v>
      </c>
      <c r="AA367" s="3">
        <f>IF(ISERROR(VLOOKUP($A367,'SegEnds_NonXtal_BW#'!$A:$Z,19,FALSE)+VLOOKUP($A367,A:AL,28,FALSE)-50),"-",(VLOOKUP($A367,'SegEnds_NonXtal_BW#'!$A:$Z,19,FALSE)+VLOOKUP($A367,A:AL,28,FALSE)-50))</f>
        <v>199</v>
      </c>
      <c r="AB367" s="3">
        <v>214</v>
      </c>
      <c r="AC367" s="3">
        <f>IF(ISERROR((VLOOKUP($A367,'SegEnds_NonXtal_BW#'!$A:$Z,20,FALSE)+VLOOKUP($A367,A:AL,28,FALSE)-50)),"-",(VLOOKUP($A367,'SegEnds_NonXtal_BW#'!$A:$Z,20,FALSE)+VLOOKUP($A367,A:AL,28,FALSE)-50))</f>
        <v>240</v>
      </c>
      <c r="AD367" s="3">
        <f>IF(ISERROR(VLOOKUP($A367,'SegEnds_NonXtal_BW#'!$A:$Z,21,FALSE)+VLOOKUP($A367,A:AL,31,FALSE)-50),"-",(VLOOKUP($A367,'SegEnds_NonXtal_BW#'!$A:$Z,21,FALSE)+VLOOKUP($A367,A:AL,31,FALSE)-50))</f>
        <v>310</v>
      </c>
      <c r="AE367" s="3">
        <v>336</v>
      </c>
      <c r="AF367" s="3">
        <f>IF(ISERROR((VLOOKUP($A367,'SegEnds_NonXtal_BW#'!$A:$Z,22,FALSE)+VLOOKUP($A367,A:AL,31,FALSE)-50)),"-",(VLOOKUP($A367,'SegEnds_NonXtal_BW#'!$A:$Z,22,FALSE)+VLOOKUP($A367,A:AL,31,FALSE)-50))</f>
        <v>347</v>
      </c>
      <c r="AG367" s="3">
        <f>IF(ISERROR(VLOOKUP($A367,'SegEnds_NonXtal_BW#'!$A:$Z,23,FALSE)+VLOOKUP($A367,A:AL,34,FALSE)-50),"-",(VLOOKUP($A367,'SegEnds_NonXtal_BW#'!$A:$Z,23,FALSE)+VLOOKUP($A367,A:AL,34,FALSE)-50))</f>
        <v>354</v>
      </c>
      <c r="AH367" s="3">
        <v>373</v>
      </c>
      <c r="AI367" s="3">
        <f>IF(ISERROR((VLOOKUP($A367,'SegEnds_NonXtal_BW#'!$A:$Z,24,FALSE)+VLOOKUP($A367,A:AL,34,FALSE)-50)),"-",(VLOOKUP($A367,'SegEnds_NonXtal_BW#'!$A:$Z,24,FALSE)+VLOOKUP($A367,A:AL,34,FALSE)-50))</f>
        <v>378</v>
      </c>
      <c r="AJ367" s="3">
        <f>IF(ISERROR(VLOOKUP($A367,'SegEnds_NonXtal_BW#'!$A:$Z,25,FALSE)+VLOOKUP($A367,A:AL,37,FALSE)-50),"-",(VLOOKUP($A367,'SegEnds_NonXtal_BW#'!$A:$Z,25,FALSE)+VLOOKUP($A367,A:AL,37,FALSE)-50))</f>
        <v>380</v>
      </c>
      <c r="AK367" s="3">
        <v>383</v>
      </c>
      <c r="AL367" s="3">
        <f>IF(ISERROR((VLOOKUP($A367,'SegEnds_NonXtal_BW#'!$A:$Z,26,FALSE)+VLOOKUP($A367,A:AL,37,FALSE)-50)),"-",(VLOOKUP($A367,'SegEnds_NonXtal_BW#'!$A:$Z,26,FALSE)+VLOOKUP($A367,A:AL,37,FALSE)-50))</f>
        <v>392</v>
      </c>
      <c r="AM367" s="28" t="str">
        <f>VLOOKUP(A367,Classification!A:B,2,FALSE)</f>
        <v>A</v>
      </c>
      <c r="AN367" s="28" t="b">
        <f t="shared" si="200"/>
        <v>1</v>
      </c>
      <c r="AO367" s="3" t="str">
        <f>IF(ISERROR(MATCH(A367,'SegEnds_Xtal_Prot#'!B:B, 0)), "NoXtal", "Xtal")</f>
        <v>NoXtal</v>
      </c>
      <c r="AP367" s="3">
        <f t="shared" si="185"/>
        <v>3</v>
      </c>
      <c r="AQ367" s="3">
        <f t="shared" si="186"/>
        <v>1</v>
      </c>
      <c r="AR367" s="3" t="str">
        <f t="shared" si="187"/>
        <v>-</v>
      </c>
      <c r="AS367" s="3" t="str">
        <f t="shared" si="188"/>
        <v>-</v>
      </c>
      <c r="AT367" s="3" t="str">
        <f t="shared" si="189"/>
        <v>-</v>
      </c>
      <c r="AU367" s="3" t="str">
        <f t="shared" si="190"/>
        <v>-</v>
      </c>
      <c r="AV367" s="3">
        <f t="shared" si="191"/>
        <v>6</v>
      </c>
      <c r="AW367" s="3">
        <f t="shared" si="192"/>
        <v>8</v>
      </c>
      <c r="AX367" s="3">
        <f t="shared" si="193"/>
        <v>70</v>
      </c>
      <c r="AY367" s="3">
        <f t="shared" si="194"/>
        <v>7</v>
      </c>
      <c r="AZ367" s="3">
        <f t="shared" si="195"/>
        <v>2</v>
      </c>
      <c r="BA367" s="3">
        <f>IF(ISERROR(LEN(VLOOKUP(A367,Seqs!A:E,2,FALSE))-AL367),"-",LEN(VLOOKUP(A367,Seqs!A:E,2,FALSE))-AL367)</f>
        <v>148</v>
      </c>
      <c r="BB367" s="16">
        <f t="shared" si="196"/>
        <v>30</v>
      </c>
      <c r="BC367" s="9" t="str">
        <f t="shared" si="197"/>
        <v>-</v>
      </c>
      <c r="BD367" s="3">
        <f t="shared" si="198"/>
        <v>30</v>
      </c>
      <c r="BE367" s="3">
        <f t="shared" si="199"/>
        <v>122</v>
      </c>
    </row>
    <row r="368" spans="1:57" s="3" customFormat="1" x14ac:dyDescent="0.2">
      <c r="A368" s="3" t="s">
        <v>269</v>
      </c>
      <c r="B368" s="3" t="str">
        <f>LOWER(VLOOKUP(A368,Xtal_Templ!A:B,2,FALSE))</f>
        <v>ox2r_human</v>
      </c>
      <c r="C368" s="3">
        <f>VLOOKUP($A368,'SegEnds_NonXtal_BW#'!$A:$Z,3,FALSE)+D368-50</f>
        <v>70</v>
      </c>
      <c r="D368" s="3">
        <v>89</v>
      </c>
      <c r="E368" s="3">
        <f>IF(ISERROR(VLOOKUP($A368,'SegEnds_NonXtal_BW#'!$A:$Z,4,FALSE)+VLOOKUP($A368,A:AL,4,FALSE)-50),"-",(VLOOKUP($A368,'SegEnds_NonXtal_BW#'!$A:$Z,4,FALSE)+VLOOKUP($A368,A:AL,4,FALSE)-50))</f>
        <v>99</v>
      </c>
      <c r="F368" s="3">
        <f>G368-2</f>
        <v>100</v>
      </c>
      <c r="G368" s="3">
        <v>102</v>
      </c>
      <c r="H368" s="3">
        <f t="shared" si="208"/>
        <v>103</v>
      </c>
      <c r="I368" s="3">
        <f t="shared" si="208"/>
        <v>104</v>
      </c>
      <c r="J368" s="3">
        <v>117</v>
      </c>
      <c r="K368" s="3">
        <f>VLOOKUP($A368,'SegEnds_NonXtal_BW#'!$A:$Z,8,FALSE)+VLOOKUP($A368,A:AL,10,FALSE)-50</f>
        <v>134</v>
      </c>
      <c r="L368" s="3">
        <f>M368-1</f>
        <v>136</v>
      </c>
      <c r="M368" s="3">
        <v>137</v>
      </c>
      <c r="N368" s="3">
        <f>M368+2</f>
        <v>139</v>
      </c>
      <c r="O368" s="3">
        <f>N368+1</f>
        <v>140</v>
      </c>
      <c r="P368" s="3">
        <v>169</v>
      </c>
      <c r="Q368" s="3">
        <f>VLOOKUP($A368,'SegEnds_NonXtal_BW#'!$A:$Z,12,FALSE)+VLOOKUP($A368,A:AL,16,FALSE)-50</f>
        <v>175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3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182</v>
      </c>
      <c r="V368" s="3">
        <v>194</v>
      </c>
      <c r="W368" s="3">
        <f>IF(ISERROR(VLOOKUP($A368,'SegEnds_NonXtal_BW#'!$A:$Z,16,FALSE)+VLOOKUP($A368,A:AL,22,FALSE)-50),"-",(VLOOKUP($A368,'SegEnds_NonXtal_BW#'!$A:$Z,16,FALSE)+VLOOKUP($A368,A:AL,22,FALSE)-50))</f>
        <v>208</v>
      </c>
      <c r="X368" s="3">
        <f>IF(ISERROR(VLOOKUP($A368,'SegEnds_NonXtal_BW#'!$A:$Z,17,FALSE)+VLOOKUP($A368,A:AL,25,FALSE)-50),"-",(VLOOKUP($A368,'SegEnds_NonXtal_BW#'!$A:$Z,17,FALSE)+VLOOKUP($A368,A:AL,25,FALSE)-50))</f>
        <v>224</v>
      </c>
      <c r="Y368" s="3">
        <v>224</v>
      </c>
      <c r="Z368" s="3">
        <f t="shared" si="207"/>
        <v>226</v>
      </c>
      <c r="AA368" s="3">
        <f>IF(ISERROR(VLOOKUP($A368,'SegEnds_NonXtal_BW#'!$A:$Z,19,FALSE)+VLOOKUP($A368,A:AL,28,FALSE)-50),"-",(VLOOKUP($A368,'SegEnds_NonXtal_BW#'!$A:$Z,19,FALSE)+VLOOKUP($A368,A:AL,28,FALSE)-50))</f>
        <v>233</v>
      </c>
      <c r="AB368" s="3">
        <v>251</v>
      </c>
      <c r="AC368" s="3">
        <f>IF(ISERROR((VLOOKUP($A368,'SegEnds_NonXtal_BW#'!$A:$Z,20,FALSE)+VLOOKUP($A368,A:AL,28,FALSE)-50)),"-",(VLOOKUP($A368,'SegEnds_NonXtal_BW#'!$A:$Z,20,FALSE)+VLOOKUP($A368,A:AL,28,FALSE)-50))</f>
        <v>274</v>
      </c>
      <c r="AD368" s="3">
        <f>IF(ISERROR(VLOOKUP($A368,'SegEnds_NonXtal_BW#'!$A:$Z,21,FALSE)+VLOOKUP($A368,A:AL,31,FALSE)-50),"-",(VLOOKUP($A368,'SegEnds_NonXtal_BW#'!$A:$Z,21,FALSE)+VLOOKUP($A368,A:AL,31,FALSE)-50))</f>
        <v>279</v>
      </c>
      <c r="AE368" s="3">
        <v>307</v>
      </c>
      <c r="AF368" s="3">
        <f>IF(ISERROR((VLOOKUP($A368,'SegEnds_NonXtal_BW#'!$A:$Z,22,FALSE)+VLOOKUP($A368,A:AL,31,FALSE)-50)),"-",(VLOOKUP($A368,'SegEnds_NonXtal_BW#'!$A:$Z,22,FALSE)+VLOOKUP($A368,A:AL,31,FALSE)-50))</f>
        <v>318</v>
      </c>
      <c r="AG368" s="3">
        <f>IF(ISERROR(VLOOKUP($A368,'SegEnds_NonXtal_BW#'!$A:$Z,23,FALSE)+VLOOKUP($A368,A:AL,34,FALSE)-50),"-",(VLOOKUP($A368,'SegEnds_NonXtal_BW#'!$A:$Z,23,FALSE)+VLOOKUP($A368,A:AL,34,FALSE)-50))</f>
        <v>323</v>
      </c>
      <c r="AH368" s="3">
        <v>342</v>
      </c>
      <c r="AI368" s="3">
        <f>IF(ISERROR((VLOOKUP($A368,'SegEnds_NonXtal_BW#'!$A:$Z,24,FALSE)+VLOOKUP($A368,A:AL,34,FALSE)-50)),"-",(VLOOKUP($A368,'SegEnds_NonXtal_BW#'!$A:$Z,24,FALSE)+VLOOKUP($A368,A:AL,34,FALSE)-50))</f>
        <v>348</v>
      </c>
      <c r="AJ368" s="3">
        <f>IF(ISERROR(VLOOKUP($A368,'SegEnds_NonXtal_BW#'!$A:$Z,25,FALSE)+VLOOKUP($A368,A:AL,37,FALSE)-50),"-",(VLOOKUP($A368,'SegEnds_NonXtal_BW#'!$A:$Z,25,FALSE)+VLOOKUP($A368,A:AL,37,FALSE)-50))</f>
        <v>349</v>
      </c>
      <c r="AK368" s="3">
        <v>352</v>
      </c>
      <c r="AL368" s="3">
        <f>IF(ISERROR((VLOOKUP($A368,'SegEnds_NonXtal_BW#'!$A:$Z,26,FALSE)+VLOOKUP($A368,A:AL,37,FALSE)-50)),"-",(VLOOKUP($A368,'SegEnds_NonXtal_BW#'!$A:$Z,26,FALSE)+VLOOKUP($A368,A:AL,37,FALSE)-50))</f>
        <v>360</v>
      </c>
      <c r="AM368" s="28" t="str">
        <f>VLOOKUP(A368,Classification!A:B,2,FALSE)</f>
        <v>A</v>
      </c>
      <c r="AN368" s="28" t="b">
        <f t="shared" si="200"/>
        <v>1</v>
      </c>
      <c r="AO368" s="3" t="str">
        <f>IF(ISERROR(MATCH(A368,'SegEnds_Xtal_Prot#'!B:B, 0)), "NoXtal", "Xtal")</f>
        <v>NoXtal</v>
      </c>
      <c r="AP368" s="3">
        <f t="shared" si="185"/>
        <v>1</v>
      </c>
      <c r="AQ368" s="3">
        <f t="shared" si="186"/>
        <v>1</v>
      </c>
      <c r="AR368" s="3">
        <f t="shared" si="187"/>
        <v>2</v>
      </c>
      <c r="AS368" s="3">
        <f t="shared" si="188"/>
        <v>1</v>
      </c>
      <c r="AT368" s="3" t="str">
        <f t="shared" si="189"/>
        <v>-</v>
      </c>
      <c r="AU368" s="3" t="str">
        <f t="shared" si="190"/>
        <v>-</v>
      </c>
      <c r="AV368" s="3">
        <f t="shared" si="191"/>
        <v>16</v>
      </c>
      <c r="AW368" s="3">
        <f t="shared" si="192"/>
        <v>7</v>
      </c>
      <c r="AX368" s="3">
        <f t="shared" si="193"/>
        <v>5</v>
      </c>
      <c r="AY368" s="3">
        <f t="shared" si="194"/>
        <v>5</v>
      </c>
      <c r="AZ368" s="3">
        <f t="shared" si="195"/>
        <v>1</v>
      </c>
      <c r="BA368" s="3">
        <f>IF(ISERROR(LEN(VLOOKUP(A368,Seqs!A:E,2,FALSE))-AL368),"-",LEN(VLOOKUP(A368,Seqs!A:E,2,FALSE))-AL368)</f>
        <v>63</v>
      </c>
      <c r="BB368" s="16">
        <f t="shared" si="196"/>
        <v>28</v>
      </c>
      <c r="BC368" s="9" t="str">
        <f t="shared" si="197"/>
        <v>-</v>
      </c>
      <c r="BD368" s="3">
        <f t="shared" si="198"/>
        <v>28</v>
      </c>
      <c r="BE368" s="3">
        <f t="shared" si="199"/>
        <v>56</v>
      </c>
    </row>
    <row r="369" spans="1:58" s="3" customFormat="1" x14ac:dyDescent="0.2">
      <c r="A369" s="3" t="s">
        <v>442</v>
      </c>
      <c r="B369" s="3" t="str">
        <f>LOWER(VLOOKUP(A369,Xtal_Templ!A:B,2,FALSE))</f>
        <v>crfr1_human</v>
      </c>
      <c r="C369" s="3">
        <f>VLOOKUP($A369,'SegEnds_NonXtal_BW#'!$A:$Z,3,FALSE)+D369-50</f>
        <v>5895</v>
      </c>
      <c r="D369" s="3">
        <v>5922</v>
      </c>
      <c r="E369" s="3">
        <f>IF(ISERROR(VLOOKUP($A369,'SegEnds_NonXtal_BW#'!$A:$Z,4,FALSE)+VLOOKUP($A369,A:AL,4,FALSE)-50),"-",(VLOOKUP($A369,'SegEnds_NonXtal_BW#'!$A:$Z,4,FALSE)+VLOOKUP($A369,A:AL,4,FALSE)-50))</f>
        <v>5932</v>
      </c>
      <c r="F369" s="3" t="s">
        <v>23</v>
      </c>
      <c r="G369" s="3" t="s">
        <v>23</v>
      </c>
      <c r="H369" s="3" t="s">
        <v>23</v>
      </c>
      <c r="I369" s="3">
        <f>VLOOKUP($A369,'SegEnds_NonXtal_BW#'!$A:$Z,7,FALSE)+J369-50</f>
        <v>5935</v>
      </c>
      <c r="J369" s="3">
        <v>5948</v>
      </c>
      <c r="K369" s="3">
        <f>VLOOKUP($A369,'SegEnds_NonXtal_BW#'!$A:$Z,8,FALSE)+VLOOKUP($A369,A:AL,10,FALSE)-50</f>
        <v>5961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5968</v>
      </c>
      <c r="P369" s="3">
        <v>5995</v>
      </c>
      <c r="Q369" s="3">
        <f>VLOOKUP($A369,'SegEnds_NonXtal_BW#'!$A:$Z,12,FALSE)+VLOOKUP($A369,A:AL,16,FALSE)-50</f>
        <v>6001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3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6008</v>
      </c>
      <c r="V369" s="3">
        <v>6018</v>
      </c>
      <c r="W369" s="3">
        <f>IF(ISERROR(VLOOKUP($A369,'SegEnds_NonXtal_BW#'!$A:$Z,16,FALSE)+VLOOKUP($A369,A:AL,22,FALSE)-50),"-",(VLOOKUP($A369,'SegEnds_NonXtal_BW#'!$A:$Z,16,FALSE)+VLOOKUP($A369,A:AL,22,FALSE)-50))</f>
        <v>6036</v>
      </c>
      <c r="X369" s="3">
        <f>IF(ISERROR(VLOOKUP($A369,'SegEnds_NonXtal_BW#'!$A:$Z,17,FALSE)+VLOOKUP($A369,A:AL,25,FALSE)-50),"-",(VLOOKUP($A369,'SegEnds_NonXtal_BW#'!$A:$Z,17,FALSE)+VLOOKUP($A369,A:AL,25,FALSE)-50))</f>
        <v>6052</v>
      </c>
      <c r="Y369" s="3">
        <v>6052</v>
      </c>
      <c r="Z369" s="3">
        <f t="shared" si="207"/>
        <v>6054</v>
      </c>
      <c r="AA369" s="3">
        <f>IF(ISERROR(VLOOKUP($A369,'SegEnds_NonXtal_BW#'!$A:$Z,19,FALSE)+VLOOKUP($A369,A:AL,28,FALSE)-50),"-",(VLOOKUP($A369,'SegEnds_NonXtal_BW#'!$A:$Z,19,FALSE)+VLOOKUP($A369,A:AL,28,FALSE)-50))</f>
        <v>6058</v>
      </c>
      <c r="AB369" s="3">
        <v>6072</v>
      </c>
      <c r="AC369" s="3">
        <f>IF(ISERROR((VLOOKUP($A369,'SegEnds_NonXtal_BW#'!$A:$Z,20,FALSE)+VLOOKUP($A369,A:AL,28,FALSE)-50)),"-",(VLOOKUP($A369,'SegEnds_NonXtal_BW#'!$A:$Z,20,FALSE)+VLOOKUP($A369,A:AL,28,FALSE)-50))</f>
        <v>6091</v>
      </c>
      <c r="AD369" s="3">
        <f>IF(ISERROR(VLOOKUP($A369,'SegEnds_NonXtal_BW#'!$A:$Z,21,FALSE)+VLOOKUP($A369,A:AL,31,FALSE)-50),"-",(VLOOKUP($A369,'SegEnds_NonXtal_BW#'!$A:$Z,21,FALSE)+VLOOKUP($A369,A:AL,31,FALSE)-50))</f>
        <v>6100</v>
      </c>
      <c r="AE369" s="3">
        <v>6121</v>
      </c>
      <c r="AF369" s="3">
        <f>IF(ISERROR((VLOOKUP($A369,'SegEnds_NonXtal_BW#'!$A:$Z,22,FALSE)+VLOOKUP($A369,A:AL,31,FALSE)-50)),"-",(VLOOKUP($A369,'SegEnds_NonXtal_BW#'!$A:$Z,22,FALSE)+VLOOKUP($A369,A:AL,31,FALSE)-50))</f>
        <v>6124</v>
      </c>
      <c r="AG369" s="3">
        <f>IF(ISERROR(VLOOKUP($A369,'SegEnds_NonXtal_BW#'!$A:$Z,23,FALSE)+VLOOKUP($A369,A:AL,34,FALSE)-50),"-",(VLOOKUP($A369,'SegEnds_NonXtal_BW#'!$A:$Z,23,FALSE)+VLOOKUP($A369,A:AL,34,FALSE)-50))</f>
        <v>6130</v>
      </c>
      <c r="AH369" s="3">
        <v>6149</v>
      </c>
      <c r="AI369" s="3">
        <f>IF(ISERROR((VLOOKUP($A369,'SegEnds_NonXtal_BW#'!$A:$Z,24,FALSE)+VLOOKUP($A369,A:AL,34,FALSE)-50)),"-",(VLOOKUP($A369,'SegEnds_NonXtal_BW#'!$A:$Z,24,FALSE)+VLOOKUP($A369,A:AL,34,FALSE)-50))</f>
        <v>6155</v>
      </c>
      <c r="AJ369" s="3">
        <f>IF(ISERROR(VLOOKUP($A369,'SegEnds_NonXtal_BW#'!$A:$Z,25,FALSE)+VLOOKUP($A369,A:AL,37,FALSE)-50),"-",(VLOOKUP($A369,'SegEnds_NonXtal_BW#'!$A:$Z,25,FALSE)+VLOOKUP($A369,A:AL,37,FALSE)-50))</f>
        <v>6156</v>
      </c>
      <c r="AK369" s="3">
        <v>6159</v>
      </c>
      <c r="AL369" s="3">
        <f>IF(ISERROR((VLOOKUP($A369,'SegEnds_NonXtal_BW#'!$A:$Z,26,FALSE)+VLOOKUP($A369,A:AL,37,FALSE)-50)),"-",(VLOOKUP($A369,'SegEnds_NonXtal_BW#'!$A:$Z,26,FALSE)+VLOOKUP($A369,A:AL,37,FALSE)-50))</f>
        <v>6172</v>
      </c>
      <c r="AM369" s="28" t="str">
        <f>VLOOKUP(A369,Classification!A:B,2,FALSE)</f>
        <v>B2</v>
      </c>
      <c r="AN369" s="28" t="b">
        <f t="shared" si="200"/>
        <v>1</v>
      </c>
      <c r="AO369" s="3" t="str">
        <f>IF(ISERROR(MATCH(A369,'SegEnds_Xtal_Prot#'!B:B, 0)), "NoXtal", "Xtal")</f>
        <v>NoXtal</v>
      </c>
      <c r="AP369" s="3" t="str">
        <f t="shared" si="185"/>
        <v>-</v>
      </c>
      <c r="AQ369" s="3" t="str">
        <f t="shared" si="186"/>
        <v>-</v>
      </c>
      <c r="AR369" s="3" t="str">
        <f t="shared" si="187"/>
        <v>-</v>
      </c>
      <c r="AS369" s="3" t="str">
        <f t="shared" si="188"/>
        <v>-</v>
      </c>
      <c r="AT369" s="3" t="str">
        <f t="shared" si="189"/>
        <v>-</v>
      </c>
      <c r="AU369" s="3" t="str">
        <f t="shared" si="190"/>
        <v>-</v>
      </c>
      <c r="AV369" s="3">
        <f t="shared" si="191"/>
        <v>16</v>
      </c>
      <c r="AW369" s="3">
        <f t="shared" si="192"/>
        <v>4</v>
      </c>
      <c r="AX369" s="3">
        <f t="shared" si="193"/>
        <v>9</v>
      </c>
      <c r="AY369" s="3">
        <f t="shared" si="194"/>
        <v>6</v>
      </c>
      <c r="AZ369" s="3">
        <f t="shared" si="195"/>
        <v>1</v>
      </c>
      <c r="BA369" s="3">
        <f>IF(ISERROR(LEN(VLOOKUP(A369,Seqs!A:E,2,FALSE))-AL369),"-",LEN(VLOOKUP(A369,Seqs!A:E,2,FALSE))-AL369)</f>
        <v>134</v>
      </c>
      <c r="BB369" s="16">
        <f t="shared" si="196"/>
        <v>26</v>
      </c>
      <c r="BC369" s="9" t="str">
        <f t="shared" si="197"/>
        <v>-</v>
      </c>
      <c r="BD369" s="3">
        <f t="shared" si="198"/>
        <v>26</v>
      </c>
      <c r="BE369" s="3">
        <f t="shared" si="199"/>
        <v>49</v>
      </c>
    </row>
    <row r="370" spans="1:58" s="3" customFormat="1" x14ac:dyDescent="0.2">
      <c r="A370" s="3" t="s">
        <v>40</v>
      </c>
      <c r="B370" s="3" t="str">
        <f>LOWER(VLOOKUP(A370,Xtal_Templ!A:B,2,FALSE))</f>
        <v>grm1_human</v>
      </c>
      <c r="C370" s="3">
        <f>VLOOKUP($A370,'SegEnds_NonXtal_BW#'!$A:$Z,3,FALSE)+D370-50</f>
        <v>591</v>
      </c>
      <c r="D370" s="3">
        <v>607</v>
      </c>
      <c r="E370" s="3">
        <f>IF(ISERROR(VLOOKUP($A370,'SegEnds_NonXtal_BW#'!$A:$Z,4,FALSE)+VLOOKUP($A370,A:AL,4,FALSE)-50),"-",(VLOOKUP($A370,'SegEnds_NonXtal_BW#'!$A:$Z,4,FALSE)+VLOOKUP($A370,A:AL,4,FALSE)-50))</f>
        <v>617</v>
      </c>
      <c r="F370" s="3">
        <f t="shared" ref="F370:F377" si="209">G370-3</f>
        <v>620</v>
      </c>
      <c r="G370" s="3">
        <v>623</v>
      </c>
      <c r="H370" s="3">
        <f t="shared" ref="H370:H377" si="210">G370+3</f>
        <v>626</v>
      </c>
      <c r="I370" s="3">
        <f t="shared" ref="I370:I399" si="211">H370+1</f>
        <v>627</v>
      </c>
      <c r="J370" s="3">
        <v>638</v>
      </c>
      <c r="K370" s="3">
        <f>VLOOKUP($A370,'SegEnds_NonXtal_BW#'!$A:$Z,8,FALSE)+VLOOKUP($A370,A:AL,10,FALSE)-50</f>
        <v>649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654</v>
      </c>
      <c r="P370" s="3">
        <v>682</v>
      </c>
      <c r="Q370" s="3">
        <f>VLOOKUP($A370,'SegEnds_NonXtal_BW#'!$A:$Z,12,FALSE)+VLOOKUP($A370,A:AL,16,FALSE)-50</f>
        <v>686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3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702</v>
      </c>
      <c r="V370" s="3">
        <v>714</v>
      </c>
      <c r="W370" s="3">
        <f>IF(ISERROR(VLOOKUP($A370,'SegEnds_NonXtal_BW#'!$A:$Z,16,FALSE)+VLOOKUP($A370,A:AL,22,FALSE)-50),"-",(VLOOKUP($A370,'SegEnds_NonXtal_BW#'!$A:$Z,16,FALSE)+VLOOKUP($A370,A:AL,22,FALSE)-50))</f>
        <v>728</v>
      </c>
      <c r="X370" s="3">
        <f>IF(ISERROR(VLOOKUP($A370,'SegEnds_NonXtal_BW#'!$A:$Z,17,FALSE)+VLOOKUP($A370,A:AL,25,FALSE)-50),"-",(VLOOKUP($A370,'SegEnds_NonXtal_BW#'!$A:$Z,17,FALSE)+VLOOKUP($A370,A:AL,25,FALSE)-50))</f>
        <v>746</v>
      </c>
      <c r="Y370" s="3">
        <v>746</v>
      </c>
      <c r="Z370" s="3">
        <f t="shared" si="207"/>
        <v>748</v>
      </c>
      <c r="AA370" s="3">
        <f>IF(ISERROR(VLOOKUP($A370,'SegEnds_NonXtal_BW#'!$A:$Z,19,FALSE)+VLOOKUP($A370,A:AL,28,FALSE)-50),"-",(VLOOKUP($A370,'SegEnds_NonXtal_BW#'!$A:$Z,19,FALSE)+VLOOKUP($A370,A:AL,28,FALSE)-50))</f>
        <v>750</v>
      </c>
      <c r="AB370" s="3">
        <v>763</v>
      </c>
      <c r="AC370" s="3">
        <f>IF(ISERROR((VLOOKUP($A370,'SegEnds_NonXtal_BW#'!$A:$Z,20,FALSE)+VLOOKUP($A370,A:AL,28,FALSE)-50)),"-",(VLOOKUP($A370,'SegEnds_NonXtal_BW#'!$A:$Z,20,FALSE)+VLOOKUP($A370,A:AL,28,FALSE)-50))</f>
        <v>774</v>
      </c>
      <c r="AD370" s="3">
        <f>IF(ISERROR(VLOOKUP($A370,'SegEnds_NonXtal_BW#'!$A:$Z,21,FALSE)+VLOOKUP($A370,A:AL,31,FALSE)-50),"-",(VLOOKUP($A370,'SegEnds_NonXtal_BW#'!$A:$Z,21,FALSE)+VLOOKUP($A370,A:AL,31,FALSE)-50))</f>
        <v>783</v>
      </c>
      <c r="AE370" s="3">
        <v>800</v>
      </c>
      <c r="AF370" s="3">
        <f>IF(ISERROR((VLOOKUP($A370,'SegEnds_NonXtal_BW#'!$A:$Z,22,FALSE)+VLOOKUP($A370,A:AL,31,FALSE)-50)),"-",(VLOOKUP($A370,'SegEnds_NonXtal_BW#'!$A:$Z,22,FALSE)+VLOOKUP($A370,A:AL,31,FALSE)-50))</f>
        <v>807</v>
      </c>
      <c r="AG370" s="3">
        <f>IF(ISERROR(VLOOKUP($A370,'SegEnds_NonXtal_BW#'!$A:$Z,23,FALSE)+VLOOKUP($A370,A:AL,34,FALSE)-50),"-",(VLOOKUP($A370,'SegEnds_NonXtal_BW#'!$A:$Z,23,FALSE)+VLOOKUP($A370,A:AL,34,FALSE)-50))</f>
        <v>811</v>
      </c>
      <c r="AH370" s="3">
        <v>827</v>
      </c>
      <c r="AI370" s="3">
        <f>IF(ISERROR((VLOOKUP($A370,'SegEnds_NonXtal_BW#'!$A:$Z,24,FALSE)+VLOOKUP($A370,A:AL,34,FALSE)-50)),"-",(VLOOKUP($A370,'SegEnds_NonXtal_BW#'!$A:$Z,24,FALSE)+VLOOKUP($A370,A:AL,34,FALSE)-50))</f>
        <v>840</v>
      </c>
      <c r="AJ370" s="3">
        <f>IF(ISERROR(VLOOKUP($A370,'SegEnds_NonXtal_BW#'!$A:$Z,25,FALSE)+VLOOKUP($A370,A:AL,37,FALSE)-50),"-",(VLOOKUP($A370,'SegEnds_NonXtal_BW#'!$A:$Z,25,FALSE)+VLOOKUP($A370,A:AL,37,FALSE)-50))</f>
        <v>841</v>
      </c>
      <c r="AK370" s="3">
        <v>844</v>
      </c>
      <c r="AL370" s="3">
        <f>IF(ISERROR((VLOOKUP($A370,'SegEnds_NonXtal_BW#'!$A:$Z,26,FALSE)+VLOOKUP($A370,A:AL,37,FALSE)-50)),"-",(VLOOKUP($A370,'SegEnds_NonXtal_BW#'!$A:$Z,26,FALSE)+VLOOKUP($A370,A:AL,37,FALSE)-50))</f>
        <v>853</v>
      </c>
      <c r="AM370" s="28" t="str">
        <f>VLOOKUP(A370,Classification!A:B,2,FALSE)</f>
        <v>C</v>
      </c>
      <c r="AN370" s="28" t="b">
        <f t="shared" si="200"/>
        <v>1</v>
      </c>
      <c r="AO370" s="3" t="str">
        <f>IF(ISERROR(MATCH(A370,'SegEnds_Xtal_Prot#'!B:B, 0)), "NoXtal", "Xtal")</f>
        <v>Xtal</v>
      </c>
      <c r="AP370" s="3">
        <f t="shared" si="185"/>
        <v>3</v>
      </c>
      <c r="AQ370" s="3">
        <f t="shared" si="186"/>
        <v>1</v>
      </c>
      <c r="AR370" s="3" t="str">
        <f t="shared" si="187"/>
        <v>-</v>
      </c>
      <c r="AS370" s="3" t="str">
        <f t="shared" si="188"/>
        <v>-</v>
      </c>
      <c r="AT370" s="3" t="str">
        <f t="shared" si="189"/>
        <v>-</v>
      </c>
      <c r="AU370" s="3" t="str">
        <f t="shared" si="190"/>
        <v>-</v>
      </c>
      <c r="AV370" s="3">
        <f t="shared" si="191"/>
        <v>18</v>
      </c>
      <c r="AW370" s="3">
        <f t="shared" si="192"/>
        <v>2</v>
      </c>
      <c r="AX370" s="3">
        <f t="shared" si="193"/>
        <v>9</v>
      </c>
      <c r="AY370" s="3">
        <f t="shared" si="194"/>
        <v>4</v>
      </c>
      <c r="AZ370" s="3">
        <f t="shared" si="195"/>
        <v>1</v>
      </c>
      <c r="BA370" s="3">
        <f>IF(ISERROR(LEN(VLOOKUP(A370,Seqs!A:E,2,FALSE))-AL370),"-",LEN(VLOOKUP(A370,Seqs!A:E,2,FALSE))-AL370)</f>
        <v>341</v>
      </c>
      <c r="BB370" s="16">
        <f t="shared" si="196"/>
        <v>31</v>
      </c>
      <c r="BC370" s="9" t="str">
        <f t="shared" si="197"/>
        <v>-</v>
      </c>
      <c r="BD370" s="3">
        <f t="shared" si="198"/>
        <v>31</v>
      </c>
      <c r="BE370" s="3">
        <f t="shared" si="199"/>
        <v>37</v>
      </c>
    </row>
    <row r="371" spans="1:58" s="3" customFormat="1" x14ac:dyDescent="0.2">
      <c r="A371" s="3" t="s">
        <v>115</v>
      </c>
      <c r="B371" s="3" t="str">
        <f>LOWER(VLOOKUP(A371,Xtal_Templ!A:B,2,FALSE))</f>
        <v>grm5_human</v>
      </c>
      <c r="C371" s="3">
        <f>VLOOKUP($A371,'SegEnds_NonXtal_BW#'!$A:$Z,3,FALSE)+D371-50</f>
        <v>566</v>
      </c>
      <c r="D371" s="3">
        <v>582</v>
      </c>
      <c r="E371" s="3">
        <f>IF(ISERROR(VLOOKUP($A371,'SegEnds_NonXtal_BW#'!$A:$Z,4,FALSE)+VLOOKUP($A371,A:AL,4,FALSE)-50),"-",(VLOOKUP($A371,'SegEnds_NonXtal_BW#'!$A:$Z,4,FALSE)+VLOOKUP($A371,A:AL,4,FALSE)-50))</f>
        <v>592</v>
      </c>
      <c r="F371" s="3">
        <f t="shared" si="209"/>
        <v>595</v>
      </c>
      <c r="G371" s="3">
        <v>598</v>
      </c>
      <c r="H371" s="3">
        <f t="shared" si="210"/>
        <v>601</v>
      </c>
      <c r="I371" s="3">
        <f t="shared" si="211"/>
        <v>602</v>
      </c>
      <c r="J371" s="3">
        <v>613</v>
      </c>
      <c r="K371" s="3">
        <f>VLOOKUP($A371,'SegEnds_NonXtal_BW#'!$A:$Z,8,FALSE)+VLOOKUP($A371,A:AL,10,FALSE)-50</f>
        <v>624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629</v>
      </c>
      <c r="P371" s="3">
        <v>657</v>
      </c>
      <c r="Q371" s="3">
        <f>VLOOKUP($A371,'SegEnds_NonXtal_BW#'!$A:$Z,12,FALSE)+VLOOKUP($A371,A:AL,16,FALSE)-50</f>
        <v>661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3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675</v>
      </c>
      <c r="V371" s="3">
        <v>687</v>
      </c>
      <c r="W371" s="3">
        <f>IF(ISERROR(VLOOKUP($A371,'SegEnds_NonXtal_BW#'!$A:$Z,16,FALSE)+VLOOKUP($A371,A:AL,22,FALSE)-50),"-",(VLOOKUP($A371,'SegEnds_NonXtal_BW#'!$A:$Z,16,FALSE)+VLOOKUP($A371,A:AL,22,FALSE)-50))</f>
        <v>701</v>
      </c>
      <c r="X371" s="3">
        <f>IF(ISERROR(VLOOKUP($A371,'SegEnds_NonXtal_BW#'!$A:$Z,17,FALSE)+VLOOKUP($A371,A:AL,25,FALSE)-50),"-",(VLOOKUP($A371,'SegEnds_NonXtal_BW#'!$A:$Z,17,FALSE)+VLOOKUP($A371,A:AL,25,FALSE)-50))</f>
        <v>721</v>
      </c>
      <c r="Y371" s="3">
        <v>721</v>
      </c>
      <c r="Z371" s="3">
        <f t="shared" si="207"/>
        <v>723</v>
      </c>
      <c r="AA371" s="3">
        <f>IF(ISERROR(VLOOKUP($A371,'SegEnds_NonXtal_BW#'!$A:$Z,19,FALSE)+VLOOKUP($A371,A:AL,28,FALSE)-50),"-",(VLOOKUP($A371,'SegEnds_NonXtal_BW#'!$A:$Z,19,FALSE)+VLOOKUP($A371,A:AL,28,FALSE)-50))</f>
        <v>725</v>
      </c>
      <c r="AB371" s="3">
        <v>738</v>
      </c>
      <c r="AC371" s="3">
        <f>IF(ISERROR((VLOOKUP($A371,'SegEnds_NonXtal_BW#'!$A:$Z,20,FALSE)+VLOOKUP($A371,A:AL,28,FALSE)-50)),"-",(VLOOKUP($A371,'SegEnds_NonXtal_BW#'!$A:$Z,20,FALSE)+VLOOKUP($A371,A:AL,28,FALSE)-50))</f>
        <v>749</v>
      </c>
      <c r="AD371" s="3">
        <f>IF(ISERROR(VLOOKUP($A371,'SegEnds_NonXtal_BW#'!$A:$Z,21,FALSE)+VLOOKUP($A371,A:AL,31,FALSE)-50),"-",(VLOOKUP($A371,'SegEnds_NonXtal_BW#'!$A:$Z,21,FALSE)+VLOOKUP($A371,A:AL,31,FALSE)-50))</f>
        <v>758</v>
      </c>
      <c r="AE371" s="3">
        <v>775</v>
      </c>
      <c r="AF371" s="3">
        <f>IF(ISERROR((VLOOKUP($A371,'SegEnds_NonXtal_BW#'!$A:$Z,22,FALSE)+VLOOKUP($A371,A:AL,31,FALSE)-50)),"-",(VLOOKUP($A371,'SegEnds_NonXtal_BW#'!$A:$Z,22,FALSE)+VLOOKUP($A371,A:AL,31,FALSE)-50))</f>
        <v>782</v>
      </c>
      <c r="AG371" s="3">
        <f>IF(ISERROR(VLOOKUP($A371,'SegEnds_NonXtal_BW#'!$A:$Z,23,FALSE)+VLOOKUP($A371,A:AL,34,FALSE)-50),"-",(VLOOKUP($A371,'SegEnds_NonXtal_BW#'!$A:$Z,23,FALSE)+VLOOKUP($A371,A:AL,34,FALSE)-50))</f>
        <v>790</v>
      </c>
      <c r="AH371" s="3">
        <v>806</v>
      </c>
      <c r="AI371" s="3">
        <f>IF(ISERROR((VLOOKUP($A371,'SegEnds_NonXtal_BW#'!$A:$Z,24,FALSE)+VLOOKUP($A371,A:AL,34,FALSE)-50)),"-",(VLOOKUP($A371,'SegEnds_NonXtal_BW#'!$A:$Z,24,FALSE)+VLOOKUP($A371,A:AL,34,FALSE)-50))</f>
        <v>819</v>
      </c>
      <c r="AJ371" s="3">
        <f>IF(ISERROR(VLOOKUP($A371,'SegEnds_NonXtal_BW#'!$A:$Z,25,FALSE)+VLOOKUP($A371,A:AL,37,FALSE)-50),"-",(VLOOKUP($A371,'SegEnds_NonXtal_BW#'!$A:$Z,25,FALSE)+VLOOKUP($A371,A:AL,37,FALSE)-50))</f>
        <v>820</v>
      </c>
      <c r="AK371" s="3">
        <v>823</v>
      </c>
      <c r="AL371" s="3">
        <f>IF(ISERROR((VLOOKUP($A371,'SegEnds_NonXtal_BW#'!$A:$Z,26,FALSE)+VLOOKUP($A371,A:AL,37,FALSE)-50)),"-",(VLOOKUP($A371,'SegEnds_NonXtal_BW#'!$A:$Z,26,FALSE)+VLOOKUP($A371,A:AL,37,FALSE)-50))</f>
        <v>832</v>
      </c>
      <c r="AM371" s="28" t="str">
        <f>VLOOKUP(A371,Classification!A:B,2,FALSE)</f>
        <v>C</v>
      </c>
      <c r="AN371" s="28" t="b">
        <f t="shared" si="200"/>
        <v>1</v>
      </c>
      <c r="AO371" s="3" t="str">
        <f>IF(ISERROR(MATCH(A371,'SegEnds_Xtal_Prot#'!B:B, 0)), "NoXtal", "Xtal")</f>
        <v>NoXtal</v>
      </c>
      <c r="AP371" s="3">
        <f t="shared" si="185"/>
        <v>3</v>
      </c>
      <c r="AQ371" s="3">
        <f t="shared" si="186"/>
        <v>1</v>
      </c>
      <c r="AR371" s="3" t="str">
        <f t="shared" si="187"/>
        <v>-</v>
      </c>
      <c r="AS371" s="3" t="str">
        <f t="shared" si="188"/>
        <v>-</v>
      </c>
      <c r="AT371" s="3" t="str">
        <f t="shared" si="189"/>
        <v>-</v>
      </c>
      <c r="AU371" s="3" t="str">
        <f t="shared" si="190"/>
        <v>-</v>
      </c>
      <c r="AV371" s="3">
        <f t="shared" si="191"/>
        <v>20</v>
      </c>
      <c r="AW371" s="3">
        <f t="shared" si="192"/>
        <v>2</v>
      </c>
      <c r="AX371" s="3">
        <f t="shared" si="193"/>
        <v>9</v>
      </c>
      <c r="AY371" s="3">
        <f t="shared" si="194"/>
        <v>8</v>
      </c>
      <c r="AZ371" s="3">
        <f t="shared" si="195"/>
        <v>1</v>
      </c>
      <c r="BA371" s="3">
        <f>IF(ISERROR(LEN(VLOOKUP(A371,Seqs!A:E,2,FALSE))-AL371),"-",LEN(VLOOKUP(A371,Seqs!A:E,2,FALSE))-AL371)</f>
        <v>40</v>
      </c>
      <c r="BB371" s="16">
        <f t="shared" si="196"/>
        <v>31</v>
      </c>
      <c r="BC371" s="9" t="str">
        <f t="shared" si="197"/>
        <v>-</v>
      </c>
      <c r="BD371" s="3">
        <f t="shared" si="198"/>
        <v>31</v>
      </c>
      <c r="BE371" s="3">
        <f t="shared" si="199"/>
        <v>37</v>
      </c>
    </row>
    <row r="372" spans="1:58" s="3" customFormat="1" x14ac:dyDescent="0.2">
      <c r="A372" s="3" t="s">
        <v>116</v>
      </c>
      <c r="B372" s="3" t="str">
        <f>LOWER(VLOOKUP(A372,Xtal_Templ!A:B,2,FALSE))</f>
        <v>grm5_human</v>
      </c>
      <c r="C372" s="3">
        <f>VLOOKUP($A372,'SegEnds_NonXtal_BW#'!$A:$Z,3,FALSE)+D372-50</f>
        <v>575</v>
      </c>
      <c r="D372" s="3">
        <v>591</v>
      </c>
      <c r="E372" s="3">
        <f>IF(ISERROR(VLOOKUP($A372,'SegEnds_NonXtal_BW#'!$A:$Z,4,FALSE)+VLOOKUP($A372,A:AL,4,FALSE)-50),"-",(VLOOKUP($A372,'SegEnds_NonXtal_BW#'!$A:$Z,4,FALSE)+VLOOKUP($A372,A:AL,4,FALSE)-50))</f>
        <v>601</v>
      </c>
      <c r="F372" s="3">
        <f t="shared" si="209"/>
        <v>604</v>
      </c>
      <c r="G372" s="3">
        <v>607</v>
      </c>
      <c r="H372" s="3">
        <f t="shared" si="210"/>
        <v>610</v>
      </c>
      <c r="I372" s="3">
        <f t="shared" si="211"/>
        <v>611</v>
      </c>
      <c r="J372" s="3">
        <v>622</v>
      </c>
      <c r="K372" s="3">
        <f>VLOOKUP($A372,'SegEnds_NonXtal_BW#'!$A:$Z,8,FALSE)+VLOOKUP($A372,A:AL,10,FALSE)-50</f>
        <v>633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638</v>
      </c>
      <c r="P372" s="3">
        <v>666</v>
      </c>
      <c r="Q372" s="3">
        <f>VLOOKUP($A372,'SegEnds_NonXtal_BW#'!$A:$Z,12,FALSE)+VLOOKUP($A372,A:AL,16,FALSE)-50</f>
        <v>670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3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684</v>
      </c>
      <c r="V372" s="3">
        <v>696</v>
      </c>
      <c r="W372" s="3">
        <f>IF(ISERROR(VLOOKUP($A372,'SegEnds_NonXtal_BW#'!$A:$Z,16,FALSE)+VLOOKUP($A372,A:AL,22,FALSE)-50),"-",(VLOOKUP($A372,'SegEnds_NonXtal_BW#'!$A:$Z,16,FALSE)+VLOOKUP($A372,A:AL,22,FALSE)-50))</f>
        <v>710</v>
      </c>
      <c r="X372" s="3">
        <f>IF(ISERROR(VLOOKUP($A372,'SegEnds_NonXtal_BW#'!$A:$Z,17,FALSE)+VLOOKUP($A372,A:AL,25,FALSE)-50),"-",(VLOOKUP($A372,'SegEnds_NonXtal_BW#'!$A:$Z,17,FALSE)+VLOOKUP($A372,A:AL,25,FALSE)-50))</f>
        <v>730</v>
      </c>
      <c r="Y372" s="3">
        <v>730</v>
      </c>
      <c r="Z372" s="3">
        <f t="shared" si="207"/>
        <v>732</v>
      </c>
      <c r="AA372" s="3">
        <f>IF(ISERROR(VLOOKUP($A372,'SegEnds_NonXtal_BW#'!$A:$Z,19,FALSE)+VLOOKUP($A372,A:AL,28,FALSE)-50),"-",(VLOOKUP($A372,'SegEnds_NonXtal_BW#'!$A:$Z,19,FALSE)+VLOOKUP($A372,A:AL,28,FALSE)-50))</f>
        <v>734</v>
      </c>
      <c r="AB372" s="3">
        <v>747</v>
      </c>
      <c r="AC372" s="3">
        <f>IF(ISERROR((VLOOKUP($A372,'SegEnds_NonXtal_BW#'!$A:$Z,20,FALSE)+VLOOKUP($A372,A:AL,28,FALSE)-50)),"-",(VLOOKUP($A372,'SegEnds_NonXtal_BW#'!$A:$Z,20,FALSE)+VLOOKUP($A372,A:AL,28,FALSE)-50))</f>
        <v>758</v>
      </c>
      <c r="AD372" s="3">
        <f>IF(ISERROR(VLOOKUP($A372,'SegEnds_NonXtal_BW#'!$A:$Z,21,FALSE)+VLOOKUP($A372,A:AL,31,FALSE)-50),"-",(VLOOKUP($A372,'SegEnds_NonXtal_BW#'!$A:$Z,21,FALSE)+VLOOKUP($A372,A:AL,31,FALSE)-50))</f>
        <v>767</v>
      </c>
      <c r="AE372" s="3">
        <v>784</v>
      </c>
      <c r="AF372" s="3">
        <f>IF(ISERROR((VLOOKUP($A372,'SegEnds_NonXtal_BW#'!$A:$Z,22,FALSE)+VLOOKUP($A372,A:AL,31,FALSE)-50)),"-",(VLOOKUP($A372,'SegEnds_NonXtal_BW#'!$A:$Z,22,FALSE)+VLOOKUP($A372,A:AL,31,FALSE)-50))</f>
        <v>791</v>
      </c>
      <c r="AG372" s="3">
        <f>IF(ISERROR(VLOOKUP($A372,'SegEnds_NonXtal_BW#'!$A:$Z,23,FALSE)+VLOOKUP($A372,A:AL,34,FALSE)-50),"-",(VLOOKUP($A372,'SegEnds_NonXtal_BW#'!$A:$Z,23,FALSE)+VLOOKUP($A372,A:AL,34,FALSE)-50))</f>
        <v>799</v>
      </c>
      <c r="AH372" s="3">
        <v>815</v>
      </c>
      <c r="AI372" s="3">
        <f>IF(ISERROR((VLOOKUP($A372,'SegEnds_NonXtal_BW#'!$A:$Z,24,FALSE)+VLOOKUP($A372,A:AL,34,FALSE)-50)),"-",(VLOOKUP($A372,'SegEnds_NonXtal_BW#'!$A:$Z,24,FALSE)+VLOOKUP($A372,A:AL,34,FALSE)-50))</f>
        <v>828</v>
      </c>
      <c r="AJ372" s="3">
        <f>IF(ISERROR(VLOOKUP($A372,'SegEnds_NonXtal_BW#'!$A:$Z,25,FALSE)+VLOOKUP($A372,A:AL,37,FALSE)-50),"-",(VLOOKUP($A372,'SegEnds_NonXtal_BW#'!$A:$Z,25,FALSE)+VLOOKUP($A372,A:AL,37,FALSE)-50))</f>
        <v>829</v>
      </c>
      <c r="AK372" s="3">
        <v>832</v>
      </c>
      <c r="AL372" s="3">
        <f>IF(ISERROR((VLOOKUP($A372,'SegEnds_NonXtal_BW#'!$A:$Z,26,FALSE)+VLOOKUP($A372,A:AL,37,FALSE)-50)),"-",(VLOOKUP($A372,'SegEnds_NonXtal_BW#'!$A:$Z,26,FALSE)+VLOOKUP($A372,A:AL,37,FALSE)-50))</f>
        <v>841</v>
      </c>
      <c r="AM372" s="28" t="str">
        <f>VLOOKUP(A372,Classification!A:B,2,FALSE)</f>
        <v>C</v>
      </c>
      <c r="AN372" s="28" t="b">
        <f t="shared" si="200"/>
        <v>1</v>
      </c>
      <c r="AO372" s="3" t="str">
        <f>IF(ISERROR(MATCH(A372,'SegEnds_Xtal_Prot#'!B:B, 0)), "NoXtal", "Xtal")</f>
        <v>NoXtal</v>
      </c>
      <c r="AP372" s="3">
        <f t="shared" si="185"/>
        <v>3</v>
      </c>
      <c r="AQ372" s="3">
        <f t="shared" si="186"/>
        <v>1</v>
      </c>
      <c r="AR372" s="3" t="str">
        <f t="shared" si="187"/>
        <v>-</v>
      </c>
      <c r="AS372" s="3" t="str">
        <f t="shared" si="188"/>
        <v>-</v>
      </c>
      <c r="AT372" s="3" t="str">
        <f t="shared" si="189"/>
        <v>-</v>
      </c>
      <c r="AU372" s="3" t="str">
        <f t="shared" si="190"/>
        <v>-</v>
      </c>
      <c r="AV372" s="3">
        <f t="shared" si="191"/>
        <v>20</v>
      </c>
      <c r="AW372" s="3">
        <f t="shared" si="192"/>
        <v>2</v>
      </c>
      <c r="AX372" s="3">
        <f t="shared" si="193"/>
        <v>9</v>
      </c>
      <c r="AY372" s="3">
        <f t="shared" si="194"/>
        <v>8</v>
      </c>
      <c r="AZ372" s="3">
        <f t="shared" si="195"/>
        <v>1</v>
      </c>
      <c r="BA372" s="3">
        <f>IF(ISERROR(LEN(VLOOKUP(A372,Seqs!A:E,2,FALSE))-AL372),"-",LEN(VLOOKUP(A372,Seqs!A:E,2,FALSE))-AL372)</f>
        <v>38</v>
      </c>
      <c r="BB372" s="16">
        <f t="shared" si="196"/>
        <v>31</v>
      </c>
      <c r="BC372" s="9" t="str">
        <f t="shared" si="197"/>
        <v>-</v>
      </c>
      <c r="BD372" s="3">
        <f t="shared" si="198"/>
        <v>31</v>
      </c>
      <c r="BE372" s="3">
        <f t="shared" si="199"/>
        <v>37</v>
      </c>
    </row>
    <row r="373" spans="1:58" s="3" customFormat="1" x14ac:dyDescent="0.2">
      <c r="A373" s="3" t="s">
        <v>117</v>
      </c>
      <c r="B373" s="3" t="str">
        <f>LOWER(VLOOKUP(A373,Xtal_Templ!A:B,2,FALSE))</f>
        <v>grm5_human</v>
      </c>
      <c r="C373" s="3">
        <f>VLOOKUP($A373,'SegEnds_NonXtal_BW#'!$A:$Z,3,FALSE)+D373-50</f>
        <v>586</v>
      </c>
      <c r="D373" s="3">
        <v>602</v>
      </c>
      <c r="E373" s="3">
        <f>IF(ISERROR(VLOOKUP($A373,'SegEnds_NonXtal_BW#'!$A:$Z,4,FALSE)+VLOOKUP($A373,A:AL,4,FALSE)-50),"-",(VLOOKUP($A373,'SegEnds_NonXtal_BW#'!$A:$Z,4,FALSE)+VLOOKUP($A373,A:AL,4,FALSE)-50))</f>
        <v>612</v>
      </c>
      <c r="F373" s="3">
        <f t="shared" si="209"/>
        <v>615</v>
      </c>
      <c r="G373" s="3">
        <v>618</v>
      </c>
      <c r="H373" s="3">
        <f t="shared" si="210"/>
        <v>621</v>
      </c>
      <c r="I373" s="3">
        <f t="shared" si="211"/>
        <v>622</v>
      </c>
      <c r="J373" s="3">
        <v>633</v>
      </c>
      <c r="K373" s="3">
        <f>VLOOKUP($A373,'SegEnds_NonXtal_BW#'!$A:$Z,8,FALSE)+VLOOKUP($A373,A:AL,10,FALSE)-50</f>
        <v>644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649</v>
      </c>
      <c r="P373" s="3">
        <v>677</v>
      </c>
      <c r="Q373" s="3">
        <f>VLOOKUP($A373,'SegEnds_NonXtal_BW#'!$A:$Z,12,FALSE)+VLOOKUP($A373,A:AL,16,FALSE)-50</f>
        <v>681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3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695</v>
      </c>
      <c r="V373" s="3">
        <v>707</v>
      </c>
      <c r="W373" s="3">
        <f>IF(ISERROR(VLOOKUP($A373,'SegEnds_NonXtal_BW#'!$A:$Z,16,FALSE)+VLOOKUP($A373,A:AL,22,FALSE)-50),"-",(VLOOKUP($A373,'SegEnds_NonXtal_BW#'!$A:$Z,16,FALSE)+VLOOKUP($A373,A:AL,22,FALSE)-50))</f>
        <v>721</v>
      </c>
      <c r="X373" s="3">
        <f>IF(ISERROR(VLOOKUP($A373,'SegEnds_NonXtal_BW#'!$A:$Z,17,FALSE)+VLOOKUP($A373,A:AL,25,FALSE)-50),"-",(VLOOKUP($A373,'SegEnds_NonXtal_BW#'!$A:$Z,17,FALSE)+VLOOKUP($A373,A:AL,25,FALSE)-50))</f>
        <v>746</v>
      </c>
      <c r="Y373" s="3">
        <v>746</v>
      </c>
      <c r="Z373" s="3">
        <f t="shared" si="207"/>
        <v>748</v>
      </c>
      <c r="AA373" s="3">
        <f>IF(ISERROR(VLOOKUP($A373,'SegEnds_NonXtal_BW#'!$A:$Z,19,FALSE)+VLOOKUP($A373,A:AL,28,FALSE)-50),"-",(VLOOKUP($A373,'SegEnds_NonXtal_BW#'!$A:$Z,19,FALSE)+VLOOKUP($A373,A:AL,28,FALSE)-50))</f>
        <v>750</v>
      </c>
      <c r="AB373" s="3">
        <v>763</v>
      </c>
      <c r="AC373" s="3">
        <f>IF(ISERROR((VLOOKUP($A373,'SegEnds_NonXtal_BW#'!$A:$Z,20,FALSE)+VLOOKUP($A373,A:AL,28,FALSE)-50)),"-",(VLOOKUP($A373,'SegEnds_NonXtal_BW#'!$A:$Z,20,FALSE)+VLOOKUP($A373,A:AL,28,FALSE)-50))</f>
        <v>774</v>
      </c>
      <c r="AD373" s="3">
        <f>IF(ISERROR(VLOOKUP($A373,'SegEnds_NonXtal_BW#'!$A:$Z,21,FALSE)+VLOOKUP($A373,A:AL,31,FALSE)-50),"-",(VLOOKUP($A373,'SegEnds_NonXtal_BW#'!$A:$Z,21,FALSE)+VLOOKUP($A373,A:AL,31,FALSE)-50))</f>
        <v>783</v>
      </c>
      <c r="AE373" s="3">
        <v>800</v>
      </c>
      <c r="AF373" s="3">
        <f>IF(ISERROR((VLOOKUP($A373,'SegEnds_NonXtal_BW#'!$A:$Z,22,FALSE)+VLOOKUP($A373,A:AL,31,FALSE)-50)),"-",(VLOOKUP($A373,'SegEnds_NonXtal_BW#'!$A:$Z,22,FALSE)+VLOOKUP($A373,A:AL,31,FALSE)-50))</f>
        <v>807</v>
      </c>
      <c r="AG373" s="3">
        <f>IF(ISERROR(VLOOKUP($A373,'SegEnds_NonXtal_BW#'!$A:$Z,23,FALSE)+VLOOKUP($A373,A:AL,34,FALSE)-50),"-",(VLOOKUP($A373,'SegEnds_NonXtal_BW#'!$A:$Z,23,FALSE)+VLOOKUP($A373,A:AL,34,FALSE)-50))</f>
        <v>818</v>
      </c>
      <c r="AH373" s="3">
        <v>834</v>
      </c>
      <c r="AI373" s="3">
        <f>IF(ISERROR((VLOOKUP($A373,'SegEnds_NonXtal_BW#'!$A:$Z,24,FALSE)+VLOOKUP($A373,A:AL,34,FALSE)-50)),"-",(VLOOKUP($A373,'SegEnds_NonXtal_BW#'!$A:$Z,24,FALSE)+VLOOKUP($A373,A:AL,34,FALSE)-50))</f>
        <v>847</v>
      </c>
      <c r="AJ373" s="3">
        <f>IF(ISERROR(VLOOKUP($A373,'SegEnds_NonXtal_BW#'!$A:$Z,25,FALSE)+VLOOKUP($A373,A:AL,37,FALSE)-50),"-",(VLOOKUP($A373,'SegEnds_NonXtal_BW#'!$A:$Z,25,FALSE)+VLOOKUP($A373,A:AL,37,FALSE)-50))</f>
        <v>848</v>
      </c>
      <c r="AK373" s="3">
        <v>851</v>
      </c>
      <c r="AL373" s="3">
        <f>IF(ISERROR((VLOOKUP($A373,'SegEnds_NonXtal_BW#'!$A:$Z,26,FALSE)+VLOOKUP($A373,A:AL,37,FALSE)-50)),"-",(VLOOKUP($A373,'SegEnds_NonXtal_BW#'!$A:$Z,26,FALSE)+VLOOKUP($A373,A:AL,37,FALSE)-50))</f>
        <v>860</v>
      </c>
      <c r="AM373" s="28" t="str">
        <f>VLOOKUP(A373,Classification!A:B,2,FALSE)</f>
        <v>C</v>
      </c>
      <c r="AN373" s="28" t="b">
        <f t="shared" si="200"/>
        <v>1</v>
      </c>
      <c r="AO373" s="3" t="str">
        <f>IF(ISERROR(MATCH(A373,'SegEnds_Xtal_Prot#'!B:B, 0)), "NoXtal", "Xtal")</f>
        <v>NoXtal</v>
      </c>
      <c r="AP373" s="3">
        <f t="shared" si="185"/>
        <v>3</v>
      </c>
      <c r="AQ373" s="3">
        <f t="shared" si="186"/>
        <v>1</v>
      </c>
      <c r="AR373" s="3" t="str">
        <f t="shared" si="187"/>
        <v>-</v>
      </c>
      <c r="AS373" s="3" t="str">
        <f t="shared" si="188"/>
        <v>-</v>
      </c>
      <c r="AT373" s="3" t="str">
        <f t="shared" si="189"/>
        <v>-</v>
      </c>
      <c r="AU373" s="3" t="str">
        <f t="shared" si="190"/>
        <v>-</v>
      </c>
      <c r="AV373" s="3">
        <f t="shared" si="191"/>
        <v>25</v>
      </c>
      <c r="AW373" s="3">
        <f t="shared" si="192"/>
        <v>2</v>
      </c>
      <c r="AX373" s="3">
        <f t="shared" si="193"/>
        <v>9</v>
      </c>
      <c r="AY373" s="3">
        <f t="shared" si="194"/>
        <v>11</v>
      </c>
      <c r="AZ373" s="3">
        <f t="shared" si="195"/>
        <v>1</v>
      </c>
      <c r="BA373" s="3">
        <f>IF(ISERROR(LEN(VLOOKUP(A373,Seqs!A:E,2,FALSE))-AL373),"-",LEN(VLOOKUP(A373,Seqs!A:E,2,FALSE))-AL373)</f>
        <v>52</v>
      </c>
      <c r="BB373" s="16">
        <f t="shared" si="196"/>
        <v>31</v>
      </c>
      <c r="BC373" s="9" t="str">
        <f t="shared" si="197"/>
        <v>-</v>
      </c>
      <c r="BD373" s="3">
        <f t="shared" si="198"/>
        <v>31</v>
      </c>
      <c r="BE373" s="3">
        <f t="shared" si="199"/>
        <v>37</v>
      </c>
    </row>
    <row r="374" spans="1:58" s="3" customFormat="1" x14ac:dyDescent="0.2">
      <c r="A374" s="3" t="s">
        <v>41</v>
      </c>
      <c r="B374" s="3" t="str">
        <f>LOWER(VLOOKUP(A374,Xtal_Templ!A:B,2,FALSE))</f>
        <v>grm5_human</v>
      </c>
      <c r="C374" s="3">
        <f>VLOOKUP($A374,'SegEnds_NonXtal_BW#'!$A:$Z,3,FALSE)+D374-50</f>
        <v>578</v>
      </c>
      <c r="D374" s="3">
        <v>594</v>
      </c>
      <c r="E374" s="3">
        <f>IF(ISERROR(VLOOKUP($A374,'SegEnds_NonXtal_BW#'!$A:$Z,4,FALSE)+VLOOKUP($A374,A:AL,4,FALSE)-50),"-",(VLOOKUP($A374,'SegEnds_NonXtal_BW#'!$A:$Z,4,FALSE)+VLOOKUP($A374,A:AL,4,FALSE)-50))</f>
        <v>604</v>
      </c>
      <c r="F374" s="3">
        <f t="shared" si="209"/>
        <v>607</v>
      </c>
      <c r="G374" s="3">
        <v>610</v>
      </c>
      <c r="H374" s="3">
        <f t="shared" si="210"/>
        <v>613</v>
      </c>
      <c r="I374" s="3">
        <f t="shared" si="211"/>
        <v>614</v>
      </c>
      <c r="J374" s="3">
        <v>625</v>
      </c>
      <c r="K374" s="3">
        <f>VLOOKUP($A374,'SegEnds_NonXtal_BW#'!$A:$Z,8,FALSE)+VLOOKUP($A374,A:AL,10,FALSE)-50</f>
        <v>636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641</v>
      </c>
      <c r="P374" s="3">
        <v>669</v>
      </c>
      <c r="Q374" s="3">
        <f>VLOOKUP($A374,'SegEnds_NonXtal_BW#'!$A:$Z,12,FALSE)+VLOOKUP($A374,A:AL,16,FALSE)-50</f>
        <v>673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3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689</v>
      </c>
      <c r="V374" s="3">
        <v>701</v>
      </c>
      <c r="W374" s="3">
        <f>IF(ISERROR(VLOOKUP($A374,'SegEnds_NonXtal_BW#'!$A:$Z,16,FALSE)+VLOOKUP($A374,A:AL,22,FALSE)-50),"-",(VLOOKUP($A374,'SegEnds_NonXtal_BW#'!$A:$Z,16,FALSE)+VLOOKUP($A374,A:AL,22,FALSE)-50))</f>
        <v>715</v>
      </c>
      <c r="X374" s="3">
        <f>IF(ISERROR(VLOOKUP($A374,'SegEnds_NonXtal_BW#'!$A:$Z,17,FALSE)+VLOOKUP($A374,A:AL,25,FALSE)-50),"-",(VLOOKUP($A374,'SegEnds_NonXtal_BW#'!$A:$Z,17,FALSE)+VLOOKUP($A374,A:AL,25,FALSE)-50))</f>
        <v>733</v>
      </c>
      <c r="Y374" s="3">
        <v>733</v>
      </c>
      <c r="Z374" s="3">
        <f t="shared" si="207"/>
        <v>735</v>
      </c>
      <c r="AA374" s="3">
        <f>IF(ISERROR(VLOOKUP($A374,'SegEnds_NonXtal_BW#'!$A:$Z,19,FALSE)+VLOOKUP($A374,A:AL,28,FALSE)-50),"-",(VLOOKUP($A374,'SegEnds_NonXtal_BW#'!$A:$Z,19,FALSE)+VLOOKUP($A374,A:AL,28,FALSE)-50))</f>
        <v>737</v>
      </c>
      <c r="AB374" s="3">
        <v>750</v>
      </c>
      <c r="AC374" s="3">
        <f>IF(ISERROR((VLOOKUP($A374,'SegEnds_NonXtal_BW#'!$A:$Z,20,FALSE)+VLOOKUP($A374,A:AL,28,FALSE)-50)),"-",(VLOOKUP($A374,'SegEnds_NonXtal_BW#'!$A:$Z,20,FALSE)+VLOOKUP($A374,A:AL,28,FALSE)-50))</f>
        <v>761</v>
      </c>
      <c r="AD374" s="3">
        <f>IF(ISERROR(VLOOKUP($A374,'SegEnds_NonXtal_BW#'!$A:$Z,21,FALSE)+VLOOKUP($A374,A:AL,31,FALSE)-50),"-",(VLOOKUP($A374,'SegEnds_NonXtal_BW#'!$A:$Z,21,FALSE)+VLOOKUP($A374,A:AL,31,FALSE)-50))</f>
        <v>770</v>
      </c>
      <c r="AE374" s="3">
        <v>787</v>
      </c>
      <c r="AF374" s="3">
        <f>IF(ISERROR((VLOOKUP($A374,'SegEnds_NonXtal_BW#'!$A:$Z,22,FALSE)+VLOOKUP($A374,A:AL,31,FALSE)-50)),"-",(VLOOKUP($A374,'SegEnds_NonXtal_BW#'!$A:$Z,22,FALSE)+VLOOKUP($A374,A:AL,31,FALSE)-50))</f>
        <v>794</v>
      </c>
      <c r="AG374" s="3">
        <f>IF(ISERROR(VLOOKUP($A374,'SegEnds_NonXtal_BW#'!$A:$Z,23,FALSE)+VLOOKUP($A374,A:AL,34,FALSE)-50),"-",(VLOOKUP($A374,'SegEnds_NonXtal_BW#'!$A:$Z,23,FALSE)+VLOOKUP($A374,A:AL,34,FALSE)-50))</f>
        <v>798</v>
      </c>
      <c r="AH374" s="3">
        <v>814</v>
      </c>
      <c r="AI374" s="3">
        <f>IF(ISERROR((VLOOKUP($A374,'SegEnds_NonXtal_BW#'!$A:$Z,24,FALSE)+VLOOKUP($A374,A:AL,34,FALSE)-50)),"-",(VLOOKUP($A374,'SegEnds_NonXtal_BW#'!$A:$Z,24,FALSE)+VLOOKUP($A374,A:AL,34,FALSE)-50))</f>
        <v>827</v>
      </c>
      <c r="AJ374" s="3">
        <f>IF(ISERROR(VLOOKUP($A374,'SegEnds_NonXtal_BW#'!$A:$Z,25,FALSE)+VLOOKUP($A374,A:AL,37,FALSE)-50),"-",(VLOOKUP($A374,'SegEnds_NonXtal_BW#'!$A:$Z,25,FALSE)+VLOOKUP($A374,A:AL,37,FALSE)-50))</f>
        <v>828</v>
      </c>
      <c r="AK374" s="3">
        <v>831</v>
      </c>
      <c r="AL374" s="3">
        <f>IF(ISERROR((VLOOKUP($A374,'SegEnds_NonXtal_BW#'!$A:$Z,26,FALSE)+VLOOKUP($A374,A:AL,37,FALSE)-50)),"-",(VLOOKUP($A374,'SegEnds_NonXtal_BW#'!$A:$Z,26,FALSE)+VLOOKUP($A374,A:AL,37,FALSE)-50))</f>
        <v>840</v>
      </c>
      <c r="AM374" s="28" t="str">
        <f>VLOOKUP(A374,Classification!A:B,2,FALSE)</f>
        <v>C</v>
      </c>
      <c r="AN374" s="28" t="b">
        <f t="shared" si="200"/>
        <v>1</v>
      </c>
      <c r="AO374" s="3" t="str">
        <f>IF(ISERROR(MATCH(A374,'SegEnds_Xtal_Prot#'!B:B, 0)), "NoXtal", "Xtal")</f>
        <v>Xtal</v>
      </c>
      <c r="AP374" s="3">
        <f t="shared" si="185"/>
        <v>3</v>
      </c>
      <c r="AQ374" s="3">
        <f t="shared" si="186"/>
        <v>1</v>
      </c>
      <c r="AR374" s="3" t="str">
        <f t="shared" si="187"/>
        <v>-</v>
      </c>
      <c r="AS374" s="3" t="str">
        <f t="shared" si="188"/>
        <v>-</v>
      </c>
      <c r="AT374" s="3" t="str">
        <f t="shared" si="189"/>
        <v>-</v>
      </c>
      <c r="AU374" s="3" t="str">
        <f t="shared" si="190"/>
        <v>-</v>
      </c>
      <c r="AV374" s="3">
        <f t="shared" si="191"/>
        <v>18</v>
      </c>
      <c r="AW374" s="3">
        <f t="shared" si="192"/>
        <v>2</v>
      </c>
      <c r="AX374" s="3">
        <f t="shared" si="193"/>
        <v>9</v>
      </c>
      <c r="AY374" s="3">
        <f t="shared" si="194"/>
        <v>4</v>
      </c>
      <c r="AZ374" s="3">
        <f t="shared" si="195"/>
        <v>1</v>
      </c>
      <c r="BA374" s="3">
        <f>IF(ISERROR(LEN(VLOOKUP(A374,Seqs!A:E,2,FALSE))-AL374),"-",LEN(VLOOKUP(A374,Seqs!A:E,2,FALSE))-AL374)</f>
        <v>372</v>
      </c>
      <c r="BB374" s="16">
        <f t="shared" si="196"/>
        <v>31</v>
      </c>
      <c r="BC374" s="9" t="str">
        <f t="shared" si="197"/>
        <v>-</v>
      </c>
      <c r="BD374" s="3">
        <f t="shared" si="198"/>
        <v>31</v>
      </c>
      <c r="BE374" s="3">
        <f t="shared" si="199"/>
        <v>37</v>
      </c>
    </row>
    <row r="375" spans="1:58" s="3" customFormat="1" x14ac:dyDescent="0.2">
      <c r="A375" s="3" t="s">
        <v>118</v>
      </c>
      <c r="B375" s="3" t="str">
        <f>LOWER(VLOOKUP(A375,Xtal_Templ!A:B,2,FALSE))</f>
        <v>grm5_human</v>
      </c>
      <c r="C375" s="3">
        <f>VLOOKUP($A375,'SegEnds_NonXtal_BW#'!$A:$Z,3,FALSE)+D375-50</f>
        <v>584</v>
      </c>
      <c r="D375" s="3">
        <v>600</v>
      </c>
      <c r="E375" s="3">
        <f>IF(ISERROR(VLOOKUP($A375,'SegEnds_NonXtal_BW#'!$A:$Z,4,FALSE)+VLOOKUP($A375,A:AL,4,FALSE)-50),"-",(VLOOKUP($A375,'SegEnds_NonXtal_BW#'!$A:$Z,4,FALSE)+VLOOKUP($A375,A:AL,4,FALSE)-50))</f>
        <v>610</v>
      </c>
      <c r="F375" s="3">
        <f t="shared" si="209"/>
        <v>613</v>
      </c>
      <c r="G375" s="3">
        <v>616</v>
      </c>
      <c r="H375" s="3">
        <f t="shared" si="210"/>
        <v>619</v>
      </c>
      <c r="I375" s="3">
        <f t="shared" si="211"/>
        <v>620</v>
      </c>
      <c r="J375" s="3">
        <v>631</v>
      </c>
      <c r="K375" s="3">
        <f>VLOOKUP($A375,'SegEnds_NonXtal_BW#'!$A:$Z,8,FALSE)+VLOOKUP($A375,A:AL,10,FALSE)-50</f>
        <v>642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647</v>
      </c>
      <c r="P375" s="3">
        <v>675</v>
      </c>
      <c r="Q375" s="3">
        <f>VLOOKUP($A375,'SegEnds_NonXtal_BW#'!$A:$Z,12,FALSE)+VLOOKUP($A375,A:AL,16,FALSE)-50</f>
        <v>679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3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693</v>
      </c>
      <c r="V375" s="3">
        <v>705</v>
      </c>
      <c r="W375" s="3">
        <f>IF(ISERROR(VLOOKUP($A375,'SegEnds_NonXtal_BW#'!$A:$Z,16,FALSE)+VLOOKUP($A375,A:AL,22,FALSE)-50),"-",(VLOOKUP($A375,'SegEnds_NonXtal_BW#'!$A:$Z,16,FALSE)+VLOOKUP($A375,A:AL,22,FALSE)-50))</f>
        <v>719</v>
      </c>
      <c r="X375" s="3">
        <f>IF(ISERROR(VLOOKUP($A375,'SegEnds_NonXtal_BW#'!$A:$Z,17,FALSE)+VLOOKUP($A375,A:AL,25,FALSE)-50),"-",(VLOOKUP($A375,'SegEnds_NonXtal_BW#'!$A:$Z,17,FALSE)+VLOOKUP($A375,A:AL,25,FALSE)-50))</f>
        <v>744</v>
      </c>
      <c r="Y375" s="3">
        <v>744</v>
      </c>
      <c r="Z375" s="3">
        <f t="shared" si="207"/>
        <v>746</v>
      </c>
      <c r="AA375" s="3">
        <f>IF(ISERROR(VLOOKUP($A375,'SegEnds_NonXtal_BW#'!$A:$Z,19,FALSE)+VLOOKUP($A375,A:AL,28,FALSE)-50),"-",(VLOOKUP($A375,'SegEnds_NonXtal_BW#'!$A:$Z,19,FALSE)+VLOOKUP($A375,A:AL,28,FALSE)-50))</f>
        <v>748</v>
      </c>
      <c r="AB375" s="3">
        <v>761</v>
      </c>
      <c r="AC375" s="3">
        <f>IF(ISERROR((VLOOKUP($A375,'SegEnds_NonXtal_BW#'!$A:$Z,20,FALSE)+VLOOKUP($A375,A:AL,28,FALSE)-50)),"-",(VLOOKUP($A375,'SegEnds_NonXtal_BW#'!$A:$Z,20,FALSE)+VLOOKUP($A375,A:AL,28,FALSE)-50))</f>
        <v>772</v>
      </c>
      <c r="AD375" s="3">
        <f>IF(ISERROR(VLOOKUP($A375,'SegEnds_NonXtal_BW#'!$A:$Z,21,FALSE)+VLOOKUP($A375,A:AL,31,FALSE)-50),"-",(VLOOKUP($A375,'SegEnds_NonXtal_BW#'!$A:$Z,21,FALSE)+VLOOKUP($A375,A:AL,31,FALSE)-50))</f>
        <v>781</v>
      </c>
      <c r="AE375" s="3">
        <v>798</v>
      </c>
      <c r="AF375" s="3">
        <f>IF(ISERROR((VLOOKUP($A375,'SegEnds_NonXtal_BW#'!$A:$Z,22,FALSE)+VLOOKUP($A375,A:AL,31,FALSE)-50)),"-",(VLOOKUP($A375,'SegEnds_NonXtal_BW#'!$A:$Z,22,FALSE)+VLOOKUP($A375,A:AL,31,FALSE)-50))</f>
        <v>805</v>
      </c>
      <c r="AG375" s="3">
        <f>IF(ISERROR(VLOOKUP($A375,'SegEnds_NonXtal_BW#'!$A:$Z,23,FALSE)+VLOOKUP($A375,A:AL,34,FALSE)-50),"-",(VLOOKUP($A375,'SegEnds_NonXtal_BW#'!$A:$Z,23,FALSE)+VLOOKUP($A375,A:AL,34,FALSE)-50))</f>
        <v>816</v>
      </c>
      <c r="AH375" s="3">
        <v>832</v>
      </c>
      <c r="AI375" s="3">
        <f>IF(ISERROR((VLOOKUP($A375,'SegEnds_NonXtal_BW#'!$A:$Z,24,FALSE)+VLOOKUP($A375,A:AL,34,FALSE)-50)),"-",(VLOOKUP($A375,'SegEnds_NonXtal_BW#'!$A:$Z,24,FALSE)+VLOOKUP($A375,A:AL,34,FALSE)-50))</f>
        <v>845</v>
      </c>
      <c r="AJ375" s="3">
        <f>IF(ISERROR(VLOOKUP($A375,'SegEnds_NonXtal_BW#'!$A:$Z,25,FALSE)+VLOOKUP($A375,A:AL,37,FALSE)-50),"-",(VLOOKUP($A375,'SegEnds_NonXtal_BW#'!$A:$Z,25,FALSE)+VLOOKUP($A375,A:AL,37,FALSE)-50))</f>
        <v>846</v>
      </c>
      <c r="AK375" s="3">
        <v>849</v>
      </c>
      <c r="AL375" s="3">
        <f>IF(ISERROR((VLOOKUP($A375,'SegEnds_NonXtal_BW#'!$A:$Z,26,FALSE)+VLOOKUP($A375,A:AL,37,FALSE)-50)),"-",(VLOOKUP($A375,'SegEnds_NonXtal_BW#'!$A:$Z,26,FALSE)+VLOOKUP($A375,A:AL,37,FALSE)-50))</f>
        <v>858</v>
      </c>
      <c r="AM375" s="28" t="str">
        <f>VLOOKUP(A375,Classification!A:B,2,FALSE)</f>
        <v>C</v>
      </c>
      <c r="AN375" s="28" t="b">
        <f t="shared" si="200"/>
        <v>1</v>
      </c>
      <c r="AO375" s="3" t="str">
        <f>IF(ISERROR(MATCH(A375,'SegEnds_Xtal_Prot#'!B:B, 0)), "NoXtal", "Xtal")</f>
        <v>NoXtal</v>
      </c>
      <c r="AP375" s="3">
        <f t="shared" si="185"/>
        <v>3</v>
      </c>
      <c r="AQ375" s="3">
        <f t="shared" si="186"/>
        <v>1</v>
      </c>
      <c r="AR375" s="3" t="str">
        <f t="shared" si="187"/>
        <v>-</v>
      </c>
      <c r="AS375" s="3" t="str">
        <f t="shared" si="188"/>
        <v>-</v>
      </c>
      <c r="AT375" s="3" t="str">
        <f t="shared" si="189"/>
        <v>-</v>
      </c>
      <c r="AU375" s="3" t="str">
        <f t="shared" si="190"/>
        <v>-</v>
      </c>
      <c r="AV375" s="3">
        <f t="shared" si="191"/>
        <v>25</v>
      </c>
      <c r="AW375" s="3">
        <f t="shared" si="192"/>
        <v>2</v>
      </c>
      <c r="AX375" s="3">
        <f t="shared" si="193"/>
        <v>9</v>
      </c>
      <c r="AY375" s="3">
        <f t="shared" si="194"/>
        <v>11</v>
      </c>
      <c r="AZ375" s="3">
        <f t="shared" si="195"/>
        <v>1</v>
      </c>
      <c r="BA375" s="3">
        <f>IF(ISERROR(LEN(VLOOKUP(A375,Seqs!A:E,2,FALSE))-AL375),"-",LEN(VLOOKUP(A375,Seqs!A:E,2,FALSE))-AL375)</f>
        <v>19</v>
      </c>
      <c r="BB375" s="16">
        <f t="shared" si="196"/>
        <v>31</v>
      </c>
      <c r="BC375" s="9" t="str">
        <f t="shared" si="197"/>
        <v>-</v>
      </c>
      <c r="BD375" s="3">
        <f t="shared" si="198"/>
        <v>31</v>
      </c>
      <c r="BE375" s="3">
        <f t="shared" si="199"/>
        <v>37</v>
      </c>
      <c r="BF375" s="3">
        <f>AH375-AE375</f>
        <v>34</v>
      </c>
    </row>
    <row r="376" spans="1:58" s="3" customFormat="1" x14ac:dyDescent="0.2">
      <c r="A376" s="3" t="s">
        <v>119</v>
      </c>
      <c r="B376" s="3" t="str">
        <f>LOWER(VLOOKUP(A376,Xtal_Templ!A:B,2,FALSE))</f>
        <v>grm5_human</v>
      </c>
      <c r="C376" s="3">
        <f>VLOOKUP($A376,'SegEnds_NonXtal_BW#'!$A:$Z,3,FALSE)+D376-50</f>
        <v>589</v>
      </c>
      <c r="D376" s="3">
        <v>605</v>
      </c>
      <c r="E376" s="3">
        <f>IF(ISERROR(VLOOKUP($A376,'SegEnds_NonXtal_BW#'!$A:$Z,4,FALSE)+VLOOKUP($A376,A:AL,4,FALSE)-50),"-",(VLOOKUP($A376,'SegEnds_NonXtal_BW#'!$A:$Z,4,FALSE)+VLOOKUP($A376,A:AL,4,FALSE)-50))</f>
        <v>615</v>
      </c>
      <c r="F376" s="3">
        <f t="shared" si="209"/>
        <v>618</v>
      </c>
      <c r="G376" s="3">
        <v>621</v>
      </c>
      <c r="H376" s="3">
        <f t="shared" si="210"/>
        <v>624</v>
      </c>
      <c r="I376" s="3">
        <f t="shared" si="211"/>
        <v>625</v>
      </c>
      <c r="J376" s="3">
        <v>636</v>
      </c>
      <c r="K376" s="3">
        <f>VLOOKUP($A376,'SegEnds_NonXtal_BW#'!$A:$Z,8,FALSE)+VLOOKUP($A376,A:AL,10,FALSE)-50</f>
        <v>647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652</v>
      </c>
      <c r="P376" s="3">
        <v>680</v>
      </c>
      <c r="Q376" s="3">
        <f>VLOOKUP($A376,'SegEnds_NonXtal_BW#'!$A:$Z,12,FALSE)+VLOOKUP($A376,A:AL,16,FALSE)-50</f>
        <v>684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3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698</v>
      </c>
      <c r="V376" s="3">
        <v>710</v>
      </c>
      <c r="W376" s="3">
        <f>IF(ISERROR(VLOOKUP($A376,'SegEnds_NonXtal_BW#'!$A:$Z,16,FALSE)+VLOOKUP($A376,A:AL,22,FALSE)-50),"-",(VLOOKUP($A376,'SegEnds_NonXtal_BW#'!$A:$Z,16,FALSE)+VLOOKUP($A376,A:AL,22,FALSE)-50))</f>
        <v>724</v>
      </c>
      <c r="X376" s="3">
        <f>IF(ISERROR(VLOOKUP($A376,'SegEnds_NonXtal_BW#'!$A:$Z,17,FALSE)+VLOOKUP($A376,A:AL,25,FALSE)-50),"-",(VLOOKUP($A376,'SegEnds_NonXtal_BW#'!$A:$Z,17,FALSE)+VLOOKUP($A376,A:AL,25,FALSE)-50))</f>
        <v>749</v>
      </c>
      <c r="Y376" s="3">
        <v>749</v>
      </c>
      <c r="Z376" s="3">
        <f t="shared" si="207"/>
        <v>751</v>
      </c>
      <c r="AA376" s="3">
        <f>IF(ISERROR(VLOOKUP($A376,'SegEnds_NonXtal_BW#'!$A:$Z,19,FALSE)+VLOOKUP($A376,A:AL,28,FALSE)-50),"-",(VLOOKUP($A376,'SegEnds_NonXtal_BW#'!$A:$Z,19,FALSE)+VLOOKUP($A376,A:AL,28,FALSE)-50))</f>
        <v>753</v>
      </c>
      <c r="AB376" s="3">
        <v>766</v>
      </c>
      <c r="AC376" s="3">
        <f>IF(ISERROR((VLOOKUP($A376,'SegEnds_NonXtal_BW#'!$A:$Z,20,FALSE)+VLOOKUP($A376,A:AL,28,FALSE)-50)),"-",(VLOOKUP($A376,'SegEnds_NonXtal_BW#'!$A:$Z,20,FALSE)+VLOOKUP($A376,A:AL,28,FALSE)-50))</f>
        <v>777</v>
      </c>
      <c r="AD376" s="3">
        <f>IF(ISERROR(VLOOKUP($A376,'SegEnds_NonXtal_BW#'!$A:$Z,21,FALSE)+VLOOKUP($A376,A:AL,31,FALSE)-50),"-",(VLOOKUP($A376,'SegEnds_NonXtal_BW#'!$A:$Z,21,FALSE)+VLOOKUP($A376,A:AL,31,FALSE)-50))</f>
        <v>786</v>
      </c>
      <c r="AE376" s="3">
        <v>803</v>
      </c>
      <c r="AF376" s="3">
        <f>IF(ISERROR((VLOOKUP($A376,'SegEnds_NonXtal_BW#'!$A:$Z,22,FALSE)+VLOOKUP($A376,A:AL,31,FALSE)-50)),"-",(VLOOKUP($A376,'SegEnds_NonXtal_BW#'!$A:$Z,22,FALSE)+VLOOKUP($A376,A:AL,31,FALSE)-50))</f>
        <v>810</v>
      </c>
      <c r="AG376" s="3">
        <f>IF(ISERROR(VLOOKUP($A376,'SegEnds_NonXtal_BW#'!$A:$Z,23,FALSE)+VLOOKUP($A376,A:AL,34,FALSE)-50),"-",(VLOOKUP($A376,'SegEnds_NonXtal_BW#'!$A:$Z,23,FALSE)+VLOOKUP($A376,A:AL,34,FALSE)-50))</f>
        <v>821</v>
      </c>
      <c r="AH376" s="3">
        <v>837</v>
      </c>
      <c r="AI376" s="3">
        <f>IF(ISERROR((VLOOKUP($A376,'SegEnds_NonXtal_BW#'!$A:$Z,24,FALSE)+VLOOKUP($A376,A:AL,34,FALSE)-50)),"-",(VLOOKUP($A376,'SegEnds_NonXtal_BW#'!$A:$Z,24,FALSE)+VLOOKUP($A376,A:AL,34,FALSE)-50))</f>
        <v>850</v>
      </c>
      <c r="AJ376" s="3">
        <f>IF(ISERROR(VLOOKUP($A376,'SegEnds_NonXtal_BW#'!$A:$Z,25,FALSE)+VLOOKUP($A376,A:AL,37,FALSE)-50),"-",(VLOOKUP($A376,'SegEnds_NonXtal_BW#'!$A:$Z,25,FALSE)+VLOOKUP($A376,A:AL,37,FALSE)-50))</f>
        <v>851</v>
      </c>
      <c r="AK376" s="3">
        <v>854</v>
      </c>
      <c r="AL376" s="3">
        <f>IF(ISERROR((VLOOKUP($A376,'SegEnds_NonXtal_BW#'!$A:$Z,26,FALSE)+VLOOKUP($A376,A:AL,37,FALSE)-50)),"-",(VLOOKUP($A376,'SegEnds_NonXtal_BW#'!$A:$Z,26,FALSE)+VLOOKUP($A376,A:AL,37,FALSE)-50))</f>
        <v>863</v>
      </c>
      <c r="AM376" s="28" t="str">
        <f>VLOOKUP(A376,Classification!A:B,2,FALSE)</f>
        <v>C</v>
      </c>
      <c r="AN376" s="28" t="b">
        <f t="shared" si="200"/>
        <v>1</v>
      </c>
      <c r="AO376" s="3" t="str">
        <f>IF(ISERROR(MATCH(A376,'SegEnds_Xtal_Prot#'!B:B, 0)), "NoXtal", "Xtal")</f>
        <v>NoXtal</v>
      </c>
      <c r="AP376" s="3">
        <f t="shared" si="185"/>
        <v>3</v>
      </c>
      <c r="AQ376" s="3">
        <f t="shared" si="186"/>
        <v>1</v>
      </c>
      <c r="AR376" s="3" t="str">
        <f t="shared" si="187"/>
        <v>-</v>
      </c>
      <c r="AS376" s="3" t="str">
        <f t="shared" si="188"/>
        <v>-</v>
      </c>
      <c r="AT376" s="3" t="str">
        <f t="shared" si="189"/>
        <v>-</v>
      </c>
      <c r="AU376" s="3" t="str">
        <f t="shared" si="190"/>
        <v>-</v>
      </c>
      <c r="AV376" s="3">
        <f t="shared" si="191"/>
        <v>25</v>
      </c>
      <c r="AW376" s="3">
        <f t="shared" si="192"/>
        <v>2</v>
      </c>
      <c r="AX376" s="3">
        <f t="shared" si="193"/>
        <v>9</v>
      </c>
      <c r="AY376" s="3">
        <f t="shared" si="194"/>
        <v>11</v>
      </c>
      <c r="AZ376" s="3">
        <f t="shared" si="195"/>
        <v>1</v>
      </c>
      <c r="BA376" s="3">
        <f>IF(ISERROR(LEN(VLOOKUP(A376,Seqs!A:E,2,FALSE))-AL376),"-",LEN(VLOOKUP(A376,Seqs!A:E,2,FALSE))-AL376)</f>
        <v>52</v>
      </c>
      <c r="BB376" s="16">
        <f t="shared" si="196"/>
        <v>31</v>
      </c>
      <c r="BC376" s="9" t="str">
        <f t="shared" si="197"/>
        <v>-</v>
      </c>
      <c r="BD376" s="3">
        <f t="shared" si="198"/>
        <v>31</v>
      </c>
      <c r="BE376" s="3">
        <f t="shared" si="199"/>
        <v>37</v>
      </c>
    </row>
    <row r="377" spans="1:58" s="3" customFormat="1" x14ac:dyDescent="0.2">
      <c r="A377" s="3" t="s">
        <v>120</v>
      </c>
      <c r="B377" s="3" t="str">
        <f>LOWER(VLOOKUP(A377,Xtal_Templ!A:B,2,FALSE))</f>
        <v>grm5_human</v>
      </c>
      <c r="C377" s="3">
        <f>VLOOKUP($A377,'SegEnds_NonXtal_BW#'!$A:$Z,3,FALSE)+D377-50</f>
        <v>582</v>
      </c>
      <c r="D377" s="3">
        <v>598</v>
      </c>
      <c r="E377" s="3">
        <f>IF(ISERROR(VLOOKUP($A377,'SegEnds_NonXtal_BW#'!$A:$Z,4,FALSE)+VLOOKUP($A377,A:AL,4,FALSE)-50),"-",(VLOOKUP($A377,'SegEnds_NonXtal_BW#'!$A:$Z,4,FALSE)+VLOOKUP($A377,A:AL,4,FALSE)-50))</f>
        <v>608</v>
      </c>
      <c r="F377" s="3">
        <f t="shared" si="209"/>
        <v>611</v>
      </c>
      <c r="G377" s="3">
        <v>614</v>
      </c>
      <c r="H377" s="3">
        <f t="shared" si="210"/>
        <v>617</v>
      </c>
      <c r="I377" s="3">
        <f t="shared" si="211"/>
        <v>618</v>
      </c>
      <c r="J377" s="3">
        <v>629</v>
      </c>
      <c r="K377" s="3">
        <f>VLOOKUP($A377,'SegEnds_NonXtal_BW#'!$A:$Z,8,FALSE)+VLOOKUP($A377,A:AL,10,FALSE)-50</f>
        <v>640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645</v>
      </c>
      <c r="P377" s="3">
        <v>673</v>
      </c>
      <c r="Q377" s="3">
        <f>VLOOKUP($A377,'SegEnds_NonXtal_BW#'!$A:$Z,12,FALSE)+VLOOKUP($A377,A:AL,16,FALSE)-50</f>
        <v>677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3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691</v>
      </c>
      <c r="V377" s="3">
        <v>703</v>
      </c>
      <c r="W377" s="3">
        <f>IF(ISERROR(VLOOKUP($A377,'SegEnds_NonXtal_BW#'!$A:$Z,16,FALSE)+VLOOKUP($A377,A:AL,22,FALSE)-50),"-",(VLOOKUP($A377,'SegEnds_NonXtal_BW#'!$A:$Z,16,FALSE)+VLOOKUP($A377,A:AL,22,FALSE)-50))</f>
        <v>717</v>
      </c>
      <c r="X377" s="3">
        <f>IF(ISERROR(VLOOKUP($A377,'SegEnds_NonXtal_BW#'!$A:$Z,17,FALSE)+VLOOKUP($A377,A:AL,25,FALSE)-50),"-",(VLOOKUP($A377,'SegEnds_NonXtal_BW#'!$A:$Z,17,FALSE)+VLOOKUP($A377,A:AL,25,FALSE)-50))</f>
        <v>742</v>
      </c>
      <c r="Y377" s="3">
        <v>742</v>
      </c>
      <c r="Z377" s="3">
        <f t="shared" si="207"/>
        <v>744</v>
      </c>
      <c r="AA377" s="3">
        <f>IF(ISERROR(VLOOKUP($A377,'SegEnds_NonXtal_BW#'!$A:$Z,19,FALSE)+VLOOKUP($A377,A:AL,28,FALSE)-50),"-",(VLOOKUP($A377,'SegEnds_NonXtal_BW#'!$A:$Z,19,FALSE)+VLOOKUP($A377,A:AL,28,FALSE)-50))</f>
        <v>746</v>
      </c>
      <c r="AB377" s="3">
        <v>759</v>
      </c>
      <c r="AC377" s="3">
        <f>IF(ISERROR((VLOOKUP($A377,'SegEnds_NonXtal_BW#'!$A:$Z,20,FALSE)+VLOOKUP($A377,A:AL,28,FALSE)-50)),"-",(VLOOKUP($A377,'SegEnds_NonXtal_BW#'!$A:$Z,20,FALSE)+VLOOKUP($A377,A:AL,28,FALSE)-50))</f>
        <v>770</v>
      </c>
      <c r="AD377" s="3">
        <f>IF(ISERROR(VLOOKUP($A377,'SegEnds_NonXtal_BW#'!$A:$Z,21,FALSE)+VLOOKUP($A377,A:AL,31,FALSE)-50),"-",(VLOOKUP($A377,'SegEnds_NonXtal_BW#'!$A:$Z,21,FALSE)+VLOOKUP($A377,A:AL,31,FALSE)-50))</f>
        <v>779</v>
      </c>
      <c r="AE377" s="3">
        <v>796</v>
      </c>
      <c r="AF377" s="3">
        <f>IF(ISERROR((VLOOKUP($A377,'SegEnds_NonXtal_BW#'!$A:$Z,22,FALSE)+VLOOKUP($A377,A:AL,31,FALSE)-50)),"-",(VLOOKUP($A377,'SegEnds_NonXtal_BW#'!$A:$Z,22,FALSE)+VLOOKUP($A377,A:AL,31,FALSE)-50))</f>
        <v>803</v>
      </c>
      <c r="AG377" s="3">
        <f>IF(ISERROR(VLOOKUP($A377,'SegEnds_NonXtal_BW#'!$A:$Z,23,FALSE)+VLOOKUP($A377,A:AL,34,FALSE)-50),"-",(VLOOKUP($A377,'SegEnds_NonXtal_BW#'!$A:$Z,23,FALSE)+VLOOKUP($A377,A:AL,34,FALSE)-50))</f>
        <v>814</v>
      </c>
      <c r="AH377" s="3">
        <v>830</v>
      </c>
      <c r="AI377" s="3">
        <f>IF(ISERROR((VLOOKUP($A377,'SegEnds_NonXtal_BW#'!$A:$Z,24,FALSE)+VLOOKUP($A377,A:AL,34,FALSE)-50)),"-",(VLOOKUP($A377,'SegEnds_NonXtal_BW#'!$A:$Z,24,FALSE)+VLOOKUP($A377,A:AL,34,FALSE)-50))</f>
        <v>843</v>
      </c>
      <c r="AJ377" s="3">
        <f>IF(ISERROR(VLOOKUP($A377,'SegEnds_NonXtal_BW#'!$A:$Z,25,FALSE)+VLOOKUP($A377,A:AL,37,FALSE)-50),"-",(VLOOKUP($A377,'SegEnds_NonXtal_BW#'!$A:$Z,25,FALSE)+VLOOKUP($A377,A:AL,37,FALSE)-50))</f>
        <v>844</v>
      </c>
      <c r="AK377" s="3">
        <v>847</v>
      </c>
      <c r="AL377" s="3">
        <f>IF(ISERROR((VLOOKUP($A377,'SegEnds_NonXtal_BW#'!$A:$Z,26,FALSE)+VLOOKUP($A377,A:AL,37,FALSE)-50)),"-",(VLOOKUP($A377,'SegEnds_NonXtal_BW#'!$A:$Z,26,FALSE)+VLOOKUP($A377,A:AL,37,FALSE)-50))</f>
        <v>856</v>
      </c>
      <c r="AM377" s="28" t="str">
        <f>VLOOKUP(A377,Classification!A:B,2,FALSE)</f>
        <v>C</v>
      </c>
      <c r="AN377" s="28" t="b">
        <f t="shared" si="200"/>
        <v>1</v>
      </c>
      <c r="AO377" s="3" t="str">
        <f>IF(ISERROR(MATCH(A377,'SegEnds_Xtal_Prot#'!B:B, 0)), "NoXtal", "Xtal")</f>
        <v>NoXtal</v>
      </c>
      <c r="AP377" s="3">
        <f t="shared" si="185"/>
        <v>3</v>
      </c>
      <c r="AQ377" s="3">
        <f t="shared" si="186"/>
        <v>1</v>
      </c>
      <c r="AR377" s="3" t="str">
        <f t="shared" si="187"/>
        <v>-</v>
      </c>
      <c r="AS377" s="3" t="str">
        <f t="shared" si="188"/>
        <v>-</v>
      </c>
      <c r="AT377" s="3" t="str">
        <f t="shared" si="189"/>
        <v>-</v>
      </c>
      <c r="AU377" s="3" t="str">
        <f t="shared" si="190"/>
        <v>-</v>
      </c>
      <c r="AV377" s="3">
        <f t="shared" si="191"/>
        <v>25</v>
      </c>
      <c r="AW377" s="3">
        <f t="shared" si="192"/>
        <v>2</v>
      </c>
      <c r="AX377" s="3">
        <f t="shared" si="193"/>
        <v>9</v>
      </c>
      <c r="AY377" s="3">
        <f t="shared" si="194"/>
        <v>11</v>
      </c>
      <c r="AZ377" s="3">
        <f t="shared" si="195"/>
        <v>1</v>
      </c>
      <c r="BA377" s="3">
        <f>IF(ISERROR(LEN(VLOOKUP(A377,Seqs!A:E,2,FALSE))-AL377),"-",LEN(VLOOKUP(A377,Seqs!A:E,2,FALSE))-AL377)</f>
        <v>52</v>
      </c>
      <c r="BB377" s="16">
        <f t="shared" si="196"/>
        <v>31</v>
      </c>
      <c r="BC377" s="9" t="str">
        <f t="shared" si="197"/>
        <v>-</v>
      </c>
      <c r="BD377" s="3">
        <f t="shared" si="198"/>
        <v>31</v>
      </c>
      <c r="BE377" s="3">
        <f t="shared" si="199"/>
        <v>37</v>
      </c>
    </row>
    <row r="378" spans="1:58" s="3" customFormat="1" x14ac:dyDescent="0.2">
      <c r="A378" s="3" t="s">
        <v>314</v>
      </c>
      <c r="B378" s="3" t="str">
        <f>LOWER(VLOOKUP(A378,Xtal_Templ!A:B,2,FALSE))</f>
        <v>ox2r_human</v>
      </c>
      <c r="C378" s="3">
        <f>VLOOKUP($A378,'SegEnds_NonXtal_BW#'!$A:$Z,3,FALSE)+D378-50</f>
        <v>31</v>
      </c>
      <c r="D378" s="3">
        <v>50</v>
      </c>
      <c r="E378" s="3">
        <f>IF(ISERROR(VLOOKUP($A378,'SegEnds_NonXtal_BW#'!$A:$Z,4,FALSE)+VLOOKUP($A378,A:AL,4,FALSE)-50),"-",(VLOOKUP($A378,'SegEnds_NonXtal_BW#'!$A:$Z,4,FALSE)+VLOOKUP($A378,A:AL,4,FALSE)-50))</f>
        <v>60</v>
      </c>
      <c r="F378" s="3">
        <f t="shared" ref="F378:F395" si="212">G378-2</f>
        <v>61</v>
      </c>
      <c r="G378" s="3">
        <v>63</v>
      </c>
      <c r="H378" s="3">
        <f t="shared" ref="H378:H395" si="213">G378+1</f>
        <v>64</v>
      </c>
      <c r="I378" s="3">
        <f t="shared" si="211"/>
        <v>65</v>
      </c>
      <c r="J378" s="3">
        <v>78</v>
      </c>
      <c r="K378" s="3">
        <f>VLOOKUP($A378,'SegEnds_NonXtal_BW#'!$A:$Z,8,FALSE)+VLOOKUP($A378,A:AL,10,FALSE)-50</f>
        <v>95</v>
      </c>
      <c r="L378" s="3">
        <f t="shared" ref="L378:L390" si="214">M378-1</f>
        <v>97</v>
      </c>
      <c r="M378" s="3">
        <v>98</v>
      </c>
      <c r="N378" s="3">
        <f t="shared" ref="N378:N390" si="215">M378+2</f>
        <v>100</v>
      </c>
      <c r="O378" s="3">
        <f t="shared" ref="O378:O390" si="216">N378+1</f>
        <v>101</v>
      </c>
      <c r="P378" s="3">
        <v>130</v>
      </c>
      <c r="Q378" s="3">
        <f>VLOOKUP($A378,'SegEnds_NonXtal_BW#'!$A:$Z,12,FALSE)+VLOOKUP($A378,A:AL,16,FALSE)-50</f>
        <v>136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3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143</v>
      </c>
      <c r="V378" s="3">
        <v>155</v>
      </c>
      <c r="W378" s="3">
        <f>IF(ISERROR(VLOOKUP($A378,'SegEnds_NonXtal_BW#'!$A:$Z,16,FALSE)+VLOOKUP($A378,A:AL,22,FALSE)-50),"-",(VLOOKUP($A378,'SegEnds_NonXtal_BW#'!$A:$Z,16,FALSE)+VLOOKUP($A378,A:AL,22,FALSE)-50))</f>
        <v>169</v>
      </c>
      <c r="X378" s="3">
        <f>IF(ISERROR(VLOOKUP($A378,'SegEnds_NonXtal_BW#'!$A:$Z,17,FALSE)+VLOOKUP($A378,A:AL,25,FALSE)-50),"-",(VLOOKUP($A378,'SegEnds_NonXtal_BW#'!$A:$Z,17,FALSE)+VLOOKUP($A378,A:AL,25,FALSE)-50))</f>
        <v>180</v>
      </c>
      <c r="Y378" s="3">
        <v>180</v>
      </c>
      <c r="Z378" s="3">
        <f t="shared" si="207"/>
        <v>182</v>
      </c>
      <c r="AA378" s="3">
        <f>IF(ISERROR(VLOOKUP($A378,'SegEnds_NonXtal_BW#'!$A:$Z,19,FALSE)+VLOOKUP($A378,A:AL,28,FALSE)-50),"-",(VLOOKUP($A378,'SegEnds_NonXtal_BW#'!$A:$Z,19,FALSE)+VLOOKUP($A378,A:AL,28,FALSE)-50))</f>
        <v>190</v>
      </c>
      <c r="AB378" s="3">
        <v>208</v>
      </c>
      <c r="AC378" s="3">
        <f>IF(ISERROR((VLOOKUP($A378,'SegEnds_NonXtal_BW#'!$A:$Z,20,FALSE)+VLOOKUP($A378,A:AL,28,FALSE)-50)),"-",(VLOOKUP($A378,'SegEnds_NonXtal_BW#'!$A:$Z,20,FALSE)+VLOOKUP($A378,A:AL,28,FALSE)-50))</f>
        <v>231</v>
      </c>
      <c r="AD378" s="3">
        <f>IF(ISERROR(VLOOKUP($A378,'SegEnds_NonXtal_BW#'!$A:$Z,21,FALSE)+VLOOKUP($A378,A:AL,31,FALSE)-50),"-",(VLOOKUP($A378,'SegEnds_NonXtal_BW#'!$A:$Z,21,FALSE)+VLOOKUP($A378,A:AL,31,FALSE)-50))</f>
        <v>235</v>
      </c>
      <c r="AE378" s="3">
        <v>263</v>
      </c>
      <c r="AF378" s="3">
        <f>IF(ISERROR((VLOOKUP($A378,'SegEnds_NonXtal_BW#'!$A:$Z,22,FALSE)+VLOOKUP($A378,A:AL,31,FALSE)-50)),"-",(VLOOKUP($A378,'SegEnds_NonXtal_BW#'!$A:$Z,22,FALSE)+VLOOKUP($A378,A:AL,31,FALSE)-50))</f>
        <v>274</v>
      </c>
      <c r="AG378" s="3">
        <f>IF(ISERROR(VLOOKUP($A378,'SegEnds_NonXtal_BW#'!$A:$Z,23,FALSE)+VLOOKUP($A378,A:AL,34,FALSE)-50),"-",(VLOOKUP($A378,'SegEnds_NonXtal_BW#'!$A:$Z,23,FALSE)+VLOOKUP($A378,A:AL,34,FALSE)-50))</f>
        <v>280</v>
      </c>
      <c r="AH378" s="3">
        <v>302</v>
      </c>
      <c r="AI378" s="3">
        <f>IF(ISERROR((VLOOKUP($A378,'SegEnds_NonXtal_BW#'!$A:$Z,24,FALSE)+VLOOKUP($A378,A:AL,34,FALSE)-50)),"-",(VLOOKUP($A378,'SegEnds_NonXtal_BW#'!$A:$Z,24,FALSE)+VLOOKUP($A378,A:AL,34,FALSE)-50))</f>
        <v>308</v>
      </c>
      <c r="AJ378" s="3">
        <f>IF(ISERROR(VLOOKUP($A378,'SegEnds_NonXtal_BW#'!$A:$Z,25,FALSE)+VLOOKUP($A378,A:AL,37,FALSE)-50),"-",(VLOOKUP($A378,'SegEnds_NonXtal_BW#'!$A:$Z,25,FALSE)+VLOOKUP($A378,A:AL,37,FALSE)-50))</f>
        <v>309</v>
      </c>
      <c r="AK378" s="3">
        <v>312</v>
      </c>
      <c r="AL378" s="3">
        <f>IF(ISERROR((VLOOKUP($A378,'SegEnds_NonXtal_BW#'!$A:$Z,26,FALSE)+VLOOKUP($A378,A:AL,37,FALSE)-50)),"-",(VLOOKUP($A378,'SegEnds_NonXtal_BW#'!$A:$Z,26,FALSE)+VLOOKUP($A378,A:AL,37,FALSE)-50))</f>
        <v>320</v>
      </c>
      <c r="AM378" s="28" t="str">
        <f>VLOOKUP(A378,Classification!A:B,2,FALSE)</f>
        <v>A</v>
      </c>
      <c r="AN378" s="28" t="b">
        <f t="shared" si="200"/>
        <v>1</v>
      </c>
      <c r="AO378" s="3" t="str">
        <f>IF(ISERROR(MATCH(A378,'SegEnds_Xtal_Prot#'!B:B, 0)), "NoXtal", "Xtal")</f>
        <v>NoXtal</v>
      </c>
      <c r="AP378" s="3">
        <f t="shared" si="185"/>
        <v>1</v>
      </c>
      <c r="AQ378" s="3">
        <f t="shared" si="186"/>
        <v>1</v>
      </c>
      <c r="AR378" s="3">
        <f t="shared" si="187"/>
        <v>2</v>
      </c>
      <c r="AS378" s="3">
        <f t="shared" si="188"/>
        <v>1</v>
      </c>
      <c r="AT378" s="3" t="str">
        <f t="shared" si="189"/>
        <v>-</v>
      </c>
      <c r="AU378" s="3" t="str">
        <f t="shared" si="190"/>
        <v>-</v>
      </c>
      <c r="AV378" s="3">
        <f t="shared" si="191"/>
        <v>11</v>
      </c>
      <c r="AW378" s="3">
        <f t="shared" si="192"/>
        <v>8</v>
      </c>
      <c r="AX378" s="3">
        <f t="shared" si="193"/>
        <v>4</v>
      </c>
      <c r="AY378" s="3">
        <f t="shared" si="194"/>
        <v>6</v>
      </c>
      <c r="AZ378" s="3">
        <f t="shared" si="195"/>
        <v>1</v>
      </c>
      <c r="BA378" s="3">
        <f>IF(ISERROR(LEN(VLOOKUP(A378,Seqs!A:E,2,FALSE))-AL378),"-",LEN(VLOOKUP(A378,Seqs!A:E,2,FALSE))-AL378)</f>
        <v>87</v>
      </c>
      <c r="BB378" s="16">
        <f t="shared" si="196"/>
        <v>28</v>
      </c>
      <c r="BC378" s="9" t="str">
        <f t="shared" si="197"/>
        <v>-</v>
      </c>
      <c r="BD378" s="3">
        <f t="shared" si="198"/>
        <v>28</v>
      </c>
      <c r="BE378" s="3">
        <f t="shared" si="199"/>
        <v>55</v>
      </c>
    </row>
    <row r="379" spans="1:58" s="3" customFormat="1" x14ac:dyDescent="0.2">
      <c r="A379" s="3" t="s">
        <v>315</v>
      </c>
      <c r="B379" s="3" t="str">
        <f>LOWER(VLOOKUP(A379,Xtal_Templ!A:B,2,FALSE))</f>
        <v>ox1r_human</v>
      </c>
      <c r="C379" s="3">
        <f>VLOOKUP($A379,'SegEnds_NonXtal_BW#'!$A:$Z,3,FALSE)+D379-50</f>
        <v>33</v>
      </c>
      <c r="D379" s="3">
        <v>51</v>
      </c>
      <c r="E379" s="3">
        <f>IF(ISERROR(VLOOKUP($A379,'SegEnds_NonXtal_BW#'!$A:$Z,4,FALSE)+VLOOKUP($A379,A:AL,4,FALSE)-50),"-",(VLOOKUP($A379,'SegEnds_NonXtal_BW#'!$A:$Z,4,FALSE)+VLOOKUP($A379,A:AL,4,FALSE)-50))</f>
        <v>61</v>
      </c>
      <c r="F379" s="3">
        <f t="shared" si="212"/>
        <v>62</v>
      </c>
      <c r="G379" s="3">
        <v>64</v>
      </c>
      <c r="H379" s="3">
        <f t="shared" si="213"/>
        <v>65</v>
      </c>
      <c r="I379" s="3">
        <f t="shared" si="211"/>
        <v>66</v>
      </c>
      <c r="J379" s="3">
        <v>79</v>
      </c>
      <c r="K379" s="3">
        <f>VLOOKUP($A379,'SegEnds_NonXtal_BW#'!$A:$Z,8,FALSE)+VLOOKUP($A379,A:AL,10,FALSE)-50</f>
        <v>96</v>
      </c>
      <c r="L379" s="3">
        <f t="shared" si="214"/>
        <v>98</v>
      </c>
      <c r="M379" s="3">
        <v>99</v>
      </c>
      <c r="N379" s="3">
        <f t="shared" si="215"/>
        <v>101</v>
      </c>
      <c r="O379" s="3">
        <f t="shared" si="216"/>
        <v>102</v>
      </c>
      <c r="P379" s="3">
        <v>131</v>
      </c>
      <c r="Q379" s="3">
        <f>VLOOKUP($A379,'SegEnds_NonXtal_BW#'!$A:$Z,12,FALSE)+VLOOKUP($A379,A:AL,16,FALSE)-50</f>
        <v>137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3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144</v>
      </c>
      <c r="V379" s="3">
        <v>156</v>
      </c>
      <c r="W379" s="3">
        <f>IF(ISERROR(VLOOKUP($A379,'SegEnds_NonXtal_BW#'!$A:$Z,16,FALSE)+VLOOKUP($A379,A:AL,22,FALSE)-50),"-",(VLOOKUP($A379,'SegEnds_NonXtal_BW#'!$A:$Z,16,FALSE)+VLOOKUP($A379,A:AL,22,FALSE)-50))</f>
        <v>170</v>
      </c>
      <c r="X379" s="3">
        <f>IF(ISERROR(VLOOKUP($A379,'SegEnds_NonXtal_BW#'!$A:$Z,17,FALSE)+VLOOKUP($A379,A:AL,25,FALSE)-50),"-",(VLOOKUP($A379,'SegEnds_NonXtal_BW#'!$A:$Z,17,FALSE)+VLOOKUP($A379,A:AL,25,FALSE)-50))</f>
        <v>181</v>
      </c>
      <c r="Y379" s="3">
        <v>181</v>
      </c>
      <c r="Z379" s="3">
        <f t="shared" si="207"/>
        <v>183</v>
      </c>
      <c r="AA379" s="3">
        <f>IF(ISERROR(VLOOKUP($A379,'SegEnds_NonXtal_BW#'!$A:$Z,19,FALSE)+VLOOKUP($A379,A:AL,28,FALSE)-50),"-",(VLOOKUP($A379,'SegEnds_NonXtal_BW#'!$A:$Z,19,FALSE)+VLOOKUP($A379,A:AL,28,FALSE)-50))</f>
        <v>191</v>
      </c>
      <c r="AB379" s="3">
        <v>209</v>
      </c>
      <c r="AC379" s="3">
        <f>IF(ISERROR((VLOOKUP($A379,'SegEnds_NonXtal_BW#'!$A:$Z,20,FALSE)+VLOOKUP($A379,A:AL,28,FALSE)-50)),"-",(VLOOKUP($A379,'SegEnds_NonXtal_BW#'!$A:$Z,20,FALSE)+VLOOKUP($A379,A:AL,28,FALSE)-50))</f>
        <v>232</v>
      </c>
      <c r="AD379" s="3">
        <f>IF(ISERROR(VLOOKUP($A379,'SegEnds_NonXtal_BW#'!$A:$Z,21,FALSE)+VLOOKUP($A379,A:AL,31,FALSE)-50),"-",(VLOOKUP($A379,'SegEnds_NonXtal_BW#'!$A:$Z,21,FALSE)+VLOOKUP($A379,A:AL,31,FALSE)-50))</f>
        <v>237</v>
      </c>
      <c r="AE379" s="3">
        <v>265</v>
      </c>
      <c r="AF379" s="3">
        <f>IF(ISERROR((VLOOKUP($A379,'SegEnds_NonXtal_BW#'!$A:$Z,22,FALSE)+VLOOKUP($A379,A:AL,31,FALSE)-50)),"-",(VLOOKUP($A379,'SegEnds_NonXtal_BW#'!$A:$Z,22,FALSE)+VLOOKUP($A379,A:AL,31,FALSE)-50))</f>
        <v>276</v>
      </c>
      <c r="AG379" s="3">
        <f>IF(ISERROR(VLOOKUP($A379,'SegEnds_NonXtal_BW#'!$A:$Z,23,FALSE)+VLOOKUP($A379,A:AL,34,FALSE)-50),"-",(VLOOKUP($A379,'SegEnds_NonXtal_BW#'!$A:$Z,23,FALSE)+VLOOKUP($A379,A:AL,34,FALSE)-50))</f>
        <v>282</v>
      </c>
      <c r="AH379" s="3">
        <v>304</v>
      </c>
      <c r="AI379" s="3">
        <f>IF(ISERROR((VLOOKUP($A379,'SegEnds_NonXtal_BW#'!$A:$Z,24,FALSE)+VLOOKUP($A379,A:AL,34,FALSE)-50)),"-",(VLOOKUP($A379,'SegEnds_NonXtal_BW#'!$A:$Z,24,FALSE)+VLOOKUP($A379,A:AL,34,FALSE)-50))</f>
        <v>310</v>
      </c>
      <c r="AJ379" s="3">
        <f>IF(ISERROR(VLOOKUP($A379,'SegEnds_NonXtal_BW#'!$A:$Z,25,FALSE)+VLOOKUP($A379,A:AL,37,FALSE)-50),"-",(VLOOKUP($A379,'SegEnds_NonXtal_BW#'!$A:$Z,25,FALSE)+VLOOKUP($A379,A:AL,37,FALSE)-50))</f>
        <v>311</v>
      </c>
      <c r="AK379" s="3">
        <v>314</v>
      </c>
      <c r="AL379" s="3">
        <f>IF(ISERROR((VLOOKUP($A379,'SegEnds_NonXtal_BW#'!$A:$Z,26,FALSE)+VLOOKUP($A379,A:AL,37,FALSE)-50)),"-",(VLOOKUP($A379,'SegEnds_NonXtal_BW#'!$A:$Z,26,FALSE)+VLOOKUP($A379,A:AL,37,FALSE)-50))</f>
        <v>322</v>
      </c>
      <c r="AM379" s="28" t="str">
        <f>VLOOKUP(A379,Classification!A:B,2,FALSE)</f>
        <v>A</v>
      </c>
      <c r="AN379" s="28" t="b">
        <f t="shared" si="200"/>
        <v>1</v>
      </c>
      <c r="AO379" s="3" t="str">
        <f>IF(ISERROR(MATCH(A379,'SegEnds_Xtal_Prot#'!B:B, 0)), "NoXtal", "Xtal")</f>
        <v>NoXtal</v>
      </c>
      <c r="AP379" s="3">
        <f t="shared" si="185"/>
        <v>1</v>
      </c>
      <c r="AQ379" s="3">
        <f t="shared" si="186"/>
        <v>1</v>
      </c>
      <c r="AR379" s="3">
        <f t="shared" si="187"/>
        <v>2</v>
      </c>
      <c r="AS379" s="3">
        <f t="shared" si="188"/>
        <v>1</v>
      </c>
      <c r="AT379" s="3" t="str">
        <f t="shared" si="189"/>
        <v>-</v>
      </c>
      <c r="AU379" s="3" t="str">
        <f t="shared" si="190"/>
        <v>-</v>
      </c>
      <c r="AV379" s="3">
        <f t="shared" si="191"/>
        <v>11</v>
      </c>
      <c r="AW379" s="3">
        <f t="shared" si="192"/>
        <v>8</v>
      </c>
      <c r="AX379" s="3">
        <f t="shared" si="193"/>
        <v>5</v>
      </c>
      <c r="AY379" s="3">
        <f t="shared" si="194"/>
        <v>6</v>
      </c>
      <c r="AZ379" s="3">
        <f t="shared" si="195"/>
        <v>1</v>
      </c>
      <c r="BA379" s="3">
        <f>IF(ISERROR(LEN(VLOOKUP(A379,Seqs!A:E,2,FALSE))-AL379),"-",LEN(VLOOKUP(A379,Seqs!A:E,2,FALSE))-AL379)</f>
        <v>76</v>
      </c>
      <c r="BB379" s="16">
        <f t="shared" si="196"/>
        <v>28</v>
      </c>
      <c r="BC379" s="9" t="str">
        <f t="shared" si="197"/>
        <v>-</v>
      </c>
      <c r="BD379" s="3">
        <f t="shared" si="198"/>
        <v>28</v>
      </c>
      <c r="BE379" s="3">
        <f t="shared" si="199"/>
        <v>56</v>
      </c>
    </row>
    <row r="380" spans="1:58" s="3" customFormat="1" x14ac:dyDescent="0.2">
      <c r="A380" s="3" t="s">
        <v>316</v>
      </c>
      <c r="B380" s="3" t="str">
        <f>LOWER(VLOOKUP(A380,Xtal_Templ!A:B,2,FALSE))</f>
        <v>ox2r_human</v>
      </c>
      <c r="C380" s="3">
        <f>VLOOKUP($A380,'SegEnds_NonXtal_BW#'!$A:$Z,3,FALSE)+D380-50</f>
        <v>84</v>
      </c>
      <c r="D380" s="3">
        <v>103</v>
      </c>
      <c r="E380" s="3">
        <f>IF(ISERROR(VLOOKUP($A380,'SegEnds_NonXtal_BW#'!$A:$Z,4,FALSE)+VLOOKUP($A380,A:AL,4,FALSE)-50),"-",(VLOOKUP($A380,'SegEnds_NonXtal_BW#'!$A:$Z,4,FALSE)+VLOOKUP($A380,A:AL,4,FALSE)-50))</f>
        <v>113</v>
      </c>
      <c r="F380" s="3">
        <f t="shared" si="212"/>
        <v>114</v>
      </c>
      <c r="G380" s="3">
        <v>116</v>
      </c>
      <c r="H380" s="3">
        <f t="shared" si="213"/>
        <v>117</v>
      </c>
      <c r="I380" s="3">
        <f t="shared" si="211"/>
        <v>118</v>
      </c>
      <c r="J380" s="3">
        <v>131</v>
      </c>
      <c r="K380" s="3">
        <f>VLOOKUP($A380,'SegEnds_NonXtal_BW#'!$A:$Z,8,FALSE)+VLOOKUP($A380,A:AL,10,FALSE)-50</f>
        <v>148</v>
      </c>
      <c r="L380" s="3">
        <f t="shared" si="214"/>
        <v>150</v>
      </c>
      <c r="M380" s="3">
        <v>151</v>
      </c>
      <c r="N380" s="3">
        <f t="shared" si="215"/>
        <v>153</v>
      </c>
      <c r="O380" s="3">
        <f t="shared" si="216"/>
        <v>154</v>
      </c>
      <c r="P380" s="3">
        <v>183</v>
      </c>
      <c r="Q380" s="3">
        <f>VLOOKUP($A380,'SegEnds_NonXtal_BW#'!$A:$Z,12,FALSE)+VLOOKUP($A380,A:AL,16,FALSE)-50</f>
        <v>189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3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196</v>
      </c>
      <c r="V380" s="3">
        <v>208</v>
      </c>
      <c r="W380" s="3">
        <f>IF(ISERROR(VLOOKUP($A380,'SegEnds_NonXtal_BW#'!$A:$Z,16,FALSE)+VLOOKUP($A380,A:AL,22,FALSE)-50),"-",(VLOOKUP($A380,'SegEnds_NonXtal_BW#'!$A:$Z,16,FALSE)+VLOOKUP($A380,A:AL,22,FALSE)-50))</f>
        <v>222</v>
      </c>
      <c r="X380" s="3">
        <f>IF(ISERROR(VLOOKUP($A380,'SegEnds_NonXtal_BW#'!$A:$Z,17,FALSE)+VLOOKUP($A380,A:AL,25,FALSE)-50),"-",(VLOOKUP($A380,'SegEnds_NonXtal_BW#'!$A:$Z,17,FALSE)+VLOOKUP($A380,A:AL,25,FALSE)-50))</f>
        <v>233</v>
      </c>
      <c r="Y380" s="3">
        <v>233</v>
      </c>
      <c r="Z380" s="3">
        <f t="shared" si="207"/>
        <v>235</v>
      </c>
      <c r="AA380" s="3">
        <f>IF(ISERROR(VLOOKUP($A380,'SegEnds_NonXtal_BW#'!$A:$Z,19,FALSE)+VLOOKUP($A380,A:AL,28,FALSE)-50),"-",(VLOOKUP($A380,'SegEnds_NonXtal_BW#'!$A:$Z,19,FALSE)+VLOOKUP($A380,A:AL,28,FALSE)-50))</f>
        <v>241</v>
      </c>
      <c r="AB380" s="3">
        <v>259</v>
      </c>
      <c r="AC380" s="3">
        <f>IF(ISERROR((VLOOKUP($A380,'SegEnds_NonXtal_BW#'!$A:$Z,20,FALSE)+VLOOKUP($A380,A:AL,28,FALSE)-50)),"-",(VLOOKUP($A380,'SegEnds_NonXtal_BW#'!$A:$Z,20,FALSE)+VLOOKUP($A380,A:AL,28,FALSE)-50))</f>
        <v>282</v>
      </c>
      <c r="AD380" s="3">
        <f>IF(ISERROR(VLOOKUP($A380,'SegEnds_NonXtal_BW#'!$A:$Z,21,FALSE)+VLOOKUP($A380,A:AL,31,FALSE)-50),"-",(VLOOKUP($A380,'SegEnds_NonXtal_BW#'!$A:$Z,21,FALSE)+VLOOKUP($A380,A:AL,31,FALSE)-50))</f>
        <v>286</v>
      </c>
      <c r="AE380" s="3">
        <v>314</v>
      </c>
      <c r="AF380" s="3">
        <f>IF(ISERROR((VLOOKUP($A380,'SegEnds_NonXtal_BW#'!$A:$Z,22,FALSE)+VLOOKUP($A380,A:AL,31,FALSE)-50)),"-",(VLOOKUP($A380,'SegEnds_NonXtal_BW#'!$A:$Z,22,FALSE)+VLOOKUP($A380,A:AL,31,FALSE)-50))</f>
        <v>325</v>
      </c>
      <c r="AG380" s="3">
        <f>IF(ISERROR(VLOOKUP($A380,'SegEnds_NonXtal_BW#'!$A:$Z,23,FALSE)+VLOOKUP($A380,A:AL,34,FALSE)-50),"-",(VLOOKUP($A380,'SegEnds_NonXtal_BW#'!$A:$Z,23,FALSE)+VLOOKUP($A380,A:AL,34,FALSE)-50))</f>
        <v>331</v>
      </c>
      <c r="AH380" s="3">
        <v>353</v>
      </c>
      <c r="AI380" s="3">
        <f>IF(ISERROR((VLOOKUP($A380,'SegEnds_NonXtal_BW#'!$A:$Z,24,FALSE)+VLOOKUP($A380,A:AL,34,FALSE)-50)),"-",(VLOOKUP($A380,'SegEnds_NonXtal_BW#'!$A:$Z,24,FALSE)+VLOOKUP($A380,A:AL,34,FALSE)-50))</f>
        <v>359</v>
      </c>
      <c r="AJ380" s="3">
        <f>IF(ISERROR(VLOOKUP($A380,'SegEnds_NonXtal_BW#'!$A:$Z,25,FALSE)+VLOOKUP($A380,A:AL,37,FALSE)-50),"-",(VLOOKUP($A380,'SegEnds_NonXtal_BW#'!$A:$Z,25,FALSE)+VLOOKUP($A380,A:AL,37,FALSE)-50))</f>
        <v>360</v>
      </c>
      <c r="AK380" s="3">
        <v>363</v>
      </c>
      <c r="AL380" s="3">
        <f>IF(ISERROR((VLOOKUP($A380,'SegEnds_NonXtal_BW#'!$A:$Z,26,FALSE)+VLOOKUP($A380,A:AL,37,FALSE)-50)),"-",(VLOOKUP($A380,'SegEnds_NonXtal_BW#'!$A:$Z,26,FALSE)+VLOOKUP($A380,A:AL,37,FALSE)-50))</f>
        <v>371</v>
      </c>
      <c r="AM380" s="28" t="str">
        <f>VLOOKUP(A380,Classification!A:B,2,FALSE)</f>
        <v>A</v>
      </c>
      <c r="AN380" s="28" t="b">
        <f t="shared" si="200"/>
        <v>1</v>
      </c>
      <c r="AO380" s="3" t="str">
        <f>IF(ISERROR(MATCH(A380,'SegEnds_Xtal_Prot#'!B:B, 0)), "NoXtal", "Xtal")</f>
        <v>NoXtal</v>
      </c>
      <c r="AP380" s="3">
        <f t="shared" si="185"/>
        <v>1</v>
      </c>
      <c r="AQ380" s="3">
        <f t="shared" si="186"/>
        <v>1</v>
      </c>
      <c r="AR380" s="3">
        <f t="shared" si="187"/>
        <v>2</v>
      </c>
      <c r="AS380" s="3">
        <f t="shared" si="188"/>
        <v>1</v>
      </c>
      <c r="AT380" s="3" t="str">
        <f t="shared" si="189"/>
        <v>-</v>
      </c>
      <c r="AU380" s="3" t="str">
        <f t="shared" si="190"/>
        <v>-</v>
      </c>
      <c r="AV380" s="3">
        <f t="shared" si="191"/>
        <v>11</v>
      </c>
      <c r="AW380" s="3">
        <f t="shared" si="192"/>
        <v>6</v>
      </c>
      <c r="AX380" s="3">
        <f t="shared" si="193"/>
        <v>4</v>
      </c>
      <c r="AY380" s="3">
        <f t="shared" si="194"/>
        <v>6</v>
      </c>
      <c r="AZ380" s="3">
        <f t="shared" si="195"/>
        <v>1</v>
      </c>
      <c r="BA380" s="3">
        <f>IF(ISERROR(LEN(VLOOKUP(A380,Seqs!A:E,2,FALSE))-AL380),"-",LEN(VLOOKUP(A380,Seqs!A:E,2,FALSE))-AL380)</f>
        <v>94</v>
      </c>
      <c r="BB380" s="16">
        <f t="shared" si="196"/>
        <v>28</v>
      </c>
      <c r="BC380" s="9" t="str">
        <f t="shared" si="197"/>
        <v>-</v>
      </c>
      <c r="BD380" s="3">
        <f t="shared" si="198"/>
        <v>28</v>
      </c>
      <c r="BE380" s="3">
        <f t="shared" si="199"/>
        <v>55</v>
      </c>
    </row>
    <row r="381" spans="1:58" s="3" customFormat="1" x14ac:dyDescent="0.2">
      <c r="A381" s="3" t="s">
        <v>320</v>
      </c>
      <c r="B381" s="3" t="str">
        <f>LOWER(VLOOKUP(A381,Xtal_Templ!A:B,2,FALSE))</f>
        <v>oprk_human</v>
      </c>
      <c r="C381" s="3">
        <f>VLOOKUP($A381,'SegEnds_NonXtal_BW#'!$A:$Z,3,FALSE)+D381-50</f>
        <v>35</v>
      </c>
      <c r="D381" s="3">
        <v>55</v>
      </c>
      <c r="E381" s="3">
        <f>IF(ISERROR(VLOOKUP($A381,'SegEnds_NonXtal_BW#'!$A:$Z,4,FALSE)+VLOOKUP($A381,A:AL,4,FALSE)-50),"-",(VLOOKUP($A381,'SegEnds_NonXtal_BW#'!$A:$Z,4,FALSE)+VLOOKUP($A381,A:AL,4,FALSE)-50))</f>
        <v>65</v>
      </c>
      <c r="F381" s="3">
        <f t="shared" si="212"/>
        <v>66</v>
      </c>
      <c r="G381" s="3">
        <v>68</v>
      </c>
      <c r="H381" s="3">
        <f t="shared" si="213"/>
        <v>69</v>
      </c>
      <c r="I381" s="3">
        <f t="shared" si="211"/>
        <v>70</v>
      </c>
      <c r="J381" s="3">
        <v>83</v>
      </c>
      <c r="K381" s="3">
        <f>VLOOKUP($A381,'SegEnds_NonXtal_BW#'!$A:$Z,8,FALSE)+VLOOKUP($A381,A:AL,10,FALSE)-50</f>
        <v>99</v>
      </c>
      <c r="L381" s="3">
        <f t="shared" si="214"/>
        <v>101</v>
      </c>
      <c r="M381" s="3">
        <v>102</v>
      </c>
      <c r="N381" s="3">
        <f t="shared" si="215"/>
        <v>104</v>
      </c>
      <c r="O381" s="3">
        <f t="shared" si="216"/>
        <v>105</v>
      </c>
      <c r="P381" s="3">
        <v>134</v>
      </c>
      <c r="Q381" s="3">
        <f>VLOOKUP($A381,'SegEnds_NonXtal_BW#'!$A:$Z,12,FALSE)+VLOOKUP($A381,A:AL,16,FALSE)-50</f>
        <v>140</v>
      </c>
      <c r="R381" s="3" t="str">
        <f>IF(ISERROR(VLOOKUP($A381,'SegEnds_NonXtal_BW#'!$A:$Z,13,FALSE)+VLOOKUP($A381,A:AL,19,FALSE)-50),"-",VLOOKUP($A381,'SegEnds_NonXtal_BW#'!$A:$Z,13,FALSE)+VLOOKUP($A381,A:AL,19,FALSE)-50)</f>
        <v>-</v>
      </c>
      <c r="S381" s="3" t="s">
        <v>23</v>
      </c>
      <c r="T381" s="103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151</v>
      </c>
      <c r="V381" s="3">
        <v>163</v>
      </c>
      <c r="W381" s="3">
        <f>IF(ISERROR(VLOOKUP($A381,'SegEnds_NonXtal_BW#'!$A:$Z,16,FALSE)+VLOOKUP($A381,A:AL,22,FALSE)-50),"-",(VLOOKUP($A381,'SegEnds_NonXtal_BW#'!$A:$Z,16,FALSE)+VLOOKUP($A381,A:AL,22,FALSE)-50))</f>
        <v>177</v>
      </c>
      <c r="X381" s="3">
        <f>IF(ISERROR(VLOOKUP($A381,'SegEnds_NonXtal_BW#'!$A:$Z,17,FALSE)+VLOOKUP($A381,A:AL,25,FALSE)-50),"-",(VLOOKUP($A381,'SegEnds_NonXtal_BW#'!$A:$Z,17,FALSE)+VLOOKUP($A381,A:AL,25,FALSE)-50))</f>
        <v>188</v>
      </c>
      <c r="Y381" s="3">
        <v>188</v>
      </c>
      <c r="Z381" s="3">
        <f t="shared" si="207"/>
        <v>190</v>
      </c>
      <c r="AA381" s="3">
        <f>IF(ISERROR(VLOOKUP($A381,'SegEnds_NonXtal_BW#'!$A:$Z,19,FALSE)+VLOOKUP($A381,A:AL,28,FALSE)-50),"-",(VLOOKUP($A381,'SegEnds_NonXtal_BW#'!$A:$Z,19,FALSE)+VLOOKUP($A381,A:AL,28,FALSE)-50))</f>
        <v>196</v>
      </c>
      <c r="AB381" s="3">
        <v>215</v>
      </c>
      <c r="AC381" s="3">
        <f>IF(ISERROR((VLOOKUP($A381,'SegEnds_NonXtal_BW#'!$A:$Z,20,FALSE)+VLOOKUP($A381,A:AL,28,FALSE)-50)),"-",(VLOOKUP($A381,'SegEnds_NonXtal_BW#'!$A:$Z,20,FALSE)+VLOOKUP($A381,A:AL,28,FALSE)-50))</f>
        <v>233</v>
      </c>
      <c r="AD381" s="3">
        <f>IF(ISERROR(VLOOKUP($A381,'SegEnds_NonXtal_BW#'!$A:$Z,21,FALSE)+VLOOKUP($A381,A:AL,31,FALSE)-50),"-",(VLOOKUP($A381,'SegEnds_NonXtal_BW#'!$A:$Z,21,FALSE)+VLOOKUP($A381,A:AL,31,FALSE)-50))</f>
        <v>239</v>
      </c>
      <c r="AE381" s="3">
        <v>266</v>
      </c>
      <c r="AF381" s="3">
        <f>IF(ISERROR((VLOOKUP($A381,'SegEnds_NonXtal_BW#'!$A:$Z,22,FALSE)+VLOOKUP($A381,A:AL,31,FALSE)-50)),"-",(VLOOKUP($A381,'SegEnds_NonXtal_BW#'!$A:$Z,22,FALSE)+VLOOKUP($A381,A:AL,31,FALSE)-50))</f>
        <v>277</v>
      </c>
      <c r="AG381" s="3">
        <f>IF(ISERROR(VLOOKUP($A381,'SegEnds_NonXtal_BW#'!$A:$Z,23,FALSE)+VLOOKUP($A381,A:AL,34,FALSE)-50),"-",(VLOOKUP($A381,'SegEnds_NonXtal_BW#'!$A:$Z,23,FALSE)+VLOOKUP($A381,A:AL,34,FALSE)-50))</f>
        <v>282</v>
      </c>
      <c r="AH381" s="3">
        <v>304</v>
      </c>
      <c r="AI381" s="3">
        <f>IF(ISERROR((VLOOKUP($A381,'SegEnds_NonXtal_BW#'!$A:$Z,24,FALSE)+VLOOKUP($A381,A:AL,34,FALSE)-50)),"-",(VLOOKUP($A381,'SegEnds_NonXtal_BW#'!$A:$Z,24,FALSE)+VLOOKUP($A381,A:AL,34,FALSE)-50))</f>
        <v>310</v>
      </c>
      <c r="AJ381" s="3">
        <f>IF(ISERROR(VLOOKUP($A381,'SegEnds_NonXtal_BW#'!$A:$Z,25,FALSE)+VLOOKUP($A381,A:AL,37,FALSE)-50),"-",(VLOOKUP($A381,'SegEnds_NonXtal_BW#'!$A:$Z,25,FALSE)+VLOOKUP($A381,A:AL,37,FALSE)-50))</f>
        <v>311</v>
      </c>
      <c r="AK381" s="3">
        <v>314</v>
      </c>
      <c r="AL381" s="3">
        <f>IF(ISERROR((VLOOKUP($A381,'SegEnds_NonXtal_BW#'!$A:$Z,26,FALSE)+VLOOKUP($A381,A:AL,37,FALSE)-50)),"-",(VLOOKUP($A381,'SegEnds_NonXtal_BW#'!$A:$Z,26,FALSE)+VLOOKUP($A381,A:AL,37,FALSE)-50))</f>
        <v>323</v>
      </c>
      <c r="AM381" s="28" t="str">
        <f>VLOOKUP(A381,Classification!A:B,2,FALSE)</f>
        <v>A</v>
      </c>
      <c r="AN381" s="28" t="b">
        <f t="shared" si="200"/>
        <v>1</v>
      </c>
      <c r="AO381" s="3" t="str">
        <f>IF(ISERROR(MATCH(A381,'SegEnds_Xtal_Prot#'!B:B, 0)), "NoXtal", "Xtal")</f>
        <v>NoXtal</v>
      </c>
      <c r="AP381" s="3">
        <f t="shared" si="185"/>
        <v>1</v>
      </c>
      <c r="AQ381" s="3">
        <f t="shared" si="186"/>
        <v>1</v>
      </c>
      <c r="AR381" s="3">
        <f t="shared" si="187"/>
        <v>2</v>
      </c>
      <c r="AS381" s="3">
        <f t="shared" si="188"/>
        <v>1</v>
      </c>
      <c r="AT381" s="3" t="str">
        <f t="shared" si="189"/>
        <v>-</v>
      </c>
      <c r="AU381" s="3" t="str">
        <f t="shared" si="190"/>
        <v>-</v>
      </c>
      <c r="AV381" s="3">
        <f t="shared" si="191"/>
        <v>11</v>
      </c>
      <c r="AW381" s="3">
        <f t="shared" si="192"/>
        <v>6</v>
      </c>
      <c r="AX381" s="3">
        <f t="shared" si="193"/>
        <v>6</v>
      </c>
      <c r="AY381" s="3">
        <f t="shared" si="194"/>
        <v>5</v>
      </c>
      <c r="AZ381" s="3">
        <f t="shared" si="195"/>
        <v>1</v>
      </c>
      <c r="BA381" s="3">
        <f>IF(ISERROR(LEN(VLOOKUP(A381,Seqs!A:E,2,FALSE))-AL381),"-",LEN(VLOOKUP(A381,Seqs!A:E,2,FALSE))-AL381)</f>
        <v>5</v>
      </c>
      <c r="BB381" s="16">
        <f t="shared" si="196"/>
        <v>28</v>
      </c>
      <c r="BC381" s="9" t="str">
        <f t="shared" si="197"/>
        <v>-</v>
      </c>
      <c r="BD381" s="3">
        <f t="shared" si="198"/>
        <v>28</v>
      </c>
      <c r="BE381" s="3">
        <f t="shared" si="199"/>
        <v>51</v>
      </c>
      <c r="BF381" s="3">
        <f>AH381-AE381</f>
        <v>38</v>
      </c>
    </row>
    <row r="382" spans="1:58" s="3" customFormat="1" x14ac:dyDescent="0.2">
      <c r="A382" s="3" t="s">
        <v>321</v>
      </c>
      <c r="B382" s="3" t="str">
        <f>LOWER(VLOOKUP(A382,Xtal_Templ!A:B,2,FALSE))</f>
        <v>oprd_human</v>
      </c>
      <c r="C382" s="3">
        <f>VLOOKUP($A382,'SegEnds_NonXtal_BW#'!$A:$Z,3,FALSE)+D382-50</f>
        <v>35</v>
      </c>
      <c r="D382" s="3">
        <v>63</v>
      </c>
      <c r="E382" s="3">
        <f>IF(ISERROR(VLOOKUP($A382,'SegEnds_NonXtal_BW#'!$A:$Z,4,FALSE)+VLOOKUP($A382,A:AL,4,FALSE)-50),"-",(VLOOKUP($A382,'SegEnds_NonXtal_BW#'!$A:$Z,4,FALSE)+VLOOKUP($A382,A:AL,4,FALSE)-50))</f>
        <v>73</v>
      </c>
      <c r="F382" s="3">
        <f t="shared" si="212"/>
        <v>74</v>
      </c>
      <c r="G382" s="3">
        <v>76</v>
      </c>
      <c r="H382" s="3">
        <f t="shared" si="213"/>
        <v>77</v>
      </c>
      <c r="I382" s="3">
        <f t="shared" si="211"/>
        <v>78</v>
      </c>
      <c r="J382" s="3">
        <v>91</v>
      </c>
      <c r="K382" s="3">
        <f>VLOOKUP($A382,'SegEnds_NonXtal_BW#'!$A:$Z,8,FALSE)+VLOOKUP($A382,A:AL,10,FALSE)-50</f>
        <v>107</v>
      </c>
      <c r="L382" s="3">
        <f t="shared" si="214"/>
        <v>109</v>
      </c>
      <c r="M382" s="3">
        <v>110</v>
      </c>
      <c r="N382" s="3">
        <f t="shared" si="215"/>
        <v>112</v>
      </c>
      <c r="O382" s="3">
        <f t="shared" si="216"/>
        <v>113</v>
      </c>
      <c r="P382" s="3">
        <v>142</v>
      </c>
      <c r="Q382" s="3">
        <f>VLOOKUP($A382,'SegEnds_NonXtal_BW#'!$A:$Z,12,FALSE)+VLOOKUP($A382,A:AL,16,FALSE)-50</f>
        <v>148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3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159</v>
      </c>
      <c r="V382" s="3">
        <v>171</v>
      </c>
      <c r="W382" s="3">
        <f>IF(ISERROR(VLOOKUP($A382,'SegEnds_NonXtal_BW#'!$A:$Z,16,FALSE)+VLOOKUP($A382,A:AL,22,FALSE)-50),"-",(VLOOKUP($A382,'SegEnds_NonXtal_BW#'!$A:$Z,16,FALSE)+VLOOKUP($A382,A:AL,22,FALSE)-50))</f>
        <v>185</v>
      </c>
      <c r="X382" s="3">
        <f>IF(ISERROR(VLOOKUP($A382,'SegEnds_NonXtal_BW#'!$A:$Z,17,FALSE)+VLOOKUP($A382,A:AL,25,FALSE)-50),"-",(VLOOKUP($A382,'SegEnds_NonXtal_BW#'!$A:$Z,17,FALSE)+VLOOKUP($A382,A:AL,25,FALSE)-50))</f>
        <v>197</v>
      </c>
      <c r="Y382" s="3">
        <v>197</v>
      </c>
      <c r="Z382" s="3">
        <f t="shared" si="207"/>
        <v>199</v>
      </c>
      <c r="AA382" s="3">
        <f>IF(ISERROR(VLOOKUP($A382,'SegEnds_NonXtal_BW#'!$A:$Z,19,FALSE)+VLOOKUP($A382,A:AL,28,FALSE)-50),"-",(VLOOKUP($A382,'SegEnds_NonXtal_BW#'!$A:$Z,19,FALSE)+VLOOKUP($A382,A:AL,28,FALSE)-50))</f>
        <v>205</v>
      </c>
      <c r="AB382" s="3">
        <v>224</v>
      </c>
      <c r="AC382" s="3">
        <f>IF(ISERROR((VLOOKUP($A382,'SegEnds_NonXtal_BW#'!$A:$Z,20,FALSE)+VLOOKUP($A382,A:AL,28,FALSE)-50)),"-",(VLOOKUP($A382,'SegEnds_NonXtal_BW#'!$A:$Z,20,FALSE)+VLOOKUP($A382,A:AL,28,FALSE)-50))</f>
        <v>242</v>
      </c>
      <c r="AD382" s="3">
        <f>IF(ISERROR(VLOOKUP($A382,'SegEnds_NonXtal_BW#'!$A:$Z,21,FALSE)+VLOOKUP($A382,A:AL,31,FALSE)-50),"-",(VLOOKUP($A382,'SegEnds_NonXtal_BW#'!$A:$Z,21,FALSE)+VLOOKUP($A382,A:AL,31,FALSE)-50))</f>
        <v>248</v>
      </c>
      <c r="AE382" s="3">
        <v>275</v>
      </c>
      <c r="AF382" s="3">
        <f>IF(ISERROR((VLOOKUP($A382,'SegEnds_NonXtal_BW#'!$A:$Z,22,FALSE)+VLOOKUP($A382,A:AL,31,FALSE)-50)),"-",(VLOOKUP($A382,'SegEnds_NonXtal_BW#'!$A:$Z,22,FALSE)+VLOOKUP($A382,A:AL,31,FALSE)-50))</f>
        <v>286</v>
      </c>
      <c r="AG382" s="3">
        <f>IF(ISERROR(VLOOKUP($A382,'SegEnds_NonXtal_BW#'!$A:$Z,23,FALSE)+VLOOKUP($A382,A:AL,34,FALSE)-50),"-",(VLOOKUP($A382,'SegEnds_NonXtal_BW#'!$A:$Z,23,FALSE)+VLOOKUP($A382,A:AL,34,FALSE)-50))</f>
        <v>291</v>
      </c>
      <c r="AH382" s="3">
        <v>313</v>
      </c>
      <c r="AI382" s="3">
        <f>IF(ISERROR((VLOOKUP($A382,'SegEnds_NonXtal_BW#'!$A:$Z,24,FALSE)+VLOOKUP($A382,A:AL,34,FALSE)-50)),"-",(VLOOKUP($A382,'SegEnds_NonXtal_BW#'!$A:$Z,24,FALSE)+VLOOKUP($A382,A:AL,34,FALSE)-50))</f>
        <v>319</v>
      </c>
      <c r="AJ382" s="3">
        <f>IF(ISERROR(VLOOKUP($A382,'SegEnds_NonXtal_BW#'!$A:$Z,25,FALSE)+VLOOKUP($A382,A:AL,37,FALSE)-50),"-",(VLOOKUP($A382,'SegEnds_NonXtal_BW#'!$A:$Z,25,FALSE)+VLOOKUP($A382,A:AL,37,FALSE)-50))</f>
        <v>320</v>
      </c>
      <c r="AK382" s="3">
        <v>323</v>
      </c>
      <c r="AL382" s="3">
        <f>IF(ISERROR((VLOOKUP($A382,'SegEnds_NonXtal_BW#'!$A:$Z,26,FALSE)+VLOOKUP($A382,A:AL,37,FALSE)-50)),"-",(VLOOKUP($A382,'SegEnds_NonXtal_BW#'!$A:$Z,26,FALSE)+VLOOKUP($A382,A:AL,37,FALSE)-50))</f>
        <v>333</v>
      </c>
      <c r="AM382" s="28" t="str">
        <f>VLOOKUP(A382,Classification!A:B,2,FALSE)</f>
        <v>A</v>
      </c>
      <c r="AN382" s="28" t="b">
        <f t="shared" si="200"/>
        <v>1</v>
      </c>
      <c r="AO382" s="3" t="str">
        <f>IF(ISERROR(MATCH(A382,'SegEnds_Xtal_Prot#'!B:B, 0)), "NoXtal", "Xtal")</f>
        <v>NoXtal</v>
      </c>
      <c r="AP382" s="3">
        <f t="shared" si="185"/>
        <v>1</v>
      </c>
      <c r="AQ382" s="3">
        <f t="shared" si="186"/>
        <v>1</v>
      </c>
      <c r="AR382" s="3">
        <f t="shared" si="187"/>
        <v>2</v>
      </c>
      <c r="AS382" s="3">
        <f t="shared" si="188"/>
        <v>1</v>
      </c>
      <c r="AT382" s="3" t="str">
        <f t="shared" si="189"/>
        <v>-</v>
      </c>
      <c r="AU382" s="3" t="str">
        <f t="shared" si="190"/>
        <v>-</v>
      </c>
      <c r="AV382" s="3">
        <f t="shared" si="191"/>
        <v>12</v>
      </c>
      <c r="AW382" s="3">
        <f t="shared" si="192"/>
        <v>6</v>
      </c>
      <c r="AX382" s="3">
        <f t="shared" si="193"/>
        <v>6</v>
      </c>
      <c r="AY382" s="3">
        <f t="shared" si="194"/>
        <v>5</v>
      </c>
      <c r="AZ382" s="3">
        <f t="shared" si="195"/>
        <v>1</v>
      </c>
      <c r="BA382" s="3">
        <f>IF(ISERROR(LEN(VLOOKUP(A382,Seqs!A:E,2,FALSE))-AL382),"-",LEN(VLOOKUP(A382,Seqs!A:E,2,FALSE))-AL382)</f>
        <v>0</v>
      </c>
      <c r="BB382" s="16">
        <f t="shared" si="196"/>
        <v>28</v>
      </c>
      <c r="BC382" s="9" t="str">
        <f t="shared" si="197"/>
        <v>-</v>
      </c>
      <c r="BD382" s="3">
        <f t="shared" si="198"/>
        <v>28</v>
      </c>
      <c r="BE382" s="3">
        <f t="shared" si="199"/>
        <v>51</v>
      </c>
      <c r="BF382" s="3">
        <f>AH382-AE382</f>
        <v>38</v>
      </c>
    </row>
    <row r="383" spans="1:58" s="3" customFormat="1" x14ac:dyDescent="0.2">
      <c r="A383" s="3" t="s">
        <v>322</v>
      </c>
      <c r="B383" s="3" t="str">
        <f>LOWER(VLOOKUP(A383,Xtal_Templ!A:B,2,FALSE))</f>
        <v>ox1r_human</v>
      </c>
      <c r="C383" s="3">
        <f>VLOOKUP($A383,'SegEnds_NonXtal_BW#'!$A:$Z,3,FALSE)+D383-50</f>
        <v>43</v>
      </c>
      <c r="D383" s="3">
        <v>61</v>
      </c>
      <c r="E383" s="3">
        <f>IF(ISERROR(VLOOKUP($A383,'SegEnds_NonXtal_BW#'!$A:$Z,4,FALSE)+VLOOKUP($A383,A:AL,4,FALSE)-50),"-",(VLOOKUP($A383,'SegEnds_NonXtal_BW#'!$A:$Z,4,FALSE)+VLOOKUP($A383,A:AL,4,FALSE)-50))</f>
        <v>71</v>
      </c>
      <c r="F383" s="3">
        <f t="shared" si="212"/>
        <v>72</v>
      </c>
      <c r="G383" s="3">
        <v>74</v>
      </c>
      <c r="H383" s="3">
        <f t="shared" si="213"/>
        <v>75</v>
      </c>
      <c r="I383" s="3">
        <f t="shared" si="211"/>
        <v>76</v>
      </c>
      <c r="J383" s="3">
        <v>89</v>
      </c>
      <c r="K383" s="3">
        <f>VLOOKUP($A383,'SegEnds_NonXtal_BW#'!$A:$Z,8,FALSE)+VLOOKUP($A383,A:AL,10,FALSE)-50</f>
        <v>106</v>
      </c>
      <c r="L383" s="3">
        <f t="shared" si="214"/>
        <v>108</v>
      </c>
      <c r="M383" s="3">
        <v>109</v>
      </c>
      <c r="N383" s="3">
        <f t="shared" si="215"/>
        <v>111</v>
      </c>
      <c r="O383" s="3">
        <f t="shared" si="216"/>
        <v>112</v>
      </c>
      <c r="P383" s="3">
        <v>141</v>
      </c>
      <c r="Q383" s="3">
        <f>VLOOKUP($A383,'SegEnds_NonXtal_BW#'!$A:$Z,12,FALSE)+VLOOKUP($A383,A:AL,16,FALSE)-50</f>
        <v>147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3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154</v>
      </c>
      <c r="V383" s="3">
        <v>166</v>
      </c>
      <c r="W383" s="3">
        <f>IF(ISERROR(VLOOKUP($A383,'SegEnds_NonXtal_BW#'!$A:$Z,16,FALSE)+VLOOKUP($A383,A:AL,22,FALSE)-50),"-",(VLOOKUP($A383,'SegEnds_NonXtal_BW#'!$A:$Z,16,FALSE)+VLOOKUP($A383,A:AL,22,FALSE)-50))</f>
        <v>180</v>
      </c>
      <c r="X383" s="3">
        <f>IF(ISERROR(VLOOKUP($A383,'SegEnds_NonXtal_BW#'!$A:$Z,17,FALSE)+VLOOKUP($A383,A:AL,25,FALSE)-50),"-",(VLOOKUP($A383,'SegEnds_NonXtal_BW#'!$A:$Z,17,FALSE)+VLOOKUP($A383,A:AL,25,FALSE)-50))</f>
        <v>203</v>
      </c>
      <c r="Y383" s="3">
        <v>203</v>
      </c>
      <c r="Z383" s="3">
        <f t="shared" si="207"/>
        <v>205</v>
      </c>
      <c r="AA383" s="3">
        <f>IF(ISERROR(VLOOKUP($A383,'SegEnds_NonXtal_BW#'!$A:$Z,19,FALSE)+VLOOKUP($A383,A:AL,28,FALSE)-50),"-",(VLOOKUP($A383,'SegEnds_NonXtal_BW#'!$A:$Z,19,FALSE)+VLOOKUP($A383,A:AL,28,FALSE)-50))</f>
        <v>210</v>
      </c>
      <c r="AB383" s="3">
        <v>228</v>
      </c>
      <c r="AC383" s="3">
        <f>IF(ISERROR((VLOOKUP($A383,'SegEnds_NonXtal_BW#'!$A:$Z,20,FALSE)+VLOOKUP($A383,A:AL,28,FALSE)-50)),"-",(VLOOKUP($A383,'SegEnds_NonXtal_BW#'!$A:$Z,20,FALSE)+VLOOKUP($A383,A:AL,28,FALSE)-50))</f>
        <v>250</v>
      </c>
      <c r="AD383" s="3">
        <f>IF(ISERROR(VLOOKUP($A383,'SegEnds_NonXtal_BW#'!$A:$Z,21,FALSE)+VLOOKUP($A383,A:AL,31,FALSE)-50),"-",(VLOOKUP($A383,'SegEnds_NonXtal_BW#'!$A:$Z,21,FALSE)+VLOOKUP($A383,A:AL,31,FALSE)-50))</f>
        <v>259</v>
      </c>
      <c r="AE383" s="3">
        <v>285</v>
      </c>
      <c r="AF383" s="3">
        <f>IF(ISERROR((VLOOKUP($A383,'SegEnds_NonXtal_BW#'!$A:$Z,22,FALSE)+VLOOKUP($A383,A:AL,31,FALSE)-50)),"-",(VLOOKUP($A383,'SegEnds_NonXtal_BW#'!$A:$Z,22,FALSE)+VLOOKUP($A383,A:AL,31,FALSE)-50))</f>
        <v>296</v>
      </c>
      <c r="AG383" s="3">
        <f>IF(ISERROR(VLOOKUP($A383,'SegEnds_NonXtal_BW#'!$A:$Z,23,FALSE)+VLOOKUP($A383,A:AL,34,FALSE)-50),"-",(VLOOKUP($A383,'SegEnds_NonXtal_BW#'!$A:$Z,23,FALSE)+VLOOKUP($A383,A:AL,34,FALSE)-50))</f>
        <v>304</v>
      </c>
      <c r="AH383" s="3">
        <v>326</v>
      </c>
      <c r="AI383" s="3">
        <f>IF(ISERROR((VLOOKUP($A383,'SegEnds_NonXtal_BW#'!$A:$Z,24,FALSE)+VLOOKUP($A383,A:AL,34,FALSE)-50)),"-",(VLOOKUP($A383,'SegEnds_NonXtal_BW#'!$A:$Z,24,FALSE)+VLOOKUP($A383,A:AL,34,FALSE)-50))</f>
        <v>332</v>
      </c>
      <c r="AJ383" s="3">
        <f>IF(ISERROR(VLOOKUP($A383,'SegEnds_NonXtal_BW#'!$A:$Z,25,FALSE)+VLOOKUP($A383,A:AL,37,FALSE)-50),"-",(VLOOKUP($A383,'SegEnds_NonXtal_BW#'!$A:$Z,25,FALSE)+VLOOKUP($A383,A:AL,37,FALSE)-50))</f>
        <v>333</v>
      </c>
      <c r="AK383" s="3">
        <v>336</v>
      </c>
      <c r="AL383" s="3">
        <f>IF(ISERROR((VLOOKUP($A383,'SegEnds_NonXtal_BW#'!$A:$Z,26,FALSE)+VLOOKUP($A383,A:AL,37,FALSE)-50)),"-",(VLOOKUP($A383,'SegEnds_NonXtal_BW#'!$A:$Z,26,FALSE)+VLOOKUP($A383,A:AL,37,FALSE)-50))</f>
        <v>344</v>
      </c>
      <c r="AM383" s="28" t="str">
        <f>VLOOKUP(A383,Classification!A:B,2,FALSE)</f>
        <v>A</v>
      </c>
      <c r="AN383" s="28" t="b">
        <f t="shared" si="200"/>
        <v>1</v>
      </c>
      <c r="AO383" s="3" t="str">
        <f>IF(ISERROR(MATCH(A383,'SegEnds_Xtal_Prot#'!B:B, 0)), "NoXtal", "Xtal")</f>
        <v>NoXtal</v>
      </c>
      <c r="AP383" s="3">
        <f t="shared" si="185"/>
        <v>1</v>
      </c>
      <c r="AQ383" s="3">
        <f t="shared" si="186"/>
        <v>1</v>
      </c>
      <c r="AR383" s="3">
        <f t="shared" si="187"/>
        <v>2</v>
      </c>
      <c r="AS383" s="3">
        <f t="shared" si="188"/>
        <v>1</v>
      </c>
      <c r="AT383" s="3" t="str">
        <f t="shared" si="189"/>
        <v>-</v>
      </c>
      <c r="AU383" s="3" t="str">
        <f t="shared" si="190"/>
        <v>-</v>
      </c>
      <c r="AV383" s="3">
        <f t="shared" si="191"/>
        <v>23</v>
      </c>
      <c r="AW383" s="3">
        <f t="shared" si="192"/>
        <v>5</v>
      </c>
      <c r="AX383" s="3">
        <f t="shared" si="193"/>
        <v>9</v>
      </c>
      <c r="AY383" s="3">
        <f t="shared" si="194"/>
        <v>8</v>
      </c>
      <c r="AZ383" s="3">
        <f t="shared" si="195"/>
        <v>1</v>
      </c>
      <c r="BA383" s="3">
        <f>IF(ISERROR(LEN(VLOOKUP(A383,Seqs!A:E,2,FALSE))-AL383),"-",LEN(VLOOKUP(A383,Seqs!A:E,2,FALSE))-AL383)</f>
        <v>86</v>
      </c>
      <c r="BB383" s="16">
        <f t="shared" si="196"/>
        <v>28</v>
      </c>
      <c r="BC383" s="9" t="str">
        <f t="shared" si="197"/>
        <v>-</v>
      </c>
      <c r="BD383" s="3">
        <f t="shared" si="198"/>
        <v>28</v>
      </c>
      <c r="BE383" s="3">
        <f t="shared" si="199"/>
        <v>57</v>
      </c>
    </row>
    <row r="384" spans="1:58" s="3" customFormat="1" x14ac:dyDescent="0.2">
      <c r="A384" s="3" t="s">
        <v>323</v>
      </c>
      <c r="B384" s="3" t="str">
        <f>LOWER(VLOOKUP(A384,Xtal_Templ!A:B,2,FALSE))</f>
        <v>ox2r_human</v>
      </c>
      <c r="C384" s="3">
        <f>VLOOKUP($A384,'SegEnds_NonXtal_BW#'!$A:$Z,3,FALSE)+D384-50</f>
        <v>146</v>
      </c>
      <c r="D384" s="3">
        <v>165</v>
      </c>
      <c r="E384" s="3">
        <f>IF(ISERROR(VLOOKUP($A384,'SegEnds_NonXtal_BW#'!$A:$Z,4,FALSE)+VLOOKUP($A384,A:AL,4,FALSE)-50),"-",(VLOOKUP($A384,'SegEnds_NonXtal_BW#'!$A:$Z,4,FALSE)+VLOOKUP($A384,A:AL,4,FALSE)-50))</f>
        <v>175</v>
      </c>
      <c r="F384" s="3">
        <f t="shared" si="212"/>
        <v>176</v>
      </c>
      <c r="G384" s="3">
        <v>178</v>
      </c>
      <c r="H384" s="3">
        <f t="shared" si="213"/>
        <v>179</v>
      </c>
      <c r="I384" s="3">
        <f t="shared" si="211"/>
        <v>180</v>
      </c>
      <c r="J384" s="3">
        <v>193</v>
      </c>
      <c r="K384" s="3">
        <f>VLOOKUP($A384,'SegEnds_NonXtal_BW#'!$A:$Z,8,FALSE)+VLOOKUP($A384,A:AL,10,FALSE)-50</f>
        <v>210</v>
      </c>
      <c r="L384" s="3">
        <f t="shared" si="214"/>
        <v>212</v>
      </c>
      <c r="M384" s="3">
        <v>213</v>
      </c>
      <c r="N384" s="3">
        <f t="shared" si="215"/>
        <v>215</v>
      </c>
      <c r="O384" s="3">
        <f t="shared" si="216"/>
        <v>216</v>
      </c>
      <c r="P384" s="3">
        <v>245</v>
      </c>
      <c r="Q384" s="3">
        <f>VLOOKUP($A384,'SegEnds_NonXtal_BW#'!$A:$Z,12,FALSE)+VLOOKUP($A384,A:AL,16,FALSE)-50</f>
        <v>251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3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258</v>
      </c>
      <c r="V384" s="3">
        <v>270</v>
      </c>
      <c r="W384" s="3">
        <f>IF(ISERROR(VLOOKUP($A384,'SegEnds_NonXtal_BW#'!$A:$Z,16,FALSE)+VLOOKUP($A384,A:AL,22,FALSE)-50),"-",(VLOOKUP($A384,'SegEnds_NonXtal_BW#'!$A:$Z,16,FALSE)+VLOOKUP($A384,A:AL,22,FALSE)-50))</f>
        <v>284</v>
      </c>
      <c r="X384" s="3">
        <f>IF(ISERROR(VLOOKUP($A384,'SegEnds_NonXtal_BW#'!$A:$Z,17,FALSE)+VLOOKUP($A384,A:AL,25,FALSE)-50),"-",(VLOOKUP($A384,'SegEnds_NonXtal_BW#'!$A:$Z,17,FALSE)+VLOOKUP($A384,A:AL,25,FALSE)-50))</f>
        <v>308</v>
      </c>
      <c r="Y384" s="3">
        <v>308</v>
      </c>
      <c r="Z384" s="3">
        <f t="shared" si="207"/>
        <v>310</v>
      </c>
      <c r="AA384" s="3">
        <f>IF(ISERROR(VLOOKUP($A384,'SegEnds_NonXtal_BW#'!$A:$Z,19,FALSE)+VLOOKUP($A384,A:AL,28,FALSE)-50),"-",(VLOOKUP($A384,'SegEnds_NonXtal_BW#'!$A:$Z,19,FALSE)+VLOOKUP($A384,A:AL,28,FALSE)-50))</f>
        <v>315</v>
      </c>
      <c r="AB384" s="3">
        <v>333</v>
      </c>
      <c r="AC384" s="3">
        <f>IF(ISERROR((VLOOKUP($A384,'SegEnds_NonXtal_BW#'!$A:$Z,20,FALSE)+VLOOKUP($A384,A:AL,28,FALSE)-50)),"-",(VLOOKUP($A384,'SegEnds_NonXtal_BW#'!$A:$Z,20,FALSE)+VLOOKUP($A384,A:AL,28,FALSE)-50))</f>
        <v>356</v>
      </c>
      <c r="AD384" s="3">
        <f>IF(ISERROR(VLOOKUP($A384,'SegEnds_NonXtal_BW#'!$A:$Z,21,FALSE)+VLOOKUP($A384,A:AL,31,FALSE)-50),"-",(VLOOKUP($A384,'SegEnds_NonXtal_BW#'!$A:$Z,21,FALSE)+VLOOKUP($A384,A:AL,31,FALSE)-50))</f>
        <v>365</v>
      </c>
      <c r="AE384" s="3">
        <v>391</v>
      </c>
      <c r="AF384" s="3">
        <f>IF(ISERROR((VLOOKUP($A384,'SegEnds_NonXtal_BW#'!$A:$Z,22,FALSE)+VLOOKUP($A384,A:AL,31,FALSE)-50)),"-",(VLOOKUP($A384,'SegEnds_NonXtal_BW#'!$A:$Z,22,FALSE)+VLOOKUP($A384,A:AL,31,FALSE)-50))</f>
        <v>402</v>
      </c>
      <c r="AG384" s="3">
        <f>IF(ISERROR(VLOOKUP($A384,'SegEnds_NonXtal_BW#'!$A:$Z,23,FALSE)+VLOOKUP($A384,A:AL,34,FALSE)-50),"-",(VLOOKUP($A384,'SegEnds_NonXtal_BW#'!$A:$Z,23,FALSE)+VLOOKUP($A384,A:AL,34,FALSE)-50))</f>
        <v>410</v>
      </c>
      <c r="AH384" s="3">
        <v>432</v>
      </c>
      <c r="AI384" s="3">
        <f>IF(ISERROR((VLOOKUP($A384,'SegEnds_NonXtal_BW#'!$A:$Z,24,FALSE)+VLOOKUP($A384,A:AL,34,FALSE)-50)),"-",(VLOOKUP($A384,'SegEnds_NonXtal_BW#'!$A:$Z,24,FALSE)+VLOOKUP($A384,A:AL,34,FALSE)-50))</f>
        <v>438</v>
      </c>
      <c r="AJ384" s="3">
        <f>IF(ISERROR(VLOOKUP($A384,'SegEnds_NonXtal_BW#'!$A:$Z,25,FALSE)+VLOOKUP($A384,A:AL,37,FALSE)-50),"-",(VLOOKUP($A384,'SegEnds_NonXtal_BW#'!$A:$Z,25,FALSE)+VLOOKUP($A384,A:AL,37,FALSE)-50))</f>
        <v>439</v>
      </c>
      <c r="AK384" s="3">
        <v>442</v>
      </c>
      <c r="AL384" s="3">
        <f>IF(ISERROR((VLOOKUP($A384,'SegEnds_NonXtal_BW#'!$A:$Z,26,FALSE)+VLOOKUP($A384,A:AL,37,FALSE)-50)),"-",(VLOOKUP($A384,'SegEnds_NonXtal_BW#'!$A:$Z,26,FALSE)+VLOOKUP($A384,A:AL,37,FALSE)-50))</f>
        <v>450</v>
      </c>
      <c r="AM384" s="28" t="str">
        <f>VLOOKUP(A384,Classification!A:B,2,FALSE)</f>
        <v>A</v>
      </c>
      <c r="AN384" s="28" t="b">
        <f t="shared" si="200"/>
        <v>1</v>
      </c>
      <c r="AO384" s="3" t="str">
        <f>IF(ISERROR(MATCH(A384,'SegEnds_Xtal_Prot#'!B:B, 0)), "NoXtal", "Xtal")</f>
        <v>NoXtal</v>
      </c>
      <c r="AP384" s="3">
        <f t="shared" si="185"/>
        <v>1</v>
      </c>
      <c r="AQ384" s="3">
        <f t="shared" si="186"/>
        <v>1</v>
      </c>
      <c r="AR384" s="3">
        <f t="shared" si="187"/>
        <v>2</v>
      </c>
      <c r="AS384" s="3">
        <f t="shared" si="188"/>
        <v>1</v>
      </c>
      <c r="AT384" s="3" t="str">
        <f t="shared" si="189"/>
        <v>-</v>
      </c>
      <c r="AU384" s="3" t="str">
        <f t="shared" si="190"/>
        <v>-</v>
      </c>
      <c r="AV384" s="3">
        <f t="shared" si="191"/>
        <v>24</v>
      </c>
      <c r="AW384" s="3">
        <f t="shared" si="192"/>
        <v>5</v>
      </c>
      <c r="AX384" s="3">
        <f t="shared" si="193"/>
        <v>9</v>
      </c>
      <c r="AY384" s="3">
        <f t="shared" si="194"/>
        <v>8</v>
      </c>
      <c r="AZ384" s="3">
        <f t="shared" si="195"/>
        <v>1</v>
      </c>
      <c r="BA384" s="3">
        <f>IF(ISERROR(LEN(VLOOKUP(A384,Seqs!A:E,2,FALSE))-AL384),"-",LEN(VLOOKUP(A384,Seqs!A:E,2,FALSE))-AL384)</f>
        <v>72</v>
      </c>
      <c r="BB384" s="16">
        <f t="shared" si="196"/>
        <v>28</v>
      </c>
      <c r="BC384" s="9" t="str">
        <f t="shared" si="197"/>
        <v>-</v>
      </c>
      <c r="BD384" s="3">
        <f t="shared" si="198"/>
        <v>28</v>
      </c>
      <c r="BE384" s="3">
        <f t="shared" si="199"/>
        <v>58</v>
      </c>
    </row>
    <row r="385" spans="1:58" s="3" customFormat="1" x14ac:dyDescent="0.2">
      <c r="A385" s="3" t="s">
        <v>325</v>
      </c>
      <c r="B385" s="3" t="str">
        <f>LOWER(VLOOKUP(A385,Xtal_Templ!A:B,2,FALSE))</f>
        <v>ox1r_human</v>
      </c>
      <c r="C385" s="3">
        <f>VLOOKUP($A385,'SegEnds_NonXtal_BW#'!$A:$Z,3,FALSE)+D385-50</f>
        <v>40</v>
      </c>
      <c r="D385" s="3">
        <v>58</v>
      </c>
      <c r="E385" s="3">
        <f>IF(ISERROR(VLOOKUP($A385,'SegEnds_NonXtal_BW#'!$A:$Z,4,FALSE)+VLOOKUP($A385,A:AL,4,FALSE)-50),"-",(VLOOKUP($A385,'SegEnds_NonXtal_BW#'!$A:$Z,4,FALSE)+VLOOKUP($A385,A:AL,4,FALSE)-50))</f>
        <v>68</v>
      </c>
      <c r="F385" s="3">
        <f t="shared" si="212"/>
        <v>69</v>
      </c>
      <c r="G385" s="3">
        <v>71</v>
      </c>
      <c r="H385" s="3">
        <f t="shared" si="213"/>
        <v>72</v>
      </c>
      <c r="I385" s="3">
        <f t="shared" si="211"/>
        <v>73</v>
      </c>
      <c r="J385" s="3">
        <v>86</v>
      </c>
      <c r="K385" s="3">
        <f>VLOOKUP($A385,'SegEnds_NonXtal_BW#'!$A:$Z,8,FALSE)+VLOOKUP($A385,A:AL,10,FALSE)-50</f>
        <v>103</v>
      </c>
      <c r="L385" s="3">
        <f t="shared" si="214"/>
        <v>105</v>
      </c>
      <c r="M385" s="3">
        <v>106</v>
      </c>
      <c r="N385" s="3">
        <f t="shared" si="215"/>
        <v>108</v>
      </c>
      <c r="O385" s="3">
        <f t="shared" si="216"/>
        <v>109</v>
      </c>
      <c r="P385" s="3">
        <v>138</v>
      </c>
      <c r="Q385" s="3">
        <f>VLOOKUP($A385,'SegEnds_NonXtal_BW#'!$A:$Z,12,FALSE)+VLOOKUP($A385,A:AL,16,FALSE)-50</f>
        <v>144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3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151</v>
      </c>
      <c r="V385" s="3">
        <v>163</v>
      </c>
      <c r="W385" s="3">
        <f>IF(ISERROR(VLOOKUP($A385,'SegEnds_NonXtal_BW#'!$A:$Z,16,FALSE)+VLOOKUP($A385,A:AL,22,FALSE)-50),"-",(VLOOKUP($A385,'SegEnds_NonXtal_BW#'!$A:$Z,16,FALSE)+VLOOKUP($A385,A:AL,22,FALSE)-50))</f>
        <v>177</v>
      </c>
      <c r="X385" s="3">
        <f>IF(ISERROR(VLOOKUP($A385,'SegEnds_NonXtal_BW#'!$A:$Z,17,FALSE)+VLOOKUP($A385,A:AL,25,FALSE)-50),"-",(VLOOKUP($A385,'SegEnds_NonXtal_BW#'!$A:$Z,17,FALSE)+VLOOKUP($A385,A:AL,25,FALSE)-50))</f>
        <v>198</v>
      </c>
      <c r="Y385" s="3">
        <v>198</v>
      </c>
      <c r="Z385" s="3">
        <f t="shared" si="207"/>
        <v>200</v>
      </c>
      <c r="AA385" s="3">
        <f>IF(ISERROR(VLOOKUP($A385,'SegEnds_NonXtal_BW#'!$A:$Z,19,FALSE)+VLOOKUP($A385,A:AL,28,FALSE)-50),"-",(VLOOKUP($A385,'SegEnds_NonXtal_BW#'!$A:$Z,19,FALSE)+VLOOKUP($A385,A:AL,28,FALSE)-50))</f>
        <v>205</v>
      </c>
      <c r="AB385" s="3">
        <v>223</v>
      </c>
      <c r="AC385" s="3">
        <f>IF(ISERROR((VLOOKUP($A385,'SegEnds_NonXtal_BW#'!$A:$Z,20,FALSE)+VLOOKUP($A385,A:AL,28,FALSE)-50)),"-",(VLOOKUP($A385,'SegEnds_NonXtal_BW#'!$A:$Z,20,FALSE)+VLOOKUP($A385,A:AL,28,FALSE)-50))</f>
        <v>246</v>
      </c>
      <c r="AD385" s="3">
        <f>IF(ISERROR(VLOOKUP($A385,'SegEnds_NonXtal_BW#'!$A:$Z,21,FALSE)+VLOOKUP($A385,A:AL,31,FALSE)-50),"-",(VLOOKUP($A385,'SegEnds_NonXtal_BW#'!$A:$Z,21,FALSE)+VLOOKUP($A385,A:AL,31,FALSE)-50))</f>
        <v>250</v>
      </c>
      <c r="AE385" s="3">
        <v>278</v>
      </c>
      <c r="AF385" s="3">
        <f>IF(ISERROR((VLOOKUP($A385,'SegEnds_NonXtal_BW#'!$A:$Z,22,FALSE)+VLOOKUP($A385,A:AL,31,FALSE)-50)),"-",(VLOOKUP($A385,'SegEnds_NonXtal_BW#'!$A:$Z,22,FALSE)+VLOOKUP($A385,A:AL,31,FALSE)-50))</f>
        <v>289</v>
      </c>
      <c r="AG385" s="3">
        <f>IF(ISERROR(VLOOKUP($A385,'SegEnds_NonXtal_BW#'!$A:$Z,23,FALSE)+VLOOKUP($A385,A:AL,34,FALSE)-50),"-",(VLOOKUP($A385,'SegEnds_NonXtal_BW#'!$A:$Z,23,FALSE)+VLOOKUP($A385,A:AL,34,FALSE)-50))</f>
        <v>295</v>
      </c>
      <c r="AH385" s="3">
        <v>317</v>
      </c>
      <c r="AI385" s="3">
        <f>IF(ISERROR((VLOOKUP($A385,'SegEnds_NonXtal_BW#'!$A:$Z,24,FALSE)+VLOOKUP($A385,A:AL,34,FALSE)-50)),"-",(VLOOKUP($A385,'SegEnds_NonXtal_BW#'!$A:$Z,24,FALSE)+VLOOKUP($A385,A:AL,34,FALSE)-50))</f>
        <v>323</v>
      </c>
      <c r="AJ385" s="3">
        <f>IF(ISERROR(VLOOKUP($A385,'SegEnds_NonXtal_BW#'!$A:$Z,25,FALSE)+VLOOKUP($A385,A:AL,37,FALSE)-50),"-",(VLOOKUP($A385,'SegEnds_NonXtal_BW#'!$A:$Z,25,FALSE)+VLOOKUP($A385,A:AL,37,FALSE)-50))</f>
        <v>324</v>
      </c>
      <c r="AK385" s="3">
        <v>327</v>
      </c>
      <c r="AL385" s="3">
        <f>IF(ISERROR((VLOOKUP($A385,'SegEnds_NonXtal_BW#'!$A:$Z,26,FALSE)+VLOOKUP($A385,A:AL,37,FALSE)-50)),"-",(VLOOKUP($A385,'SegEnds_NonXtal_BW#'!$A:$Z,26,FALSE)+VLOOKUP($A385,A:AL,37,FALSE)-50))</f>
        <v>335</v>
      </c>
      <c r="AM385" s="28" t="str">
        <f>VLOOKUP(A385,Classification!A:B,2,FALSE)</f>
        <v>A</v>
      </c>
      <c r="AN385" s="28" t="b">
        <f t="shared" si="200"/>
        <v>1</v>
      </c>
      <c r="AO385" s="3" t="str">
        <f>IF(ISERROR(MATCH(A385,'SegEnds_Xtal_Prot#'!B:B, 0)), "NoXtal", "Xtal")</f>
        <v>NoXtal</v>
      </c>
      <c r="AP385" s="3">
        <f t="shared" si="185"/>
        <v>1</v>
      </c>
      <c r="AQ385" s="3">
        <f t="shared" si="186"/>
        <v>1</v>
      </c>
      <c r="AR385" s="3">
        <f t="shared" si="187"/>
        <v>2</v>
      </c>
      <c r="AS385" s="3">
        <f t="shared" si="188"/>
        <v>1</v>
      </c>
      <c r="AT385" s="3" t="str">
        <f t="shared" si="189"/>
        <v>-</v>
      </c>
      <c r="AU385" s="3" t="str">
        <f t="shared" si="190"/>
        <v>-</v>
      </c>
      <c r="AV385" s="3">
        <f t="shared" si="191"/>
        <v>21</v>
      </c>
      <c r="AW385" s="3">
        <f t="shared" si="192"/>
        <v>5</v>
      </c>
      <c r="AX385" s="3">
        <f t="shared" si="193"/>
        <v>4</v>
      </c>
      <c r="AY385" s="3">
        <f t="shared" si="194"/>
        <v>6</v>
      </c>
      <c r="AZ385" s="3">
        <f t="shared" si="195"/>
        <v>1</v>
      </c>
      <c r="BA385" s="3">
        <f>IF(ISERROR(LEN(VLOOKUP(A385,Seqs!A:E,2,FALSE))-AL385),"-",LEN(VLOOKUP(A385,Seqs!A:E,2,FALSE))-AL385)</f>
        <v>49</v>
      </c>
      <c r="BB385" s="16">
        <f t="shared" si="196"/>
        <v>28</v>
      </c>
      <c r="BC385" s="9" t="str">
        <f t="shared" si="197"/>
        <v>-</v>
      </c>
      <c r="BD385" s="3">
        <f t="shared" si="198"/>
        <v>28</v>
      </c>
      <c r="BE385" s="3">
        <f t="shared" si="199"/>
        <v>55</v>
      </c>
    </row>
    <row r="386" spans="1:58" s="3" customFormat="1" x14ac:dyDescent="0.2">
      <c r="A386" s="3" t="s">
        <v>326</v>
      </c>
      <c r="B386" s="3" t="str">
        <f>LOWER(VLOOKUP(A386,Xtal_Templ!A:B,2,FALSE))</f>
        <v>ox1r_human</v>
      </c>
      <c r="C386" s="3">
        <f>VLOOKUP($A386,'SegEnds_NonXtal_BW#'!$A:$Z,3,FALSE)+D386-50</f>
        <v>50</v>
      </c>
      <c r="D386" s="3">
        <v>68</v>
      </c>
      <c r="E386" s="3">
        <f>IF(ISERROR(VLOOKUP($A386,'SegEnds_NonXtal_BW#'!$A:$Z,4,FALSE)+VLOOKUP($A386,A:AL,4,FALSE)-50),"-",(VLOOKUP($A386,'SegEnds_NonXtal_BW#'!$A:$Z,4,FALSE)+VLOOKUP($A386,A:AL,4,FALSE)-50))</f>
        <v>78</v>
      </c>
      <c r="F386" s="3">
        <f t="shared" si="212"/>
        <v>79</v>
      </c>
      <c r="G386" s="3">
        <v>81</v>
      </c>
      <c r="H386" s="3">
        <f t="shared" si="213"/>
        <v>82</v>
      </c>
      <c r="I386" s="3">
        <f t="shared" si="211"/>
        <v>83</v>
      </c>
      <c r="J386" s="3">
        <v>96</v>
      </c>
      <c r="K386" s="3">
        <f>VLOOKUP($A386,'SegEnds_NonXtal_BW#'!$A:$Z,8,FALSE)+VLOOKUP($A386,A:AL,10,FALSE)-50</f>
        <v>113</v>
      </c>
      <c r="L386" s="3">
        <f t="shared" si="214"/>
        <v>115</v>
      </c>
      <c r="M386" s="3">
        <v>116</v>
      </c>
      <c r="N386" s="3">
        <f t="shared" si="215"/>
        <v>118</v>
      </c>
      <c r="O386" s="3">
        <f t="shared" si="216"/>
        <v>119</v>
      </c>
      <c r="P386" s="3">
        <v>148</v>
      </c>
      <c r="Q386" s="3">
        <f>VLOOKUP($A386,'SegEnds_NonXtal_BW#'!$A:$Z,12,FALSE)+VLOOKUP($A386,A:AL,16,FALSE)-50</f>
        <v>154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3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161</v>
      </c>
      <c r="V386" s="3">
        <v>173</v>
      </c>
      <c r="W386" s="3">
        <f>IF(ISERROR(VLOOKUP($A386,'SegEnds_NonXtal_BW#'!$A:$Z,16,FALSE)+VLOOKUP($A386,A:AL,22,FALSE)-50),"-",(VLOOKUP($A386,'SegEnds_NonXtal_BW#'!$A:$Z,16,FALSE)+VLOOKUP($A386,A:AL,22,FALSE)-50))</f>
        <v>187</v>
      </c>
      <c r="X386" s="3">
        <f>IF(ISERROR(VLOOKUP($A386,'SegEnds_NonXtal_BW#'!$A:$Z,17,FALSE)+VLOOKUP($A386,A:AL,25,FALSE)-50),"-",(VLOOKUP($A386,'SegEnds_NonXtal_BW#'!$A:$Z,17,FALSE)+VLOOKUP($A386,A:AL,25,FALSE)-50))</f>
        <v>203</v>
      </c>
      <c r="Y386" s="3">
        <v>203</v>
      </c>
      <c r="Z386" s="3">
        <f t="shared" si="207"/>
        <v>205</v>
      </c>
      <c r="AA386" s="3">
        <f>IF(ISERROR(VLOOKUP($A386,'SegEnds_NonXtal_BW#'!$A:$Z,19,FALSE)+VLOOKUP($A386,A:AL,28,FALSE)-50),"-",(VLOOKUP($A386,'SegEnds_NonXtal_BW#'!$A:$Z,19,FALSE)+VLOOKUP($A386,A:AL,28,FALSE)-50))</f>
        <v>213</v>
      </c>
      <c r="AB386" s="3">
        <v>231</v>
      </c>
      <c r="AC386" s="3">
        <f>IF(ISERROR((VLOOKUP($A386,'SegEnds_NonXtal_BW#'!$A:$Z,20,FALSE)+VLOOKUP($A386,A:AL,28,FALSE)-50)),"-",(VLOOKUP($A386,'SegEnds_NonXtal_BW#'!$A:$Z,20,FALSE)+VLOOKUP($A386,A:AL,28,FALSE)-50))</f>
        <v>253</v>
      </c>
      <c r="AD386" s="3">
        <f>IF(ISERROR(VLOOKUP($A386,'SegEnds_NonXtal_BW#'!$A:$Z,21,FALSE)+VLOOKUP($A386,A:AL,31,FALSE)-50),"-",(VLOOKUP($A386,'SegEnds_NonXtal_BW#'!$A:$Z,21,FALSE)+VLOOKUP($A386,A:AL,31,FALSE)-50))</f>
        <v>257</v>
      </c>
      <c r="AE386" s="3">
        <v>283</v>
      </c>
      <c r="AF386" s="3">
        <f>IF(ISERROR((VLOOKUP($A386,'SegEnds_NonXtal_BW#'!$A:$Z,22,FALSE)+VLOOKUP($A386,A:AL,31,FALSE)-50)),"-",(VLOOKUP($A386,'SegEnds_NonXtal_BW#'!$A:$Z,22,FALSE)+VLOOKUP($A386,A:AL,31,FALSE)-50))</f>
        <v>294</v>
      </c>
      <c r="AG386" s="3">
        <f>IF(ISERROR(VLOOKUP($A386,'SegEnds_NonXtal_BW#'!$A:$Z,23,FALSE)+VLOOKUP($A386,A:AL,34,FALSE)-50),"-",(VLOOKUP($A386,'SegEnds_NonXtal_BW#'!$A:$Z,23,FALSE)+VLOOKUP($A386,A:AL,34,FALSE)-50))</f>
        <v>300</v>
      </c>
      <c r="AH386" s="3">
        <v>322</v>
      </c>
      <c r="AI386" s="3">
        <f>IF(ISERROR((VLOOKUP($A386,'SegEnds_NonXtal_BW#'!$A:$Z,24,FALSE)+VLOOKUP($A386,A:AL,34,FALSE)-50)),"-",(VLOOKUP($A386,'SegEnds_NonXtal_BW#'!$A:$Z,24,FALSE)+VLOOKUP($A386,A:AL,34,FALSE)-50))</f>
        <v>328</v>
      </c>
      <c r="AJ386" s="3">
        <f>IF(ISERROR(VLOOKUP($A386,'SegEnds_NonXtal_BW#'!$A:$Z,25,FALSE)+VLOOKUP($A386,A:AL,37,FALSE)-50),"-",(VLOOKUP($A386,'SegEnds_NonXtal_BW#'!$A:$Z,25,FALSE)+VLOOKUP($A386,A:AL,37,FALSE)-50))</f>
        <v>329</v>
      </c>
      <c r="AK386" s="3">
        <v>332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A</v>
      </c>
      <c r="AN386" s="28" t="b">
        <f t="shared" si="200"/>
        <v>1</v>
      </c>
      <c r="AO386" s="3" t="str">
        <f>IF(ISERROR(MATCH(A386,'SegEnds_Xtal_Prot#'!B:B, 0)), "NoXtal", "Xtal")</f>
        <v>NoXtal</v>
      </c>
      <c r="AP386" s="3">
        <f t="shared" ref="AP386:AP406" si="217">IF(ISERROR(F386-E386),"-",F386-E386)</f>
        <v>1</v>
      </c>
      <c r="AQ386" s="3">
        <f t="shared" ref="AQ386:AQ406" si="218">IF(ISERROR(I386-H386),"-",I386-H386)</f>
        <v>1</v>
      </c>
      <c r="AR386" s="3">
        <f t="shared" ref="AR386:AR406" si="219">IF(ISERROR(L386-K386),"-",L386-K386)</f>
        <v>2</v>
      </c>
      <c r="AS386" s="3">
        <f t="shared" ref="AS386:AS406" si="220">IF(ISERROR(O386-N386),"-",O386-N386)</f>
        <v>1</v>
      </c>
      <c r="AT386" s="3" t="str">
        <f t="shared" ref="AT386:AT406" si="221">IF(ISERROR(R386-Q386),"-",R386-Q386)</f>
        <v>-</v>
      </c>
      <c r="AU386" s="3" t="str">
        <f t="shared" ref="AU386:AU406" si="222">IF(ISERROR(U386-T386),"-",U386-T386)</f>
        <v>-</v>
      </c>
      <c r="AV386" s="3">
        <f t="shared" ref="AV386:AV406" si="223">IF(ISERROR(X386-W386),"-",X386-W386)</f>
        <v>16</v>
      </c>
      <c r="AW386" s="3">
        <f t="shared" ref="AW386:AW406" si="224">IF(ISERROR(AA386-Z386),"-",AA386-Z386)</f>
        <v>8</v>
      </c>
      <c r="AX386" s="3">
        <f t="shared" ref="AX386:AX406" si="225">IF(ISERROR(AD386-AC386),"-",AD386-AC386)</f>
        <v>4</v>
      </c>
      <c r="AY386" s="3">
        <f t="shared" ref="AY386:AY406" si="226">IF(ISERROR(AG386-AF386),"-",AG386-AF386)</f>
        <v>6</v>
      </c>
      <c r="AZ386" s="3">
        <f t="shared" ref="AZ386:AZ406" si="227">IF(ISERROR(AJ386-AI386),"-",AJ386-AI386)</f>
        <v>1</v>
      </c>
      <c r="BA386" s="3">
        <f>IF(ISERROR(LEN(VLOOKUP(A386,Seqs!A:E,2,FALSE))-AL386),"-",LEN(VLOOKUP(A386,Seqs!A:E,2,FALSE))-AL386)</f>
        <v>41</v>
      </c>
      <c r="BB386" s="16">
        <f t="shared" ref="BB386:BB406" si="228">J386-D386</f>
        <v>28</v>
      </c>
      <c r="BC386" s="9" t="str">
        <f t="shared" ref="BC386:BC406" si="229">IF(ISERROR(V386-S386),"-",V386-S386)</f>
        <v>-</v>
      </c>
      <c r="BD386" s="3">
        <f t="shared" ref="BD386:BD406" si="230">J386-D386</f>
        <v>28</v>
      </c>
      <c r="BE386" s="3">
        <f t="shared" ref="BE386:BE406" si="231">AE386-AB386</f>
        <v>52</v>
      </c>
    </row>
    <row r="387" spans="1:58" s="3" customFormat="1" x14ac:dyDescent="0.2">
      <c r="A387" s="3" t="s">
        <v>327</v>
      </c>
      <c r="B387" s="3" t="str">
        <f>LOWER(VLOOKUP(A387,Xtal_Templ!A:B,2,FALSE))</f>
        <v>ox2r_human</v>
      </c>
      <c r="C387" s="3">
        <f>VLOOKUP($A387,'SegEnds_NonXtal_BW#'!$A:$Z,3,FALSE)+D387-50</f>
        <v>40</v>
      </c>
      <c r="D387" s="3">
        <v>59</v>
      </c>
      <c r="E387" s="3">
        <f>IF(ISERROR(VLOOKUP($A387,'SegEnds_NonXtal_BW#'!$A:$Z,4,FALSE)+VLOOKUP($A387,A:AL,4,FALSE)-50),"-",(VLOOKUP($A387,'SegEnds_NonXtal_BW#'!$A:$Z,4,FALSE)+VLOOKUP($A387,A:AL,4,FALSE)-50))</f>
        <v>69</v>
      </c>
      <c r="F387" s="3">
        <f t="shared" si="212"/>
        <v>70</v>
      </c>
      <c r="G387" s="3">
        <v>72</v>
      </c>
      <c r="H387" s="3">
        <f t="shared" si="213"/>
        <v>73</v>
      </c>
      <c r="I387" s="3">
        <f t="shared" si="211"/>
        <v>74</v>
      </c>
      <c r="J387" s="3">
        <v>87</v>
      </c>
      <c r="K387" s="3">
        <f>VLOOKUP($A387,'SegEnds_NonXtal_BW#'!$A:$Z,8,FALSE)+VLOOKUP($A387,A:AL,10,FALSE)-50</f>
        <v>104</v>
      </c>
      <c r="L387" s="3">
        <f t="shared" si="214"/>
        <v>106</v>
      </c>
      <c r="M387" s="3">
        <v>107</v>
      </c>
      <c r="N387" s="3">
        <f t="shared" si="215"/>
        <v>109</v>
      </c>
      <c r="O387" s="3">
        <f t="shared" si="216"/>
        <v>110</v>
      </c>
      <c r="P387" s="3">
        <v>139</v>
      </c>
      <c r="Q387" s="3">
        <f>VLOOKUP($A387,'SegEnds_NonXtal_BW#'!$A:$Z,12,FALSE)+VLOOKUP($A387,A:AL,16,FALSE)-50</f>
        <v>145</v>
      </c>
      <c r="R387" s="3" t="str">
        <f>IF(ISERROR(VLOOKUP($A387,'SegEnds_NonXtal_BW#'!$A:$Z,13,FALSE)+VLOOKUP($A387,A:AL,19,FALSE)-50),"-",VLOOKUP($A387,'SegEnds_NonXtal_BW#'!$A:$Z,13,FALSE)+VLOOKUP($A387,A:AL,19,FALSE)-50)</f>
        <v>-</v>
      </c>
      <c r="S387" s="3" t="s">
        <v>23</v>
      </c>
      <c r="T387" s="103" t="str">
        <f>IF(ISERROR(VLOOKUP($A387,'SegEnds_NonXtal_BW#'!$A:$Z,14,FALSE)+VLOOKUP($A387,A:AL,19,FALSE)-50),"-",(VLOOKUP($A387,'SegEnds_NonXtal_BW#'!$A:$Z,14,FALSE)+VLOOKUP($A387,A:AL,19,FALSE)-50))</f>
        <v>-</v>
      </c>
      <c r="U387" s="9">
        <f>IF(ISERROR(VLOOKUP($A387,'SegEnds_NonXtal_BW#'!$A:$Z,15,FALSE)+VLOOKUP($A387,A:AL,22,FALSE)-50),"-",VLOOKUP($A387,'SegEnds_NonXtal_BW#'!$A:$Z,15,FALSE)+VLOOKUP($A387,A:AL,22,FALSE)-50)</f>
        <v>152</v>
      </c>
      <c r="V387" s="3">
        <v>164</v>
      </c>
      <c r="W387" s="3">
        <f>IF(ISERROR(VLOOKUP($A387,'SegEnds_NonXtal_BW#'!$A:$Z,16,FALSE)+VLOOKUP($A387,A:AL,22,FALSE)-50),"-",(VLOOKUP($A387,'SegEnds_NonXtal_BW#'!$A:$Z,16,FALSE)+VLOOKUP($A387,A:AL,22,FALSE)-50))</f>
        <v>178</v>
      </c>
      <c r="X387" s="3">
        <f>IF(ISERROR(VLOOKUP($A387,'SegEnds_NonXtal_BW#'!$A:$Z,17,FALSE)+VLOOKUP($A387,A:AL,25,FALSE)-50),"-",(VLOOKUP($A387,'SegEnds_NonXtal_BW#'!$A:$Z,17,FALSE)+VLOOKUP($A387,A:AL,25,FALSE)-50))</f>
        <v>201</v>
      </c>
      <c r="Y387" s="3">
        <v>201</v>
      </c>
      <c r="Z387" s="3">
        <f t="shared" si="207"/>
        <v>203</v>
      </c>
      <c r="AA387" s="3">
        <f>IF(ISERROR(VLOOKUP($A387,'SegEnds_NonXtal_BW#'!$A:$Z,19,FALSE)+VLOOKUP($A387,A:AL,28,FALSE)-50),"-",(VLOOKUP($A387,'SegEnds_NonXtal_BW#'!$A:$Z,19,FALSE)+VLOOKUP($A387,A:AL,28,FALSE)-50))</f>
        <v>208</v>
      </c>
      <c r="AB387" s="3">
        <v>226</v>
      </c>
      <c r="AC387" s="3">
        <f>IF(ISERROR((VLOOKUP($A387,'SegEnds_NonXtal_BW#'!$A:$Z,20,FALSE)+VLOOKUP($A387,A:AL,28,FALSE)-50)),"-",(VLOOKUP($A387,'SegEnds_NonXtal_BW#'!$A:$Z,20,FALSE)+VLOOKUP($A387,A:AL,28,FALSE)-50))</f>
        <v>248</v>
      </c>
      <c r="AD387" s="3">
        <f>IF(ISERROR(VLOOKUP($A387,'SegEnds_NonXtal_BW#'!$A:$Z,21,FALSE)+VLOOKUP($A387,A:AL,31,FALSE)-50),"-",(VLOOKUP($A387,'SegEnds_NonXtal_BW#'!$A:$Z,21,FALSE)+VLOOKUP($A387,A:AL,31,FALSE)-50))</f>
        <v>254</v>
      </c>
      <c r="AE387" s="3">
        <v>280</v>
      </c>
      <c r="AF387" s="3">
        <f>IF(ISERROR((VLOOKUP($A387,'SegEnds_NonXtal_BW#'!$A:$Z,22,FALSE)+VLOOKUP($A387,A:AL,31,FALSE)-50)),"-",(VLOOKUP($A387,'SegEnds_NonXtal_BW#'!$A:$Z,22,FALSE)+VLOOKUP($A387,A:AL,31,FALSE)-50))</f>
        <v>291</v>
      </c>
      <c r="AG387" s="3">
        <f>IF(ISERROR(VLOOKUP($A387,'SegEnds_NonXtal_BW#'!$A:$Z,23,FALSE)+VLOOKUP($A387,A:AL,34,FALSE)-50),"-",(VLOOKUP($A387,'SegEnds_NonXtal_BW#'!$A:$Z,23,FALSE)+VLOOKUP($A387,A:AL,34,FALSE)-50))</f>
        <v>297</v>
      </c>
      <c r="AH387" s="3">
        <v>319</v>
      </c>
      <c r="AI387" s="3">
        <f>IF(ISERROR((VLOOKUP($A387,'SegEnds_NonXtal_BW#'!$A:$Z,24,FALSE)+VLOOKUP($A387,A:AL,34,FALSE)-50)),"-",(VLOOKUP($A387,'SegEnds_NonXtal_BW#'!$A:$Z,24,FALSE)+VLOOKUP($A387,A:AL,34,FALSE)-50))</f>
        <v>325</v>
      </c>
      <c r="AJ387" s="3">
        <f>IF(ISERROR(VLOOKUP($A387,'SegEnds_NonXtal_BW#'!$A:$Z,25,FALSE)+VLOOKUP($A387,A:AL,37,FALSE)-50),"-",(VLOOKUP($A387,'SegEnds_NonXtal_BW#'!$A:$Z,25,FALSE)+VLOOKUP($A387,A:AL,37,FALSE)-50))</f>
        <v>326</v>
      </c>
      <c r="AK387" s="3">
        <v>329</v>
      </c>
      <c r="AL387" s="3">
        <f>IF(ISERROR((VLOOKUP($A387,'SegEnds_NonXtal_BW#'!$A:$Z,26,FALSE)+VLOOKUP($A387,A:AL,37,FALSE)-50)),"-",(VLOOKUP($A387,'SegEnds_NonXtal_BW#'!$A:$Z,26,FALSE)+VLOOKUP($A387,A:AL,37,FALSE)-50))</f>
        <v>337</v>
      </c>
      <c r="AM387" s="28" t="str">
        <f>VLOOKUP(A387,Classification!A:B,2,FALSE)</f>
        <v>A</v>
      </c>
      <c r="AN387" s="28" t="b">
        <f t="shared" si="200"/>
        <v>1</v>
      </c>
      <c r="AO387" s="3" t="str">
        <f>IF(ISERROR(MATCH(A387,'SegEnds_Xtal_Prot#'!B:B, 0)), "NoXtal", "Xtal")</f>
        <v>NoXtal</v>
      </c>
      <c r="AP387" s="3">
        <f t="shared" si="217"/>
        <v>1</v>
      </c>
      <c r="AQ387" s="3">
        <f t="shared" si="218"/>
        <v>1</v>
      </c>
      <c r="AR387" s="3">
        <f t="shared" si="219"/>
        <v>2</v>
      </c>
      <c r="AS387" s="3">
        <f t="shared" si="220"/>
        <v>1</v>
      </c>
      <c r="AT387" s="3" t="str">
        <f t="shared" si="221"/>
        <v>-</v>
      </c>
      <c r="AU387" s="3" t="str">
        <f t="shared" si="222"/>
        <v>-</v>
      </c>
      <c r="AV387" s="3">
        <f t="shared" si="223"/>
        <v>23</v>
      </c>
      <c r="AW387" s="3">
        <f t="shared" si="224"/>
        <v>5</v>
      </c>
      <c r="AX387" s="3">
        <f t="shared" si="225"/>
        <v>6</v>
      </c>
      <c r="AY387" s="3">
        <f t="shared" si="226"/>
        <v>6</v>
      </c>
      <c r="AZ387" s="3">
        <f t="shared" si="227"/>
        <v>1</v>
      </c>
      <c r="BA387" s="3">
        <f>IF(ISERROR(LEN(VLOOKUP(A387,Seqs!A:E,2,FALSE))-AL387),"-",LEN(VLOOKUP(A387,Seqs!A:E,2,FALSE))-AL387)</f>
        <v>38</v>
      </c>
      <c r="BB387" s="16">
        <f t="shared" si="228"/>
        <v>28</v>
      </c>
      <c r="BC387" s="9" t="str">
        <f t="shared" si="229"/>
        <v>-</v>
      </c>
      <c r="BD387" s="3">
        <f t="shared" si="230"/>
        <v>28</v>
      </c>
      <c r="BE387" s="3">
        <f t="shared" si="231"/>
        <v>54</v>
      </c>
    </row>
    <row r="388" spans="1:58" s="3" customFormat="1" x14ac:dyDescent="0.2">
      <c r="A388" s="3" t="s">
        <v>328</v>
      </c>
      <c r="B388" s="3" t="str">
        <f>LOWER(VLOOKUP(A388,Xtal_Templ!A:B,2,FALSE))</f>
        <v>ox2r_human</v>
      </c>
      <c r="C388" s="3">
        <f>VLOOKUP($A388,'SegEnds_NonXtal_BW#'!$A:$Z,3,FALSE)+D388-50</f>
        <v>40</v>
      </c>
      <c r="D388" s="3">
        <v>59</v>
      </c>
      <c r="E388" s="3">
        <f>IF(ISERROR(VLOOKUP($A388,'SegEnds_NonXtal_BW#'!$A:$Z,4,FALSE)+VLOOKUP($A388,A:AL,4,FALSE)-50),"-",(VLOOKUP($A388,'SegEnds_NonXtal_BW#'!$A:$Z,4,FALSE)+VLOOKUP($A388,A:AL,4,FALSE)-50))</f>
        <v>69</v>
      </c>
      <c r="F388" s="3">
        <f t="shared" si="212"/>
        <v>70</v>
      </c>
      <c r="G388" s="3">
        <v>72</v>
      </c>
      <c r="H388" s="3">
        <f t="shared" si="213"/>
        <v>73</v>
      </c>
      <c r="I388" s="3">
        <f t="shared" si="211"/>
        <v>74</v>
      </c>
      <c r="J388" s="3">
        <v>87</v>
      </c>
      <c r="K388" s="3">
        <f>VLOOKUP($A388,'SegEnds_NonXtal_BW#'!$A:$Z,8,FALSE)+VLOOKUP($A388,A:AL,10,FALSE)-50</f>
        <v>104</v>
      </c>
      <c r="L388" s="3">
        <f t="shared" si="214"/>
        <v>106</v>
      </c>
      <c r="M388" s="3">
        <v>107</v>
      </c>
      <c r="N388" s="3">
        <f t="shared" si="215"/>
        <v>109</v>
      </c>
      <c r="O388" s="3">
        <f t="shared" si="216"/>
        <v>110</v>
      </c>
      <c r="P388" s="3">
        <v>139</v>
      </c>
      <c r="Q388" s="3">
        <f>VLOOKUP($A388,'SegEnds_NonXtal_BW#'!$A:$Z,12,FALSE)+VLOOKUP($A388,A:AL,16,FALSE)-50</f>
        <v>145</v>
      </c>
      <c r="R388" s="3" t="str">
        <f>IF(ISERROR(VLOOKUP($A388,'SegEnds_NonXtal_BW#'!$A:$Z,13,FALSE)+VLOOKUP($A388,A:AL,19,FALSE)-50),"-",VLOOKUP($A388,'SegEnds_NonXtal_BW#'!$A:$Z,13,FALSE)+VLOOKUP($A388,A:AL,19,FALSE)-50)</f>
        <v>-</v>
      </c>
      <c r="S388" s="3" t="s">
        <v>23</v>
      </c>
      <c r="T388" s="103" t="str">
        <f>IF(ISERROR(VLOOKUP($A388,'SegEnds_NonXtal_BW#'!$A:$Z,14,FALSE)+VLOOKUP($A388,A:AL,19,FALSE)-50),"-",(VLOOKUP($A388,'SegEnds_NonXtal_BW#'!$A:$Z,14,FALSE)+VLOOKUP($A388,A:AL,19,FALSE)-50))</f>
        <v>-</v>
      </c>
      <c r="U388" s="9">
        <f>IF(ISERROR(VLOOKUP($A388,'SegEnds_NonXtal_BW#'!$A:$Z,15,FALSE)+VLOOKUP($A388,A:AL,22,FALSE)-50),"-",VLOOKUP($A388,'SegEnds_NonXtal_BW#'!$A:$Z,15,FALSE)+VLOOKUP($A388,A:AL,22,FALSE)-50)</f>
        <v>152</v>
      </c>
      <c r="V388" s="3">
        <v>164</v>
      </c>
      <c r="W388" s="3">
        <f>IF(ISERROR(VLOOKUP($A388,'SegEnds_NonXtal_BW#'!$A:$Z,16,FALSE)+VLOOKUP($A388,A:AL,22,FALSE)-50),"-",(VLOOKUP($A388,'SegEnds_NonXtal_BW#'!$A:$Z,16,FALSE)+VLOOKUP($A388,A:AL,22,FALSE)-50))</f>
        <v>178</v>
      </c>
      <c r="X388" s="3">
        <f>IF(ISERROR(VLOOKUP($A388,'SegEnds_NonXtal_BW#'!$A:$Z,17,FALSE)+VLOOKUP($A388,A:AL,25,FALSE)-50),"-",(VLOOKUP($A388,'SegEnds_NonXtal_BW#'!$A:$Z,17,FALSE)+VLOOKUP($A388,A:AL,25,FALSE)-50))</f>
        <v>198</v>
      </c>
      <c r="Y388" s="3">
        <v>198</v>
      </c>
      <c r="Z388" s="3">
        <f t="shared" si="207"/>
        <v>200</v>
      </c>
      <c r="AA388" s="3">
        <f>IF(ISERROR(VLOOKUP($A388,'SegEnds_NonXtal_BW#'!$A:$Z,19,FALSE)+VLOOKUP($A388,A:AL,28,FALSE)-50),"-",(VLOOKUP($A388,'SegEnds_NonXtal_BW#'!$A:$Z,19,FALSE)+VLOOKUP($A388,A:AL,28,FALSE)-50))</f>
        <v>205</v>
      </c>
      <c r="AB388" s="3">
        <v>223</v>
      </c>
      <c r="AC388" s="3">
        <f>IF(ISERROR((VLOOKUP($A388,'SegEnds_NonXtal_BW#'!$A:$Z,20,FALSE)+VLOOKUP($A388,A:AL,28,FALSE)-50)),"-",(VLOOKUP($A388,'SegEnds_NonXtal_BW#'!$A:$Z,20,FALSE)+VLOOKUP($A388,A:AL,28,FALSE)-50))</f>
        <v>249</v>
      </c>
      <c r="AD388" s="3">
        <f>IF(ISERROR(VLOOKUP($A388,'SegEnds_NonXtal_BW#'!$A:$Z,21,FALSE)+VLOOKUP($A388,A:AL,31,FALSE)-50),"-",(VLOOKUP($A388,'SegEnds_NonXtal_BW#'!$A:$Z,21,FALSE)+VLOOKUP($A388,A:AL,31,FALSE)-50))</f>
        <v>357</v>
      </c>
      <c r="AE388" s="3">
        <v>383</v>
      </c>
      <c r="AF388" s="3">
        <f>IF(ISERROR((VLOOKUP($A388,'SegEnds_NonXtal_BW#'!$A:$Z,22,FALSE)+VLOOKUP($A388,A:AL,31,FALSE)-50)),"-",(VLOOKUP($A388,'SegEnds_NonXtal_BW#'!$A:$Z,22,FALSE)+VLOOKUP($A388,A:AL,31,FALSE)-50))</f>
        <v>394</v>
      </c>
      <c r="AG388" s="3">
        <f>IF(ISERROR(VLOOKUP($A388,'SegEnds_NonXtal_BW#'!$A:$Z,23,FALSE)+VLOOKUP($A388,A:AL,34,FALSE)-50),"-",(VLOOKUP($A388,'SegEnds_NonXtal_BW#'!$A:$Z,23,FALSE)+VLOOKUP($A388,A:AL,34,FALSE)-50))</f>
        <v>400</v>
      </c>
      <c r="AH388" s="3">
        <v>422</v>
      </c>
      <c r="AI388" s="3">
        <f>IF(ISERROR((VLOOKUP($A388,'SegEnds_NonXtal_BW#'!$A:$Z,24,FALSE)+VLOOKUP($A388,A:AL,34,FALSE)-50)),"-",(VLOOKUP($A388,'SegEnds_NonXtal_BW#'!$A:$Z,24,FALSE)+VLOOKUP($A388,A:AL,34,FALSE)-50))</f>
        <v>428</v>
      </c>
      <c r="AJ388" s="3">
        <f>IF(ISERROR(VLOOKUP($A388,'SegEnds_NonXtal_BW#'!$A:$Z,25,FALSE)+VLOOKUP($A388,A:AL,37,FALSE)-50),"-",(VLOOKUP($A388,'SegEnds_NonXtal_BW#'!$A:$Z,25,FALSE)+VLOOKUP($A388,A:AL,37,FALSE)-50))</f>
        <v>429</v>
      </c>
      <c r="AK388" s="3">
        <v>432</v>
      </c>
      <c r="AL388" s="3">
        <f>IF(ISERROR((VLOOKUP($A388,'SegEnds_NonXtal_BW#'!$A:$Z,26,FALSE)+VLOOKUP($A388,A:AL,37,FALSE)-50)),"-",(VLOOKUP($A388,'SegEnds_NonXtal_BW#'!$A:$Z,26,FALSE)+VLOOKUP($A388,A:AL,37,FALSE)-50))</f>
        <v>440</v>
      </c>
      <c r="AM388" s="28" t="str">
        <f>VLOOKUP(A388,Classification!A:B,2,FALSE)</f>
        <v>A</v>
      </c>
      <c r="AN388" s="28" t="b">
        <f t="shared" si="200"/>
        <v>1</v>
      </c>
      <c r="AO388" s="3" t="str">
        <f>IF(ISERROR(MATCH(A388,'SegEnds_Xtal_Prot#'!B:B, 0)), "NoXtal", "Xtal")</f>
        <v>NoXtal</v>
      </c>
      <c r="AP388" s="3">
        <f t="shared" si="217"/>
        <v>1</v>
      </c>
      <c r="AQ388" s="3">
        <f t="shared" si="218"/>
        <v>1</v>
      </c>
      <c r="AR388" s="3">
        <f t="shared" si="219"/>
        <v>2</v>
      </c>
      <c r="AS388" s="3">
        <f t="shared" si="220"/>
        <v>1</v>
      </c>
      <c r="AT388" s="3" t="str">
        <f t="shared" si="221"/>
        <v>-</v>
      </c>
      <c r="AU388" s="3" t="str">
        <f t="shared" si="222"/>
        <v>-</v>
      </c>
      <c r="AV388" s="3">
        <f t="shared" si="223"/>
        <v>20</v>
      </c>
      <c r="AW388" s="3">
        <f t="shared" si="224"/>
        <v>5</v>
      </c>
      <c r="AX388" s="3">
        <f t="shared" si="225"/>
        <v>108</v>
      </c>
      <c r="AY388" s="3">
        <f t="shared" si="226"/>
        <v>6</v>
      </c>
      <c r="AZ388" s="3">
        <f t="shared" si="227"/>
        <v>1</v>
      </c>
      <c r="BA388" s="3">
        <f>IF(ISERROR(LEN(VLOOKUP(A388,Seqs!A:E,2,FALSE))-AL388),"-",LEN(VLOOKUP(A388,Seqs!A:E,2,FALSE))-AL388)</f>
        <v>5</v>
      </c>
      <c r="BB388" s="16">
        <f t="shared" si="228"/>
        <v>28</v>
      </c>
      <c r="BC388" s="9" t="str">
        <f t="shared" si="229"/>
        <v>-</v>
      </c>
      <c r="BD388" s="3">
        <f t="shared" si="230"/>
        <v>28</v>
      </c>
      <c r="BE388" s="3">
        <f t="shared" si="231"/>
        <v>160</v>
      </c>
      <c r="BF388" s="3">
        <f>AH388-AE388</f>
        <v>39</v>
      </c>
    </row>
    <row r="389" spans="1:58" s="3" customFormat="1" x14ac:dyDescent="0.2">
      <c r="A389" s="3" t="s">
        <v>332</v>
      </c>
      <c r="B389" s="3" t="str">
        <f>LOWER(VLOOKUP(A389,Xtal_Templ!A:B,2,FALSE))</f>
        <v>opsd_bovin</v>
      </c>
      <c r="C389" s="3">
        <f>VLOOKUP($A389,'SegEnds_NonXtal_BW#'!$A:$Z,3,FALSE)+D389-50</f>
        <v>38</v>
      </c>
      <c r="D389" s="3">
        <v>59</v>
      </c>
      <c r="E389" s="3">
        <f>IF(ISERROR(VLOOKUP($A389,'SegEnds_NonXtal_BW#'!$A:$Z,4,FALSE)+VLOOKUP($A389,A:AL,4,FALSE)-50),"-",(VLOOKUP($A389,'SegEnds_NonXtal_BW#'!$A:$Z,4,FALSE)+VLOOKUP($A389,A:AL,4,FALSE)-50))</f>
        <v>69</v>
      </c>
      <c r="F389" s="3">
        <f t="shared" si="212"/>
        <v>70</v>
      </c>
      <c r="G389" s="3">
        <v>72</v>
      </c>
      <c r="H389" s="3">
        <f t="shared" si="213"/>
        <v>73</v>
      </c>
      <c r="I389" s="3">
        <f t="shared" si="211"/>
        <v>74</v>
      </c>
      <c r="J389" s="3">
        <v>87</v>
      </c>
      <c r="K389" s="3">
        <f>VLOOKUP($A389,'SegEnds_NonXtal_BW#'!$A:$Z,8,FALSE)+VLOOKUP($A389,A:AL,10,FALSE)-50</f>
        <v>104</v>
      </c>
      <c r="L389" s="3">
        <f t="shared" si="214"/>
        <v>106</v>
      </c>
      <c r="M389" s="3">
        <v>107</v>
      </c>
      <c r="N389" s="3">
        <f t="shared" si="215"/>
        <v>109</v>
      </c>
      <c r="O389" s="3">
        <f t="shared" si="216"/>
        <v>110</v>
      </c>
      <c r="P389" s="3">
        <v>139</v>
      </c>
      <c r="Q389" s="3">
        <f>VLOOKUP($A389,'SegEnds_NonXtal_BW#'!$A:$Z,12,FALSE)+VLOOKUP($A389,A:AL,16,FALSE)-50</f>
        <v>145</v>
      </c>
      <c r="R389" s="3" t="str">
        <f>IF(ISERROR(VLOOKUP($A389,'SegEnds_NonXtal_BW#'!$A:$Z,13,FALSE)+VLOOKUP($A389,A:AL,19,FALSE)-50),"-",VLOOKUP($A389,'SegEnds_NonXtal_BW#'!$A:$Z,13,FALSE)+VLOOKUP($A389,A:AL,19,FALSE)-50)</f>
        <v>-</v>
      </c>
      <c r="S389" s="3" t="s">
        <v>23</v>
      </c>
      <c r="T389" s="103" t="str">
        <f>IF(ISERROR(VLOOKUP($A389,'SegEnds_NonXtal_BW#'!$A:$Z,14,FALSE)+VLOOKUP($A389,A:AL,19,FALSE)-50),"-",(VLOOKUP($A389,'SegEnds_NonXtal_BW#'!$A:$Z,14,FALSE)+VLOOKUP($A389,A:AL,19,FALSE)-50))</f>
        <v>-</v>
      </c>
      <c r="U389" s="9">
        <f>IF(ISERROR(VLOOKUP($A389,'SegEnds_NonXtal_BW#'!$A:$Z,15,FALSE)+VLOOKUP($A389,A:AL,22,FALSE)-50),"-",VLOOKUP($A389,'SegEnds_NonXtal_BW#'!$A:$Z,15,FALSE)+VLOOKUP($A389,A:AL,22,FALSE)-50)</f>
        <v>150</v>
      </c>
      <c r="V389" s="3">
        <v>162</v>
      </c>
      <c r="W389" s="3">
        <f>IF(ISERROR(VLOOKUP($A389,'SegEnds_NonXtal_BW#'!$A:$Z,16,FALSE)+VLOOKUP($A389,A:AL,22,FALSE)-50),"-",(VLOOKUP($A389,'SegEnds_NonXtal_BW#'!$A:$Z,16,FALSE)+VLOOKUP($A389,A:AL,22,FALSE)-50))</f>
        <v>174</v>
      </c>
      <c r="X389" s="3">
        <f>IF(ISERROR(VLOOKUP($A389,'SegEnds_NonXtal_BW#'!$A:$Z,17,FALSE)+VLOOKUP($A389,A:AL,25,FALSE)-50),"-",(VLOOKUP($A389,'SegEnds_NonXtal_BW#'!$A:$Z,17,FALSE)+VLOOKUP($A389,A:AL,25,FALSE)-50))</f>
        <v>188</v>
      </c>
      <c r="Y389" s="3">
        <v>188</v>
      </c>
      <c r="Z389" s="3">
        <f t="shared" si="207"/>
        <v>190</v>
      </c>
      <c r="AA389" s="3">
        <f>IF(ISERROR(VLOOKUP($A389,'SegEnds_NonXtal_BW#'!$A:$Z,19,FALSE)+VLOOKUP($A389,A:AL,28,FALSE)-50),"-",(VLOOKUP($A389,'SegEnds_NonXtal_BW#'!$A:$Z,19,FALSE)+VLOOKUP($A389,A:AL,28,FALSE)-50))</f>
        <v>198</v>
      </c>
      <c r="AB389" s="3">
        <v>214</v>
      </c>
      <c r="AC389" s="3">
        <f>IF(ISERROR((VLOOKUP($A389,'SegEnds_NonXtal_BW#'!$A:$Z,20,FALSE)+VLOOKUP($A389,A:AL,28,FALSE)-50)),"-",(VLOOKUP($A389,'SegEnds_NonXtal_BW#'!$A:$Z,20,FALSE)+VLOOKUP($A389,A:AL,28,FALSE)-50))</f>
        <v>237</v>
      </c>
      <c r="AD389" s="3">
        <f>IF(ISERROR(VLOOKUP($A389,'SegEnds_NonXtal_BW#'!$A:$Z,21,FALSE)+VLOOKUP($A389,A:AL,31,FALSE)-50),"-",(VLOOKUP($A389,'SegEnds_NonXtal_BW#'!$A:$Z,21,FALSE)+VLOOKUP($A389,A:AL,31,FALSE)-50))</f>
        <v>242</v>
      </c>
      <c r="AE389" s="3">
        <v>270</v>
      </c>
      <c r="AF389" s="3">
        <f>IF(ISERROR((VLOOKUP($A389,'SegEnds_NonXtal_BW#'!$A:$Z,22,FALSE)+VLOOKUP($A389,A:AL,31,FALSE)-50)),"-",(VLOOKUP($A389,'SegEnds_NonXtal_BW#'!$A:$Z,22,FALSE)+VLOOKUP($A389,A:AL,31,FALSE)-50))</f>
        <v>281</v>
      </c>
      <c r="AG389" s="3">
        <f>IF(ISERROR(VLOOKUP($A389,'SegEnds_NonXtal_BW#'!$A:$Z,23,FALSE)+VLOOKUP($A389,A:AL,34,FALSE)-50),"-",(VLOOKUP($A389,'SegEnds_NonXtal_BW#'!$A:$Z,23,FALSE)+VLOOKUP($A389,A:AL,34,FALSE)-50))</f>
        <v>287</v>
      </c>
      <c r="AH389" s="3">
        <v>306</v>
      </c>
      <c r="AI389" s="3">
        <f>IF(ISERROR((VLOOKUP($A389,'SegEnds_NonXtal_BW#'!$A:$Z,24,FALSE)+VLOOKUP($A389,A:AL,34,FALSE)-50)),"-",(VLOOKUP($A389,'SegEnds_NonXtal_BW#'!$A:$Z,24,FALSE)+VLOOKUP($A389,A:AL,34,FALSE)-50))</f>
        <v>312</v>
      </c>
      <c r="AJ389" s="3">
        <f>IF(ISERROR(VLOOKUP($A389,'SegEnds_NonXtal_BW#'!$A:$Z,25,FALSE)+VLOOKUP($A389,A:AL,37,FALSE)-50),"-",(VLOOKUP($A389,'SegEnds_NonXtal_BW#'!$A:$Z,25,FALSE)+VLOOKUP($A389,A:AL,37,FALSE)-50))</f>
        <v>313</v>
      </c>
      <c r="AK389" s="3">
        <v>316</v>
      </c>
      <c r="AL389" s="3">
        <f>IF(ISERROR((VLOOKUP($A389,'SegEnds_NonXtal_BW#'!$A:$Z,26,FALSE)+VLOOKUP($A389,A:AL,37,FALSE)-50)),"-",(VLOOKUP($A389,'SegEnds_NonXtal_BW#'!$A:$Z,26,FALSE)+VLOOKUP($A389,A:AL,37,FALSE)-50))</f>
        <v>325</v>
      </c>
      <c r="AM389" s="28" t="str">
        <f>VLOOKUP(A389,Classification!A:B,2,FALSE)</f>
        <v>A</v>
      </c>
      <c r="AN389" s="28" t="b">
        <f t="shared" si="200"/>
        <v>1</v>
      </c>
      <c r="AO389" s="3" t="str">
        <f>IF(ISERROR(MATCH(A389,'SegEnds_Xtal_Prot#'!B:B, 0)), "NoXtal", "Xtal")</f>
        <v>NoXtal</v>
      </c>
      <c r="AP389" s="3">
        <f t="shared" si="217"/>
        <v>1</v>
      </c>
      <c r="AQ389" s="3">
        <f t="shared" si="218"/>
        <v>1</v>
      </c>
      <c r="AR389" s="3">
        <f t="shared" si="219"/>
        <v>2</v>
      </c>
      <c r="AS389" s="3">
        <f t="shared" si="220"/>
        <v>1</v>
      </c>
      <c r="AT389" s="3" t="str">
        <f t="shared" si="221"/>
        <v>-</v>
      </c>
      <c r="AU389" s="3" t="str">
        <f t="shared" si="222"/>
        <v>-</v>
      </c>
      <c r="AV389" s="3">
        <f t="shared" si="223"/>
        <v>14</v>
      </c>
      <c r="AW389" s="3">
        <f t="shared" si="224"/>
        <v>8</v>
      </c>
      <c r="AX389" s="3">
        <f t="shared" si="225"/>
        <v>5</v>
      </c>
      <c r="AY389" s="3">
        <f t="shared" si="226"/>
        <v>6</v>
      </c>
      <c r="AZ389" s="3">
        <f t="shared" si="227"/>
        <v>1</v>
      </c>
      <c r="BA389" s="3">
        <f>IF(ISERROR(LEN(VLOOKUP(A389,Seqs!A:E,2,FALSE))-AL389),"-",LEN(VLOOKUP(A389,Seqs!A:E,2,FALSE))-AL389)</f>
        <v>77</v>
      </c>
      <c r="BB389" s="16">
        <f t="shared" si="228"/>
        <v>28</v>
      </c>
      <c r="BC389" s="9" t="str">
        <f t="shared" si="229"/>
        <v>-</v>
      </c>
      <c r="BD389" s="3">
        <f t="shared" si="230"/>
        <v>28</v>
      </c>
      <c r="BE389" s="3">
        <f t="shared" si="231"/>
        <v>56</v>
      </c>
    </row>
    <row r="390" spans="1:58" s="3" customFormat="1" x14ac:dyDescent="0.2">
      <c r="A390" s="3" t="s">
        <v>344</v>
      </c>
      <c r="B390" s="3" t="str">
        <f>LOWER(VLOOKUP(A390,Xtal_Templ!A:B,2,FALSE))</f>
        <v>ox1r_human</v>
      </c>
      <c r="C390" s="3">
        <f>VLOOKUP($A390,'SegEnds_NonXtal_BW#'!$A:$Z,3,FALSE)+D390-50</f>
        <v>39</v>
      </c>
      <c r="D390" s="3">
        <v>57</v>
      </c>
      <c r="E390" s="3">
        <f>IF(ISERROR(VLOOKUP($A390,'SegEnds_NonXtal_BW#'!$A:$Z,4,FALSE)+VLOOKUP($A390,A:AL,4,FALSE)-50),"-",(VLOOKUP($A390,'SegEnds_NonXtal_BW#'!$A:$Z,4,FALSE)+VLOOKUP($A390,A:AL,4,FALSE)-50))</f>
        <v>67</v>
      </c>
      <c r="F390" s="3">
        <f t="shared" si="212"/>
        <v>68</v>
      </c>
      <c r="G390" s="3">
        <v>70</v>
      </c>
      <c r="H390" s="3">
        <f t="shared" si="213"/>
        <v>71</v>
      </c>
      <c r="I390" s="3">
        <f t="shared" si="211"/>
        <v>72</v>
      </c>
      <c r="J390" s="3">
        <v>85</v>
      </c>
      <c r="K390" s="3">
        <f>VLOOKUP($A390,'SegEnds_NonXtal_BW#'!$A:$Z,8,FALSE)+VLOOKUP($A390,A:AL,10,FALSE)-50</f>
        <v>101</v>
      </c>
      <c r="L390" s="3">
        <f t="shared" si="214"/>
        <v>102</v>
      </c>
      <c r="M390" s="3">
        <v>103</v>
      </c>
      <c r="N390" s="3">
        <f t="shared" si="215"/>
        <v>105</v>
      </c>
      <c r="O390" s="3">
        <f t="shared" si="216"/>
        <v>106</v>
      </c>
      <c r="P390" s="3">
        <v>137</v>
      </c>
      <c r="Q390" s="3">
        <f>VLOOKUP($A390,'SegEnds_NonXtal_BW#'!$A:$Z,12,FALSE)+VLOOKUP($A390,A:AL,16,FALSE)-50</f>
        <v>143</v>
      </c>
      <c r="R390" s="3" t="str">
        <f>IF(ISERROR(VLOOKUP($A390,'SegEnds_NonXtal_BW#'!$A:$Z,13,FALSE)+VLOOKUP($A390,A:AL,19,FALSE)-50),"-",VLOOKUP($A390,'SegEnds_NonXtal_BW#'!$A:$Z,13,FALSE)+VLOOKUP($A390,A:AL,19,FALSE)-50)</f>
        <v>-</v>
      </c>
      <c r="S390" s="3" t="s">
        <v>23</v>
      </c>
      <c r="T390" s="103" t="str">
        <f>IF(ISERROR(VLOOKUP($A390,'SegEnds_NonXtal_BW#'!$A:$Z,14,FALSE)+VLOOKUP($A390,A:AL,19,FALSE)-50),"-",(VLOOKUP($A390,'SegEnds_NonXtal_BW#'!$A:$Z,14,FALSE)+VLOOKUP($A390,A:AL,19,FALSE)-50))</f>
        <v>-</v>
      </c>
      <c r="U390" s="9">
        <f>IF(ISERROR(VLOOKUP($A390,'SegEnds_NonXtal_BW#'!$A:$Z,15,FALSE)+VLOOKUP($A390,A:AL,22,FALSE)-50),"-",VLOOKUP($A390,'SegEnds_NonXtal_BW#'!$A:$Z,15,FALSE)+VLOOKUP($A390,A:AL,22,FALSE)-50)</f>
        <v>149</v>
      </c>
      <c r="V390" s="3">
        <v>161</v>
      </c>
      <c r="W390" s="3">
        <f>IF(ISERROR(VLOOKUP($A390,'SegEnds_NonXtal_BW#'!$A:$Z,16,FALSE)+VLOOKUP($A390,A:AL,22,FALSE)-50),"-",(VLOOKUP($A390,'SegEnds_NonXtal_BW#'!$A:$Z,16,FALSE)+VLOOKUP($A390,A:AL,22,FALSE)-50))</f>
        <v>175</v>
      </c>
      <c r="X390" s="3">
        <f>IF(ISERROR(VLOOKUP($A390,'SegEnds_NonXtal_BW#'!$A:$Z,17,FALSE)+VLOOKUP($A390,A:AL,25,FALSE)-50),"-",(VLOOKUP($A390,'SegEnds_NonXtal_BW#'!$A:$Z,17,FALSE)+VLOOKUP($A390,A:AL,25,FALSE)-50))</f>
        <v>187</v>
      </c>
      <c r="Y390" s="3">
        <v>187</v>
      </c>
      <c r="Z390" s="3">
        <f t="shared" si="207"/>
        <v>189</v>
      </c>
      <c r="AA390" s="3">
        <f>IF(ISERROR(VLOOKUP($A390,'SegEnds_NonXtal_BW#'!$A:$Z,19,FALSE)+VLOOKUP($A390,A:AL,28,FALSE)-50),"-",(VLOOKUP($A390,'SegEnds_NonXtal_BW#'!$A:$Z,19,FALSE)+VLOOKUP($A390,A:AL,28,FALSE)-50))</f>
        <v>194</v>
      </c>
      <c r="AB390" s="3">
        <v>212</v>
      </c>
      <c r="AC390" s="3">
        <f>IF(ISERROR((VLOOKUP($A390,'SegEnds_NonXtal_BW#'!$A:$Z,20,FALSE)+VLOOKUP($A390,A:AL,28,FALSE)-50)),"-",(VLOOKUP($A390,'SegEnds_NonXtal_BW#'!$A:$Z,20,FALSE)+VLOOKUP($A390,A:AL,28,FALSE)-50))</f>
        <v>238</v>
      </c>
      <c r="AD390" s="3">
        <f>IF(ISERROR(VLOOKUP($A390,'SegEnds_NonXtal_BW#'!$A:$Z,21,FALSE)+VLOOKUP($A390,A:AL,31,FALSE)-50),"-",(VLOOKUP($A390,'SegEnds_NonXtal_BW#'!$A:$Z,21,FALSE)+VLOOKUP($A390,A:AL,31,FALSE)-50))</f>
        <v>264</v>
      </c>
      <c r="AE390" s="3">
        <v>290</v>
      </c>
      <c r="AF390" s="3">
        <f>IF(ISERROR((VLOOKUP($A390,'SegEnds_NonXtal_BW#'!$A:$Z,22,FALSE)+VLOOKUP($A390,A:AL,31,FALSE)-50)),"-",(VLOOKUP($A390,'SegEnds_NonXtal_BW#'!$A:$Z,22,FALSE)+VLOOKUP($A390,A:AL,31,FALSE)-50))</f>
        <v>301</v>
      </c>
      <c r="AG390" s="3">
        <f>IF(ISERROR(VLOOKUP($A390,'SegEnds_NonXtal_BW#'!$A:$Z,23,FALSE)+VLOOKUP($A390,A:AL,34,FALSE)-50),"-",(VLOOKUP($A390,'SegEnds_NonXtal_BW#'!$A:$Z,23,FALSE)+VLOOKUP($A390,A:AL,34,FALSE)-50))</f>
        <v>307</v>
      </c>
      <c r="AH390" s="3">
        <v>326</v>
      </c>
      <c r="AI390" s="3">
        <f>IF(ISERROR((VLOOKUP($A390,'SegEnds_NonXtal_BW#'!$A:$Z,24,FALSE)+VLOOKUP($A390,A:AL,34,FALSE)-50)),"-",(VLOOKUP($A390,'SegEnds_NonXtal_BW#'!$A:$Z,24,FALSE)+VLOOKUP($A390,A:AL,34,FALSE)-50))</f>
        <v>332</v>
      </c>
      <c r="AJ390" s="3">
        <f>IF(ISERROR(VLOOKUP($A390,'SegEnds_NonXtal_BW#'!$A:$Z,25,FALSE)+VLOOKUP($A390,A:AL,37,FALSE)-50),"-",(VLOOKUP($A390,'SegEnds_NonXtal_BW#'!$A:$Z,25,FALSE)+VLOOKUP($A390,A:AL,37,FALSE)-50))</f>
        <v>333</v>
      </c>
      <c r="AK390" s="3">
        <v>336</v>
      </c>
      <c r="AL390" s="3">
        <f>IF(ISERROR((VLOOKUP($A390,'SegEnds_NonXtal_BW#'!$A:$Z,26,FALSE)+VLOOKUP($A390,A:AL,37,FALSE)-50)),"-",(VLOOKUP($A390,'SegEnds_NonXtal_BW#'!$A:$Z,26,FALSE)+VLOOKUP($A390,A:AL,37,FALSE)-50))</f>
        <v>344</v>
      </c>
      <c r="AM390" s="28" t="str">
        <f>VLOOKUP(A390,Classification!A:B,2,FALSE)</f>
        <v>A</v>
      </c>
      <c r="AN390" s="28" t="b">
        <f t="shared" ref="AN390:AN406" si="232">AND(IF(Y390="-",IF(AA390-W390&gt;3,TRUE,FALSE),TRUE),IF(M390="-",IF(O390-K390&gt;3,TRUE,FALSE),TRUE),C390&lt;E390,OR(E390&lt;F390,F390="-"),OR(F390&lt;H390,F390="-"),OR(H390&lt;I390,H390="-"),I390&lt;K390,OR(K390&lt;L390,L390="-"),OR(L390&lt;N390,L390="-"),OR(N390&lt;O390,N390="-"),O390&lt;Q390,OR(Q390&lt;R390,R390="-"),OR(R390&lt;T390,R390="-"),OR(T390&lt;U390,T390="-"),U390&lt;W390,OR(W390&lt;X390,X390="-"),OR(X390&lt;Z390,X390="-"),OR(Z390&lt;AA390,Z390="-"),AA390&lt;AC390,AC390&lt;AD390,AD390&lt;AF390,AF390&lt;AG390,AG390&lt;AI390,OR(AI390&lt;AJ390,AJ390="-"),OR(AJ390&lt;AL390,AJ390="-"))</f>
        <v>1</v>
      </c>
      <c r="AO390" s="3" t="str">
        <f>IF(ISERROR(MATCH(A390,'SegEnds_Xtal_Prot#'!B:B, 0)), "NoXtal", "Xtal")</f>
        <v>NoXtal</v>
      </c>
      <c r="AP390" s="3">
        <f t="shared" si="217"/>
        <v>1</v>
      </c>
      <c r="AQ390" s="3">
        <f t="shared" si="218"/>
        <v>1</v>
      </c>
      <c r="AR390" s="3">
        <f t="shared" si="219"/>
        <v>1</v>
      </c>
      <c r="AS390" s="3">
        <f t="shared" si="220"/>
        <v>1</v>
      </c>
      <c r="AT390" s="3" t="str">
        <f t="shared" si="221"/>
        <v>-</v>
      </c>
      <c r="AU390" s="3" t="str">
        <f t="shared" si="222"/>
        <v>-</v>
      </c>
      <c r="AV390" s="3">
        <f t="shared" si="223"/>
        <v>12</v>
      </c>
      <c r="AW390" s="3">
        <f t="shared" si="224"/>
        <v>5</v>
      </c>
      <c r="AX390" s="3">
        <f t="shared" si="225"/>
        <v>26</v>
      </c>
      <c r="AY390" s="3">
        <f t="shared" si="226"/>
        <v>6</v>
      </c>
      <c r="AZ390" s="3">
        <f t="shared" si="227"/>
        <v>1</v>
      </c>
      <c r="BA390" s="3">
        <f>IF(ISERROR(LEN(VLOOKUP(A390,Seqs!A:E,2,FALSE))-AL390),"-",LEN(VLOOKUP(A390,Seqs!A:E,2,FALSE))-AL390)</f>
        <v>45</v>
      </c>
      <c r="BB390" s="16">
        <f t="shared" si="228"/>
        <v>28</v>
      </c>
      <c r="BC390" s="9" t="str">
        <f t="shared" si="229"/>
        <v>-</v>
      </c>
      <c r="BD390" s="3">
        <f t="shared" si="230"/>
        <v>28</v>
      </c>
      <c r="BE390" s="3">
        <f t="shared" si="231"/>
        <v>78</v>
      </c>
    </row>
    <row r="391" spans="1:58" s="3" customFormat="1" x14ac:dyDescent="0.2">
      <c r="A391" s="3" t="s">
        <v>408</v>
      </c>
      <c r="B391" s="3" t="str">
        <f>LOWER(VLOOKUP(A391,Xtal_Templ!A:B,2,FALSE))</f>
        <v>glr_human</v>
      </c>
      <c r="C391" s="3">
        <f>VLOOKUP($A391,'SegEnds_NonXtal_BW#'!$A:$Z,3,FALSE)+D391-50</f>
        <v>143</v>
      </c>
      <c r="D391" s="3">
        <v>168</v>
      </c>
      <c r="E391" s="3">
        <f>IF(ISERROR(VLOOKUP($A391,'SegEnds_NonXtal_BW#'!$A:$Z,4,FALSE)+VLOOKUP($A391,A:AL,4,FALSE)-50),"-",(VLOOKUP($A391,'SegEnds_NonXtal_BW#'!$A:$Z,4,FALSE)+VLOOKUP($A391,A:AL,4,FALSE)-50))</f>
        <v>178</v>
      </c>
      <c r="F391" s="3">
        <f t="shared" si="212"/>
        <v>179</v>
      </c>
      <c r="G391" s="3">
        <v>181</v>
      </c>
      <c r="H391" s="3">
        <f t="shared" si="213"/>
        <v>182</v>
      </c>
      <c r="I391" s="3">
        <f t="shared" si="211"/>
        <v>183</v>
      </c>
      <c r="J391" s="3">
        <v>196</v>
      </c>
      <c r="K391" s="3">
        <f>VLOOKUP($A391,'SegEnds_NonXtal_BW#'!$A:$Z,8,FALSE)+VLOOKUP($A391,A:AL,10,FALSE)-50</f>
        <v>210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222</v>
      </c>
      <c r="P391" s="3">
        <v>251</v>
      </c>
      <c r="Q391" s="3">
        <f>VLOOKUP($A391,'SegEnds_NonXtal_BW#'!$A:$Z,12,FALSE)+VLOOKUP($A391,A:AL,16,FALSE)-50</f>
        <v>257</v>
      </c>
      <c r="R391" s="3" t="str">
        <f>IF(ISERROR(VLOOKUP($A391,'SegEnds_NonXtal_BW#'!$A:$Z,13,FALSE)+VLOOKUP($A391,A:AL,19,FALSE)-50),"-",VLOOKUP($A391,'SegEnds_NonXtal_BW#'!$A:$Z,13,FALSE)+VLOOKUP($A391,A:AL,19,FALSE)-50)</f>
        <v>-</v>
      </c>
      <c r="S391" s="3" t="s">
        <v>23</v>
      </c>
      <c r="T391" s="103" t="str">
        <f>IF(ISERROR(VLOOKUP($A391,'SegEnds_NonXtal_BW#'!$A:$Z,14,FALSE)+VLOOKUP($A391,A:AL,19,FALSE)-50),"-",(VLOOKUP($A391,'SegEnds_NonXtal_BW#'!$A:$Z,14,FALSE)+VLOOKUP($A391,A:AL,19,FALSE)-50))</f>
        <v>-</v>
      </c>
      <c r="U391" s="9">
        <f>IF(ISERROR(VLOOKUP($A391,'SegEnds_NonXtal_BW#'!$A:$Z,15,FALSE)+VLOOKUP($A391,A:AL,22,FALSE)-50),"-",VLOOKUP($A391,'SegEnds_NonXtal_BW#'!$A:$Z,15,FALSE)+VLOOKUP($A391,A:AL,22,FALSE)-50)</f>
        <v>264</v>
      </c>
      <c r="V391" s="3">
        <v>274</v>
      </c>
      <c r="W391" s="3">
        <f>IF(ISERROR(VLOOKUP($A391,'SegEnds_NonXtal_BW#'!$A:$Z,16,FALSE)+VLOOKUP($A391,A:AL,22,FALSE)-50),"-",(VLOOKUP($A391,'SegEnds_NonXtal_BW#'!$A:$Z,16,FALSE)+VLOOKUP($A391,A:AL,22,FALSE)-50))</f>
        <v>292</v>
      </c>
      <c r="X391" s="3">
        <f>IF(ISERROR(VLOOKUP($A391,'SegEnds_NonXtal_BW#'!$A:$Z,17,FALSE)+VLOOKUP($A391,A:AL,25,FALSE)-50),"-",(VLOOKUP($A391,'SegEnds_NonXtal_BW#'!$A:$Z,17,FALSE)+VLOOKUP($A391,A:AL,25,FALSE)-50))</f>
        <v>296</v>
      </c>
      <c r="Y391" s="3">
        <v>296</v>
      </c>
      <c r="Z391" s="3">
        <f t="shared" si="207"/>
        <v>298</v>
      </c>
      <c r="AA391" s="3">
        <f>IF(ISERROR(VLOOKUP($A391,'SegEnds_NonXtal_BW#'!$A:$Z,19,FALSE)+VLOOKUP($A391,A:AL,28,FALSE)-50),"-",(VLOOKUP($A391,'SegEnds_NonXtal_BW#'!$A:$Z,19,FALSE)+VLOOKUP($A391,A:AL,28,FALSE)-50))</f>
        <v>305</v>
      </c>
      <c r="AB391" s="3">
        <v>316</v>
      </c>
      <c r="AC391" s="3">
        <f>IF(ISERROR((VLOOKUP($A391,'SegEnds_NonXtal_BW#'!$A:$Z,20,FALSE)+VLOOKUP($A391,A:AL,28,FALSE)-50)),"-",(VLOOKUP($A391,'SegEnds_NonXtal_BW#'!$A:$Z,20,FALSE)+VLOOKUP($A391,A:AL,28,FALSE)-50))</f>
        <v>335</v>
      </c>
      <c r="AD391" s="3">
        <f>IF(ISERROR(VLOOKUP($A391,'SegEnds_NonXtal_BW#'!$A:$Z,21,FALSE)+VLOOKUP($A391,A:AL,31,FALSE)-50),"-",(VLOOKUP($A391,'SegEnds_NonXtal_BW#'!$A:$Z,21,FALSE)+VLOOKUP($A391,A:AL,31,FALSE)-50))</f>
        <v>343</v>
      </c>
      <c r="AE391" s="3">
        <v>368</v>
      </c>
      <c r="AF391" s="3">
        <f>IF(ISERROR((VLOOKUP($A391,'SegEnds_NonXtal_BW#'!$A:$Z,22,FALSE)+VLOOKUP($A391,A:AL,31,FALSE)-50)),"-",(VLOOKUP($A391,'SegEnds_NonXtal_BW#'!$A:$Z,22,FALSE)+VLOOKUP($A391,A:AL,31,FALSE)-50))</f>
        <v>371</v>
      </c>
      <c r="AG391" s="3">
        <f>IF(ISERROR(VLOOKUP($A391,'SegEnds_NonXtal_BW#'!$A:$Z,23,FALSE)+VLOOKUP($A391,A:AL,34,FALSE)-50),"-",(VLOOKUP($A391,'SegEnds_NonXtal_BW#'!$A:$Z,23,FALSE)+VLOOKUP($A391,A:AL,34,FALSE)-50))</f>
        <v>378</v>
      </c>
      <c r="AH391" s="3">
        <v>397</v>
      </c>
      <c r="AI391" s="3">
        <f>IF(ISERROR((VLOOKUP($A391,'SegEnds_NonXtal_BW#'!$A:$Z,24,FALSE)+VLOOKUP($A391,A:AL,34,FALSE)-50)),"-",(VLOOKUP($A391,'SegEnds_NonXtal_BW#'!$A:$Z,24,FALSE)+VLOOKUP($A391,A:AL,34,FALSE)-50))</f>
        <v>403</v>
      </c>
      <c r="AJ391" s="3">
        <f>IF(ISERROR(VLOOKUP($A391,'SegEnds_NonXtal_BW#'!$A:$Z,25,FALSE)+VLOOKUP($A391,A:AL,37,FALSE)-50),"-",(VLOOKUP($A391,'SegEnds_NonXtal_BW#'!$A:$Z,25,FALSE)+VLOOKUP($A391,A:AL,37,FALSE)-50))</f>
        <v>404</v>
      </c>
      <c r="AK391" s="3">
        <v>407</v>
      </c>
      <c r="AL391" s="3">
        <f>IF(ISERROR((VLOOKUP($A391,'SegEnds_NonXtal_BW#'!$A:$Z,26,FALSE)+VLOOKUP($A391,A:AL,37,FALSE)-50)),"-",(VLOOKUP($A391,'SegEnds_NonXtal_BW#'!$A:$Z,26,FALSE)+VLOOKUP($A391,A:AL,37,FALSE)-50))</f>
        <v>429</v>
      </c>
      <c r="AM391" s="28" t="str">
        <f>VLOOKUP(A391,Classification!A:B,2,FALSE)</f>
        <v>B1</v>
      </c>
      <c r="AN391" s="28" t="b">
        <f t="shared" si="232"/>
        <v>1</v>
      </c>
      <c r="AO391" s="3" t="str">
        <f>IF(ISERROR(MATCH(A391,'SegEnds_Xtal_Prot#'!B:B, 0)), "NoXtal", "Xtal")</f>
        <v>NoXtal</v>
      </c>
      <c r="AP391" s="3">
        <f t="shared" si="217"/>
        <v>1</v>
      </c>
      <c r="AQ391" s="3">
        <f t="shared" si="218"/>
        <v>1</v>
      </c>
      <c r="AR391" s="3" t="str">
        <f t="shared" si="219"/>
        <v>-</v>
      </c>
      <c r="AS391" s="3" t="str">
        <f t="shared" si="220"/>
        <v>-</v>
      </c>
      <c r="AT391" s="3" t="str">
        <f t="shared" si="221"/>
        <v>-</v>
      </c>
      <c r="AU391" s="3" t="str">
        <f t="shared" si="222"/>
        <v>-</v>
      </c>
      <c r="AV391" s="3">
        <f t="shared" si="223"/>
        <v>4</v>
      </c>
      <c r="AW391" s="3">
        <f t="shared" si="224"/>
        <v>7</v>
      </c>
      <c r="AX391" s="3">
        <f t="shared" si="225"/>
        <v>8</v>
      </c>
      <c r="AY391" s="3">
        <f t="shared" si="226"/>
        <v>7</v>
      </c>
      <c r="AZ391" s="3">
        <f t="shared" si="227"/>
        <v>1</v>
      </c>
      <c r="BA391" s="3">
        <f>IF(ISERROR(LEN(VLOOKUP(A391,Seqs!A:E,2,FALSE))-AL391),"-",LEN(VLOOKUP(A391,Seqs!A:E,2,FALSE))-AL391)</f>
        <v>39</v>
      </c>
      <c r="BB391" s="16">
        <f t="shared" si="228"/>
        <v>28</v>
      </c>
      <c r="BC391" s="9" t="str">
        <f t="shared" si="229"/>
        <v>-</v>
      </c>
      <c r="BD391" s="3">
        <f t="shared" si="230"/>
        <v>28</v>
      </c>
      <c r="BE391" s="3">
        <f t="shared" si="231"/>
        <v>52</v>
      </c>
    </row>
    <row r="392" spans="1:58" s="3" customFormat="1" x14ac:dyDescent="0.2">
      <c r="A392" s="3" t="s">
        <v>367</v>
      </c>
      <c r="B392" s="3" t="str">
        <f>LOWER(VLOOKUP(A392,Xtal_Templ!A:B,2,FALSE))</f>
        <v>ox1r_human</v>
      </c>
      <c r="C392" s="3">
        <f>VLOOKUP($A392,'SegEnds_NonXtal_BW#'!$A:$Z,3,FALSE)+D392-50</f>
        <v>62</v>
      </c>
      <c r="D392" s="3">
        <v>80</v>
      </c>
      <c r="E392" s="3">
        <f>IF(ISERROR(VLOOKUP($A392,'SegEnds_NonXtal_BW#'!$A:$Z,4,FALSE)+VLOOKUP($A392,A:AL,4,FALSE)-50),"-",(VLOOKUP($A392,'SegEnds_NonXtal_BW#'!$A:$Z,4,FALSE)+VLOOKUP($A392,A:AL,4,FALSE)-50))</f>
        <v>90</v>
      </c>
      <c r="F392" s="3">
        <f t="shared" si="212"/>
        <v>91</v>
      </c>
      <c r="G392" s="3">
        <v>93</v>
      </c>
      <c r="H392" s="3">
        <f t="shared" si="213"/>
        <v>94</v>
      </c>
      <c r="I392" s="3">
        <f t="shared" si="211"/>
        <v>95</v>
      </c>
      <c r="J392" s="3">
        <v>108</v>
      </c>
      <c r="K392" s="3">
        <f>VLOOKUP($A392,'SegEnds_NonXtal_BW#'!$A:$Z,8,FALSE)+VLOOKUP($A392,A:AL,10,FALSE)-50</f>
        <v>125</v>
      </c>
      <c r="L392" s="3">
        <f>M392-1</f>
        <v>129</v>
      </c>
      <c r="M392" s="3">
        <v>130</v>
      </c>
      <c r="N392" s="3">
        <f>M392+2</f>
        <v>132</v>
      </c>
      <c r="O392" s="3">
        <f>N392+1</f>
        <v>133</v>
      </c>
      <c r="P392" s="3">
        <v>162</v>
      </c>
      <c r="Q392" s="3">
        <f>VLOOKUP($A392,'SegEnds_NonXtal_BW#'!$A:$Z,12,FALSE)+VLOOKUP($A392,A:AL,16,FALSE)-50</f>
        <v>168</v>
      </c>
      <c r="R392" s="3" t="str">
        <f>IF(ISERROR(VLOOKUP($A392,'SegEnds_NonXtal_BW#'!$A:$Z,13,FALSE)+VLOOKUP($A392,A:AL,19,FALSE)-50),"-",VLOOKUP($A392,'SegEnds_NonXtal_BW#'!$A:$Z,13,FALSE)+VLOOKUP($A392,A:AL,19,FALSE)-50)</f>
        <v>-</v>
      </c>
      <c r="S392" s="3" t="s">
        <v>23</v>
      </c>
      <c r="T392" s="103" t="str">
        <f>IF(ISERROR(VLOOKUP($A392,'SegEnds_NonXtal_BW#'!$A:$Z,14,FALSE)+VLOOKUP($A392,A:AL,19,FALSE)-50),"-",(VLOOKUP($A392,'SegEnds_NonXtal_BW#'!$A:$Z,14,FALSE)+VLOOKUP($A392,A:AL,19,FALSE)-50))</f>
        <v>-</v>
      </c>
      <c r="U392" s="9">
        <f>IF(ISERROR(VLOOKUP($A392,'SegEnds_NonXtal_BW#'!$A:$Z,15,FALSE)+VLOOKUP($A392,A:AL,22,FALSE)-50),"-",VLOOKUP($A392,'SegEnds_NonXtal_BW#'!$A:$Z,15,FALSE)+VLOOKUP($A392,A:AL,22,FALSE)-50)</f>
        <v>175</v>
      </c>
      <c r="V392" s="3">
        <v>187</v>
      </c>
      <c r="W392" s="3">
        <f>IF(ISERROR(VLOOKUP($A392,'SegEnds_NonXtal_BW#'!$A:$Z,16,FALSE)+VLOOKUP($A392,A:AL,22,FALSE)-50),"-",(VLOOKUP($A392,'SegEnds_NonXtal_BW#'!$A:$Z,16,FALSE)+VLOOKUP($A392,A:AL,22,FALSE)-50))</f>
        <v>201</v>
      </c>
      <c r="X392" s="3">
        <f>IF(ISERROR(VLOOKUP($A392,'SegEnds_NonXtal_BW#'!$A:$Z,17,FALSE)+VLOOKUP($A392,A:AL,25,FALSE)-50),"-",(VLOOKUP($A392,'SegEnds_NonXtal_BW#'!$A:$Z,17,FALSE)+VLOOKUP($A392,A:AL,25,FALSE)-50))</f>
        <v>217</v>
      </c>
      <c r="Y392" s="3">
        <v>217</v>
      </c>
      <c r="Z392" s="3">
        <f t="shared" si="207"/>
        <v>219</v>
      </c>
      <c r="AA392" s="3">
        <f>IF(ISERROR(VLOOKUP($A392,'SegEnds_NonXtal_BW#'!$A:$Z,19,FALSE)+VLOOKUP($A392,A:AL,28,FALSE)-50),"-",(VLOOKUP($A392,'SegEnds_NonXtal_BW#'!$A:$Z,19,FALSE)+VLOOKUP($A392,A:AL,28,FALSE)-50))</f>
        <v>226</v>
      </c>
      <c r="AB392" s="3">
        <v>244</v>
      </c>
      <c r="AC392" s="3">
        <f>IF(ISERROR((VLOOKUP($A392,'SegEnds_NonXtal_BW#'!$A:$Z,20,FALSE)+VLOOKUP($A392,A:AL,28,FALSE)-50)),"-",(VLOOKUP($A392,'SegEnds_NonXtal_BW#'!$A:$Z,20,FALSE)+VLOOKUP($A392,A:AL,28,FALSE)-50))</f>
        <v>267</v>
      </c>
      <c r="AD392" s="3">
        <f>IF(ISERROR(VLOOKUP($A392,'SegEnds_NonXtal_BW#'!$A:$Z,21,FALSE)+VLOOKUP($A392,A:AL,31,FALSE)-50),"-",(VLOOKUP($A392,'SegEnds_NonXtal_BW#'!$A:$Z,21,FALSE)+VLOOKUP($A392,A:AL,31,FALSE)-50))</f>
        <v>271</v>
      </c>
      <c r="AE392" s="3">
        <v>299</v>
      </c>
      <c r="AF392" s="3">
        <f>IF(ISERROR((VLOOKUP($A392,'SegEnds_NonXtal_BW#'!$A:$Z,22,FALSE)+VLOOKUP($A392,A:AL,31,FALSE)-50)),"-",(VLOOKUP($A392,'SegEnds_NonXtal_BW#'!$A:$Z,22,FALSE)+VLOOKUP($A392,A:AL,31,FALSE)-50))</f>
        <v>310</v>
      </c>
      <c r="AG392" s="3">
        <f>IF(ISERROR(VLOOKUP($A392,'SegEnds_NonXtal_BW#'!$A:$Z,23,FALSE)+VLOOKUP($A392,A:AL,34,FALSE)-50),"-",(VLOOKUP($A392,'SegEnds_NonXtal_BW#'!$A:$Z,23,FALSE)+VLOOKUP($A392,A:AL,34,FALSE)-50))</f>
        <v>317</v>
      </c>
      <c r="AH392" s="3">
        <v>339</v>
      </c>
      <c r="AI392" s="3">
        <f>IF(ISERROR((VLOOKUP($A392,'SegEnds_NonXtal_BW#'!$A:$Z,24,FALSE)+VLOOKUP($A392,A:AL,34,FALSE)-50)),"-",(VLOOKUP($A392,'SegEnds_NonXtal_BW#'!$A:$Z,24,FALSE)+VLOOKUP($A392,A:AL,34,FALSE)-50))</f>
        <v>345</v>
      </c>
      <c r="AJ392" s="3">
        <v>347</v>
      </c>
      <c r="AK392" s="3">
        <v>350</v>
      </c>
      <c r="AL392" s="3">
        <v>358</v>
      </c>
      <c r="AM392" s="28" t="str">
        <f>VLOOKUP(A392,Classification!A:B,2,FALSE)</f>
        <v>A</v>
      </c>
      <c r="AN392" s="28" t="b">
        <f t="shared" si="232"/>
        <v>1</v>
      </c>
      <c r="AO392" s="3" t="str">
        <f>IF(ISERROR(MATCH(A392,'SegEnds_Xtal_Prot#'!B:B, 0)), "NoXtal", "Xtal")</f>
        <v>NoXtal</v>
      </c>
      <c r="AP392" s="3">
        <f t="shared" si="217"/>
        <v>1</v>
      </c>
      <c r="AQ392" s="3">
        <f t="shared" si="218"/>
        <v>1</v>
      </c>
      <c r="AR392" s="3">
        <f t="shared" si="219"/>
        <v>4</v>
      </c>
      <c r="AS392" s="3">
        <f t="shared" si="220"/>
        <v>1</v>
      </c>
      <c r="AT392" s="3" t="str">
        <f t="shared" si="221"/>
        <v>-</v>
      </c>
      <c r="AU392" s="3" t="str">
        <f t="shared" si="222"/>
        <v>-</v>
      </c>
      <c r="AV392" s="3">
        <f t="shared" si="223"/>
        <v>16</v>
      </c>
      <c r="AW392" s="3">
        <f t="shared" si="224"/>
        <v>7</v>
      </c>
      <c r="AX392" s="3">
        <f t="shared" si="225"/>
        <v>4</v>
      </c>
      <c r="AY392" s="3">
        <f t="shared" si="226"/>
        <v>7</v>
      </c>
      <c r="AZ392" s="3">
        <f t="shared" si="227"/>
        <v>2</v>
      </c>
      <c r="BA392" s="3">
        <f>IF(ISERROR(LEN(VLOOKUP(A392,Seqs!A:E,2,FALSE))-AL392),"-",LEN(VLOOKUP(A392,Seqs!A:E,2,FALSE))-AL392)</f>
        <v>35</v>
      </c>
      <c r="BB392" s="16">
        <f t="shared" si="228"/>
        <v>28</v>
      </c>
      <c r="BC392" s="9" t="str">
        <f t="shared" si="229"/>
        <v>-</v>
      </c>
      <c r="BD392" s="3">
        <f t="shared" si="230"/>
        <v>28</v>
      </c>
      <c r="BE392" s="3">
        <f t="shared" si="231"/>
        <v>55</v>
      </c>
    </row>
    <row r="393" spans="1:58" s="3" customFormat="1" x14ac:dyDescent="0.2">
      <c r="A393" s="3" t="s">
        <v>368</v>
      </c>
      <c r="B393" s="3" t="str">
        <f>LOWER(VLOOKUP(A393,Xtal_Templ!A:B,2,FALSE))</f>
        <v>ox2r_human</v>
      </c>
      <c r="C393" s="3">
        <f>VLOOKUP($A393,'SegEnds_NonXtal_BW#'!$A:$Z,3,FALSE)+D393-50</f>
        <v>52</v>
      </c>
      <c r="D393" s="3">
        <v>71</v>
      </c>
      <c r="E393" s="3">
        <f>IF(ISERROR(VLOOKUP($A393,'SegEnds_NonXtal_BW#'!$A:$Z,4,FALSE)+VLOOKUP($A393,A:AL,4,FALSE)-50),"-",(VLOOKUP($A393,'SegEnds_NonXtal_BW#'!$A:$Z,4,FALSE)+VLOOKUP($A393,A:AL,4,FALSE)-50))</f>
        <v>81</v>
      </c>
      <c r="F393" s="3">
        <f t="shared" si="212"/>
        <v>82</v>
      </c>
      <c r="G393" s="3">
        <v>84</v>
      </c>
      <c r="H393" s="3">
        <f t="shared" si="213"/>
        <v>85</v>
      </c>
      <c r="I393" s="3">
        <f t="shared" si="211"/>
        <v>86</v>
      </c>
      <c r="J393" s="3">
        <v>99</v>
      </c>
      <c r="K393" s="3">
        <f>VLOOKUP($A393,'SegEnds_NonXtal_BW#'!$A:$Z,8,FALSE)+VLOOKUP($A393,A:AL,10,FALSE)-50</f>
        <v>116</v>
      </c>
      <c r="L393" s="3">
        <f>M393-1</f>
        <v>120</v>
      </c>
      <c r="M393" s="3">
        <v>121</v>
      </c>
      <c r="N393" s="3">
        <f>M393+2</f>
        <v>123</v>
      </c>
      <c r="O393" s="3">
        <f>N393+1</f>
        <v>124</v>
      </c>
      <c r="P393" s="3">
        <v>153</v>
      </c>
      <c r="Q393" s="3">
        <f>VLOOKUP($A393,'SegEnds_NonXtal_BW#'!$A:$Z,12,FALSE)+VLOOKUP($A393,A:AL,16,FALSE)-50</f>
        <v>159</v>
      </c>
      <c r="R393" s="3" t="str">
        <f>IF(ISERROR(VLOOKUP($A393,'SegEnds_NonXtal_BW#'!$A:$Z,13,FALSE)+VLOOKUP($A393,A:AL,19,FALSE)-50),"-",VLOOKUP($A393,'SegEnds_NonXtal_BW#'!$A:$Z,13,FALSE)+VLOOKUP($A393,A:AL,19,FALSE)-50)</f>
        <v>-</v>
      </c>
      <c r="S393" s="3" t="s">
        <v>23</v>
      </c>
      <c r="T393" s="103" t="str">
        <f>IF(ISERROR(VLOOKUP($A393,'SegEnds_NonXtal_BW#'!$A:$Z,14,FALSE)+VLOOKUP($A393,A:AL,19,FALSE)-50),"-",(VLOOKUP($A393,'SegEnds_NonXtal_BW#'!$A:$Z,14,FALSE)+VLOOKUP($A393,A:AL,19,FALSE)-50))</f>
        <v>-</v>
      </c>
      <c r="U393" s="9">
        <f>IF(ISERROR(VLOOKUP($A393,'SegEnds_NonXtal_BW#'!$A:$Z,15,FALSE)+VLOOKUP($A393,A:AL,22,FALSE)-50),"-",VLOOKUP($A393,'SegEnds_NonXtal_BW#'!$A:$Z,15,FALSE)+VLOOKUP($A393,A:AL,22,FALSE)-50)</f>
        <v>166</v>
      </c>
      <c r="V393" s="3">
        <v>178</v>
      </c>
      <c r="W393" s="3">
        <f>IF(ISERROR(VLOOKUP($A393,'SegEnds_NonXtal_BW#'!$A:$Z,16,FALSE)+VLOOKUP($A393,A:AL,22,FALSE)-50),"-",(VLOOKUP($A393,'SegEnds_NonXtal_BW#'!$A:$Z,16,FALSE)+VLOOKUP($A393,A:AL,22,FALSE)-50))</f>
        <v>192</v>
      </c>
      <c r="X393" s="3">
        <f>IF(ISERROR(VLOOKUP($A393,'SegEnds_NonXtal_BW#'!$A:$Z,17,FALSE)+VLOOKUP($A393,A:AL,25,FALSE)-50),"-",(VLOOKUP($A393,'SegEnds_NonXtal_BW#'!$A:$Z,17,FALSE)+VLOOKUP($A393,A:AL,25,FALSE)-50))</f>
        <v>208</v>
      </c>
      <c r="Y393" s="3">
        <v>208</v>
      </c>
      <c r="Z393" s="3">
        <f t="shared" si="207"/>
        <v>210</v>
      </c>
      <c r="AA393" s="3">
        <f>IF(ISERROR(VLOOKUP($A393,'SegEnds_NonXtal_BW#'!$A:$Z,19,FALSE)+VLOOKUP($A393,A:AL,28,FALSE)-50),"-",(VLOOKUP($A393,'SegEnds_NonXtal_BW#'!$A:$Z,19,FALSE)+VLOOKUP($A393,A:AL,28,FALSE)-50))</f>
        <v>217</v>
      </c>
      <c r="AB393" s="3">
        <v>235</v>
      </c>
      <c r="AC393" s="3">
        <f>IF(ISERROR((VLOOKUP($A393,'SegEnds_NonXtal_BW#'!$A:$Z,20,FALSE)+VLOOKUP($A393,A:AL,28,FALSE)-50)),"-",(VLOOKUP($A393,'SegEnds_NonXtal_BW#'!$A:$Z,20,FALSE)+VLOOKUP($A393,A:AL,28,FALSE)-50))</f>
        <v>258</v>
      </c>
      <c r="AD393" s="3">
        <f>IF(ISERROR(VLOOKUP($A393,'SegEnds_NonXtal_BW#'!$A:$Z,21,FALSE)+VLOOKUP($A393,A:AL,31,FALSE)-50),"-",(VLOOKUP($A393,'SegEnds_NonXtal_BW#'!$A:$Z,21,FALSE)+VLOOKUP($A393,A:AL,31,FALSE)-50))</f>
        <v>262</v>
      </c>
      <c r="AE393" s="3">
        <v>290</v>
      </c>
      <c r="AF393" s="3">
        <f>IF(ISERROR((VLOOKUP($A393,'SegEnds_NonXtal_BW#'!$A:$Z,22,FALSE)+VLOOKUP($A393,A:AL,31,FALSE)-50)),"-",(VLOOKUP($A393,'SegEnds_NonXtal_BW#'!$A:$Z,22,FALSE)+VLOOKUP($A393,A:AL,31,FALSE)-50))</f>
        <v>301</v>
      </c>
      <c r="AG393" s="3">
        <f>IF(ISERROR(VLOOKUP($A393,'SegEnds_NonXtal_BW#'!$A:$Z,23,FALSE)+VLOOKUP($A393,A:AL,34,FALSE)-50),"-",(VLOOKUP($A393,'SegEnds_NonXtal_BW#'!$A:$Z,23,FALSE)+VLOOKUP($A393,A:AL,34,FALSE)-50))</f>
        <v>308</v>
      </c>
      <c r="AH393" s="3">
        <v>330</v>
      </c>
      <c r="AI393" s="3">
        <f>IF(ISERROR((VLOOKUP($A393,'SegEnds_NonXtal_BW#'!$A:$Z,24,FALSE)+VLOOKUP($A393,A:AL,34,FALSE)-50)),"-",(VLOOKUP($A393,'SegEnds_NonXtal_BW#'!$A:$Z,24,FALSE)+VLOOKUP($A393,A:AL,34,FALSE)-50))</f>
        <v>336</v>
      </c>
      <c r="AJ393" s="3">
        <v>338</v>
      </c>
      <c r="AK393" s="3">
        <v>341</v>
      </c>
      <c r="AL393" s="3">
        <v>349</v>
      </c>
      <c r="AM393" s="28" t="str">
        <f>VLOOKUP(A393,Classification!A:B,2,FALSE)</f>
        <v>A</v>
      </c>
      <c r="AN393" s="28" t="b">
        <f t="shared" si="232"/>
        <v>1</v>
      </c>
      <c r="AO393" s="3" t="str">
        <f>IF(ISERROR(MATCH(A393,'SegEnds_Xtal_Prot#'!B:B, 0)), "NoXtal", "Xtal")</f>
        <v>NoXtal</v>
      </c>
      <c r="AP393" s="3">
        <f t="shared" si="217"/>
        <v>1</v>
      </c>
      <c r="AQ393" s="3">
        <f t="shared" si="218"/>
        <v>1</v>
      </c>
      <c r="AR393" s="3">
        <f t="shared" si="219"/>
        <v>4</v>
      </c>
      <c r="AS393" s="3">
        <f t="shared" si="220"/>
        <v>1</v>
      </c>
      <c r="AT393" s="3" t="str">
        <f t="shared" si="221"/>
        <v>-</v>
      </c>
      <c r="AU393" s="3" t="str">
        <f t="shared" si="222"/>
        <v>-</v>
      </c>
      <c r="AV393" s="3">
        <f t="shared" si="223"/>
        <v>16</v>
      </c>
      <c r="AW393" s="3">
        <f t="shared" si="224"/>
        <v>7</v>
      </c>
      <c r="AX393" s="3">
        <f t="shared" si="225"/>
        <v>4</v>
      </c>
      <c r="AY393" s="3">
        <f t="shared" si="226"/>
        <v>7</v>
      </c>
      <c r="AZ393" s="3">
        <f t="shared" si="227"/>
        <v>2</v>
      </c>
      <c r="BA393" s="3">
        <f>IF(ISERROR(LEN(VLOOKUP(A393,Seqs!A:E,2,FALSE))-AL393),"-",LEN(VLOOKUP(A393,Seqs!A:E,2,FALSE))-AL393)</f>
        <v>35</v>
      </c>
      <c r="BB393" s="16">
        <f t="shared" si="228"/>
        <v>28</v>
      </c>
      <c r="BC393" s="9" t="str">
        <f t="shared" si="229"/>
        <v>-</v>
      </c>
      <c r="BD393" s="3">
        <f t="shared" si="230"/>
        <v>28</v>
      </c>
      <c r="BE393" s="3">
        <f t="shared" si="231"/>
        <v>55</v>
      </c>
    </row>
    <row r="394" spans="1:58" s="3" customFormat="1" x14ac:dyDescent="0.2">
      <c r="A394" s="3" t="s">
        <v>409</v>
      </c>
      <c r="B394" s="3" t="str">
        <f>LOWER(VLOOKUP(A394,Xtal_Templ!A:B,2,FALSE))</f>
        <v>glp1r_human</v>
      </c>
      <c r="C394" s="3">
        <f>VLOOKUP($A394,'SegEnds_NonXtal_BW#'!$A:$Z,3,FALSE)+D394-50</f>
        <v>181</v>
      </c>
      <c r="D394" s="3">
        <v>202</v>
      </c>
      <c r="E394" s="3">
        <f>IF(ISERROR(VLOOKUP($A394,'SegEnds_NonXtal_BW#'!$A:$Z,4,FALSE)+VLOOKUP($A394,A:AL,4,FALSE)-50),"-",(VLOOKUP($A394,'SegEnds_NonXtal_BW#'!$A:$Z,4,FALSE)+VLOOKUP($A394,A:AL,4,FALSE)-50))</f>
        <v>212</v>
      </c>
      <c r="F394" s="3">
        <f t="shared" si="212"/>
        <v>213</v>
      </c>
      <c r="G394" s="3">
        <v>215</v>
      </c>
      <c r="H394" s="3">
        <f t="shared" si="213"/>
        <v>216</v>
      </c>
      <c r="I394" s="3">
        <f t="shared" si="211"/>
        <v>217</v>
      </c>
      <c r="J394" s="3">
        <v>230</v>
      </c>
      <c r="K394" s="3">
        <f>VLOOKUP($A394,'SegEnds_NonXtal_BW#'!$A:$Z,8,FALSE)+VLOOKUP($A394,A:AL,10,FALSE)-50</f>
        <v>247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274</v>
      </c>
      <c r="P394" s="3">
        <v>306</v>
      </c>
      <c r="Q394" s="3">
        <f>VLOOKUP($A394,'SegEnds_NonXtal_BW#'!$A:$Z,12,FALSE)+VLOOKUP($A394,A:AL,16,FALSE)-50</f>
        <v>312</v>
      </c>
      <c r="R394" s="3" t="str">
        <f>IF(ISERROR(VLOOKUP($A394,'SegEnds_NonXtal_BW#'!$A:$Z,13,FALSE)+VLOOKUP($A394,A:AL,19,FALSE)-50),"-",VLOOKUP($A394,'SegEnds_NonXtal_BW#'!$A:$Z,13,FALSE)+VLOOKUP($A394,A:AL,19,FALSE)-50)</f>
        <v>-</v>
      </c>
      <c r="S394" s="3" t="s">
        <v>23</v>
      </c>
      <c r="T394" s="103" t="str">
        <f>IF(ISERROR(VLOOKUP($A394,'SegEnds_NonXtal_BW#'!$A:$Z,14,FALSE)+VLOOKUP($A394,A:AL,19,FALSE)-50),"-",(VLOOKUP($A394,'SegEnds_NonXtal_BW#'!$A:$Z,14,FALSE)+VLOOKUP($A394,A:AL,19,FALSE)-50))</f>
        <v>-</v>
      </c>
      <c r="U394" s="9">
        <f>IF(ISERROR(VLOOKUP($A394,'SegEnds_NonXtal_BW#'!$A:$Z,15,FALSE)+VLOOKUP($A394,A:AL,22,FALSE)-50),"-",VLOOKUP($A394,'SegEnds_NonXtal_BW#'!$A:$Z,15,FALSE)+VLOOKUP($A394,A:AL,22,FALSE)-50)</f>
        <v>317</v>
      </c>
      <c r="V394" s="3">
        <v>329</v>
      </c>
      <c r="W394" s="3">
        <f>IF(ISERROR(VLOOKUP($A394,'SegEnds_NonXtal_BW#'!$A:$Z,16,FALSE)+VLOOKUP($A394,A:AL,22,FALSE)-50),"-",(VLOOKUP($A394,'SegEnds_NonXtal_BW#'!$A:$Z,16,FALSE)+VLOOKUP($A394,A:AL,22,FALSE)-50))</f>
        <v>347</v>
      </c>
      <c r="X394" s="3">
        <f>IF(ISERROR(VLOOKUP($A394,'SegEnds_NonXtal_BW#'!$A:$Z,17,FALSE)+VLOOKUP($A394,A:AL,25,FALSE)-50),"-",(VLOOKUP($A394,'SegEnds_NonXtal_BW#'!$A:$Z,17,FALSE)+VLOOKUP($A394,A:AL,25,FALSE)-50))</f>
        <v>351</v>
      </c>
      <c r="Y394" s="3">
        <v>351</v>
      </c>
      <c r="Z394" s="3">
        <f t="shared" si="207"/>
        <v>353</v>
      </c>
      <c r="AA394" s="3">
        <f>IF(ISERROR(VLOOKUP($A394,'SegEnds_NonXtal_BW#'!$A:$Z,19,FALSE)+VLOOKUP($A394,A:AL,28,FALSE)-50),"-",(VLOOKUP($A394,'SegEnds_NonXtal_BW#'!$A:$Z,19,FALSE)+VLOOKUP($A394,A:AL,28,FALSE)-50))</f>
        <v>359</v>
      </c>
      <c r="AB394" s="3">
        <v>370</v>
      </c>
      <c r="AC394" s="3">
        <f>IF(ISERROR((VLOOKUP($A394,'SegEnds_NonXtal_BW#'!$A:$Z,20,FALSE)+VLOOKUP($A394,A:AL,28,FALSE)-50)),"-",(VLOOKUP($A394,'SegEnds_NonXtal_BW#'!$A:$Z,20,FALSE)+VLOOKUP($A394,A:AL,28,FALSE)-50))</f>
        <v>389</v>
      </c>
      <c r="AD394" s="3">
        <f>IF(ISERROR(VLOOKUP($A394,'SegEnds_NonXtal_BW#'!$A:$Z,21,FALSE)+VLOOKUP($A394,A:AL,31,FALSE)-50),"-",(VLOOKUP($A394,'SegEnds_NonXtal_BW#'!$A:$Z,21,FALSE)+VLOOKUP($A394,A:AL,31,FALSE)-50))</f>
        <v>398</v>
      </c>
      <c r="AE394" s="3">
        <v>423</v>
      </c>
      <c r="AF394" s="3">
        <f>IF(ISERROR((VLOOKUP($A394,'SegEnds_NonXtal_BW#'!$A:$Z,22,FALSE)+VLOOKUP($A394,A:AL,31,FALSE)-50)),"-",(VLOOKUP($A394,'SegEnds_NonXtal_BW#'!$A:$Z,22,FALSE)+VLOOKUP($A394,A:AL,31,FALSE)-50))</f>
        <v>431</v>
      </c>
      <c r="AG394" s="3">
        <f>IF(ISERROR(VLOOKUP($A394,'SegEnds_NonXtal_BW#'!$A:$Z,23,FALSE)+VLOOKUP($A394,A:AL,34,FALSE)-50),"-",(VLOOKUP($A394,'SegEnds_NonXtal_BW#'!$A:$Z,23,FALSE)+VLOOKUP($A394,A:AL,34,FALSE)-50))</f>
        <v>433</v>
      </c>
      <c r="AH394" s="3">
        <v>456</v>
      </c>
      <c r="AI394" s="3">
        <f>IF(ISERROR((VLOOKUP($A394,'SegEnds_NonXtal_BW#'!$A:$Z,24,FALSE)+VLOOKUP($A394,A:AL,34,FALSE)-50)),"-",(VLOOKUP($A394,'SegEnds_NonXtal_BW#'!$A:$Z,24,FALSE)+VLOOKUP($A394,A:AL,34,FALSE)-50))</f>
        <v>462</v>
      </c>
      <c r="AJ394" s="3">
        <f>IF(ISERROR(VLOOKUP($A394,'SegEnds_NonXtal_BW#'!$A:$Z,25,FALSE)+VLOOKUP($A394,A:AL,37,FALSE)-50),"-",(VLOOKUP($A394,'SegEnds_NonXtal_BW#'!$A:$Z,25,FALSE)+VLOOKUP($A394,A:AL,37,FALSE)-50))</f>
        <v>463</v>
      </c>
      <c r="AK394" s="3">
        <v>466</v>
      </c>
      <c r="AL394" s="3">
        <f>IF(ISERROR((VLOOKUP($A394,'SegEnds_NonXtal_BW#'!$A:$Z,26,FALSE)+VLOOKUP($A394,A:AL,37,FALSE)-50)),"-",(VLOOKUP($A394,'SegEnds_NonXtal_BW#'!$A:$Z,26,FALSE)+VLOOKUP($A394,A:AL,37,FALSE)-50))</f>
        <v>488</v>
      </c>
      <c r="AM394" s="28" t="str">
        <f>VLOOKUP(A394,Classification!A:B,2,FALSE)</f>
        <v>B1</v>
      </c>
      <c r="AN394" s="28" t="b">
        <f t="shared" si="232"/>
        <v>1</v>
      </c>
      <c r="AO394" s="3" t="str">
        <f>IF(ISERROR(MATCH(A394,'SegEnds_Xtal_Prot#'!B:B, 0)), "NoXtal", "Xtal")</f>
        <v>NoXtal</v>
      </c>
      <c r="AP394" s="3">
        <f t="shared" si="217"/>
        <v>1</v>
      </c>
      <c r="AQ394" s="3">
        <f t="shared" si="218"/>
        <v>1</v>
      </c>
      <c r="AR394" s="3" t="str">
        <f t="shared" si="219"/>
        <v>-</v>
      </c>
      <c r="AS394" s="3" t="str">
        <f t="shared" si="220"/>
        <v>-</v>
      </c>
      <c r="AT394" s="3" t="str">
        <f t="shared" si="221"/>
        <v>-</v>
      </c>
      <c r="AU394" s="3" t="str">
        <f t="shared" si="222"/>
        <v>-</v>
      </c>
      <c r="AV394" s="3">
        <f t="shared" si="223"/>
        <v>4</v>
      </c>
      <c r="AW394" s="3">
        <f t="shared" si="224"/>
        <v>6</v>
      </c>
      <c r="AX394" s="3">
        <f t="shared" si="225"/>
        <v>9</v>
      </c>
      <c r="AY394" s="3">
        <f t="shared" si="226"/>
        <v>2</v>
      </c>
      <c r="AZ394" s="3">
        <f t="shared" si="227"/>
        <v>1</v>
      </c>
      <c r="BA394" s="3">
        <f>IF(ISERROR(LEN(VLOOKUP(A394,Seqs!A:E,2,FALSE))-AL394),"-",LEN(VLOOKUP(A394,Seqs!A:E,2,FALSE))-AL394)</f>
        <v>105</v>
      </c>
      <c r="BB394" s="16">
        <f t="shared" si="228"/>
        <v>28</v>
      </c>
      <c r="BC394" s="9" t="str">
        <f t="shared" si="229"/>
        <v>-</v>
      </c>
      <c r="BD394" s="3">
        <f t="shared" si="230"/>
        <v>28</v>
      </c>
      <c r="BE394" s="3">
        <f t="shared" si="231"/>
        <v>53</v>
      </c>
    </row>
    <row r="395" spans="1:58" s="3" customFormat="1" x14ac:dyDescent="0.2">
      <c r="A395" s="3" t="s">
        <v>410</v>
      </c>
      <c r="B395" s="3" t="str">
        <f>LOWER(VLOOKUP(A395,Xtal_Templ!A:B,2,FALSE))</f>
        <v>glp1r_human</v>
      </c>
      <c r="C395" s="3">
        <f>VLOOKUP($A395,'SegEnds_NonXtal_BW#'!$A:$Z,3,FALSE)+D395-50</f>
        <v>138</v>
      </c>
      <c r="D395" s="3">
        <v>159</v>
      </c>
      <c r="E395" s="3">
        <f>IF(ISERROR(VLOOKUP($A395,'SegEnds_NonXtal_BW#'!$A:$Z,4,FALSE)+VLOOKUP($A395,A:AL,4,FALSE)-50),"-",(VLOOKUP($A395,'SegEnds_NonXtal_BW#'!$A:$Z,4,FALSE)+VLOOKUP($A395,A:AL,4,FALSE)-50))</f>
        <v>169</v>
      </c>
      <c r="F395" s="3">
        <f t="shared" si="212"/>
        <v>170</v>
      </c>
      <c r="G395" s="3">
        <v>172</v>
      </c>
      <c r="H395" s="3">
        <f t="shared" si="213"/>
        <v>173</v>
      </c>
      <c r="I395" s="3">
        <f t="shared" si="211"/>
        <v>174</v>
      </c>
      <c r="J395" s="3">
        <v>187</v>
      </c>
      <c r="K395" s="3">
        <f>VLOOKUP($A395,'SegEnds_NonXtal_BW#'!$A:$Z,8,FALSE)+VLOOKUP($A395,A:AL,10,FALSE)-50</f>
        <v>204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229</v>
      </c>
      <c r="P395" s="3">
        <v>261</v>
      </c>
      <c r="Q395" s="3">
        <f>VLOOKUP($A395,'SegEnds_NonXtal_BW#'!$A:$Z,12,FALSE)+VLOOKUP($A395,A:AL,16,FALSE)-50</f>
        <v>267</v>
      </c>
      <c r="R395" s="3" t="str">
        <f>IF(ISERROR(VLOOKUP($A395,'SegEnds_NonXtal_BW#'!$A:$Z,13,FALSE)+VLOOKUP($A395,A:AL,19,FALSE)-50),"-",VLOOKUP($A395,'SegEnds_NonXtal_BW#'!$A:$Z,13,FALSE)+VLOOKUP($A395,A:AL,19,FALSE)-50)</f>
        <v>-</v>
      </c>
      <c r="S395" s="3" t="s">
        <v>23</v>
      </c>
      <c r="T395" s="103" t="str">
        <f>IF(ISERROR(VLOOKUP($A395,'SegEnds_NonXtal_BW#'!$A:$Z,14,FALSE)+VLOOKUP($A395,A:AL,19,FALSE)-50),"-",(VLOOKUP($A395,'SegEnds_NonXtal_BW#'!$A:$Z,14,FALSE)+VLOOKUP($A395,A:AL,19,FALSE)-50))</f>
        <v>-</v>
      </c>
      <c r="U395" s="9">
        <f>IF(ISERROR(VLOOKUP($A395,'SegEnds_NonXtal_BW#'!$A:$Z,15,FALSE)+VLOOKUP($A395,A:AL,22,FALSE)-50),"-",VLOOKUP($A395,'SegEnds_NonXtal_BW#'!$A:$Z,15,FALSE)+VLOOKUP($A395,A:AL,22,FALSE)-50)</f>
        <v>272</v>
      </c>
      <c r="V395" s="3">
        <v>284</v>
      </c>
      <c r="W395" s="3">
        <f>IF(ISERROR(VLOOKUP($A395,'SegEnds_NonXtal_BW#'!$A:$Z,16,FALSE)+VLOOKUP($A395,A:AL,22,FALSE)-50),"-",(VLOOKUP($A395,'SegEnds_NonXtal_BW#'!$A:$Z,16,FALSE)+VLOOKUP($A395,A:AL,22,FALSE)-50))</f>
        <v>302</v>
      </c>
      <c r="X395" s="3">
        <f>IF(ISERROR(VLOOKUP($A395,'SegEnds_NonXtal_BW#'!$A:$Z,17,FALSE)+VLOOKUP($A395,A:AL,25,FALSE)-50),"-",(VLOOKUP($A395,'SegEnds_NonXtal_BW#'!$A:$Z,17,FALSE)+VLOOKUP($A395,A:AL,25,FALSE)-50))</f>
        <v>306</v>
      </c>
      <c r="Y395" s="3">
        <v>306</v>
      </c>
      <c r="Z395" s="3">
        <f t="shared" si="207"/>
        <v>308</v>
      </c>
      <c r="AA395" s="3">
        <f>IF(ISERROR(VLOOKUP($A395,'SegEnds_NonXtal_BW#'!$A:$Z,19,FALSE)+VLOOKUP($A395,A:AL,28,FALSE)-50),"-",(VLOOKUP($A395,'SegEnds_NonXtal_BW#'!$A:$Z,19,FALSE)+VLOOKUP($A395,A:AL,28,FALSE)-50))</f>
        <v>314</v>
      </c>
      <c r="AB395" s="3">
        <v>325</v>
      </c>
      <c r="AC395" s="3">
        <f>IF(ISERROR((VLOOKUP($A395,'SegEnds_NonXtal_BW#'!$A:$Z,20,FALSE)+VLOOKUP($A395,A:AL,28,FALSE)-50)),"-",(VLOOKUP($A395,'SegEnds_NonXtal_BW#'!$A:$Z,20,FALSE)+VLOOKUP($A395,A:AL,28,FALSE)-50))</f>
        <v>344</v>
      </c>
      <c r="AD395" s="3">
        <f>IF(ISERROR(VLOOKUP($A395,'SegEnds_NonXtal_BW#'!$A:$Z,21,FALSE)+VLOOKUP($A395,A:AL,31,FALSE)-50),"-",(VLOOKUP($A395,'SegEnds_NonXtal_BW#'!$A:$Z,21,FALSE)+VLOOKUP($A395,A:AL,31,FALSE)-50))</f>
        <v>353</v>
      </c>
      <c r="AE395" s="3">
        <v>378</v>
      </c>
      <c r="AF395" s="3">
        <f>IF(ISERROR((VLOOKUP($A395,'SegEnds_NonXtal_BW#'!$A:$Z,22,FALSE)+VLOOKUP($A395,A:AL,31,FALSE)-50)),"-",(VLOOKUP($A395,'SegEnds_NonXtal_BW#'!$A:$Z,22,FALSE)+VLOOKUP($A395,A:AL,31,FALSE)-50))</f>
        <v>386</v>
      </c>
      <c r="AG395" s="3">
        <f>IF(ISERROR(VLOOKUP($A395,'SegEnds_NonXtal_BW#'!$A:$Z,23,FALSE)+VLOOKUP($A395,A:AL,34,FALSE)-50),"-",(VLOOKUP($A395,'SegEnds_NonXtal_BW#'!$A:$Z,23,FALSE)+VLOOKUP($A395,A:AL,34,FALSE)-50))</f>
        <v>387</v>
      </c>
      <c r="AH395" s="3">
        <v>410</v>
      </c>
      <c r="AI395" s="3">
        <f>IF(ISERROR((VLOOKUP($A395,'SegEnds_NonXtal_BW#'!$A:$Z,24,FALSE)+VLOOKUP($A395,A:AL,34,FALSE)-50)),"-",(VLOOKUP($A395,'SegEnds_NonXtal_BW#'!$A:$Z,24,FALSE)+VLOOKUP($A395,A:AL,34,FALSE)-50))</f>
        <v>416</v>
      </c>
      <c r="AJ395" s="3">
        <f>IF(ISERROR(VLOOKUP($A395,'SegEnds_NonXtal_BW#'!$A:$Z,25,FALSE)+VLOOKUP($A395,A:AL,37,FALSE)-50),"-",(VLOOKUP($A395,'SegEnds_NonXtal_BW#'!$A:$Z,25,FALSE)+VLOOKUP($A395,A:AL,37,FALSE)-50))</f>
        <v>417</v>
      </c>
      <c r="AK395" s="3">
        <v>420</v>
      </c>
      <c r="AL395" s="3">
        <f>IF(ISERROR((VLOOKUP($A395,'SegEnds_NonXtal_BW#'!$A:$Z,26,FALSE)+VLOOKUP($A395,A:AL,37,FALSE)-50)),"-",(VLOOKUP($A395,'SegEnds_NonXtal_BW#'!$A:$Z,26,FALSE)+VLOOKUP($A395,A:AL,37,FALSE)-50))</f>
        <v>442</v>
      </c>
      <c r="AM395" s="28" t="str">
        <f>VLOOKUP(A395,Classification!A:B,2,FALSE)</f>
        <v>B1</v>
      </c>
      <c r="AN395" s="28" t="b">
        <f t="shared" si="232"/>
        <v>1</v>
      </c>
      <c r="AO395" s="3" t="str">
        <f>IF(ISERROR(MATCH(A395,'SegEnds_Xtal_Prot#'!B:B, 0)), "NoXtal", "Xtal")</f>
        <v>NoXtal</v>
      </c>
      <c r="AP395" s="3">
        <f t="shared" si="217"/>
        <v>1</v>
      </c>
      <c r="AQ395" s="3">
        <f t="shared" si="218"/>
        <v>1</v>
      </c>
      <c r="AR395" s="3" t="str">
        <f t="shared" si="219"/>
        <v>-</v>
      </c>
      <c r="AS395" s="3" t="str">
        <f t="shared" si="220"/>
        <v>-</v>
      </c>
      <c r="AT395" s="3" t="str">
        <f t="shared" si="221"/>
        <v>-</v>
      </c>
      <c r="AU395" s="3" t="str">
        <f t="shared" si="222"/>
        <v>-</v>
      </c>
      <c r="AV395" s="3">
        <f t="shared" si="223"/>
        <v>4</v>
      </c>
      <c r="AW395" s="3">
        <f t="shared" si="224"/>
        <v>6</v>
      </c>
      <c r="AX395" s="3">
        <f t="shared" si="225"/>
        <v>9</v>
      </c>
      <c r="AY395" s="3">
        <f t="shared" si="226"/>
        <v>1</v>
      </c>
      <c r="AZ395" s="3">
        <f t="shared" si="227"/>
        <v>1</v>
      </c>
      <c r="BA395" s="3">
        <f>IF(ISERROR(LEN(VLOOKUP(A395,Seqs!A:E,2,FALSE))-AL395),"-",LEN(VLOOKUP(A395,Seqs!A:E,2,FALSE))-AL395)</f>
        <v>108</v>
      </c>
      <c r="BB395" s="16">
        <f t="shared" si="228"/>
        <v>28</v>
      </c>
      <c r="BC395" s="9" t="str">
        <f t="shared" si="229"/>
        <v>-</v>
      </c>
      <c r="BD395" s="3">
        <f t="shared" si="230"/>
        <v>28</v>
      </c>
      <c r="BE395" s="3">
        <f t="shared" si="231"/>
        <v>53</v>
      </c>
    </row>
    <row r="396" spans="1:58" s="3" customFormat="1" x14ac:dyDescent="0.2">
      <c r="A396" s="3" t="s">
        <v>121</v>
      </c>
      <c r="B396" s="3" t="str">
        <f>LOWER(VLOOKUP(A396,Xtal_Templ!A:B,2,FALSE))</f>
        <v>grm1_human</v>
      </c>
      <c r="C396" s="3">
        <f>VLOOKUP($A396,'SegEnds_NonXtal_BW#'!$A:$Z,3,FALSE)+D396-50</f>
        <v>26</v>
      </c>
      <c r="D396" s="3">
        <v>42</v>
      </c>
      <c r="E396" s="3">
        <f>IF(ISERROR(VLOOKUP($A396,'SegEnds_NonXtal_BW#'!$A:$Z,4,FALSE)+VLOOKUP($A396,A:AL,4,FALSE)-50),"-",(VLOOKUP($A396,'SegEnds_NonXtal_BW#'!$A:$Z,4,FALSE)+VLOOKUP($A396,A:AL,4,FALSE)-50))</f>
        <v>52</v>
      </c>
      <c r="F396" s="3">
        <f>G396-3</f>
        <v>53</v>
      </c>
      <c r="G396" s="3">
        <v>56</v>
      </c>
      <c r="H396" s="3">
        <f>G396+3</f>
        <v>59</v>
      </c>
      <c r="I396" s="3">
        <f t="shared" si="211"/>
        <v>60</v>
      </c>
      <c r="J396" s="3">
        <v>75</v>
      </c>
      <c r="K396" s="3">
        <f>VLOOKUP($A396,'SegEnds_NonXtal_BW#'!$A:$Z,8,FALSE)+VLOOKUP($A396,A:AL,10,FALSE)-50</f>
        <v>86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91</v>
      </c>
      <c r="P396" s="3">
        <v>119</v>
      </c>
      <c r="Q396" s="3">
        <f>VLOOKUP($A396,'SegEnds_NonXtal_BW#'!$A:$Z,12,FALSE)+VLOOKUP($A396,A:AL,16,FALSE)-50</f>
        <v>123</v>
      </c>
      <c r="R396" s="3" t="str">
        <f>IF(ISERROR(VLOOKUP($A396,'SegEnds_NonXtal_BW#'!$A:$Z,13,FALSE)+VLOOKUP($A396,A:AL,19,FALSE)-50),"-",VLOOKUP($A396,'SegEnds_NonXtal_BW#'!$A:$Z,13,FALSE)+VLOOKUP($A396,A:AL,19,FALSE)-50)</f>
        <v>-</v>
      </c>
      <c r="S396" s="3" t="s">
        <v>23</v>
      </c>
      <c r="T396" s="103" t="str">
        <f>IF(ISERROR(VLOOKUP($A396,'SegEnds_NonXtal_BW#'!$A:$Z,14,FALSE)+VLOOKUP($A396,A:AL,19,FALSE)-50),"-",(VLOOKUP($A396,'SegEnds_NonXtal_BW#'!$A:$Z,14,FALSE)+VLOOKUP($A396,A:AL,19,FALSE)-50))</f>
        <v>-</v>
      </c>
      <c r="U396" s="9">
        <f>IF(ISERROR(VLOOKUP($A396,'SegEnds_NonXtal_BW#'!$A:$Z,15,FALSE)+VLOOKUP($A396,A:AL,22,FALSE)-50),"-",VLOOKUP($A396,'SegEnds_NonXtal_BW#'!$A:$Z,15,FALSE)+VLOOKUP($A396,A:AL,22,FALSE)-50)</f>
        <v>130</v>
      </c>
      <c r="V396" s="3">
        <v>142</v>
      </c>
      <c r="W396" s="3">
        <f>IF(ISERROR(VLOOKUP($A396,'SegEnds_NonXtal_BW#'!$A:$Z,16,FALSE)+VLOOKUP($A396,A:AL,22,FALSE)-50),"-",(VLOOKUP($A396,'SegEnds_NonXtal_BW#'!$A:$Z,16,FALSE)+VLOOKUP($A396,A:AL,22,FALSE)-50))</f>
        <v>156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174</v>
      </c>
      <c r="AB396" s="3">
        <v>187</v>
      </c>
      <c r="AC396" s="3">
        <f>IF(ISERROR((VLOOKUP($A396,'SegEnds_NonXtal_BW#'!$A:$Z,20,FALSE)+VLOOKUP($A396,A:AL,28,FALSE)-50)),"-",(VLOOKUP($A396,'SegEnds_NonXtal_BW#'!$A:$Z,20,FALSE)+VLOOKUP($A396,A:AL,28,FALSE)-50))</f>
        <v>198</v>
      </c>
      <c r="AD396" s="3">
        <f>IF(ISERROR(VLOOKUP($A396,'SegEnds_NonXtal_BW#'!$A:$Z,21,FALSE)+VLOOKUP($A396,A:AL,31,FALSE)-50),"-",(VLOOKUP($A396,'SegEnds_NonXtal_BW#'!$A:$Z,21,FALSE)+VLOOKUP($A396,A:AL,31,FALSE)-50))</f>
        <v>209</v>
      </c>
      <c r="AE396" s="3">
        <v>226</v>
      </c>
      <c r="AF396" s="3">
        <f>IF(ISERROR((VLOOKUP($A396,'SegEnds_NonXtal_BW#'!$A:$Z,22,FALSE)+VLOOKUP($A396,A:AL,31,FALSE)-50)),"-",(VLOOKUP($A396,'SegEnds_NonXtal_BW#'!$A:$Z,22,FALSE)+VLOOKUP($A396,A:AL,31,FALSE)-50))</f>
        <v>233</v>
      </c>
      <c r="AG396" s="3">
        <f>IF(ISERROR(VLOOKUP($A396,'SegEnds_NonXtal_BW#'!$A:$Z,23,FALSE)+VLOOKUP($A396,A:AL,34,FALSE)-50),"-",(VLOOKUP($A396,'SegEnds_NonXtal_BW#'!$A:$Z,23,FALSE)+VLOOKUP($A396,A:AL,34,FALSE)-50))</f>
        <v>241</v>
      </c>
      <c r="AH396" s="3">
        <v>257</v>
      </c>
      <c r="AI396" s="3">
        <f>IF(ISERROR((VLOOKUP($A396,'SegEnds_NonXtal_BW#'!$A:$Z,24,FALSE)+VLOOKUP($A396,A:AL,34,FALSE)-50)),"-",(VLOOKUP($A396,'SegEnds_NonXtal_BW#'!$A:$Z,24,FALSE)+VLOOKUP($A396,A:AL,34,FALSE)-50))</f>
        <v>270</v>
      </c>
      <c r="AJ396" s="3">
        <v>273</v>
      </c>
      <c r="AK396" s="3">
        <v>276</v>
      </c>
      <c r="AL396" s="3">
        <v>285</v>
      </c>
      <c r="AM396" s="28" t="str">
        <f>VLOOKUP(A396,Classification!A:B,2,FALSE)</f>
        <v>C</v>
      </c>
      <c r="AN396" s="28" t="b">
        <f t="shared" si="232"/>
        <v>1</v>
      </c>
      <c r="AO396" s="3" t="str">
        <f>IF(ISERROR(MATCH(A396,'SegEnds_Xtal_Prot#'!B:B, 0)), "NoXtal", "Xtal")</f>
        <v>NoXtal</v>
      </c>
      <c r="AP396" s="3">
        <f t="shared" si="217"/>
        <v>1</v>
      </c>
      <c r="AQ396" s="3">
        <f t="shared" si="218"/>
        <v>1</v>
      </c>
      <c r="AR396" s="3" t="str">
        <f t="shared" si="219"/>
        <v>-</v>
      </c>
      <c r="AS396" s="3" t="str">
        <f t="shared" si="220"/>
        <v>-</v>
      </c>
      <c r="AT396" s="3" t="str">
        <f t="shared" si="221"/>
        <v>-</v>
      </c>
      <c r="AU396" s="3" t="str">
        <f t="shared" si="222"/>
        <v>-</v>
      </c>
      <c r="AV396" s="3" t="str">
        <f t="shared" si="223"/>
        <v>-</v>
      </c>
      <c r="AW396" s="3" t="str">
        <f t="shared" si="224"/>
        <v>-</v>
      </c>
      <c r="AX396" s="3">
        <f t="shared" si="225"/>
        <v>11</v>
      </c>
      <c r="AY396" s="3">
        <f t="shared" si="226"/>
        <v>8</v>
      </c>
      <c r="AZ396" s="3">
        <f t="shared" si="227"/>
        <v>3</v>
      </c>
      <c r="BA396" s="3">
        <f>IF(ISERROR(LEN(VLOOKUP(A396,Seqs!A:E,2,FALSE))-AL396),"-",LEN(VLOOKUP(A396,Seqs!A:E,2,FALSE))-AL396)</f>
        <v>72</v>
      </c>
      <c r="BB396" s="16">
        <f t="shared" si="228"/>
        <v>33</v>
      </c>
      <c r="BC396" s="9" t="str">
        <f t="shared" si="229"/>
        <v>-</v>
      </c>
      <c r="BD396" s="3">
        <f t="shared" si="230"/>
        <v>33</v>
      </c>
      <c r="BE396" s="3">
        <f t="shared" si="231"/>
        <v>39</v>
      </c>
    </row>
    <row r="397" spans="1:58" s="3" customFormat="1" x14ac:dyDescent="0.2">
      <c r="A397" s="3" t="s">
        <v>373</v>
      </c>
      <c r="B397" s="3" t="str">
        <f>LOWER(VLOOKUP(A397,Xtal_Templ!A:B,2,FALSE))</f>
        <v>agtr1_human</v>
      </c>
      <c r="C397" s="3">
        <f>VLOOKUP($A397,'SegEnds_NonXtal_BW#'!$A:$Z,3,FALSE)+D397-50</f>
        <v>79</v>
      </c>
      <c r="D397" s="3">
        <v>99</v>
      </c>
      <c r="E397" s="3">
        <f>IF(ISERROR(VLOOKUP($A397,'SegEnds_NonXtal_BW#'!$A:$Z,4,FALSE)+VLOOKUP($A397,A:AL,4,FALSE)-50),"-",(VLOOKUP($A397,'SegEnds_NonXtal_BW#'!$A:$Z,4,FALSE)+VLOOKUP($A397,A:AL,4,FALSE)-50))</f>
        <v>109</v>
      </c>
      <c r="F397" s="3">
        <f>G397-2</f>
        <v>110</v>
      </c>
      <c r="G397" s="3">
        <v>112</v>
      </c>
      <c r="H397" s="3">
        <f>G397+1</f>
        <v>113</v>
      </c>
      <c r="I397" s="3">
        <f t="shared" si="211"/>
        <v>114</v>
      </c>
      <c r="J397" s="3">
        <v>128</v>
      </c>
      <c r="K397" s="3">
        <f>VLOOKUP($A397,'SegEnds_NonXtal_BW#'!$A:$Z,8,FALSE)+VLOOKUP($A397,A:AL,10,FALSE)-50</f>
        <v>144</v>
      </c>
      <c r="L397" s="3">
        <f>M397-1</f>
        <v>147</v>
      </c>
      <c r="M397" s="3">
        <v>148</v>
      </c>
      <c r="N397" s="3">
        <f>M397+2</f>
        <v>150</v>
      </c>
      <c r="O397" s="3">
        <f>N397+1</f>
        <v>151</v>
      </c>
      <c r="P397" s="3">
        <v>180</v>
      </c>
      <c r="Q397" s="3">
        <f>VLOOKUP($A397,'SegEnds_NonXtal_BW#'!$A:$Z,12,FALSE)+VLOOKUP($A397,A:AL,16,FALSE)-50</f>
        <v>186</v>
      </c>
      <c r="R397" s="3" t="str">
        <f>IF(ISERROR(VLOOKUP($A397,'SegEnds_NonXtal_BW#'!$A:$Z,13,FALSE)+VLOOKUP($A397,A:AL,19,FALSE)-50),"-",VLOOKUP($A397,'SegEnds_NonXtal_BW#'!$A:$Z,13,FALSE)+VLOOKUP($A397,A:AL,19,FALSE)-50)</f>
        <v>-</v>
      </c>
      <c r="S397" s="3" t="s">
        <v>23</v>
      </c>
      <c r="T397" s="103" t="str">
        <f>IF(ISERROR(VLOOKUP($A397,'SegEnds_NonXtal_BW#'!$A:$Z,14,FALSE)+VLOOKUP($A397,A:AL,19,FALSE)-50),"-",(VLOOKUP($A397,'SegEnds_NonXtal_BW#'!$A:$Z,14,FALSE)+VLOOKUP($A397,A:AL,19,FALSE)-50))</f>
        <v>-</v>
      </c>
      <c r="U397" s="9">
        <f>IF(ISERROR(VLOOKUP($A397,'SegEnds_NonXtal_BW#'!$A:$Z,15,FALSE)+VLOOKUP($A397,A:AL,22,FALSE)-50),"-",VLOOKUP($A397,'SegEnds_NonXtal_BW#'!$A:$Z,15,FALSE)+VLOOKUP($A397,A:AL,22,FALSE)-50)</f>
        <v>210</v>
      </c>
      <c r="V397" s="3">
        <v>222</v>
      </c>
      <c r="W397" s="3">
        <f>IF(ISERROR(VLOOKUP($A397,'SegEnds_NonXtal_BW#'!$A:$Z,16,FALSE)+VLOOKUP($A397,A:AL,22,FALSE)-50),"-",(VLOOKUP($A397,'SegEnds_NonXtal_BW#'!$A:$Z,16,FALSE)+VLOOKUP($A397,A:AL,22,FALSE)-50))</f>
        <v>236</v>
      </c>
      <c r="X397" s="3">
        <f>IF(ISERROR(VLOOKUP($A397,'SegEnds_NonXtal_BW#'!$A:$Z,17,FALSE)+VLOOKUP($A397,A:AL,25,FALSE)-50),"-",(VLOOKUP($A397,'SegEnds_NonXtal_BW#'!$A:$Z,17,FALSE)+VLOOKUP($A397,A:AL,25,FALSE)-50))</f>
        <v>247</v>
      </c>
      <c r="Y397" s="3">
        <v>247</v>
      </c>
      <c r="Z397" s="3">
        <f>Y397+2</f>
        <v>249</v>
      </c>
      <c r="AA397" s="3">
        <f>IF(ISERROR(VLOOKUP($A397,'SegEnds_NonXtal_BW#'!$A:$Z,19,FALSE)+VLOOKUP($A397,A:AL,28,FALSE)-50),"-",(VLOOKUP($A397,'SegEnds_NonXtal_BW#'!$A:$Z,19,FALSE)+VLOOKUP($A397,A:AL,28,FALSE)-50))</f>
        <v>263</v>
      </c>
      <c r="AB397" s="3">
        <v>279</v>
      </c>
      <c r="AC397" s="3">
        <f>IF(ISERROR((VLOOKUP($A397,'SegEnds_NonXtal_BW#'!$A:$Z,20,FALSE)+VLOOKUP($A397,A:AL,28,FALSE)-50)),"-",(VLOOKUP($A397,'SegEnds_NonXtal_BW#'!$A:$Z,20,FALSE)+VLOOKUP($A397,A:AL,28,FALSE)-50))</f>
        <v>303</v>
      </c>
      <c r="AD397" s="3">
        <f>IF(ISERROR(VLOOKUP($A397,'SegEnds_NonXtal_BW#'!$A:$Z,21,FALSE)+VLOOKUP($A397,A:AL,31,FALSE)-50),"-",(VLOOKUP($A397,'SegEnds_NonXtal_BW#'!$A:$Z,21,FALSE)+VLOOKUP($A397,A:AL,31,FALSE)-50))</f>
        <v>312</v>
      </c>
      <c r="AE397" s="3">
        <v>341</v>
      </c>
      <c r="AF397" s="3">
        <f>IF(ISERROR((VLOOKUP($A397,'SegEnds_NonXtal_BW#'!$A:$Z,22,FALSE)+VLOOKUP($A397,A:AL,31,FALSE)-50)),"-",(VLOOKUP($A397,'SegEnds_NonXtal_BW#'!$A:$Z,22,FALSE)+VLOOKUP($A397,A:AL,31,FALSE)-50))</f>
        <v>355</v>
      </c>
      <c r="AG397" s="3">
        <f>IF(ISERROR(VLOOKUP($A397,'SegEnds_NonXtal_BW#'!$A:$Z,23,FALSE)+VLOOKUP($A397,A:AL,34,FALSE)-50),"-",(VLOOKUP($A397,'SegEnds_NonXtal_BW#'!$A:$Z,23,FALSE)+VLOOKUP($A397,A:AL,34,FALSE)-50))</f>
        <v>360</v>
      </c>
      <c r="AH397" s="3">
        <v>386</v>
      </c>
      <c r="AI397" s="3">
        <f>IF(ISERROR((VLOOKUP($A397,'SegEnds_NonXtal_BW#'!$A:$Z,24,FALSE)+VLOOKUP($A397,A:AL,34,FALSE)-50)),"-",(VLOOKUP($A397,'SegEnds_NonXtal_BW#'!$A:$Z,24,FALSE)+VLOOKUP($A397,A:AL,34,FALSE)-50))</f>
        <v>392</v>
      </c>
      <c r="AJ397" s="3">
        <f>IF(ISERROR(VLOOKUP($A397,'SegEnds_NonXtal_BW#'!$A:$Z,25,FALSE)+VLOOKUP($A397,A:AL,37,FALSE)-50),"-",(VLOOKUP($A397,'SegEnds_NonXtal_BW#'!$A:$Z,25,FALSE)+VLOOKUP($A397,A:AL,37,FALSE)-50))</f>
        <v>393</v>
      </c>
      <c r="AK397" s="3">
        <v>396</v>
      </c>
      <c r="AL397" s="3">
        <f>IF(ISERROR((VLOOKUP($A397,'SegEnds_NonXtal_BW#'!$A:$Z,26,FALSE)+VLOOKUP($A397,A:AL,37,FALSE)-50)),"-",(VLOOKUP($A397,'SegEnds_NonXtal_BW#'!$A:$Z,26,FALSE)+VLOOKUP($A397,A:AL,37,FALSE)-50))</f>
        <v>407</v>
      </c>
      <c r="AM397" s="28" t="str">
        <f>VLOOKUP(A397,Classification!A:B,2,FALSE)</f>
        <v>A</v>
      </c>
      <c r="AN397" s="28" t="b">
        <f t="shared" si="232"/>
        <v>1</v>
      </c>
      <c r="AO397" s="3" t="str">
        <f>IF(ISERROR(MATCH(A397,'SegEnds_Xtal_Prot#'!B:B, 0)), "NoXtal", "Xtal")</f>
        <v>NoXtal</v>
      </c>
      <c r="AP397" s="3">
        <f t="shared" si="217"/>
        <v>1</v>
      </c>
      <c r="AQ397" s="3">
        <f t="shared" si="218"/>
        <v>1</v>
      </c>
      <c r="AR397" s="3">
        <f t="shared" si="219"/>
        <v>3</v>
      </c>
      <c r="AS397" s="3">
        <f t="shared" si="220"/>
        <v>1</v>
      </c>
      <c r="AT397" s="3" t="str">
        <f t="shared" si="221"/>
        <v>-</v>
      </c>
      <c r="AU397" s="3" t="str">
        <f t="shared" si="222"/>
        <v>-</v>
      </c>
      <c r="AV397" s="3">
        <f t="shared" si="223"/>
        <v>11</v>
      </c>
      <c r="AW397" s="3">
        <f t="shared" si="224"/>
        <v>14</v>
      </c>
      <c r="AX397" s="3">
        <f t="shared" si="225"/>
        <v>9</v>
      </c>
      <c r="AY397" s="3">
        <f t="shared" si="226"/>
        <v>5</v>
      </c>
      <c r="AZ397" s="3">
        <f t="shared" si="227"/>
        <v>1</v>
      </c>
      <c r="BA397" s="3">
        <f>IF(ISERROR(LEN(VLOOKUP(A397,Seqs!A:E,2,FALSE))-AL397),"-",LEN(VLOOKUP(A397,Seqs!A:E,2,FALSE))-AL397)</f>
        <v>62</v>
      </c>
      <c r="BB397" s="16">
        <f t="shared" si="228"/>
        <v>29</v>
      </c>
      <c r="BC397" s="9" t="str">
        <f t="shared" si="229"/>
        <v>-</v>
      </c>
      <c r="BD397" s="3">
        <f t="shared" si="230"/>
        <v>29</v>
      </c>
      <c r="BE397" s="3">
        <f t="shared" si="231"/>
        <v>62</v>
      </c>
    </row>
    <row r="398" spans="1:58" s="3" customFormat="1" x14ac:dyDescent="0.2">
      <c r="A398" s="3" t="s">
        <v>411</v>
      </c>
      <c r="B398" s="3" t="str">
        <f>LOWER(VLOOKUP(A398,Xtal_Templ!A:B,2,FALSE))</f>
        <v>glp1r_human</v>
      </c>
      <c r="C398" s="3">
        <f>VLOOKUP($A398,'SegEnds_NonXtal_BW#'!$A:$Z,3,FALSE)+D398-50</f>
        <v>136</v>
      </c>
      <c r="D398" s="3">
        <v>157</v>
      </c>
      <c r="E398" s="3">
        <f>IF(ISERROR(VLOOKUP($A398,'SegEnds_NonXtal_BW#'!$A:$Z,4,FALSE)+VLOOKUP($A398,A:AL,4,FALSE)-50),"-",(VLOOKUP($A398,'SegEnds_NonXtal_BW#'!$A:$Z,4,FALSE)+VLOOKUP($A398,A:AL,4,FALSE)-50))</f>
        <v>167</v>
      </c>
      <c r="F398" s="3">
        <f>G398-2</f>
        <v>168</v>
      </c>
      <c r="G398" s="3">
        <v>170</v>
      </c>
      <c r="H398" s="3">
        <f>G398+1</f>
        <v>171</v>
      </c>
      <c r="I398" s="3">
        <f t="shared" si="211"/>
        <v>172</v>
      </c>
      <c r="J398" s="3">
        <v>185</v>
      </c>
      <c r="K398" s="3">
        <f>VLOOKUP($A398,'SegEnds_NonXtal_BW#'!$A:$Z,8,FALSE)+VLOOKUP($A398,A:AL,10,FALSE)-50</f>
        <v>199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211</v>
      </c>
      <c r="P398" s="3">
        <v>240</v>
      </c>
      <c r="Q398" s="3">
        <f>VLOOKUP($A398,'SegEnds_NonXtal_BW#'!$A:$Z,12,FALSE)+VLOOKUP($A398,A:AL,16,FALSE)-50</f>
        <v>246</v>
      </c>
      <c r="R398" s="3" t="str">
        <f>IF(ISERROR(VLOOKUP($A398,'SegEnds_NonXtal_BW#'!$A:$Z,13,FALSE)+VLOOKUP($A398,A:AL,19,FALSE)-50),"-",VLOOKUP($A398,'SegEnds_NonXtal_BW#'!$A:$Z,13,FALSE)+VLOOKUP($A398,A:AL,19,FALSE)-50)</f>
        <v>-</v>
      </c>
      <c r="S398" s="3" t="s">
        <v>23</v>
      </c>
      <c r="T398" s="103" t="str">
        <f>IF(ISERROR(VLOOKUP($A398,'SegEnds_NonXtal_BW#'!$A:$Z,14,FALSE)+VLOOKUP($A398,A:AL,19,FALSE)-50),"-",(VLOOKUP($A398,'SegEnds_NonXtal_BW#'!$A:$Z,14,FALSE)+VLOOKUP($A398,A:AL,19,FALSE)-50))</f>
        <v>-</v>
      </c>
      <c r="U398" s="9">
        <f>IF(ISERROR(VLOOKUP($A398,'SegEnds_NonXtal_BW#'!$A:$Z,15,FALSE)+VLOOKUP($A398,A:AL,22,FALSE)-50),"-",VLOOKUP($A398,'SegEnds_NonXtal_BW#'!$A:$Z,15,FALSE)+VLOOKUP($A398,A:AL,22,FALSE)-50)</f>
        <v>251</v>
      </c>
      <c r="V398" s="3">
        <v>263</v>
      </c>
      <c r="W398" s="3">
        <f>IF(ISERROR(VLOOKUP($A398,'SegEnds_NonXtal_BW#'!$A:$Z,16,FALSE)+VLOOKUP($A398,A:AL,22,FALSE)-50),"-",(VLOOKUP($A398,'SegEnds_NonXtal_BW#'!$A:$Z,16,FALSE)+VLOOKUP($A398,A:AL,22,FALSE)-50))</f>
        <v>281</v>
      </c>
      <c r="X398" s="3">
        <f>IF(ISERROR(VLOOKUP($A398,'SegEnds_NonXtal_BW#'!$A:$Z,17,FALSE)+VLOOKUP($A398,A:AL,25,FALSE)-50),"-",(VLOOKUP($A398,'SegEnds_NonXtal_BW#'!$A:$Z,17,FALSE)+VLOOKUP($A398,A:AL,25,FALSE)-50))</f>
        <v>285</v>
      </c>
      <c r="Y398" s="3">
        <v>285</v>
      </c>
      <c r="Z398" s="3">
        <f>Y398+2</f>
        <v>287</v>
      </c>
      <c r="AA398" s="3">
        <f>IF(ISERROR(VLOOKUP($A398,'SegEnds_NonXtal_BW#'!$A:$Z,19,FALSE)+VLOOKUP($A398,A:AL,28,FALSE)-50),"-",(VLOOKUP($A398,'SegEnds_NonXtal_BW#'!$A:$Z,19,FALSE)+VLOOKUP($A398,A:AL,28,FALSE)-50))</f>
        <v>294</v>
      </c>
      <c r="AB398" s="3">
        <v>305</v>
      </c>
      <c r="AC398" s="3">
        <f>IF(ISERROR((VLOOKUP($A398,'SegEnds_NonXtal_BW#'!$A:$Z,20,FALSE)+VLOOKUP($A398,A:AL,28,FALSE)-50)),"-",(VLOOKUP($A398,'SegEnds_NonXtal_BW#'!$A:$Z,20,FALSE)+VLOOKUP($A398,A:AL,28,FALSE)-50))</f>
        <v>324</v>
      </c>
      <c r="AD398" s="3">
        <f>IF(ISERROR(VLOOKUP($A398,'SegEnds_NonXtal_BW#'!$A:$Z,21,FALSE)+VLOOKUP($A398,A:AL,31,FALSE)-50),"-",(VLOOKUP($A398,'SegEnds_NonXtal_BW#'!$A:$Z,21,FALSE)+VLOOKUP($A398,A:AL,31,FALSE)-50))</f>
        <v>332</v>
      </c>
      <c r="AE398" s="3">
        <v>357</v>
      </c>
      <c r="AF398" s="3">
        <f>IF(ISERROR((VLOOKUP($A398,'SegEnds_NonXtal_BW#'!$A:$Z,22,FALSE)+VLOOKUP($A398,A:AL,31,FALSE)-50)),"-",(VLOOKUP($A398,'SegEnds_NonXtal_BW#'!$A:$Z,22,FALSE)+VLOOKUP($A398,A:AL,31,FALSE)-50))</f>
        <v>365</v>
      </c>
      <c r="AG398" s="3">
        <f>IF(ISERROR(VLOOKUP($A398,'SegEnds_NonXtal_BW#'!$A:$Z,23,FALSE)+VLOOKUP($A398,A:AL,34,FALSE)-50),"-",(VLOOKUP($A398,'SegEnds_NonXtal_BW#'!$A:$Z,23,FALSE)+VLOOKUP($A398,A:AL,34,FALSE)-50))</f>
        <v>366</v>
      </c>
      <c r="AH398" s="3">
        <v>385</v>
      </c>
      <c r="AI398" s="3">
        <f>IF(ISERROR((VLOOKUP($A398,'SegEnds_NonXtal_BW#'!$A:$Z,24,FALSE)+VLOOKUP($A398,A:AL,34,FALSE)-50)),"-",(VLOOKUP($A398,'SegEnds_NonXtal_BW#'!$A:$Z,24,FALSE)+VLOOKUP($A398,A:AL,34,FALSE)-50))</f>
        <v>391</v>
      </c>
      <c r="AJ398" s="3">
        <f>IF(ISERROR(VLOOKUP($A398,'SegEnds_NonXtal_BW#'!$A:$Z,25,FALSE)+VLOOKUP($A398,A:AL,37,FALSE)-50),"-",(VLOOKUP($A398,'SegEnds_NonXtal_BW#'!$A:$Z,25,FALSE)+VLOOKUP($A398,A:AL,37,FALSE)-50))</f>
        <v>392</v>
      </c>
      <c r="AK398" s="3">
        <v>395</v>
      </c>
      <c r="AL398" s="3">
        <f>IF(ISERROR((VLOOKUP($A398,'SegEnds_NonXtal_BW#'!$A:$Z,26,FALSE)+VLOOKUP($A398,A:AL,37,FALSE)-50)),"-",(VLOOKUP($A398,'SegEnds_NonXtal_BW#'!$A:$Z,26,FALSE)+VLOOKUP($A398,A:AL,37,FALSE)-50))</f>
        <v>417</v>
      </c>
      <c r="AM398" s="28" t="str">
        <f>VLOOKUP(A398,Classification!A:B,2,FALSE)</f>
        <v>B1</v>
      </c>
      <c r="AN398" s="28" t="b">
        <f t="shared" si="232"/>
        <v>1</v>
      </c>
      <c r="AO398" s="3" t="str">
        <f>IF(ISERROR(MATCH(A398,'SegEnds_Xtal_Prot#'!B:B, 0)), "NoXtal", "Xtal")</f>
        <v>NoXtal</v>
      </c>
      <c r="AP398" s="3">
        <f t="shared" si="217"/>
        <v>1</v>
      </c>
      <c r="AQ398" s="3">
        <f t="shared" si="218"/>
        <v>1</v>
      </c>
      <c r="AR398" s="3" t="str">
        <f t="shared" si="219"/>
        <v>-</v>
      </c>
      <c r="AS398" s="3" t="str">
        <f t="shared" si="220"/>
        <v>-</v>
      </c>
      <c r="AT398" s="3" t="str">
        <f t="shared" si="221"/>
        <v>-</v>
      </c>
      <c r="AU398" s="3" t="str">
        <f t="shared" si="222"/>
        <v>-</v>
      </c>
      <c r="AV398" s="3">
        <f t="shared" si="223"/>
        <v>4</v>
      </c>
      <c r="AW398" s="3">
        <f t="shared" si="224"/>
        <v>7</v>
      </c>
      <c r="AX398" s="3">
        <f t="shared" si="225"/>
        <v>8</v>
      </c>
      <c r="AY398" s="3">
        <f t="shared" si="226"/>
        <v>1</v>
      </c>
      <c r="AZ398" s="3">
        <f t="shared" si="227"/>
        <v>1</v>
      </c>
      <c r="BA398" s="3">
        <f>IF(ISERROR(LEN(VLOOKUP(A398,Seqs!A:E,2,FALSE))-AL398),"-",LEN(VLOOKUP(A398,Seqs!A:E,2,FALSE))-AL398)</f>
        <v>23</v>
      </c>
      <c r="BB398" s="16">
        <f t="shared" si="228"/>
        <v>28</v>
      </c>
      <c r="BC398" s="9" t="str">
        <f t="shared" si="229"/>
        <v>-</v>
      </c>
      <c r="BD398" s="3">
        <f t="shared" si="230"/>
        <v>28</v>
      </c>
      <c r="BE398" s="3">
        <f t="shared" si="231"/>
        <v>52</v>
      </c>
      <c r="BF398" s="3">
        <f>AH398-AE398</f>
        <v>28</v>
      </c>
    </row>
    <row r="399" spans="1:58" s="3" customFormat="1" x14ac:dyDescent="0.2">
      <c r="A399" s="3" t="s">
        <v>33</v>
      </c>
      <c r="B399" s="3" t="str">
        <f>LOWER(VLOOKUP(A399,Xtal_Templ!A:B,2,FALSE))</f>
        <v>smo_human</v>
      </c>
      <c r="C399" s="3">
        <f>VLOOKUP($A399,'SegEnds_NonXtal_BW#'!$A:$Z,3,FALSE)+D399-50</f>
        <v>224</v>
      </c>
      <c r="D399" s="3">
        <v>245</v>
      </c>
      <c r="E399" s="3">
        <f>IF(ISERROR(VLOOKUP($A399,'SegEnds_NonXtal_BW#'!$A:$Z,4,FALSE)+VLOOKUP($A399,A:AL,4,FALSE)-50),"-",(VLOOKUP($A399,'SegEnds_NonXtal_BW#'!$A:$Z,4,FALSE)+VLOOKUP($A399,A:AL,4,FALSE)-50))</f>
        <v>255</v>
      </c>
      <c r="F399" s="3">
        <f>G399-3</f>
        <v>256</v>
      </c>
      <c r="G399" s="3">
        <v>259</v>
      </c>
      <c r="H399" s="3">
        <f>G399+1</f>
        <v>260</v>
      </c>
      <c r="I399" s="3">
        <f t="shared" si="211"/>
        <v>261</v>
      </c>
      <c r="J399" s="3">
        <v>272</v>
      </c>
      <c r="K399" s="3">
        <f>VLOOKUP($A399,'SegEnds_NonXtal_BW#'!$A:$Z,8,FALSE)+VLOOKUP($A399,A:AL,10,FALSE)-50</f>
        <v>285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312</v>
      </c>
      <c r="P399" s="3">
        <v>339</v>
      </c>
      <c r="Q399" s="3">
        <f>VLOOKUP($A399,'SegEnds_NonXtal_BW#'!$A:$Z,12,FALSE)+VLOOKUP($A399,A:AL,16,FALSE)-50</f>
        <v>348</v>
      </c>
      <c r="R399" s="3" t="str">
        <f>IF(ISERROR(VLOOKUP($A399,'SegEnds_NonXtal_BW#'!$A:$Z,13,FALSE)+VLOOKUP($A399,A:AL,19,FALSE)-50),"-",VLOOKUP($A399,'SegEnds_NonXtal_BW#'!$A:$Z,13,FALSE)+VLOOKUP($A399,A:AL,19,FALSE)-50)</f>
        <v>-</v>
      </c>
      <c r="S399" s="3" t="s">
        <v>23</v>
      </c>
      <c r="T399" s="103" t="str">
        <f>IF(ISERROR(VLOOKUP($A399,'SegEnds_NonXtal_BW#'!$A:$Z,14,FALSE)+VLOOKUP($A399,A:AL,19,FALSE)-50),"-",(VLOOKUP($A399,'SegEnds_NonXtal_BW#'!$A:$Z,14,FALSE)+VLOOKUP($A399,A:AL,19,FALSE)-50))</f>
        <v>-</v>
      </c>
      <c r="U399" s="9">
        <f>IF(ISERROR(VLOOKUP($A399,'SegEnds_NonXtal_BW#'!$A:$Z,15,FALSE)+VLOOKUP($A399,A:AL,22,FALSE)-50),"-",VLOOKUP($A399,'SegEnds_NonXtal_BW#'!$A:$Z,15,FALSE)+VLOOKUP($A399,A:AL,22,FALSE)-50)</f>
        <v>353</v>
      </c>
      <c r="V399" s="3">
        <v>365</v>
      </c>
      <c r="W399" s="3">
        <f>IF(ISERROR(VLOOKUP($A399,'SegEnds_NonXtal_BW#'!$A:$Z,16,FALSE)+VLOOKUP($A399,A:AL,22,FALSE)-50),"-",(VLOOKUP($A399,'SegEnds_NonXtal_BW#'!$A:$Z,16,FALSE)+VLOOKUP($A399,A:AL,22,FALSE)-50))</f>
        <v>378</v>
      </c>
      <c r="X399" s="3">
        <f>IF(ISERROR(VLOOKUP($A399,'SegEnds_NonXtal_BW#'!$A:$Z,17,FALSE)+VLOOKUP($A399,A:AL,25,FALSE)-50),"-",(VLOOKUP($A399,'SegEnds_NonXtal_BW#'!$A:$Z,17,FALSE)+VLOOKUP($A399,A:AL,25,FALSE)-50))</f>
        <v>390</v>
      </c>
      <c r="Y399" s="3">
        <v>390</v>
      </c>
      <c r="Z399" s="3">
        <f>Y399+2</f>
        <v>392</v>
      </c>
      <c r="AA399" s="3">
        <f>IF(ISERROR(VLOOKUP($A399,'SegEnds_NonXtal_BW#'!$A:$Z,19,FALSE)+VLOOKUP($A399,A:AL,28,FALSE)-50),"-",(VLOOKUP($A399,'SegEnds_NonXtal_BW#'!$A:$Z,19,FALSE)+VLOOKUP($A399,A:AL,28,FALSE)-50))</f>
        <v>397</v>
      </c>
      <c r="AB399" s="3">
        <v>411</v>
      </c>
      <c r="AC399" s="3">
        <f>IF(ISERROR((VLOOKUP($A399,'SegEnds_NonXtal_BW#'!$A:$Z,20,FALSE)+VLOOKUP($A399,A:AL,28,FALSE)-50)),"-",(VLOOKUP($A399,'SegEnds_NonXtal_BW#'!$A:$Z,20,FALSE)+VLOOKUP($A399,A:AL,28,FALSE)-50))</f>
        <v>433</v>
      </c>
      <c r="AD399" s="3">
        <f>IF(ISERROR(VLOOKUP($A399,'SegEnds_NonXtal_BW#'!$A:$Z,21,FALSE)+VLOOKUP($A399,A:AL,31,FALSE)-50),"-",(VLOOKUP($A399,'SegEnds_NonXtal_BW#'!$A:$Z,21,FALSE)+VLOOKUP($A399,A:AL,31,FALSE)-50))</f>
        <v>442</v>
      </c>
      <c r="AE399" s="3">
        <v>468</v>
      </c>
      <c r="AF399" s="3">
        <f>IF(ISERROR((VLOOKUP($A399,'SegEnds_NonXtal_BW#'!$A:$Z,22,FALSE)+VLOOKUP($A399,A:AL,31,FALSE)-50)),"-",(VLOOKUP($A399,'SegEnds_NonXtal_BW#'!$A:$Z,22,FALSE)+VLOOKUP($A399,A:AL,31,FALSE)-50))</f>
        <v>496</v>
      </c>
      <c r="AG399" s="3">
        <f>IF(ISERROR(VLOOKUP($A399,'SegEnds_NonXtal_BW#'!$A:$Z,23,FALSE)+VLOOKUP($A399,A:AL,34,FALSE)-50),"-",(VLOOKUP($A399,'SegEnds_NonXtal_BW#'!$A:$Z,23,FALSE)+VLOOKUP($A399,A:AL,34,FALSE)-50))</f>
        <v>515</v>
      </c>
      <c r="AH399" s="3">
        <v>530</v>
      </c>
      <c r="AI399" s="3">
        <f>IF(ISERROR((VLOOKUP($A399,'SegEnds_NonXtal_BW#'!$A:$Z,24,FALSE)+VLOOKUP($A399,A:AL,34,FALSE)-50)),"-",(VLOOKUP($A399,'SegEnds_NonXtal_BW#'!$A:$Z,24,FALSE)+VLOOKUP($A399,A:AL,34,FALSE)-50))</f>
        <v>537</v>
      </c>
      <c r="AJ399" s="3">
        <f>IF(ISERROR(VLOOKUP($A399,'SegEnds_NonXtal_BW#'!$A:$Z,25,FALSE)+VLOOKUP($A399,A:AL,37,FALSE)-50),"-",(VLOOKUP($A399,'SegEnds_NonXtal_BW#'!$A:$Z,25,FALSE)+VLOOKUP($A399,A:AL,37,FALSE)-50))</f>
        <v>538</v>
      </c>
      <c r="AK399" s="3">
        <v>541</v>
      </c>
      <c r="AL399" s="3">
        <f>IF(ISERROR((VLOOKUP($A399,'SegEnds_NonXtal_BW#'!$A:$Z,26,FALSE)+VLOOKUP($A399,A:AL,37,FALSE)-50)),"-",(VLOOKUP($A399,'SegEnds_NonXtal_BW#'!$A:$Z,26,FALSE)+VLOOKUP($A399,A:AL,37,FALSE)-50))</f>
        <v>553</v>
      </c>
      <c r="AM399" s="28" t="str">
        <f>VLOOKUP(A399,Classification!A:B,2,FALSE)</f>
        <v>F</v>
      </c>
      <c r="AN399" s="28" t="b">
        <f t="shared" si="232"/>
        <v>1</v>
      </c>
      <c r="AO399" s="3" t="str">
        <f>IF(ISERROR(MATCH(A399,'SegEnds_Xtal_Prot#'!B:B, 0)), "NoXtal", "Xtal")</f>
        <v>Xtal</v>
      </c>
      <c r="AP399" s="3">
        <f t="shared" si="217"/>
        <v>1</v>
      </c>
      <c r="AQ399" s="3">
        <f t="shared" si="218"/>
        <v>1</v>
      </c>
      <c r="AR399" s="3" t="str">
        <f t="shared" si="219"/>
        <v>-</v>
      </c>
      <c r="AS399" s="3" t="str">
        <f t="shared" si="220"/>
        <v>-</v>
      </c>
      <c r="AT399" s="3" t="str">
        <f t="shared" si="221"/>
        <v>-</v>
      </c>
      <c r="AU399" s="3" t="str">
        <f t="shared" si="222"/>
        <v>-</v>
      </c>
      <c r="AV399" s="3">
        <f t="shared" si="223"/>
        <v>12</v>
      </c>
      <c r="AW399" s="3">
        <f t="shared" si="224"/>
        <v>5</v>
      </c>
      <c r="AX399" s="3">
        <f t="shared" si="225"/>
        <v>9</v>
      </c>
      <c r="AY399" s="3">
        <f t="shared" si="226"/>
        <v>19</v>
      </c>
      <c r="AZ399" s="3">
        <f t="shared" si="227"/>
        <v>1</v>
      </c>
      <c r="BA399" s="3">
        <f>IF(ISERROR(LEN(VLOOKUP(A399,Seqs!A:E,2,FALSE))-AL399),"-",LEN(VLOOKUP(A399,Seqs!A:E,2,FALSE))-AL399)</f>
        <v>234</v>
      </c>
      <c r="BB399" s="16">
        <f t="shared" si="228"/>
        <v>27</v>
      </c>
      <c r="BC399" s="9" t="str">
        <f t="shared" si="229"/>
        <v>-</v>
      </c>
      <c r="BD399" s="3">
        <f t="shared" si="230"/>
        <v>27</v>
      </c>
      <c r="BE399" s="3">
        <f t="shared" si="231"/>
        <v>57</v>
      </c>
    </row>
    <row r="400" spans="1:58" s="3" customFormat="1" x14ac:dyDescent="0.2">
      <c r="A400" s="3" t="s">
        <v>484</v>
      </c>
      <c r="B400" s="3" t="str">
        <f>LOWER(VLOOKUP(A400,Xtal_Templ!A:B,2,FALSE))</f>
        <v>oprk_human</v>
      </c>
      <c r="C400" s="3">
        <v>27</v>
      </c>
      <c r="D400" s="3">
        <v>64</v>
      </c>
      <c r="E400" s="3">
        <f>IF(ISERROR(VLOOKUP($A400,'SegEnds_NonXtal_BW#'!$A:$Z,4,FALSE)+VLOOKUP($A400,A:AL,4,FALSE)-50),"-",(VLOOKUP($A400,'SegEnds_NonXtal_BW#'!$A:$Z,4,FALSE)+VLOOKUP($A400,A:AL,4,FALSE)-50))</f>
        <v>74</v>
      </c>
      <c r="F400" s="3" t="str">
        <f>IF(ISERROR(VLOOKUP($A400,'SegEnds_NonXtal_BW#'!$A:$Z,5,FALSE)+VLOOKUP($A400,A:AL,7,FALSE)-50),"-",(VLOOKUP($A400,'SegEnds_NonXtal_BW#'!$A:$Z,5,FALSE)+VLOOKUP($A400,A:AL,7,FALSE)-50))</f>
        <v>-</v>
      </c>
      <c r="G400" s="3" t="s">
        <v>23</v>
      </c>
      <c r="H400" s="3" t="str">
        <f>IF(ISERROR(VLOOKUP($A400,'SegEnds_NonXtal_BW#'!$A:$Z,6,FALSE)+VLOOKUP($A400,A:AL,7,FALSE)-50),"-",(VLOOKUP($A400,'SegEnds_NonXtal_BW#'!$A:$Z,6,FALSE)+VLOOKUP($A400,A:AL,7,FALSE)-50))</f>
        <v>-</v>
      </c>
      <c r="I400" s="3">
        <f>VLOOKUP($A400,'SegEnds_NonXtal_BW#'!$A:$Z,7,FALSE)+J400-50</f>
        <v>85</v>
      </c>
      <c r="J400" s="3">
        <v>96</v>
      </c>
      <c r="K400" s="3">
        <f>VLOOKUP($A400,'SegEnds_NonXtal_BW#'!$A:$Z,8,FALSE)+VLOOKUP($A400,A:AL,10,FALSE)-50</f>
        <v>109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114</v>
      </c>
      <c r="P400" s="3">
        <v>141</v>
      </c>
      <c r="Q400" s="3">
        <f>VLOOKUP($A400,'SegEnds_NonXtal_BW#'!$A:$Z,12,FALSE)+VLOOKUP($A400,A:AL,16,FALSE)-50</f>
        <v>147</v>
      </c>
      <c r="R400" s="3" t="str">
        <f>IF(ISERROR(VLOOKUP($A400,'SegEnds_NonXtal_BW#'!$A:$Z,13,FALSE)+VLOOKUP($A400,A:AL,19,FALSE)-50),"-",VLOOKUP($A400,'SegEnds_NonXtal_BW#'!$A:$Z,13,FALSE)+VLOOKUP($A400,A:AL,19,FALSE)-50)</f>
        <v>-</v>
      </c>
      <c r="S400" s="3" t="s">
        <v>23</v>
      </c>
      <c r="T400" s="103" t="str">
        <f>IF(ISERROR(VLOOKUP($A400,'SegEnds_NonXtal_BW#'!$A:$Z,14,FALSE)+VLOOKUP($A400,A:AL,19,FALSE)-50),"-",(VLOOKUP($A400,'SegEnds_NonXtal_BW#'!$A:$Z,14,FALSE)+VLOOKUP($A400,A:AL,19,FALSE)-50))</f>
        <v>-</v>
      </c>
      <c r="U400" s="9">
        <f>IF(ISERROR(VLOOKUP($A400,'SegEnds_NonXtal_BW#'!$A:$Z,15,FALSE)+VLOOKUP($A400,A:AL,22,FALSE)-50),"-",VLOOKUP($A400,'SegEnds_NonXtal_BW#'!$A:$Z,15,FALSE)+VLOOKUP($A400,A:AL,22,FALSE)-50)</f>
        <v>162</v>
      </c>
      <c r="V400" s="3">
        <v>172</v>
      </c>
      <c r="W400" s="3">
        <f>IF(ISERROR(VLOOKUP($A400,'SegEnds_NonXtal_BW#'!$A:$Z,16,FALSE)+VLOOKUP($A400,A:AL,22,FALSE)-50),"-",(VLOOKUP($A400,'SegEnds_NonXtal_BW#'!$A:$Z,16,FALSE)+VLOOKUP($A400,A:AL,22,FALSE)-50))</f>
        <v>183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187</v>
      </c>
      <c r="AB400" s="3">
        <v>197</v>
      </c>
      <c r="AC400" s="3">
        <f>IF(ISERROR((VLOOKUP($A400,'SegEnds_NonXtal_BW#'!$A:$Z,20,FALSE)+VLOOKUP($A400,A:AL,28,FALSE)-50)),"-",(VLOOKUP($A400,'SegEnds_NonXtal_BW#'!$A:$Z,20,FALSE)+VLOOKUP($A400,A:AL,28,FALSE)-50))</f>
        <v>208</v>
      </c>
      <c r="AD400" s="3">
        <f>IF(ISERROR(VLOOKUP($A400,'SegEnds_NonXtal_BW#'!$A:$Z,21,FALSE)+VLOOKUP($A400,A:AL,31,FALSE)-50),"-",(VLOOKUP($A400,'SegEnds_NonXtal_BW#'!$A:$Z,21,FALSE)+VLOOKUP($A400,A:AL,31,FALSE)-50))</f>
        <v>252</v>
      </c>
      <c r="AE400" s="3">
        <v>273</v>
      </c>
      <c r="AF400" s="3">
        <f>IF(ISERROR((VLOOKUP($A400,'SegEnds_NonXtal_BW#'!$A:$Z,22,FALSE)+VLOOKUP($A400,A:AL,31,FALSE)-50)),"-",(VLOOKUP($A400,'SegEnds_NonXtal_BW#'!$A:$Z,22,FALSE)+VLOOKUP($A400,A:AL,31,FALSE)-50))</f>
        <v>276</v>
      </c>
      <c r="AG400" s="3">
        <f>IF(ISERROR(VLOOKUP($A400,'SegEnds_NonXtal_BW#'!$A:$Z,23,FALSE)+VLOOKUP($A400,A:AL,34,FALSE)-50),"-",(VLOOKUP($A400,'SegEnds_NonXtal_BW#'!$A:$Z,23,FALSE)+VLOOKUP($A400,A:AL,34,FALSE)-50))</f>
        <v>294</v>
      </c>
      <c r="AH400" s="3">
        <v>309</v>
      </c>
      <c r="AI400" s="3">
        <f>IF(ISERROR((VLOOKUP($A400,'SegEnds_NonXtal_BW#'!$A:$Z,24,FALSE)+VLOOKUP($A400,A:AL,34,FALSE)-50)),"-",(VLOOKUP($A400,'SegEnds_NonXtal_BW#'!$A:$Z,24,FALSE)+VLOOKUP($A400,A:AL,34,FALSE)-50))</f>
        <v>315</v>
      </c>
      <c r="AJ400" s="108">
        <v>320</v>
      </c>
      <c r="AK400" s="3">
        <v>333</v>
      </c>
      <c r="AL400" s="3">
        <f>IF(ISERROR((VLOOKUP($A400,'SegEnds_NonXtal_BW#'!$A:$Z,26,FALSE)+VLOOKUP($A400,A:AL,37,FALSE)-50)),"-",(VLOOKUP($A400,'SegEnds_NonXtal_BW#'!$A:$Z,26,FALSE)+VLOOKUP($A400,A:AL,37,FALSE)-50))</f>
        <v>340</v>
      </c>
      <c r="AM400" s="28" t="str">
        <f>VLOOKUP(A400,Classification!A:B,2,FALSE)</f>
        <v>O</v>
      </c>
      <c r="AN400" s="28" t="b">
        <f t="shared" si="232"/>
        <v>1</v>
      </c>
      <c r="AO400" s="3" t="str">
        <f>IF(ISERROR(MATCH(A400,'SegEnds_Xtal_Prot#'!B:B, 0)), "NoXtal", "Xtal")</f>
        <v>NoXtal</v>
      </c>
      <c r="AP400" s="3" t="str">
        <f t="shared" si="217"/>
        <v>-</v>
      </c>
      <c r="AQ400" s="3" t="str">
        <f t="shared" si="218"/>
        <v>-</v>
      </c>
      <c r="AR400" s="3" t="str">
        <f t="shared" si="219"/>
        <v>-</v>
      </c>
      <c r="AS400" s="3" t="str">
        <f t="shared" si="220"/>
        <v>-</v>
      </c>
      <c r="AT400" s="3" t="str">
        <f t="shared" si="221"/>
        <v>-</v>
      </c>
      <c r="AU400" s="3" t="str">
        <f t="shared" si="222"/>
        <v>-</v>
      </c>
      <c r="AV400" s="3" t="str">
        <f t="shared" si="223"/>
        <v>-</v>
      </c>
      <c r="AW400" s="3" t="str">
        <f t="shared" si="224"/>
        <v>-</v>
      </c>
      <c r="AX400" s="3">
        <f t="shared" si="225"/>
        <v>44</v>
      </c>
      <c r="AY400" s="3">
        <f t="shared" si="226"/>
        <v>18</v>
      </c>
      <c r="AZ400" s="3">
        <f t="shared" si="227"/>
        <v>5</v>
      </c>
      <c r="BA400" s="3">
        <f>IF(ISERROR(LEN(VLOOKUP(A400,Seqs!A:E,2,FALSE))-AL400),"-",LEN(VLOOKUP(A400,Seqs!A:E,2,FALSE))-AL400)</f>
        <v>33</v>
      </c>
      <c r="BB400" s="16">
        <f t="shared" si="228"/>
        <v>32</v>
      </c>
      <c r="BC400" s="9" t="str">
        <f t="shared" si="229"/>
        <v>-</v>
      </c>
      <c r="BD400" s="3">
        <f t="shared" si="230"/>
        <v>32</v>
      </c>
      <c r="BE400" s="3">
        <f t="shared" si="231"/>
        <v>76</v>
      </c>
    </row>
    <row r="401" spans="1:58" s="3" customFormat="1" x14ac:dyDescent="0.2">
      <c r="A401" s="3" t="s">
        <v>122</v>
      </c>
      <c r="B401" s="3" t="str">
        <f>LOWER(VLOOKUP(A401,Xtal_Templ!A:B,2,FALSE))</f>
        <v>grm1_human</v>
      </c>
      <c r="C401" s="3">
        <f>VLOOKUP($A401,'SegEnds_NonXtal_BW#'!$A:$Z,3,FALSE)+D401-50</f>
        <v>565</v>
      </c>
      <c r="D401" s="3">
        <v>581</v>
      </c>
      <c r="E401" s="3">
        <f>IF(ISERROR(VLOOKUP($A401,'SegEnds_NonXtal_BW#'!$A:$Z,4,FALSE)+VLOOKUP($A401,A:AL,4,FALSE)-50),"-",(VLOOKUP($A401,'SegEnds_NonXtal_BW#'!$A:$Z,4,FALSE)+VLOOKUP($A401,A:AL,4,FALSE)-50))</f>
        <v>591</v>
      </c>
      <c r="F401" s="3">
        <f>G401-3</f>
        <v>594</v>
      </c>
      <c r="G401" s="3">
        <v>597</v>
      </c>
      <c r="H401" s="3">
        <f>G401+3</f>
        <v>600</v>
      </c>
      <c r="I401" s="3">
        <f t="shared" ref="I401:I406" si="233">H401+1</f>
        <v>601</v>
      </c>
      <c r="J401" s="3">
        <v>612</v>
      </c>
      <c r="K401" s="3">
        <f>VLOOKUP($A401,'SegEnds_NonXtal_BW#'!$A:$Z,8,FALSE)+VLOOKUP($A401,A:AL,10,FALSE)-50</f>
        <v>623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628</v>
      </c>
      <c r="P401" s="3">
        <v>656</v>
      </c>
      <c r="Q401" s="3">
        <f>VLOOKUP($A401,'SegEnds_NonXtal_BW#'!$A:$Z,12,FALSE)+VLOOKUP($A401,A:AL,16,FALSE)-50</f>
        <v>660</v>
      </c>
      <c r="R401" s="3" t="str">
        <f>IF(ISERROR(VLOOKUP($A401,'SegEnds_NonXtal_BW#'!$A:$Z,13,FALSE)+VLOOKUP($A401,A:AL,19,FALSE)-50),"-",VLOOKUP($A401,'SegEnds_NonXtal_BW#'!$A:$Z,13,FALSE)+VLOOKUP($A401,A:AL,19,FALSE)-50)</f>
        <v>-</v>
      </c>
      <c r="S401" s="3" t="s">
        <v>23</v>
      </c>
      <c r="T401" s="103" t="str">
        <f>IF(ISERROR(VLOOKUP($A401,'SegEnds_NonXtal_BW#'!$A:$Z,14,FALSE)+VLOOKUP($A401,A:AL,19,FALSE)-50),"-",(VLOOKUP($A401,'SegEnds_NonXtal_BW#'!$A:$Z,14,FALSE)+VLOOKUP($A401,A:AL,19,FALSE)-50))</f>
        <v>-</v>
      </c>
      <c r="U401" s="9">
        <f>IF(ISERROR(VLOOKUP($A401,'SegEnds_NonXtal_BW#'!$A:$Z,15,FALSE)+VLOOKUP($A401,A:AL,22,FALSE)-50),"-",VLOOKUP($A401,'SegEnds_NonXtal_BW#'!$A:$Z,15,FALSE)+VLOOKUP($A401,A:AL,22,FALSE)-50)</f>
        <v>675</v>
      </c>
      <c r="V401" s="3">
        <v>687</v>
      </c>
      <c r="W401" s="3">
        <f>IF(ISERROR(VLOOKUP($A401,'SegEnds_NonXtal_BW#'!$A:$Z,16,FALSE)+VLOOKUP($A401,A:AL,22,FALSE)-50),"-",(VLOOKUP($A401,'SegEnds_NonXtal_BW#'!$A:$Z,16,FALSE)+VLOOKUP($A401,A:AL,22,FALSE)-50))</f>
        <v>701</v>
      </c>
      <c r="X401" s="3">
        <f>IF(ISERROR(VLOOKUP($A401,'SegEnds_NonXtal_BW#'!$A:$Z,17,FALSE)+VLOOKUP($A401,A:AL,25,FALSE)-50),"-",(VLOOKUP($A401,'SegEnds_NonXtal_BW#'!$A:$Z,17,FALSE)+VLOOKUP($A401,A:AL,25,FALSE)-50))</f>
        <v>720</v>
      </c>
      <c r="Y401" s="3">
        <v>720</v>
      </c>
      <c r="Z401" s="3">
        <f t="shared" ref="Z401:Z406" si="234">Y401+2</f>
        <v>722</v>
      </c>
      <c r="AA401" s="3">
        <f>IF(ISERROR(VLOOKUP($A401,'SegEnds_NonXtal_BW#'!$A:$Z,19,FALSE)+VLOOKUP($A401,A:AL,28,FALSE)-50),"-",(VLOOKUP($A401,'SegEnds_NonXtal_BW#'!$A:$Z,19,FALSE)+VLOOKUP($A401,A:AL,28,FALSE)-50))</f>
        <v>725</v>
      </c>
      <c r="AB401" s="3">
        <v>738</v>
      </c>
      <c r="AC401" s="3">
        <f>IF(ISERROR((VLOOKUP($A401,'SegEnds_NonXtal_BW#'!$A:$Z,20,FALSE)+VLOOKUP($A401,A:AL,28,FALSE)-50)),"-",(VLOOKUP($A401,'SegEnds_NonXtal_BW#'!$A:$Z,20,FALSE)+VLOOKUP($A401,A:AL,28,FALSE)-50))</f>
        <v>749</v>
      </c>
      <c r="AD401" s="3">
        <f>IF(ISERROR(VLOOKUP($A401,'SegEnds_NonXtal_BW#'!$A:$Z,21,FALSE)+VLOOKUP($A401,A:AL,31,FALSE)-50),"-",(VLOOKUP($A401,'SegEnds_NonXtal_BW#'!$A:$Z,21,FALSE)+VLOOKUP($A401,A:AL,31,FALSE)-50))</f>
        <v>758</v>
      </c>
      <c r="AE401" s="3">
        <v>775</v>
      </c>
      <c r="AF401" s="3">
        <f>IF(ISERROR((VLOOKUP($A401,'SegEnds_NonXtal_BW#'!$A:$Z,22,FALSE)+VLOOKUP($A401,A:AL,31,FALSE)-50)),"-",(VLOOKUP($A401,'SegEnds_NonXtal_BW#'!$A:$Z,22,FALSE)+VLOOKUP($A401,A:AL,31,FALSE)-50))</f>
        <v>782</v>
      </c>
      <c r="AG401" s="3">
        <f>IF(ISERROR(VLOOKUP($A401,'SegEnds_NonXtal_BW#'!$A:$Z,23,FALSE)+VLOOKUP($A401,A:AL,34,FALSE)-50),"-",(VLOOKUP($A401,'SegEnds_NonXtal_BW#'!$A:$Z,23,FALSE)+VLOOKUP($A401,A:AL,34,FALSE)-50))</f>
        <v>788</v>
      </c>
      <c r="AH401" s="3">
        <v>804</v>
      </c>
      <c r="AI401" s="3">
        <f>IF(ISERROR((VLOOKUP($A401,'SegEnds_NonXtal_BW#'!$A:$Z,24,FALSE)+VLOOKUP($A401,A:AL,34,FALSE)-50)),"-",(VLOOKUP($A401,'SegEnds_NonXtal_BW#'!$A:$Z,24,FALSE)+VLOOKUP($A401,A:AL,34,FALSE)-50))</f>
        <v>817</v>
      </c>
      <c r="AJ401" s="3">
        <f>IF(ISERROR(VLOOKUP($A401,'SegEnds_NonXtal_BW#'!$A:$Z,25,FALSE)+VLOOKUP($A401,A:AL,37,FALSE)-50),"-",(VLOOKUP($A401,'SegEnds_NonXtal_BW#'!$A:$Z,25,FALSE)+VLOOKUP($A401,A:AL,37,FALSE)-50))</f>
        <v>818</v>
      </c>
      <c r="AK401" s="3">
        <v>821</v>
      </c>
      <c r="AL401" s="3">
        <f>IF(ISERROR((VLOOKUP($A401,'SegEnds_NonXtal_BW#'!$A:$Z,26,FALSE)+VLOOKUP($A401,A:AL,37,FALSE)-50)),"-",(VLOOKUP($A401,'SegEnds_NonXtal_BW#'!$A:$Z,26,FALSE)+VLOOKUP($A401,A:AL,37,FALSE)-50))</f>
        <v>830</v>
      </c>
      <c r="AM401" s="28" t="str">
        <f>VLOOKUP(A401,Classification!A:B,2,FALSE)</f>
        <v>C</v>
      </c>
      <c r="AN401" s="28" t="b">
        <f t="shared" si="232"/>
        <v>1</v>
      </c>
      <c r="AO401" s="3" t="str">
        <f>IF(ISERROR(MATCH(A401,'SegEnds_Xtal_Prot#'!B:B, 0)), "NoXtal", "Xtal")</f>
        <v>NoXtal</v>
      </c>
      <c r="AP401" s="3">
        <f t="shared" si="217"/>
        <v>3</v>
      </c>
      <c r="AQ401" s="3">
        <f t="shared" si="218"/>
        <v>1</v>
      </c>
      <c r="AR401" s="3" t="str">
        <f t="shared" si="219"/>
        <v>-</v>
      </c>
      <c r="AS401" s="3" t="str">
        <f t="shared" si="220"/>
        <v>-</v>
      </c>
      <c r="AT401" s="3" t="str">
        <f t="shared" si="221"/>
        <v>-</v>
      </c>
      <c r="AU401" s="3" t="str">
        <f t="shared" si="222"/>
        <v>-</v>
      </c>
      <c r="AV401" s="3">
        <f t="shared" si="223"/>
        <v>19</v>
      </c>
      <c r="AW401" s="3">
        <f t="shared" si="224"/>
        <v>3</v>
      </c>
      <c r="AX401" s="3">
        <f t="shared" si="225"/>
        <v>9</v>
      </c>
      <c r="AY401" s="3">
        <f t="shared" si="226"/>
        <v>6</v>
      </c>
      <c r="AZ401" s="3">
        <f t="shared" si="227"/>
        <v>1</v>
      </c>
      <c r="BA401" s="3">
        <f>IF(ISERROR(LEN(VLOOKUP(A401,Seqs!A:E,2,FALSE))-AL401),"-",LEN(VLOOKUP(A401,Seqs!A:E,2,FALSE))-AL401)</f>
        <v>11</v>
      </c>
      <c r="BB401" s="16">
        <f t="shared" si="228"/>
        <v>31</v>
      </c>
      <c r="BC401" s="9" t="str">
        <f t="shared" si="229"/>
        <v>-</v>
      </c>
      <c r="BD401" s="3">
        <f t="shared" si="230"/>
        <v>31</v>
      </c>
      <c r="BE401" s="3">
        <f t="shared" si="231"/>
        <v>37</v>
      </c>
      <c r="BF401" s="3">
        <f>AH401-AE401</f>
        <v>29</v>
      </c>
    </row>
    <row r="402" spans="1:58" s="3" customFormat="1" x14ac:dyDescent="0.2">
      <c r="A402" s="3" t="s">
        <v>123</v>
      </c>
      <c r="B402" s="3" t="str">
        <f>LOWER(VLOOKUP(A402,Xtal_Templ!A:B,2,FALSE))</f>
        <v>grm1_human</v>
      </c>
      <c r="C402" s="3">
        <f>VLOOKUP($A402,'SegEnds_NonXtal_BW#'!$A:$Z,3,FALSE)+D402-50</f>
        <v>564</v>
      </c>
      <c r="D402" s="3">
        <v>580</v>
      </c>
      <c r="E402" s="3">
        <f>IF(ISERROR(VLOOKUP($A402,'SegEnds_NonXtal_BW#'!$A:$Z,4,FALSE)+VLOOKUP($A402,A:AL,4,FALSE)-50),"-",(VLOOKUP($A402,'SegEnds_NonXtal_BW#'!$A:$Z,4,FALSE)+VLOOKUP($A402,A:AL,4,FALSE)-50))</f>
        <v>590</v>
      </c>
      <c r="F402" s="3">
        <f>G402-3</f>
        <v>593</v>
      </c>
      <c r="G402" s="3">
        <v>596</v>
      </c>
      <c r="H402" s="3">
        <f>G402+3</f>
        <v>599</v>
      </c>
      <c r="I402" s="3">
        <f t="shared" si="233"/>
        <v>600</v>
      </c>
      <c r="J402" s="3">
        <v>611</v>
      </c>
      <c r="K402" s="3">
        <f>VLOOKUP($A402,'SegEnds_NonXtal_BW#'!$A:$Z,8,FALSE)+VLOOKUP($A402,A:AL,10,FALSE)-50</f>
        <v>622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627</v>
      </c>
      <c r="P402" s="3">
        <v>655</v>
      </c>
      <c r="Q402" s="3">
        <f>VLOOKUP($A402,'SegEnds_NonXtal_BW#'!$A:$Z,12,FALSE)+VLOOKUP($A402,A:AL,16,FALSE)-50</f>
        <v>659</v>
      </c>
      <c r="R402" s="3" t="str">
        <f>IF(ISERROR(VLOOKUP($A402,'SegEnds_NonXtal_BW#'!$A:$Z,13,FALSE)+VLOOKUP($A402,A:AL,19,FALSE)-50),"-",VLOOKUP($A402,'SegEnds_NonXtal_BW#'!$A:$Z,13,FALSE)+VLOOKUP($A402,A:AL,19,FALSE)-50)</f>
        <v>-</v>
      </c>
      <c r="S402" s="3" t="s">
        <v>23</v>
      </c>
      <c r="T402" s="103" t="str">
        <f>IF(ISERROR(VLOOKUP($A402,'SegEnds_NonXtal_BW#'!$A:$Z,14,FALSE)+VLOOKUP($A402,A:AL,19,FALSE)-50),"-",(VLOOKUP($A402,'SegEnds_NonXtal_BW#'!$A:$Z,14,FALSE)+VLOOKUP($A402,A:AL,19,FALSE)-50))</f>
        <v>-</v>
      </c>
      <c r="U402" s="9">
        <f>IF(ISERROR(VLOOKUP($A402,'SegEnds_NonXtal_BW#'!$A:$Z,15,FALSE)+VLOOKUP($A402,A:AL,22,FALSE)-50),"-",VLOOKUP($A402,'SegEnds_NonXtal_BW#'!$A:$Z,15,FALSE)+VLOOKUP($A402,A:AL,22,FALSE)-50)</f>
        <v>674</v>
      </c>
      <c r="V402" s="3">
        <v>686</v>
      </c>
      <c r="W402" s="3">
        <f>IF(ISERROR(VLOOKUP($A402,'SegEnds_NonXtal_BW#'!$A:$Z,16,FALSE)+VLOOKUP($A402,A:AL,22,FALSE)-50),"-",(VLOOKUP($A402,'SegEnds_NonXtal_BW#'!$A:$Z,16,FALSE)+VLOOKUP($A402,A:AL,22,FALSE)-50))</f>
        <v>700</v>
      </c>
      <c r="X402" s="3">
        <f>IF(ISERROR(VLOOKUP($A402,'SegEnds_NonXtal_BW#'!$A:$Z,17,FALSE)+VLOOKUP($A402,A:AL,25,FALSE)-50),"-",(VLOOKUP($A402,'SegEnds_NonXtal_BW#'!$A:$Z,17,FALSE)+VLOOKUP($A402,A:AL,25,FALSE)-50))</f>
        <v>720</v>
      </c>
      <c r="Y402" s="3">
        <v>720</v>
      </c>
      <c r="Z402" s="3">
        <f t="shared" si="234"/>
        <v>722</v>
      </c>
      <c r="AA402" s="3">
        <f>IF(ISERROR(VLOOKUP($A402,'SegEnds_NonXtal_BW#'!$A:$Z,19,FALSE)+VLOOKUP($A402,A:AL,28,FALSE)-50),"-",(VLOOKUP($A402,'SegEnds_NonXtal_BW#'!$A:$Z,19,FALSE)+VLOOKUP($A402,A:AL,28,FALSE)-50))</f>
        <v>725</v>
      </c>
      <c r="AB402" s="3">
        <v>738</v>
      </c>
      <c r="AC402" s="3">
        <f>IF(ISERROR((VLOOKUP($A402,'SegEnds_NonXtal_BW#'!$A:$Z,20,FALSE)+VLOOKUP($A402,A:AL,28,FALSE)-50)),"-",(VLOOKUP($A402,'SegEnds_NonXtal_BW#'!$A:$Z,20,FALSE)+VLOOKUP($A402,A:AL,28,FALSE)-50))</f>
        <v>749</v>
      </c>
      <c r="AD402" s="3">
        <f>IF(ISERROR(VLOOKUP($A402,'SegEnds_NonXtal_BW#'!$A:$Z,21,FALSE)+VLOOKUP($A402,A:AL,31,FALSE)-50),"-",(VLOOKUP($A402,'SegEnds_NonXtal_BW#'!$A:$Z,21,FALSE)+VLOOKUP($A402,A:AL,31,FALSE)-50))</f>
        <v>758</v>
      </c>
      <c r="AE402" s="3">
        <v>775</v>
      </c>
      <c r="AF402" s="3">
        <f>IF(ISERROR((VLOOKUP($A402,'SegEnds_NonXtal_BW#'!$A:$Z,22,FALSE)+VLOOKUP($A402,A:AL,31,FALSE)-50)),"-",(VLOOKUP($A402,'SegEnds_NonXtal_BW#'!$A:$Z,22,FALSE)+VLOOKUP($A402,A:AL,31,FALSE)-50))</f>
        <v>782</v>
      </c>
      <c r="AG402" s="3">
        <f>IF(ISERROR(VLOOKUP($A402,'SegEnds_NonXtal_BW#'!$A:$Z,23,FALSE)+VLOOKUP($A402,A:AL,34,FALSE)-50),"-",(VLOOKUP($A402,'SegEnds_NonXtal_BW#'!$A:$Z,23,FALSE)+VLOOKUP($A402,A:AL,34,FALSE)-50))</f>
        <v>788</v>
      </c>
      <c r="AH402" s="3">
        <v>804</v>
      </c>
      <c r="AI402" s="3">
        <f>IF(ISERROR((VLOOKUP($A402,'SegEnds_NonXtal_BW#'!$A:$Z,24,FALSE)+VLOOKUP($A402,A:AL,34,FALSE)-50)),"-",(VLOOKUP($A402,'SegEnds_NonXtal_BW#'!$A:$Z,24,FALSE)+VLOOKUP($A402,A:AL,34,FALSE)-50))</f>
        <v>817</v>
      </c>
      <c r="AJ402" s="3">
        <f>IF(ISERROR(VLOOKUP($A402,'SegEnds_NonXtal_BW#'!$A:$Z,25,FALSE)+VLOOKUP($A402,A:AL,37,FALSE)-50),"-",(VLOOKUP($A402,'SegEnds_NonXtal_BW#'!$A:$Z,25,FALSE)+VLOOKUP($A402,A:AL,37,FALSE)-50))</f>
        <v>818</v>
      </c>
      <c r="AK402" s="3">
        <v>821</v>
      </c>
      <c r="AL402" s="3">
        <f>IF(ISERROR((VLOOKUP($A402,'SegEnds_NonXtal_BW#'!$A:$Z,26,FALSE)+VLOOKUP($A402,A:AL,37,FALSE)-50)),"-",(VLOOKUP($A402,'SegEnds_NonXtal_BW#'!$A:$Z,26,FALSE)+VLOOKUP($A402,A:AL,37,FALSE)-50))</f>
        <v>830</v>
      </c>
      <c r="AM402" s="28" t="str">
        <f>VLOOKUP(A402,Classification!A:B,2,FALSE)</f>
        <v>C</v>
      </c>
      <c r="AN402" s="28" t="b">
        <f t="shared" si="232"/>
        <v>1</v>
      </c>
      <c r="AO402" s="3" t="str">
        <f>IF(ISERROR(MATCH(A402,'SegEnds_Xtal_Prot#'!B:B, 0)), "NoXtal", "Xtal")</f>
        <v>NoXtal</v>
      </c>
      <c r="AP402" s="3">
        <f t="shared" si="217"/>
        <v>3</v>
      </c>
      <c r="AQ402" s="3">
        <f t="shared" si="218"/>
        <v>1</v>
      </c>
      <c r="AR402" s="3" t="str">
        <f t="shared" si="219"/>
        <v>-</v>
      </c>
      <c r="AS402" s="3" t="str">
        <f t="shared" si="220"/>
        <v>-</v>
      </c>
      <c r="AT402" s="3" t="str">
        <f t="shared" si="221"/>
        <v>-</v>
      </c>
      <c r="AU402" s="3" t="str">
        <f t="shared" si="222"/>
        <v>-</v>
      </c>
      <c r="AV402" s="3">
        <f t="shared" si="223"/>
        <v>20</v>
      </c>
      <c r="AW402" s="3">
        <f t="shared" si="224"/>
        <v>3</v>
      </c>
      <c r="AX402" s="3">
        <f t="shared" si="225"/>
        <v>9</v>
      </c>
      <c r="AY402" s="3">
        <f t="shared" si="226"/>
        <v>6</v>
      </c>
      <c r="AZ402" s="3">
        <f t="shared" si="227"/>
        <v>1</v>
      </c>
      <c r="BA402" s="3">
        <f>IF(ISERROR(LEN(VLOOKUP(A402,Seqs!A:E,2,FALSE))-AL402),"-",LEN(VLOOKUP(A402,Seqs!A:E,2,FALSE))-AL402)</f>
        <v>9</v>
      </c>
      <c r="BB402" s="16">
        <f t="shared" si="228"/>
        <v>31</v>
      </c>
      <c r="BC402" s="9" t="str">
        <f t="shared" si="229"/>
        <v>-</v>
      </c>
      <c r="BD402" s="3">
        <f t="shared" si="230"/>
        <v>31</v>
      </c>
      <c r="BE402" s="3">
        <f t="shared" si="231"/>
        <v>37</v>
      </c>
      <c r="BF402" s="3">
        <f>AH402-AE402</f>
        <v>29</v>
      </c>
    </row>
    <row r="403" spans="1:58" s="3" customFormat="1" x14ac:dyDescent="0.2">
      <c r="A403" s="3" t="s">
        <v>124</v>
      </c>
      <c r="B403" s="3" t="str">
        <f>LOWER(VLOOKUP(A403,Xtal_Templ!A:B,2,FALSE))</f>
        <v>grm1_human</v>
      </c>
      <c r="C403" s="3">
        <f>VLOOKUP($A403,'SegEnds_NonXtal_BW#'!$A:$Z,3,FALSE)+D403-50</f>
        <v>567</v>
      </c>
      <c r="D403" s="3">
        <v>583</v>
      </c>
      <c r="E403" s="3">
        <f>IF(ISERROR(VLOOKUP($A403,'SegEnds_NonXtal_BW#'!$A:$Z,4,FALSE)+VLOOKUP($A403,A:AL,4,FALSE)-50),"-",(VLOOKUP($A403,'SegEnds_NonXtal_BW#'!$A:$Z,4,FALSE)+VLOOKUP($A403,A:AL,4,FALSE)-50))</f>
        <v>593</v>
      </c>
      <c r="F403" s="3">
        <f>G403-3</f>
        <v>596</v>
      </c>
      <c r="G403" s="3">
        <v>599</v>
      </c>
      <c r="H403" s="3">
        <f>G403+3</f>
        <v>602</v>
      </c>
      <c r="I403" s="3">
        <f t="shared" si="233"/>
        <v>603</v>
      </c>
      <c r="J403" s="3">
        <v>614</v>
      </c>
      <c r="K403" s="3">
        <f>VLOOKUP($A403,'SegEnds_NonXtal_BW#'!$A:$Z,8,FALSE)+VLOOKUP($A403,A:AL,10,FALSE)-50</f>
        <v>625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630</v>
      </c>
      <c r="P403" s="3">
        <v>658</v>
      </c>
      <c r="Q403" s="3">
        <f>VLOOKUP($A403,'SegEnds_NonXtal_BW#'!$A:$Z,12,FALSE)+VLOOKUP($A403,A:AL,16,FALSE)-50</f>
        <v>662</v>
      </c>
      <c r="R403" s="3" t="str">
        <f>IF(ISERROR(VLOOKUP($A403,'SegEnds_NonXtal_BW#'!$A:$Z,13,FALSE)+VLOOKUP($A403,A:AL,19,FALSE)-50),"-",VLOOKUP($A403,'SegEnds_NonXtal_BW#'!$A:$Z,13,FALSE)+VLOOKUP($A403,A:AL,19,FALSE)-50)</f>
        <v>-</v>
      </c>
      <c r="S403" s="3" t="s">
        <v>23</v>
      </c>
      <c r="T403" s="103" t="str">
        <f>IF(ISERROR(VLOOKUP($A403,'SegEnds_NonXtal_BW#'!$A:$Z,14,FALSE)+VLOOKUP($A403,A:AL,19,FALSE)-50),"-",(VLOOKUP($A403,'SegEnds_NonXtal_BW#'!$A:$Z,14,FALSE)+VLOOKUP($A403,A:AL,19,FALSE)-50))</f>
        <v>-</v>
      </c>
      <c r="U403" s="9">
        <f>IF(ISERROR(VLOOKUP($A403,'SegEnds_NonXtal_BW#'!$A:$Z,15,FALSE)+VLOOKUP($A403,A:AL,22,FALSE)-50),"-",VLOOKUP($A403,'SegEnds_NonXtal_BW#'!$A:$Z,15,FALSE)+VLOOKUP($A403,A:AL,22,FALSE)-50)</f>
        <v>677</v>
      </c>
      <c r="V403" s="3">
        <v>689</v>
      </c>
      <c r="W403" s="3">
        <f>IF(ISERROR(VLOOKUP($A403,'SegEnds_NonXtal_BW#'!$A:$Z,16,FALSE)+VLOOKUP($A403,A:AL,22,FALSE)-50),"-",(VLOOKUP($A403,'SegEnds_NonXtal_BW#'!$A:$Z,16,FALSE)+VLOOKUP($A403,A:AL,22,FALSE)-50))</f>
        <v>703</v>
      </c>
      <c r="X403" s="3">
        <f>IF(ISERROR(VLOOKUP($A403,'SegEnds_NonXtal_BW#'!$A:$Z,17,FALSE)+VLOOKUP($A403,A:AL,25,FALSE)-50),"-",(VLOOKUP($A403,'SegEnds_NonXtal_BW#'!$A:$Z,17,FALSE)+VLOOKUP($A403,A:AL,25,FALSE)-50))</f>
        <v>722</v>
      </c>
      <c r="Y403" s="3">
        <v>722</v>
      </c>
      <c r="Z403" s="3">
        <f t="shared" si="234"/>
        <v>724</v>
      </c>
      <c r="AA403" s="3">
        <f>IF(ISERROR(VLOOKUP($A403,'SegEnds_NonXtal_BW#'!$A:$Z,19,FALSE)+VLOOKUP($A403,A:AL,28,FALSE)-50),"-",(VLOOKUP($A403,'SegEnds_NonXtal_BW#'!$A:$Z,19,FALSE)+VLOOKUP($A403,A:AL,28,FALSE)-50))</f>
        <v>727</v>
      </c>
      <c r="AB403" s="3">
        <v>740</v>
      </c>
      <c r="AC403" s="3">
        <f>IF(ISERROR((VLOOKUP($A403,'SegEnds_NonXtal_BW#'!$A:$Z,20,FALSE)+VLOOKUP($A403,A:AL,28,FALSE)-50)),"-",(VLOOKUP($A403,'SegEnds_NonXtal_BW#'!$A:$Z,20,FALSE)+VLOOKUP($A403,A:AL,28,FALSE)-50))</f>
        <v>751</v>
      </c>
      <c r="AD403" s="3">
        <f>IF(ISERROR(VLOOKUP($A403,'SegEnds_NonXtal_BW#'!$A:$Z,21,FALSE)+VLOOKUP($A403,A:AL,31,FALSE)-50),"-",(VLOOKUP($A403,'SegEnds_NonXtal_BW#'!$A:$Z,21,FALSE)+VLOOKUP($A403,A:AL,31,FALSE)-50))</f>
        <v>760</v>
      </c>
      <c r="AE403" s="3">
        <v>777</v>
      </c>
      <c r="AF403" s="3">
        <f>IF(ISERROR((VLOOKUP($A403,'SegEnds_NonXtal_BW#'!$A:$Z,22,FALSE)+VLOOKUP($A403,A:AL,31,FALSE)-50)),"-",(VLOOKUP($A403,'SegEnds_NonXtal_BW#'!$A:$Z,22,FALSE)+VLOOKUP($A403,A:AL,31,FALSE)-50))</f>
        <v>784</v>
      </c>
      <c r="AG403" s="3">
        <f>IF(ISERROR(VLOOKUP($A403,'SegEnds_NonXtal_BW#'!$A:$Z,23,FALSE)+VLOOKUP($A403,A:AL,34,FALSE)-50),"-",(VLOOKUP($A403,'SegEnds_NonXtal_BW#'!$A:$Z,23,FALSE)+VLOOKUP($A403,A:AL,34,FALSE)-50))</f>
        <v>790</v>
      </c>
      <c r="AH403" s="3">
        <v>806</v>
      </c>
      <c r="AI403" s="3">
        <f>IF(ISERROR((VLOOKUP($A403,'SegEnds_NonXtal_BW#'!$A:$Z,24,FALSE)+VLOOKUP($A403,A:AL,34,FALSE)-50)),"-",(VLOOKUP($A403,'SegEnds_NonXtal_BW#'!$A:$Z,24,FALSE)+VLOOKUP($A403,A:AL,34,FALSE)-50))</f>
        <v>819</v>
      </c>
      <c r="AJ403" s="3">
        <f>IF(ISERROR(VLOOKUP($A403,'SegEnds_NonXtal_BW#'!$A:$Z,25,FALSE)+VLOOKUP($A403,A:AL,37,FALSE)-50),"-",(VLOOKUP($A403,'SegEnds_NonXtal_BW#'!$A:$Z,25,FALSE)+VLOOKUP($A403,A:AL,37,FALSE)-50))</f>
        <v>820</v>
      </c>
      <c r="AK403" s="3">
        <v>823</v>
      </c>
      <c r="AL403" s="3">
        <f>IF(ISERROR((VLOOKUP($A403,'SegEnds_NonXtal_BW#'!$A:$Z,26,FALSE)+VLOOKUP($A403,A:AL,37,FALSE)-50)),"-",(VLOOKUP($A403,'SegEnds_NonXtal_BW#'!$A:$Z,26,FALSE)+VLOOKUP($A403,A:AL,37,FALSE)-50))</f>
        <v>832</v>
      </c>
      <c r="AM403" s="28" t="str">
        <f>VLOOKUP(A403,Classification!A:B,2,FALSE)</f>
        <v>C</v>
      </c>
      <c r="AN403" s="28" t="b">
        <f t="shared" si="232"/>
        <v>1</v>
      </c>
      <c r="AO403" s="3" t="str">
        <f>IF(ISERROR(MATCH(A403,'SegEnds_Xtal_Prot#'!B:B, 0)), "NoXtal", "Xtal")</f>
        <v>NoXtal</v>
      </c>
      <c r="AP403" s="3">
        <f t="shared" si="217"/>
        <v>3</v>
      </c>
      <c r="AQ403" s="3">
        <f t="shared" si="218"/>
        <v>1</v>
      </c>
      <c r="AR403" s="3" t="str">
        <f t="shared" si="219"/>
        <v>-</v>
      </c>
      <c r="AS403" s="3" t="str">
        <f t="shared" si="220"/>
        <v>-</v>
      </c>
      <c r="AT403" s="3" t="str">
        <f t="shared" si="221"/>
        <v>-</v>
      </c>
      <c r="AU403" s="3" t="str">
        <f t="shared" si="222"/>
        <v>-</v>
      </c>
      <c r="AV403" s="3">
        <f t="shared" si="223"/>
        <v>19</v>
      </c>
      <c r="AW403" s="3">
        <f t="shared" si="224"/>
        <v>3</v>
      </c>
      <c r="AX403" s="3">
        <f t="shared" si="225"/>
        <v>9</v>
      </c>
      <c r="AY403" s="3">
        <f t="shared" si="226"/>
        <v>6</v>
      </c>
      <c r="AZ403" s="3">
        <f t="shared" si="227"/>
        <v>1</v>
      </c>
      <c r="BA403" s="3">
        <f>IF(ISERROR(LEN(VLOOKUP(A403,Seqs!A:E,2,FALSE))-AL403),"-",LEN(VLOOKUP(A403,Seqs!A:E,2,FALSE))-AL403)</f>
        <v>20</v>
      </c>
      <c r="BB403" s="16">
        <f t="shared" si="228"/>
        <v>31</v>
      </c>
      <c r="BC403" s="9" t="str">
        <f t="shared" si="229"/>
        <v>-</v>
      </c>
      <c r="BD403" s="3">
        <f t="shared" si="230"/>
        <v>31</v>
      </c>
      <c r="BE403" s="3">
        <f t="shared" si="231"/>
        <v>37</v>
      </c>
      <c r="BF403" s="3">
        <f>AH403-AE403</f>
        <v>29</v>
      </c>
    </row>
    <row r="404" spans="1:58" s="3" customFormat="1" x14ac:dyDescent="0.2">
      <c r="A404" s="3" t="s">
        <v>924</v>
      </c>
      <c r="B404" s="3" t="str">
        <f>LOWER(VLOOKUP(A404,Xtal_Templ!A:B,2,FALSE))</f>
        <v>us28_hcmva</v>
      </c>
      <c r="C404" s="3">
        <f>VLOOKUP($A404,'SegEnds_NonXtal_BW#'!$A:$Z,3,FALSE)+D404-50</f>
        <v>26</v>
      </c>
      <c r="D404" s="3">
        <v>51</v>
      </c>
      <c r="E404" s="3">
        <f>IF(ISERROR(VLOOKUP($A404,'SegEnds_NonXtal_BW#'!$A:$Z,4,FALSE)+VLOOKUP($A404,A:AL,4,FALSE)-50),"-",(VLOOKUP($A404,'SegEnds_NonXtal_BW#'!$A:$Z,4,FALSE)+VLOOKUP($A404,A:AL,4,FALSE)-50))</f>
        <v>61</v>
      </c>
      <c r="F404" s="3">
        <f>G404-2</f>
        <v>62</v>
      </c>
      <c r="G404" s="3">
        <v>64</v>
      </c>
      <c r="H404" s="3">
        <f>G404+1</f>
        <v>65</v>
      </c>
      <c r="I404" s="3">
        <f t="shared" si="233"/>
        <v>66</v>
      </c>
      <c r="J404" s="3">
        <v>79</v>
      </c>
      <c r="K404" s="3">
        <f>VLOOKUP($A404,'SegEnds_NonXtal_BW#'!$A:$Z,8,FALSE)+VLOOKUP($A404,A:AL,10,FALSE)-50</f>
        <v>95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103</v>
      </c>
      <c r="P404" s="3">
        <v>129</v>
      </c>
      <c r="Q404" s="3">
        <f>VLOOKUP($A404,'SegEnds_NonXtal_BW#'!$A:$Z,12,FALSE)+VLOOKUP($A404,A:AL,16,FALSE)-50</f>
        <v>135</v>
      </c>
      <c r="R404" s="3" t="str">
        <f>IF(ISERROR(VLOOKUP($A404,'SegEnds_NonXtal_BW#'!$A:$Z,13,FALSE)+VLOOKUP($A404,A:AL,19,FALSE)-50),"-",VLOOKUP($A404,'SegEnds_NonXtal_BW#'!$A:$Z,13,FALSE)+VLOOKUP($A404,A:AL,19,FALSE)-50)</f>
        <v>-</v>
      </c>
      <c r="S404" s="3" t="s">
        <v>23</v>
      </c>
      <c r="T404" s="103" t="str">
        <f>IF(ISERROR(VLOOKUP($A404,'SegEnds_NonXtal_BW#'!$A:$Z,14,FALSE)+VLOOKUP($A404,A:AL,19,FALSE)-50),"-",(VLOOKUP($A404,'SegEnds_NonXtal_BW#'!$A:$Z,14,FALSE)+VLOOKUP($A404,A:AL,19,FALSE)-50))</f>
        <v>-</v>
      </c>
      <c r="U404" s="9">
        <f>IF(ISERROR(VLOOKUP($A404,'SegEnds_NonXtal_BW#'!$A:$Z,15,FALSE)+VLOOKUP($A404,A:AL,22,FALSE)-50),"-",VLOOKUP($A404,'SegEnds_NonXtal_BW#'!$A:$Z,15,FALSE)+VLOOKUP($A404,A:AL,22,FALSE)-50)</f>
        <v>140</v>
      </c>
      <c r="V404" s="3">
        <v>152</v>
      </c>
      <c r="W404" s="3">
        <f>IF(ISERROR(VLOOKUP($A404,'SegEnds_NonXtal_BW#'!$A:$Z,16,FALSE)+VLOOKUP($A404,A:AL,22,FALSE)-50),"-",(VLOOKUP($A404,'SegEnds_NonXtal_BW#'!$A:$Z,16,FALSE)+VLOOKUP($A404,A:AL,22,FALSE)-50))</f>
        <v>165</v>
      </c>
      <c r="X404" s="3">
        <f>IF(ISERROR(VLOOKUP($A404,'SegEnds_NonXtal_BW#'!$A:$Z,17,FALSE)+VLOOKUP($A404,A:AL,25,FALSE)-50),"-",(VLOOKUP($A404,'SegEnds_NonXtal_BW#'!$A:$Z,17,FALSE)+VLOOKUP($A404,A:AL,25,FALSE)-50))</f>
        <v>173</v>
      </c>
      <c r="Y404" s="3">
        <v>173</v>
      </c>
      <c r="Z404" s="3">
        <f t="shared" si="234"/>
        <v>175</v>
      </c>
      <c r="AA404" s="3">
        <f>IF(ISERROR(VLOOKUP($A404,'SegEnds_NonXtal_BW#'!$A:$Z,19,FALSE)+VLOOKUP($A404,A:AL,28,FALSE)-50),"-",(VLOOKUP($A404,'SegEnds_NonXtal_BW#'!$A:$Z,19,FALSE)+VLOOKUP($A404,A:AL,28,FALSE)-50))</f>
        <v>182</v>
      </c>
      <c r="AB404" s="3">
        <v>200</v>
      </c>
      <c r="AC404" s="3">
        <f>IF(ISERROR((VLOOKUP($A404,'SegEnds_NonXtal_BW#'!$A:$Z,20,FALSE)+VLOOKUP($A404,A:AL,28,FALSE)-50)),"-",(VLOOKUP($A404,'SegEnds_NonXtal_BW#'!$A:$Z,20,FALSE)+VLOOKUP($A404,A:AL,28,FALSE)-50))</f>
        <v>218</v>
      </c>
      <c r="AD404" s="3">
        <f>IF(ISERROR(VLOOKUP($A404,'SegEnds_NonXtal_BW#'!$A:$Z,21,FALSE)+VLOOKUP($A404,A:AL,31,FALSE)-50),"-",(VLOOKUP($A404,'SegEnds_NonXtal_BW#'!$A:$Z,21,FALSE)+VLOOKUP($A404,A:AL,31,FALSE)-50))</f>
        <v>222</v>
      </c>
      <c r="AE404" s="3">
        <v>243</v>
      </c>
      <c r="AF404" s="3">
        <f>IF(ISERROR((VLOOKUP($A404,'SegEnds_NonXtal_BW#'!$A:$Z,22,FALSE)+VLOOKUP($A404,A:AL,31,FALSE)-50)),"-",(VLOOKUP($A404,'SegEnds_NonXtal_BW#'!$A:$Z,22,FALSE)+VLOOKUP($A404,A:AL,31,FALSE)-50))</f>
        <v>257</v>
      </c>
      <c r="AG404" s="3">
        <f>IF(ISERROR(VLOOKUP($A404,'SegEnds_NonXtal_BW#'!$A:$Z,23,FALSE)+VLOOKUP($A404,A:AL,34,FALSE)-50),"-",(VLOOKUP($A404,'SegEnds_NonXtal_BW#'!$A:$Z,23,FALSE)+VLOOKUP($A404,A:AL,34,FALSE)-50))</f>
        <v>262</v>
      </c>
      <c r="AH404" s="3">
        <v>288</v>
      </c>
      <c r="AI404" s="3">
        <f>IF(ISERROR((VLOOKUP($A404,'SegEnds_NonXtal_BW#'!$A:$Z,24,FALSE)+VLOOKUP($A404,A:AL,34,FALSE)-50)),"-",(VLOOKUP($A404,'SegEnds_NonXtal_BW#'!$A:$Z,24,FALSE)+VLOOKUP($A404,A:AL,34,FALSE)-50))</f>
        <v>294</v>
      </c>
      <c r="AJ404" s="3">
        <f>IF(ISERROR(VLOOKUP($A404,'SegEnds_NonXtal_BW#'!$A:$Z,25,FALSE)+VLOOKUP($A404,A:AL,37,FALSE)-50),"-",(VLOOKUP($A404,'SegEnds_NonXtal_BW#'!$A:$Z,25,FALSE)+VLOOKUP($A404,A:AL,37,FALSE)-50))</f>
        <v>295</v>
      </c>
      <c r="AK404" s="3">
        <v>298</v>
      </c>
      <c r="AL404" s="3">
        <f>IF(ISERROR((VLOOKUP($A404,'SegEnds_NonXtal_BW#'!$A:$Z,26,FALSE)+VLOOKUP($A404,A:AL,37,FALSE)-50)),"-",(VLOOKUP($A404,'SegEnds_NonXtal_BW#'!$A:$Z,26,FALSE)+VLOOKUP($A404,A:AL,37,FALSE)-50))</f>
        <v>310</v>
      </c>
      <c r="AM404" s="28" t="str">
        <f>VLOOKUP(A404,Classification!A:B,2,FALSE)</f>
        <v>A</v>
      </c>
      <c r="AN404" s="28" t="b">
        <f t="shared" si="232"/>
        <v>1</v>
      </c>
      <c r="AO404" s="3" t="str">
        <f>IF(ISERROR(MATCH(A404,'SegEnds_Xtal_Prot#'!B:B, 0)), "NoXtal", "Xtal")</f>
        <v>Xtal</v>
      </c>
      <c r="AP404" s="3">
        <f t="shared" si="217"/>
        <v>1</v>
      </c>
      <c r="AQ404" s="3">
        <f t="shared" si="218"/>
        <v>1</v>
      </c>
      <c r="AR404" s="3" t="str">
        <f t="shared" si="219"/>
        <v>-</v>
      </c>
      <c r="AS404" s="3" t="str">
        <f t="shared" si="220"/>
        <v>-</v>
      </c>
      <c r="AT404" s="3" t="str">
        <f t="shared" si="221"/>
        <v>-</v>
      </c>
      <c r="AU404" s="3" t="str">
        <f t="shared" si="222"/>
        <v>-</v>
      </c>
      <c r="AV404" s="3">
        <f t="shared" si="223"/>
        <v>8</v>
      </c>
      <c r="AW404" s="3">
        <f t="shared" si="224"/>
        <v>7</v>
      </c>
      <c r="AX404" s="3">
        <f t="shared" si="225"/>
        <v>4</v>
      </c>
      <c r="AY404" s="3">
        <f t="shared" si="226"/>
        <v>5</v>
      </c>
      <c r="AZ404" s="3">
        <f t="shared" si="227"/>
        <v>1</v>
      </c>
      <c r="BA404" s="3">
        <f>IF(ISERROR(LEN(VLOOKUP(A404,Seqs!A:E,2,FALSE))-AL404),"-",LEN(VLOOKUP(A404,Seqs!A:E,2,FALSE))-AL404)</f>
        <v>44</v>
      </c>
      <c r="BB404" s="16">
        <f t="shared" si="228"/>
        <v>28</v>
      </c>
      <c r="BC404" s="9" t="str">
        <f t="shared" si="229"/>
        <v>-</v>
      </c>
      <c r="BD404" s="3">
        <f t="shared" si="230"/>
        <v>28</v>
      </c>
      <c r="BE404" s="3">
        <f t="shared" si="231"/>
        <v>43</v>
      </c>
    </row>
    <row r="405" spans="1:58" s="3" customFormat="1" x14ac:dyDescent="0.2">
      <c r="A405" s="3" t="s">
        <v>412</v>
      </c>
      <c r="B405" s="3" t="str">
        <f>LOWER(VLOOKUP(A405,Xtal_Templ!A:B,2,FALSE))</f>
        <v>glp1r_human</v>
      </c>
      <c r="C405" s="3">
        <f>VLOOKUP($A405,'SegEnds_NonXtal_BW#'!$A:$Z,3,FALSE)+D405-50</f>
        <v>136</v>
      </c>
      <c r="D405" s="3">
        <v>157</v>
      </c>
      <c r="E405" s="3">
        <f>IF(ISERROR(VLOOKUP($A405,'SegEnds_NonXtal_BW#'!$A:$Z,4,FALSE)+VLOOKUP($A405,A:AL,4,FALSE)-50),"-",(VLOOKUP($A405,'SegEnds_NonXtal_BW#'!$A:$Z,4,FALSE)+VLOOKUP($A405,A:AL,4,FALSE)-50))</f>
        <v>167</v>
      </c>
      <c r="F405" s="3">
        <f>G405-2</f>
        <v>168</v>
      </c>
      <c r="G405" s="3">
        <v>170</v>
      </c>
      <c r="H405" s="3">
        <f>G405+1</f>
        <v>171</v>
      </c>
      <c r="I405" s="3">
        <f t="shared" si="233"/>
        <v>172</v>
      </c>
      <c r="J405" s="3">
        <v>185</v>
      </c>
      <c r="K405" s="3">
        <f>VLOOKUP($A405,'SegEnds_NonXtal_BW#'!$A:$Z,8,FALSE)+VLOOKUP($A405,A:AL,10,FALSE)-50</f>
        <v>199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211</v>
      </c>
      <c r="P405" s="3">
        <v>240</v>
      </c>
      <c r="Q405" s="3">
        <f>VLOOKUP($A405,'SegEnds_NonXtal_BW#'!$A:$Z,12,FALSE)+VLOOKUP($A405,A:AL,16,FALSE)-50</f>
        <v>246</v>
      </c>
      <c r="R405" s="3" t="str">
        <f>IF(ISERROR(VLOOKUP($A405,'SegEnds_NonXtal_BW#'!$A:$Z,13,FALSE)+VLOOKUP($A405,A:AL,19,FALSE)-50),"-",VLOOKUP($A405,'SegEnds_NonXtal_BW#'!$A:$Z,13,FALSE)+VLOOKUP($A405,A:AL,19,FALSE)-50)</f>
        <v>-</v>
      </c>
      <c r="S405" s="3" t="s">
        <v>23</v>
      </c>
      <c r="T405" s="103" t="str">
        <f>IF(ISERROR(VLOOKUP($A405,'SegEnds_NonXtal_BW#'!$A:$Z,14,FALSE)+VLOOKUP($A405,A:AL,19,FALSE)-50),"-",(VLOOKUP($A405,'SegEnds_NonXtal_BW#'!$A:$Z,14,FALSE)+VLOOKUP($A405,A:AL,19,FALSE)-50))</f>
        <v>-</v>
      </c>
      <c r="U405" s="9">
        <f>IF(ISERROR(VLOOKUP($A405,'SegEnds_NonXtal_BW#'!$A:$Z,15,FALSE)+VLOOKUP($A405,A:AL,22,FALSE)-50),"-",VLOOKUP($A405,'SegEnds_NonXtal_BW#'!$A:$Z,15,FALSE)+VLOOKUP($A405,A:AL,22,FALSE)-50)</f>
        <v>251</v>
      </c>
      <c r="V405" s="3">
        <v>263</v>
      </c>
      <c r="W405" s="3">
        <f>IF(ISERROR(VLOOKUP($A405,'SegEnds_NonXtal_BW#'!$A:$Z,16,FALSE)+VLOOKUP($A405,A:AL,22,FALSE)-50),"-",(VLOOKUP($A405,'SegEnds_NonXtal_BW#'!$A:$Z,16,FALSE)+VLOOKUP($A405,A:AL,22,FALSE)-50))</f>
        <v>281</v>
      </c>
      <c r="X405" s="3">
        <f>IF(ISERROR(VLOOKUP($A405,'SegEnds_NonXtal_BW#'!$A:$Z,17,FALSE)+VLOOKUP($A405,A:AL,25,FALSE)-50),"-",(VLOOKUP($A405,'SegEnds_NonXtal_BW#'!$A:$Z,17,FALSE)+VLOOKUP($A405,A:AL,25,FALSE)-50))</f>
        <v>285</v>
      </c>
      <c r="Y405" s="3">
        <v>285</v>
      </c>
      <c r="Z405" s="3">
        <f t="shared" si="234"/>
        <v>287</v>
      </c>
      <c r="AA405" s="3">
        <f>IF(ISERROR(VLOOKUP($A405,'SegEnds_NonXtal_BW#'!$A:$Z,19,FALSE)+VLOOKUP($A405,A:AL,28,FALSE)-50),"-",(VLOOKUP($A405,'SegEnds_NonXtal_BW#'!$A:$Z,19,FALSE)+VLOOKUP($A405,A:AL,28,FALSE)-50))</f>
        <v>293</v>
      </c>
      <c r="AB405" s="3">
        <v>304</v>
      </c>
      <c r="AC405" s="3">
        <f>IF(ISERROR((VLOOKUP($A405,'SegEnds_NonXtal_BW#'!$A:$Z,20,FALSE)+VLOOKUP($A405,A:AL,28,FALSE)-50)),"-",(VLOOKUP($A405,'SegEnds_NonXtal_BW#'!$A:$Z,20,FALSE)+VLOOKUP($A405,A:AL,28,FALSE)-50))</f>
        <v>323</v>
      </c>
      <c r="AD405" s="3">
        <f>IF(ISERROR(VLOOKUP($A405,'SegEnds_NonXtal_BW#'!$A:$Z,21,FALSE)+VLOOKUP($A405,A:AL,31,FALSE)-50),"-",(VLOOKUP($A405,'SegEnds_NonXtal_BW#'!$A:$Z,21,FALSE)+VLOOKUP($A405,A:AL,31,FALSE)-50))</f>
        <v>331</v>
      </c>
      <c r="AE405" s="3">
        <v>356</v>
      </c>
      <c r="AF405" s="3">
        <f>IF(ISERROR((VLOOKUP($A405,'SegEnds_NonXtal_BW#'!$A:$Z,22,FALSE)+VLOOKUP($A405,A:AL,31,FALSE)-50)),"-",(VLOOKUP($A405,'SegEnds_NonXtal_BW#'!$A:$Z,22,FALSE)+VLOOKUP($A405,A:AL,31,FALSE)-50))</f>
        <v>364</v>
      </c>
      <c r="AG405" s="3">
        <f>IF(ISERROR(VLOOKUP($A405,'SegEnds_NonXtal_BW#'!$A:$Z,23,FALSE)+VLOOKUP($A405,A:AL,34,FALSE)-50),"-",(VLOOKUP($A405,'SegEnds_NonXtal_BW#'!$A:$Z,23,FALSE)+VLOOKUP($A405,A:AL,34,FALSE)-50))</f>
        <v>366</v>
      </c>
      <c r="AH405" s="3">
        <v>385</v>
      </c>
      <c r="AI405" s="3">
        <f>IF(ISERROR((VLOOKUP($A405,'SegEnds_NonXtal_BW#'!$A:$Z,24,FALSE)+VLOOKUP($A405,A:AL,34,FALSE)-50)),"-",(VLOOKUP($A405,'SegEnds_NonXtal_BW#'!$A:$Z,24,FALSE)+VLOOKUP($A405,A:AL,34,FALSE)-50))</f>
        <v>391</v>
      </c>
      <c r="AJ405" s="3">
        <f>IF(ISERROR(VLOOKUP($A405,'SegEnds_NonXtal_BW#'!$A:$Z,25,FALSE)+VLOOKUP($A405,A:AL,37,FALSE)-50),"-",(VLOOKUP($A405,'SegEnds_NonXtal_BW#'!$A:$Z,25,FALSE)+VLOOKUP($A405,A:AL,37,FALSE)-50))</f>
        <v>392</v>
      </c>
      <c r="AK405" s="3">
        <v>395</v>
      </c>
      <c r="AL405" s="3">
        <f>IF(ISERROR((VLOOKUP($A405,'SegEnds_NonXtal_BW#'!$A:$Z,26,FALSE)+VLOOKUP($A405,A:AL,37,FALSE)-50)),"-",(VLOOKUP($A405,'SegEnds_NonXtal_BW#'!$A:$Z,26,FALSE)+VLOOKUP($A405,A:AL,37,FALSE)-50))</f>
        <v>417</v>
      </c>
      <c r="AM405" s="28" t="str">
        <f>VLOOKUP(A405,Classification!A:B,2,FALSE)</f>
        <v>B1</v>
      </c>
      <c r="AN405" s="28" t="b">
        <f t="shared" si="232"/>
        <v>1</v>
      </c>
      <c r="AO405" s="3" t="str">
        <f>IF(ISERROR(MATCH(A405,'SegEnds_Xtal_Prot#'!B:B, 0)), "NoXtal", "Xtal")</f>
        <v>NoXtal</v>
      </c>
      <c r="AP405" s="3">
        <f t="shared" si="217"/>
        <v>1</v>
      </c>
      <c r="AQ405" s="3">
        <f t="shared" si="218"/>
        <v>1</v>
      </c>
      <c r="AR405" s="3" t="str">
        <f t="shared" si="219"/>
        <v>-</v>
      </c>
      <c r="AS405" s="3" t="str">
        <f t="shared" si="220"/>
        <v>-</v>
      </c>
      <c r="AT405" s="3" t="str">
        <f t="shared" si="221"/>
        <v>-</v>
      </c>
      <c r="AU405" s="3" t="str">
        <f t="shared" si="222"/>
        <v>-</v>
      </c>
      <c r="AV405" s="3">
        <f t="shared" si="223"/>
        <v>4</v>
      </c>
      <c r="AW405" s="3">
        <f t="shared" si="224"/>
        <v>6</v>
      </c>
      <c r="AX405" s="3">
        <f t="shared" si="225"/>
        <v>8</v>
      </c>
      <c r="AY405" s="3">
        <f t="shared" si="226"/>
        <v>2</v>
      </c>
      <c r="AZ405" s="3">
        <f t="shared" si="227"/>
        <v>1</v>
      </c>
      <c r="BA405" s="3">
        <f>IF(ISERROR(LEN(VLOOKUP(A405,Seqs!A:E,2,FALSE))-AL405),"-",LEN(VLOOKUP(A405,Seqs!A:E,2,FALSE))-AL405)</f>
        <v>40</v>
      </c>
      <c r="BB405" s="16">
        <f t="shared" si="228"/>
        <v>28</v>
      </c>
      <c r="BC405" s="9" t="str">
        <f t="shared" si="229"/>
        <v>-</v>
      </c>
      <c r="BD405" s="3">
        <f t="shared" si="230"/>
        <v>28</v>
      </c>
      <c r="BE405" s="3">
        <f t="shared" si="231"/>
        <v>52</v>
      </c>
    </row>
    <row r="406" spans="1:58" s="3" customFormat="1" x14ac:dyDescent="0.2">
      <c r="A406" s="3" t="s">
        <v>413</v>
      </c>
      <c r="B406" s="3" t="str">
        <f>LOWER(VLOOKUP(A406,Xtal_Templ!A:B,2,FALSE))</f>
        <v>glr_human</v>
      </c>
      <c r="C406" s="3">
        <f>VLOOKUP($A406,'SegEnds_NonXtal_BW#'!$A:$Z,3,FALSE)+D406-50</f>
        <v>116</v>
      </c>
      <c r="D406" s="3">
        <v>141</v>
      </c>
      <c r="E406" s="3">
        <f>IF(ISERROR(VLOOKUP($A406,'SegEnds_NonXtal_BW#'!$A:$Z,4,FALSE)+VLOOKUP($A406,A:AL,4,FALSE)-50),"-",(VLOOKUP($A406,'SegEnds_NonXtal_BW#'!$A:$Z,4,FALSE)+VLOOKUP($A406,A:AL,4,FALSE)-50))</f>
        <v>151</v>
      </c>
      <c r="F406" s="3">
        <f>G406-2</f>
        <v>152</v>
      </c>
      <c r="G406" s="3">
        <v>154</v>
      </c>
      <c r="H406" s="3">
        <f>G406+1</f>
        <v>155</v>
      </c>
      <c r="I406" s="3">
        <f t="shared" si="233"/>
        <v>156</v>
      </c>
      <c r="J406" s="3">
        <v>169</v>
      </c>
      <c r="K406" s="3">
        <f>VLOOKUP($A406,'SegEnds_NonXtal_BW#'!$A:$Z,8,FALSE)+VLOOKUP($A406,A:AL,10,FALSE)-50</f>
        <v>183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200</v>
      </c>
      <c r="P406" s="3">
        <v>227</v>
      </c>
      <c r="Q406" s="3">
        <f>VLOOKUP($A406,'SegEnds_NonXtal_BW#'!$A:$Z,12,FALSE)+VLOOKUP($A406,A:AL,16,FALSE)-50</f>
        <v>233</v>
      </c>
      <c r="R406" s="3" t="str">
        <f>IF(ISERROR(VLOOKUP($A406,'SegEnds_NonXtal_BW#'!$A:$Z,13,FALSE)+VLOOKUP($A406,A:AL,19,FALSE)-50),"-",VLOOKUP($A406,'SegEnds_NonXtal_BW#'!$A:$Z,13,FALSE)+VLOOKUP($A406,A:AL,19,FALSE)-50)</f>
        <v>-</v>
      </c>
      <c r="S406" s="3" t="s">
        <v>23</v>
      </c>
      <c r="T406" s="103" t="str">
        <f>IF(ISERROR(VLOOKUP($A406,'SegEnds_NonXtal_BW#'!$A:$Z,14,FALSE)+VLOOKUP($A406,A:AL,19,FALSE)-50),"-",(VLOOKUP($A406,'SegEnds_NonXtal_BW#'!$A:$Z,14,FALSE)+VLOOKUP($A406,A:AL,19,FALSE)-50))</f>
        <v>-</v>
      </c>
      <c r="U406" s="9">
        <f>IF(ISERROR(VLOOKUP($A406,'SegEnds_NonXtal_BW#'!$A:$Z,15,FALSE)+VLOOKUP($A406,A:AL,22,FALSE)-50),"-",VLOOKUP($A406,'SegEnds_NonXtal_BW#'!$A:$Z,15,FALSE)+VLOOKUP($A406,A:AL,22,FALSE)-50)</f>
        <v>239</v>
      </c>
      <c r="V406" s="3">
        <v>249</v>
      </c>
      <c r="W406" s="3">
        <f>IF(ISERROR(VLOOKUP($A406,'SegEnds_NonXtal_BW#'!$A:$Z,16,FALSE)+VLOOKUP($A406,A:AL,22,FALSE)-50),"-",(VLOOKUP($A406,'SegEnds_NonXtal_BW#'!$A:$Z,16,FALSE)+VLOOKUP($A406,A:AL,22,FALSE)-50))</f>
        <v>267</v>
      </c>
      <c r="X406" s="3">
        <f>IF(ISERROR(VLOOKUP($A406,'SegEnds_NonXtal_BW#'!$A:$Z,17,FALSE)+VLOOKUP($A406,A:AL,25,FALSE)-50),"-",(VLOOKUP($A406,'SegEnds_NonXtal_BW#'!$A:$Z,17,FALSE)+VLOOKUP($A406,A:AL,25,FALSE)-50))</f>
        <v>271</v>
      </c>
      <c r="Y406" s="3">
        <v>271</v>
      </c>
      <c r="Z406" s="3">
        <f t="shared" si="234"/>
        <v>273</v>
      </c>
      <c r="AA406" s="3">
        <f>IF(ISERROR(VLOOKUP($A406,'SegEnds_NonXtal_BW#'!$A:$Z,19,FALSE)+VLOOKUP($A406,A:AL,28,FALSE)-50),"-",(VLOOKUP($A406,'SegEnds_NonXtal_BW#'!$A:$Z,19,FALSE)+VLOOKUP($A406,A:AL,28,FALSE)-50))</f>
        <v>280</v>
      </c>
      <c r="AB406" s="3">
        <v>291</v>
      </c>
      <c r="AC406" s="3">
        <f>IF(ISERROR((VLOOKUP($A406,'SegEnds_NonXtal_BW#'!$A:$Z,20,FALSE)+VLOOKUP($A406,A:AL,28,FALSE)-50)),"-",(VLOOKUP($A406,'SegEnds_NonXtal_BW#'!$A:$Z,20,FALSE)+VLOOKUP($A406,A:AL,28,FALSE)-50))</f>
        <v>310</v>
      </c>
      <c r="AD406" s="3">
        <f>IF(ISERROR(VLOOKUP($A406,'SegEnds_NonXtal_BW#'!$A:$Z,21,FALSE)+VLOOKUP($A406,A:AL,31,FALSE)-50),"-",(VLOOKUP($A406,'SegEnds_NonXtal_BW#'!$A:$Z,21,FALSE)+VLOOKUP($A406,A:AL,31,FALSE)-50))</f>
        <v>318</v>
      </c>
      <c r="AE406" s="3">
        <v>343</v>
      </c>
      <c r="AF406" s="3">
        <f>IF(ISERROR((VLOOKUP($A406,'SegEnds_NonXtal_BW#'!$A:$Z,22,FALSE)+VLOOKUP($A406,A:AL,31,FALSE)-50)),"-",(VLOOKUP($A406,'SegEnds_NonXtal_BW#'!$A:$Z,22,FALSE)+VLOOKUP($A406,A:AL,31,FALSE)-50))</f>
        <v>346</v>
      </c>
      <c r="AG406" s="3">
        <f>IF(ISERROR(VLOOKUP($A406,'SegEnds_NonXtal_BW#'!$A:$Z,23,FALSE)+VLOOKUP($A406,A:AL,34,FALSE)-50),"-",(VLOOKUP($A406,'SegEnds_NonXtal_BW#'!$A:$Z,23,FALSE)+VLOOKUP($A406,A:AL,34,FALSE)-50))</f>
        <v>353</v>
      </c>
      <c r="AH406" s="3">
        <v>372</v>
      </c>
      <c r="AI406" s="3">
        <f>IF(ISERROR((VLOOKUP($A406,'SegEnds_NonXtal_BW#'!$A:$Z,24,FALSE)+VLOOKUP($A406,A:AL,34,FALSE)-50)),"-",(VLOOKUP($A406,'SegEnds_NonXtal_BW#'!$A:$Z,24,FALSE)+VLOOKUP($A406,A:AL,34,FALSE)-50))</f>
        <v>378</v>
      </c>
      <c r="AJ406" s="3">
        <f>IF(ISERROR(VLOOKUP($A406,'SegEnds_NonXtal_BW#'!$A:$Z,25,FALSE)+VLOOKUP($A406,A:AL,37,FALSE)-50),"-",(VLOOKUP($A406,'SegEnds_NonXtal_BW#'!$A:$Z,25,FALSE)+VLOOKUP($A406,A:AL,37,FALSE)-50))</f>
        <v>379</v>
      </c>
      <c r="AK406" s="3">
        <v>382</v>
      </c>
      <c r="AL406" s="3">
        <f>IF(ISERROR((VLOOKUP($A406,'SegEnds_NonXtal_BW#'!$A:$Z,26,FALSE)+VLOOKUP($A406,A:AL,37,FALSE)-50)),"-",(VLOOKUP($A406,'SegEnds_NonXtal_BW#'!$A:$Z,26,FALSE)+VLOOKUP($A406,A:AL,37,FALSE)-50))</f>
        <v>404</v>
      </c>
      <c r="AM406" s="28" t="str">
        <f>VLOOKUP(A406,Classification!A:B,2,FALSE)</f>
        <v>B1</v>
      </c>
      <c r="AN406" s="28" t="b">
        <f t="shared" si="232"/>
        <v>1</v>
      </c>
      <c r="AO406" s="3" t="str">
        <f>IF(ISERROR(MATCH(A406,'SegEnds_Xtal_Prot#'!B:B, 0)), "NoXtal", "Xtal")</f>
        <v>NoXtal</v>
      </c>
      <c r="AP406" s="3">
        <f t="shared" si="217"/>
        <v>1</v>
      </c>
      <c r="AQ406" s="3">
        <f t="shared" si="218"/>
        <v>1</v>
      </c>
      <c r="AR406" s="3" t="str">
        <f t="shared" si="219"/>
        <v>-</v>
      </c>
      <c r="AS406" s="3" t="str">
        <f t="shared" si="220"/>
        <v>-</v>
      </c>
      <c r="AT406" s="3" t="str">
        <f t="shared" si="221"/>
        <v>-</v>
      </c>
      <c r="AU406" s="3" t="str">
        <f t="shared" si="222"/>
        <v>-</v>
      </c>
      <c r="AV406" s="3">
        <f t="shared" si="223"/>
        <v>4</v>
      </c>
      <c r="AW406" s="3">
        <f t="shared" si="224"/>
        <v>7</v>
      </c>
      <c r="AX406" s="3">
        <f t="shared" si="225"/>
        <v>8</v>
      </c>
      <c r="AY406" s="3">
        <f t="shared" si="226"/>
        <v>7</v>
      </c>
      <c r="AZ406" s="3">
        <f t="shared" si="227"/>
        <v>1</v>
      </c>
      <c r="BA406" s="3">
        <f>IF(ISERROR(LEN(VLOOKUP(A406,Seqs!A:E,2,FALSE))-AL406),"-",LEN(VLOOKUP(A406,Seqs!A:E,2,FALSE))-AL406)</f>
        <v>34</v>
      </c>
      <c r="BB406" s="16">
        <f t="shared" si="228"/>
        <v>28</v>
      </c>
      <c r="BC406" s="9" t="str">
        <f t="shared" si="229"/>
        <v>-</v>
      </c>
      <c r="BD406" s="3">
        <f t="shared" si="230"/>
        <v>28</v>
      </c>
      <c r="BE406" s="3">
        <f t="shared" si="231"/>
        <v>52</v>
      </c>
    </row>
    <row r="407" spans="1:58" s="3" customFormat="1" x14ac:dyDescent="0.2">
      <c r="A407" s="3" t="s">
        <v>1430</v>
      </c>
      <c r="B407" s="3" t="str">
        <f>LOWER(VLOOKUP(A407,Xtal_Templ!A:B,2,FALSE))</f>
        <v>g1sgd4_rabit</v>
      </c>
      <c r="C407" s="3">
        <f>VLOOKUP($A407,'SegEnds_NonXtal_BW#'!$A:$Z,3,FALSE)+D407-50</f>
        <v>137</v>
      </c>
      <c r="D407" s="3">
        <v>159</v>
      </c>
      <c r="E407" s="3">
        <f>IF(ISERROR(VLOOKUP($A407,'SegEnds_NonXtal_BW#'!$A:$Z,4,FALSE)+VLOOKUP($A407,A:AL,4,FALSE)-50),"-",(VLOOKUP($A407,'SegEnds_NonXtal_BW#'!$A:$Z,4,FALSE)+VLOOKUP($A407,A:AL,4,FALSE)-50))</f>
        <v>169</v>
      </c>
      <c r="F407" s="3">
        <f>G407-2</f>
        <v>170</v>
      </c>
      <c r="G407" s="3">
        <v>172</v>
      </c>
      <c r="H407" s="3">
        <f>G407+1</f>
        <v>173</v>
      </c>
      <c r="I407" s="3">
        <f t="shared" ref="I407" si="235">H407+1</f>
        <v>174</v>
      </c>
      <c r="J407" s="3">
        <v>187</v>
      </c>
      <c r="K407" s="3">
        <f>VLOOKUP($A407,'SegEnds_NonXtal_BW#'!$A:$Z,8,FALSE)+VLOOKUP($A407,A:AL,10,FALSE)-50</f>
        <v>211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224</v>
      </c>
      <c r="P407" s="3">
        <v>251</v>
      </c>
      <c r="Q407" s="3">
        <f>VLOOKUP($A407,'SegEnds_NonXtal_BW#'!$A:$Z,12,FALSE)+VLOOKUP($A407,A:AL,16,FALSE)-50</f>
        <v>257</v>
      </c>
      <c r="R407" s="3" t="str">
        <f>IF(ISERROR(VLOOKUP($A407,'SegEnds_NonXtal_BW#'!$A:$Z,13,FALSE)+VLOOKUP($A407,A:AL,19,FALSE)-50),"-",VLOOKUP($A407,'SegEnds_NonXtal_BW#'!$A:$Z,13,FALSE)+VLOOKUP($A407,A:AL,19,FALSE)-50)</f>
        <v>-</v>
      </c>
      <c r="S407" s="3" t="s">
        <v>23</v>
      </c>
      <c r="T407" s="103" t="str">
        <f>IF(ISERROR(VLOOKUP($A407,'SegEnds_NonXtal_BW#'!$A:$Z,14,FALSE)+VLOOKUP($A407,A:AL,19,FALSE)-50),"-",(VLOOKUP($A407,'SegEnds_NonXtal_BW#'!$A:$Z,14,FALSE)+VLOOKUP($A407,A:AL,19,FALSE)-50))</f>
        <v>-</v>
      </c>
      <c r="U407" s="9">
        <f>IF(ISERROR(VLOOKUP($A407,'SegEnds_NonXtal_BW#'!$A:$Z,15,FALSE)+VLOOKUP($A407,A:AL,22,FALSE)-50),"-",VLOOKUP($A407,'SegEnds_NonXtal_BW#'!$A:$Z,15,FALSE)+VLOOKUP($A407,A:AL,22,FALSE)-50)</f>
        <v>261</v>
      </c>
      <c r="V407" s="3">
        <v>274</v>
      </c>
      <c r="W407" s="3">
        <f>IF(ISERROR(VLOOKUP($A407,'SegEnds_NonXtal_BW#'!$A:$Z,16,FALSE)+VLOOKUP($A407,A:AL,22,FALSE)-50),"-",(VLOOKUP($A407,'SegEnds_NonXtal_BW#'!$A:$Z,16,FALSE)+VLOOKUP($A407,A:AL,22,FALSE)-50))</f>
        <v>292</v>
      </c>
      <c r="X407" s="3">
        <f>IF(ISERROR(VLOOKUP($A407,'SegEnds_NonXtal_BW#'!$A:$Z,17,FALSE)+VLOOKUP($A407,A:AL,25,FALSE)-50),"-",(VLOOKUP($A407,'SegEnds_NonXtal_BW#'!$A:$Z,17,FALSE)+VLOOKUP($A407,A:AL,25,FALSE)-50))</f>
        <v>296</v>
      </c>
      <c r="Y407" s="3">
        <v>296</v>
      </c>
      <c r="Z407" s="3">
        <f t="shared" ref="Z407" si="236">Y407+2</f>
        <v>298</v>
      </c>
      <c r="AA407" s="3">
        <f>IF(ISERROR(VLOOKUP($A407,'SegEnds_NonXtal_BW#'!$A:$Z,19,FALSE)+VLOOKUP($A407,A:AL,28,FALSE)-50),"-",(VLOOKUP($A407,'SegEnds_NonXtal_BW#'!$A:$Z,19,FALSE)+VLOOKUP($A407,A:AL,28,FALSE)-50))</f>
        <v>305</v>
      </c>
      <c r="AB407" s="3">
        <v>316</v>
      </c>
      <c r="AC407" s="3">
        <f>IF(ISERROR((VLOOKUP($A407,'SegEnds_NonXtal_BW#'!$A:$Z,20,FALSE)+VLOOKUP($A407,A:AL,28,FALSE)-50)),"-",(VLOOKUP($A407,'SegEnds_NonXtal_BW#'!$A:$Z,20,FALSE)+VLOOKUP($A407,A:AL,28,FALSE)-50))</f>
        <v>337</v>
      </c>
      <c r="AD407" s="3">
        <f>IF(ISERROR(VLOOKUP($A407,'SegEnds_NonXtal_BW#'!$A:$Z,21,FALSE)+VLOOKUP($A407,A:AL,31,FALSE)-50),"-",(VLOOKUP($A407,'SegEnds_NonXtal_BW#'!$A:$Z,21,FALSE)+VLOOKUP($A407,A:AL,31,FALSE)-50))</f>
        <v>346</v>
      </c>
      <c r="AE407" s="3">
        <v>366</v>
      </c>
      <c r="AF407" s="3">
        <f>IF(ISERROR((VLOOKUP($A407,'SegEnds_NonXtal_BW#'!$A:$Z,22,FALSE)+VLOOKUP($A407,A:AL,31,FALSE)-50)),"-",(VLOOKUP($A407,'SegEnds_NonXtal_BW#'!$A:$Z,22,FALSE)+VLOOKUP($A407,A:AL,31,FALSE)-50))</f>
        <v>369</v>
      </c>
      <c r="AG407" s="3">
        <f>IF(ISERROR(VLOOKUP($A407,'SegEnds_NonXtal_BW#'!$A:$Z,23,FALSE)+VLOOKUP($A407,A:AL,34,FALSE)-50),"-",(VLOOKUP($A407,'SegEnds_NonXtal_BW#'!$A:$Z,23,FALSE)+VLOOKUP($A407,A:AL,34,FALSE)-50))</f>
        <v>379</v>
      </c>
      <c r="AH407" s="3">
        <v>399</v>
      </c>
      <c r="AI407" s="3">
        <f>IF(ISERROR((VLOOKUP($A407,'SegEnds_NonXtal_BW#'!$A:$Z,24,FALSE)+VLOOKUP($A407,A:AL,34,FALSE)-50)),"-",(VLOOKUP($A407,'SegEnds_NonXtal_BW#'!$A:$Z,24,FALSE)+VLOOKUP($A407,A:AL,34,FALSE)-50))</f>
        <v>405</v>
      </c>
      <c r="AJ407" s="3">
        <f>IF(ISERROR(VLOOKUP($A407,'SegEnds_NonXtal_BW#'!$A:$Z,25,FALSE)+VLOOKUP($A407,A:AL,37,FALSE)-50),"-",(VLOOKUP($A407,'SegEnds_NonXtal_BW#'!$A:$Z,25,FALSE)+VLOOKUP($A407,A:AL,37,FALSE)-50))</f>
        <v>406</v>
      </c>
      <c r="AK407" s="3">
        <v>409</v>
      </c>
      <c r="AL407" s="3">
        <f>IF(ISERROR((VLOOKUP($A407,'SegEnds_NonXtal_BW#'!$A:$Z,26,FALSE)+VLOOKUP($A407,A:AL,37,FALSE)-50)),"-",(VLOOKUP($A407,'SegEnds_NonXtal_BW#'!$A:$Z,26,FALSE)+VLOOKUP($A407,A:AL,37,FALSE)-50))</f>
        <v>431</v>
      </c>
      <c r="AM407" s="28" t="str">
        <f>VLOOKUP(A407,Classification!A:B,2,FALSE)</f>
        <v>B1</v>
      </c>
      <c r="AN407" s="28" t="b">
        <f t="shared" ref="AN407" si="237">AND(IF(Y407="-",IF(AA407-W407&gt;3,TRUE,FALSE),TRUE),IF(M407="-",IF(O407-K407&gt;3,TRUE,FALSE),TRUE),C407&lt;E407,OR(E407&lt;F407,F407="-"),OR(F407&lt;H407,F407="-"),OR(H407&lt;I407,H407="-"),I407&lt;K407,OR(K407&lt;L407,L407="-"),OR(L407&lt;N407,L407="-"),OR(N407&lt;O407,N407="-"),O407&lt;Q407,OR(Q407&lt;R407,R407="-"),OR(R407&lt;T407,R407="-"),OR(T407&lt;U407,T407="-"),U407&lt;W407,OR(W407&lt;X407,X407="-"),OR(X407&lt;Z407,X407="-"),OR(Z407&lt;AA407,Z407="-"),AA407&lt;AC407,AC407&lt;AD407,AD407&lt;AF407,AF407&lt;AG407,AG407&lt;AI407,OR(AI407&lt;AJ407,AJ407="-"),OR(AJ407&lt;AL407,AJ407="-"))</f>
        <v>1</v>
      </c>
      <c r="AO407" s="3" t="str">
        <f>IF(ISERROR(MATCH(A407,'SegEnds_Xtal_Prot#'!B:B, 0)), "NoXtal", "Xtal")</f>
        <v>Xtal</v>
      </c>
      <c r="AP407" s="3">
        <f t="shared" ref="AP407" si="238">IF(ISERROR(F407-E407),"-",F407-E407)</f>
        <v>1</v>
      </c>
      <c r="AQ407" s="3">
        <f t="shared" ref="AQ407" si="239">IF(ISERROR(I407-H407),"-",I407-H407)</f>
        <v>1</v>
      </c>
      <c r="AR407" s="3" t="str">
        <f t="shared" ref="AR407" si="240">IF(ISERROR(L407-K407),"-",L407-K407)</f>
        <v>-</v>
      </c>
      <c r="AS407" s="3" t="str">
        <f t="shared" ref="AS407" si="241">IF(ISERROR(O407-N407),"-",O407-N407)</f>
        <v>-</v>
      </c>
      <c r="AT407" s="3" t="str">
        <f t="shared" ref="AT407" si="242">IF(ISERROR(R407-Q407),"-",R407-Q407)</f>
        <v>-</v>
      </c>
      <c r="AU407" s="3" t="str">
        <f t="shared" ref="AU407" si="243">IF(ISERROR(U407-T407),"-",U407-T407)</f>
        <v>-</v>
      </c>
      <c r="AV407" s="3">
        <f t="shared" ref="AV407" si="244">IF(ISERROR(X407-W407),"-",X407-W407)</f>
        <v>4</v>
      </c>
      <c r="AW407" s="3">
        <f t="shared" ref="AW407" si="245">IF(ISERROR(AA407-Z407),"-",AA407-Z407)</f>
        <v>7</v>
      </c>
      <c r="AX407" s="3">
        <f t="shared" ref="AX407" si="246">IF(ISERROR(AD407-AC407),"-",AD407-AC407)</f>
        <v>9</v>
      </c>
      <c r="AY407" s="3">
        <f t="shared" ref="AY407" si="247">IF(ISERROR(AG407-AF407),"-",AG407-AF407)</f>
        <v>10</v>
      </c>
      <c r="AZ407" s="3">
        <f t="shared" ref="AZ407" si="248">IF(ISERROR(AJ407-AI407),"-",AJ407-AI407)</f>
        <v>1</v>
      </c>
      <c r="BA407" s="3">
        <f>IF(ISERROR(LEN(VLOOKUP(A407,Seqs!A:E,2,FALSE))-AL407),"-",LEN(VLOOKUP(A407,Seqs!A:E,2,FALSE))-AL407)</f>
        <v>31</v>
      </c>
      <c r="BB407" s="16">
        <f t="shared" ref="BB407" si="249">J407-D407</f>
        <v>28</v>
      </c>
      <c r="BC407" s="9" t="str">
        <f t="shared" ref="BC407" si="250">IF(ISERROR(V407-S407),"-",V407-S407)</f>
        <v>-</v>
      </c>
      <c r="BD407" s="3">
        <f t="shared" ref="BD407" si="251">J407-D407</f>
        <v>28</v>
      </c>
      <c r="BE407" s="3">
        <f t="shared" ref="BE407" si="252">AE407-AB407</f>
        <v>50</v>
      </c>
    </row>
    <row r="408" spans="1:58" s="3" customFormat="1" x14ac:dyDescent="0.2">
      <c r="T408" s="103"/>
      <c r="U408" s="9"/>
      <c r="AM408" s="28"/>
      <c r="AN408" s="16"/>
      <c r="BB408" s="16"/>
      <c r="BC408" s="9"/>
    </row>
    <row r="409" spans="1:58" s="3" customFormat="1" x14ac:dyDescent="0.2">
      <c r="T409" s="103"/>
      <c r="U409" s="9"/>
      <c r="AM409" s="28"/>
      <c r="AN409" s="16"/>
      <c r="BB409" s="16"/>
      <c r="BC409" s="9"/>
    </row>
  </sheetData>
  <sortState ref="A2:BG406">
    <sortCondition ref="AN2:AN406"/>
    <sortCondition ref="BC2:BC406"/>
    <sortCondition ref="A2:A406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07">
    <cfRule type="containsText" dxfId="23" priority="7" operator="containsText" text="FALSE">
      <formula>NOT(ISERROR(SEARCH("FALSE",AN2)))</formula>
    </cfRule>
  </conditionalFormatting>
  <conditionalFormatting sqref="AP1:BA1048576">
    <cfRule type="cellIs" dxfId="22" priority="5" operator="lessThan">
      <formula>1</formula>
    </cfRule>
  </conditionalFormatting>
  <conditionalFormatting sqref="E2:F407">
    <cfRule type="expression" dxfId="21" priority="25">
      <formula>NOT(OR(C2&lt;E2,C2="-",E2="-"))</formula>
    </cfRule>
  </conditionalFormatting>
  <conditionalFormatting sqref="K2:L2 K3 K4:L407">
    <cfRule type="expression" dxfId="20" priority="29">
      <formula>NOT(OR(G2&lt;K2,G2="-",K2="-"))</formula>
    </cfRule>
  </conditionalFormatting>
  <conditionalFormatting sqref="N2:O2 N4:N237 O3:O237 N238:O407">
    <cfRule type="expression" dxfId="19" priority="31">
      <formula>NOT(OR(I2&lt;N2,I2="-",N2="-"))</formula>
    </cfRule>
  </conditionalFormatting>
  <conditionalFormatting sqref="Q2:R407">
    <cfRule type="expression" dxfId="18" priority="33">
      <formula>NOT(OR(K2&lt;Q2,K2="-",Q2="-"))</formula>
    </cfRule>
  </conditionalFormatting>
  <conditionalFormatting sqref="T2:U407">
    <cfRule type="expression" dxfId="17" priority="35">
      <formula>NOT(OR(M2&lt;T2,M2="-",T2="-"))</formula>
    </cfRule>
  </conditionalFormatting>
  <conditionalFormatting sqref="W2:X407">
    <cfRule type="expression" dxfId="16" priority="37">
      <formula>NOT(OR(O2&lt;W2,O2="-",W2="-"))</formula>
    </cfRule>
  </conditionalFormatting>
  <conditionalFormatting sqref="Z2:AA407">
    <cfRule type="expression" dxfId="15" priority="39">
      <formula>NOT(OR(Q2&lt;Z2,Q2="-",Z2="-"))</formula>
    </cfRule>
  </conditionalFormatting>
  <conditionalFormatting sqref="AC2:AD407">
    <cfRule type="expression" dxfId="14" priority="41">
      <formula>NOT(OR(S2&lt;AC2,S2="-",AC2="-"))</formula>
    </cfRule>
  </conditionalFormatting>
  <conditionalFormatting sqref="AF2:AG407">
    <cfRule type="expression" dxfId="13" priority="43">
      <formula>NOT(OR(U2&lt;AF2,U2="-",AF2="-"))</formula>
    </cfRule>
  </conditionalFormatting>
  <conditionalFormatting sqref="AI2:AJ407">
    <cfRule type="expression" dxfId="12" priority="45">
      <formula>NOT(OR(W2&lt;AI2,W2="-",AI2="-"))</formula>
    </cfRule>
  </conditionalFormatting>
  <conditionalFormatting sqref="AL2:AL407">
    <cfRule type="expression" dxfId="11" priority="47">
      <formula>NOT(OR(Y2&lt;AL2,Y2="-",AL2="-"))</formula>
    </cfRule>
  </conditionalFormatting>
  <conditionalFormatting sqref="L3">
    <cfRule type="expression" dxfId="10" priority="3">
      <formula>NOT(OR(H3&lt;L3,H3="-",L3="-"))</formula>
    </cfRule>
  </conditionalFormatting>
  <conditionalFormatting sqref="N3">
    <cfRule type="expression" dxfId="9" priority="4">
      <formula>NOT(OR(I3&lt;N3,I3="-",N3="-"))</formula>
    </cfRule>
  </conditionalFormatting>
  <conditionalFormatting sqref="F2">
    <cfRule type="cellIs" dxfId="8" priority="2" operator="lessThan">
      <formula>$E$2</formula>
    </cfRule>
  </conditionalFormatting>
  <conditionalFormatting sqref="AN1:AN1048576">
    <cfRule type="cellIs" dxfId="7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G410"/>
  <sheetViews>
    <sheetView zoomScale="120" zoomScaleNormal="120" zoomScalePageLayoutView="120" workbookViewId="0">
      <pane ySplit="1" topLeftCell="A2" activePane="bottomLeft" state="frozenSplit"/>
      <selection pane="bottomLeft" activeCell="A3" sqref="A1:A1048576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6" width="6" style="4" bestFit="1" customWidth="1"/>
    <col min="7" max="7" width="6" style="4" customWidth="1"/>
    <col min="8" max="8" width="7" style="4" bestFit="1" customWidth="1"/>
    <col min="9" max="9" width="6" style="4" bestFit="1" customWidth="1"/>
    <col min="10" max="13" width="5" style="4" bestFit="1" customWidth="1"/>
    <col min="14" max="14" width="6" style="4" bestFit="1" customWidth="1"/>
    <col min="15" max="16" width="6" style="4" customWidth="1"/>
    <col min="17" max="18" width="6" style="4" bestFit="1" customWidth="1"/>
    <col min="19" max="19" width="5" style="4" bestFit="1" customWidth="1"/>
    <col min="20" max="20" width="6" style="4" bestFit="1" customWidth="1"/>
    <col min="21" max="21" width="5" style="27" bestFit="1" customWidth="1"/>
    <col min="22" max="22" width="5" style="51" customWidth="1"/>
    <col min="23" max="24" width="5" style="51" bestFit="1" customWidth="1"/>
    <col min="25" max="25" width="4.1640625" style="51" customWidth="1"/>
    <col min="26" max="26" width="5" style="51" bestFit="1" customWidth="1"/>
    <col min="27" max="27" width="4.6640625" style="27" customWidth="1"/>
    <col min="28" max="30" width="4.6640625" style="51" customWidth="1"/>
    <col min="31" max="31" width="5" style="4" customWidth="1"/>
    <col min="32" max="32" width="4.6640625" style="5" customWidth="1"/>
    <col min="33" max="33" width="4.6640625" style="4" customWidth="1"/>
    <col min="34" max="16384" width="10.83203125" style="4"/>
  </cols>
  <sheetData>
    <row r="1" spans="1:33" s="30" customFormat="1" x14ac:dyDescent="0.2">
      <c r="A1" s="30" t="s">
        <v>31</v>
      </c>
      <c r="B1" s="55" t="s">
        <v>1204</v>
      </c>
      <c r="C1" s="30" t="s">
        <v>99</v>
      </c>
      <c r="D1" s="30" t="s">
        <v>1227</v>
      </c>
      <c r="E1" s="56" t="s">
        <v>13</v>
      </c>
      <c r="F1" s="20" t="s">
        <v>5</v>
      </c>
      <c r="G1" s="4" t="s">
        <v>1370</v>
      </c>
      <c r="H1" s="20" t="s">
        <v>21</v>
      </c>
      <c r="I1" s="54" t="s">
        <v>25</v>
      </c>
      <c r="J1" s="54" t="s">
        <v>26</v>
      </c>
      <c r="K1" s="20" t="s">
        <v>20</v>
      </c>
      <c r="L1" s="20" t="s">
        <v>18</v>
      </c>
      <c r="M1" s="20" t="s">
        <v>14</v>
      </c>
      <c r="N1" s="54" t="s">
        <v>1325</v>
      </c>
      <c r="O1" s="54" t="s">
        <v>1329</v>
      </c>
      <c r="P1" s="54" t="s">
        <v>1373</v>
      </c>
      <c r="Q1" s="20" t="s">
        <v>9</v>
      </c>
      <c r="R1" s="20" t="s">
        <v>1328</v>
      </c>
      <c r="S1" s="20" t="s">
        <v>12</v>
      </c>
      <c r="T1" s="20" t="s">
        <v>1330</v>
      </c>
      <c r="U1" s="26" t="s">
        <v>1315</v>
      </c>
      <c r="V1" s="30" t="s">
        <v>1316</v>
      </c>
      <c r="W1" s="30" t="s">
        <v>1317</v>
      </c>
      <c r="X1" s="30" t="s">
        <v>1318</v>
      </c>
      <c r="Y1" s="30" t="s">
        <v>1319</v>
      </c>
      <c r="Z1" s="106" t="s">
        <v>1390</v>
      </c>
      <c r="AA1" s="26" t="s">
        <v>1320</v>
      </c>
      <c r="AB1" s="26" t="s">
        <v>1321</v>
      </c>
      <c r="AC1" s="26" t="s">
        <v>1322</v>
      </c>
      <c r="AD1" s="26" t="s">
        <v>1323</v>
      </c>
      <c r="AE1" s="30" t="s">
        <v>1324</v>
      </c>
      <c r="AF1" s="26" t="s">
        <v>1326</v>
      </c>
      <c r="AG1" s="30" t="s">
        <v>1327</v>
      </c>
    </row>
    <row r="2" spans="1:33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F2" s="2" t="s">
        <v>5</v>
      </c>
      <c r="G2" s="4"/>
      <c r="Q2" s="2" t="s">
        <v>9</v>
      </c>
      <c r="S2" s="4" t="s">
        <v>12</v>
      </c>
      <c r="U2" s="28" t="str">
        <f>MID(VLOOKUP($A2,Seqs!$A:$B,2,FALSE),VLOOKUP($A2,'SegEnds_NonXtal_Prot#'!$A:$AL,10,FALSE),1)</f>
        <v>D</v>
      </c>
      <c r="V2" s="50" t="str">
        <f>MID(VLOOKUP($A2,Seqs!$A:$B,2,FALSE),VLOOKUP($A2,'SegEnds_NonXtal_Prot#'!$A:$AL,10,FALSE)+6,1)</f>
        <v>L</v>
      </c>
      <c r="W2" s="50" t="str">
        <f>MID(VLOOKUP($A2,Seqs!$A:$B,2,FALSE),VLOOKUP($A2,'SegEnds_NonXtal_Prot#'!$A:$AL,10,FALSE)+7,1)</f>
        <v>V</v>
      </c>
      <c r="X2" s="50" t="str">
        <f>MID(VLOOKUP($A2,Seqs!$A:$B,2,FALSE),VLOOKUP($A2,'SegEnds_NonXtal_Prot#'!$A:$AL,10,FALSE)+8,1)</f>
        <v>L</v>
      </c>
      <c r="Y2" s="50" t="str">
        <f>MID(VLOOKUP($A2,Seqs!$A:$B,2,FALSE),VLOOKUP($A2,'SegEnds_NonXtal_Prot#'!A:AL,10,FALSE)+9,1)</f>
        <v>P</v>
      </c>
      <c r="Z2" s="50" t="str">
        <f>MID(VLOOKUP($A2,Seqs!$A:$B,2,FALSE),VLOOKUP($A2,'SegEnds_NonXtal_Prot#'!A:AL,10,FALSE)+10,1)</f>
        <v>M</v>
      </c>
      <c r="AA2" s="28" t="str">
        <f>MID(VLOOKUP($A2,Seqs!$A:$B,2,FALSE),VLOOKUP($A2,'SegEnds_NonXtal_Prot#'!$A:$AL,22,FALSE)+6,1)</f>
        <v>I</v>
      </c>
      <c r="AB2" s="50" t="str">
        <f>MID(VLOOKUP($A2,Seqs!$A:$B,2,FALSE),VLOOKUP($A2,'SegEnds_NonXtal_Prot#'!$A:$AL,22,FALSE)+7,1)</f>
        <v>S</v>
      </c>
      <c r="AC2" s="50" t="str">
        <f>MID(VLOOKUP($A2,Seqs!$A:$B,2,FALSE),VLOOKUP($A2,'SegEnds_NonXtal_Prot#'!$A:$AL,22,FALSE)+8,1)</f>
        <v>I</v>
      </c>
      <c r="AD2" s="50" t="str">
        <f>MID(VLOOKUP($A2,Seqs!$A:$B,2,FALSE),VLOOKUP($A2,'SegEnds_NonXtal_Prot#'!$A:$AL,22,FALSE)+9,1)</f>
        <v>P</v>
      </c>
      <c r="AE2" s="50" t="str">
        <f>MID(VLOOKUP($A2,Seqs!$A:$B,2,FALSE),VLOOKUP($A2,'SegEnds_NonXtal_Prot#'!$A:$AL,22,FALSE)+10,1)</f>
        <v>P</v>
      </c>
      <c r="AF2" s="28" t="str">
        <f>MID(VLOOKUP($A2,Seqs!$A:$B,2,FALSE),VLOOKUP($A2,'SegEnds_NonXtal_Prot#'!$A:$AL,28,FALSE)-4,1)</f>
        <v>A</v>
      </c>
      <c r="AG2" s="50" t="str">
        <f>MID(VLOOKUP($A2,Seqs!$A:$B,2,FALSE),VLOOKUP($A2,'SegEnds_NonXtal_Prot#'!$A:$AL,28,FALSE),1)</f>
        <v>P</v>
      </c>
    </row>
    <row r="3" spans="1:33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F3" s="2" t="s">
        <v>5</v>
      </c>
      <c r="G3" s="4"/>
      <c r="Q3" s="2" t="s">
        <v>9</v>
      </c>
      <c r="S3" s="4" t="s">
        <v>12</v>
      </c>
      <c r="U3" s="28" t="str">
        <f>MID(VLOOKUP($A3,Seqs!$A:$B,2,FALSE),VLOOKUP($A3,'SegEnds_NonXtal_Prot#'!A:AL,10,FALSE),1)</f>
        <v>D</v>
      </c>
      <c r="V3" s="50" t="str">
        <f>MID(VLOOKUP($A3,Seqs!$A:$B,2,FALSE),VLOOKUP($A3,'SegEnds_NonXtal_Prot#'!A:AL,10,FALSE)+6,1)</f>
        <v>L</v>
      </c>
      <c r="W3" s="50" t="str">
        <f>MID(VLOOKUP($A3,Seqs!$A:$B,2,FALSE),VLOOKUP($A3,'SegEnds_NonXtal_Prot#'!A:AL,10,FALSE)+7,1)</f>
        <v>V</v>
      </c>
      <c r="X3" s="50" t="str">
        <f>MID(VLOOKUP($A3,Seqs!$A:$B,2,FALSE),VLOOKUP($A3,'SegEnds_NonXtal_Prot#'!A:AL,10,FALSE)+8,1)</f>
        <v>M</v>
      </c>
      <c r="Y3" s="50" t="str">
        <f>MID(VLOOKUP($A3,Seqs!$A:$B,2,FALSE),VLOOKUP($A3,'SegEnds_NonXtal_Prot#'!A:AL,10,FALSE)+9,1)</f>
        <v>P</v>
      </c>
      <c r="Z3" s="50" t="str">
        <f>MID(VLOOKUP($A3,Seqs!$A:$B,2,FALSE),VLOOKUP($A3,'SegEnds_NonXtal_Prot#'!A:AL,10,FALSE)+10,1)</f>
        <v>I</v>
      </c>
      <c r="AA3" s="28" t="str">
        <f>MID(VLOOKUP($A3,Seqs!$A:$B,2,FALSE),VLOOKUP($A3,'SegEnds_NonXtal_Prot#'!$A:$AL,22,FALSE)+6,1)</f>
        <v>I</v>
      </c>
      <c r="AB3" s="50" t="str">
        <f>MID(VLOOKUP($A3,Seqs!$A:$B,2,FALSE),VLOOKUP($A3,'SegEnds_NonXtal_Prot#'!$A:$AL,22,FALSE)+7,1)</f>
        <v>S</v>
      </c>
      <c r="AC3" s="50" t="str">
        <f>MID(VLOOKUP($A3,Seqs!$A:$B,2,FALSE),VLOOKUP($A3,'SegEnds_NonXtal_Prot#'!$A:$AL,22,FALSE)+8,1)</f>
        <v>L</v>
      </c>
      <c r="AD3" s="50" t="str">
        <f>MID(VLOOKUP($A3,Seqs!$A:$B,2,FALSE),VLOOKUP($A3,'SegEnds_NonXtal_Prot#'!$A:$AL,22,FALSE)+9,1)</f>
        <v>P</v>
      </c>
      <c r="AE3" s="50" t="str">
        <f>MID(VLOOKUP($A3,Seqs!$A:$B,2,FALSE),VLOOKUP($A3,'SegEnds_NonXtal_Prot#'!$A:$AL,22,FALSE)+10,1)</f>
        <v>P</v>
      </c>
      <c r="AF3" s="28" t="str">
        <f>MID(VLOOKUP($A3,Seqs!$A:$B,2,FALSE),VLOOKUP($A3,'SegEnds_NonXtal_Prot#'!$A:$AL,28,FALSE)-4,1)</f>
        <v>A</v>
      </c>
      <c r="AG3" s="50" t="str">
        <f>MID(VLOOKUP($A3,Seqs!$A:$B,2,FALSE),VLOOKUP($A3,'SegEnds_NonXtal_Prot#'!$A:$AL,28,FALSE),1)</f>
        <v>P</v>
      </c>
    </row>
    <row r="4" spans="1:33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F4" s="2" t="s">
        <v>5</v>
      </c>
      <c r="G4" s="4"/>
      <c r="Q4" s="2" t="s">
        <v>9</v>
      </c>
      <c r="S4" s="4" t="s">
        <v>12</v>
      </c>
      <c r="U4" s="28" t="str">
        <f>MID(VLOOKUP($A4,Seqs!$A:$B,2,FALSE),VLOOKUP($A4,'SegEnds_NonXtal_Prot#'!A:AL,10,FALSE),1)</f>
        <v>D</v>
      </c>
      <c r="V4" s="50" t="str">
        <f>MID(VLOOKUP($A4,Seqs!$A:$B,2,FALSE),VLOOKUP($A4,'SegEnds_NonXtal_Prot#'!A:AL,10,FALSE)+6,1)</f>
        <v>L</v>
      </c>
      <c r="W4" s="50" t="str">
        <f>MID(VLOOKUP($A4,Seqs!$A:$B,2,FALSE),VLOOKUP($A4,'SegEnds_NonXtal_Prot#'!A:AL,10,FALSE)+7,1)</f>
        <v>V</v>
      </c>
      <c r="X4" s="50" t="str">
        <f>MID(VLOOKUP($A4,Seqs!$A:$B,2,FALSE),VLOOKUP($A4,'SegEnds_NonXtal_Prot#'!A:AL,10,FALSE)+8,1)</f>
        <v>M</v>
      </c>
      <c r="Y4" s="50" t="str">
        <f>MID(VLOOKUP($A4,Seqs!$A:$B,2,FALSE),VLOOKUP($A4,'SegEnds_NonXtal_Prot#'!A:AL,10,FALSE)+9,1)</f>
        <v>P</v>
      </c>
      <c r="Z4" s="50" t="str">
        <f>MID(VLOOKUP($A4,Seqs!$A:$B,2,FALSE),VLOOKUP($A4,'SegEnds_NonXtal_Prot#'!A:AL,10,FALSE)+10,1)</f>
        <v>I</v>
      </c>
      <c r="AA4" s="28" t="str">
        <f>MID(VLOOKUP($A4,Seqs!$A:$B,2,FALSE),VLOOKUP($A4,'SegEnds_NonXtal_Prot#'!$A:$AL,22,FALSE)+6,1)</f>
        <v>I</v>
      </c>
      <c r="AB4" s="50" t="str">
        <f>MID(VLOOKUP($A4,Seqs!$A:$B,2,FALSE),VLOOKUP($A4,'SegEnds_NonXtal_Prot#'!$A:$AL,22,FALSE)+7,1)</f>
        <v>S</v>
      </c>
      <c r="AC4" s="50" t="str">
        <f>MID(VLOOKUP($A4,Seqs!$A:$B,2,FALSE),VLOOKUP($A4,'SegEnds_NonXtal_Prot#'!$A:$AL,22,FALSE)+8,1)</f>
        <v>I</v>
      </c>
      <c r="AD4" s="50" t="str">
        <f>MID(VLOOKUP($A4,Seqs!$A:$B,2,FALSE),VLOOKUP($A4,'SegEnds_NonXtal_Prot#'!$A:$AL,22,FALSE)+9,1)</f>
        <v>P</v>
      </c>
      <c r="AE4" s="50" t="str">
        <f>MID(VLOOKUP($A4,Seqs!$A:$B,2,FALSE),VLOOKUP($A4,'SegEnds_NonXtal_Prot#'!$A:$AL,22,FALSE)+10,1)</f>
        <v>P</v>
      </c>
      <c r="AF4" s="28" t="str">
        <f>MID(VLOOKUP($A4,Seqs!$A:$B,2,FALSE),VLOOKUP($A4,'SegEnds_NonXtal_Prot#'!$A:$AL,28,FALSE)-4,1)</f>
        <v>A</v>
      </c>
      <c r="AG4" s="50" t="str">
        <f>MID(VLOOKUP($A4,Seqs!$A:$B,2,FALSE),VLOOKUP($A4,'SegEnds_NonXtal_Prot#'!$A:$AL,28,FALSE),1)</f>
        <v>P</v>
      </c>
    </row>
    <row r="5" spans="1:33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F5" s="2" t="s">
        <v>5</v>
      </c>
      <c r="G5" s="4"/>
      <c r="Q5" s="2" t="s">
        <v>9</v>
      </c>
      <c r="S5" s="4" t="s">
        <v>12</v>
      </c>
      <c r="U5" s="28" t="str">
        <f>MID(VLOOKUP($A5,Seqs!$A:$B,2,FALSE),VLOOKUP($A5,'SegEnds_NonXtal_Prot#'!A:AL,10,FALSE),1)</f>
        <v>D</v>
      </c>
      <c r="V5" s="50" t="str">
        <f>MID(VLOOKUP($A5,Seqs!$A:$B,2,FALSE),VLOOKUP($A5,'SegEnds_NonXtal_Prot#'!A:AL,10,FALSE)+6,1)</f>
        <v>L</v>
      </c>
      <c r="W5" s="50" t="str">
        <f>MID(VLOOKUP($A5,Seqs!$A:$B,2,FALSE),VLOOKUP($A5,'SegEnds_NonXtal_Prot#'!A:AL,10,FALSE)+7,1)</f>
        <v>V</v>
      </c>
      <c r="X5" s="50" t="str">
        <f>MID(VLOOKUP($A5,Seqs!$A:$B,2,FALSE),VLOOKUP($A5,'SegEnds_NonXtal_Prot#'!A:AL,10,FALSE)+8,1)</f>
        <v>M</v>
      </c>
      <c r="Y5" s="50" t="str">
        <f>MID(VLOOKUP($A5,Seqs!$A:$B,2,FALSE),VLOOKUP($A5,'SegEnds_NonXtal_Prot#'!A:AL,10,FALSE)+9,1)</f>
        <v>P</v>
      </c>
      <c r="Z5" s="50" t="str">
        <f>MID(VLOOKUP($A5,Seqs!$A:$B,2,FALSE),VLOOKUP($A5,'SegEnds_NonXtal_Prot#'!A:AL,10,FALSE)+10,1)</f>
        <v>L</v>
      </c>
      <c r="AA5" s="28" t="str">
        <f>MID(VLOOKUP($A5,Seqs!$A:$B,2,FALSE),VLOOKUP($A5,'SegEnds_NonXtal_Prot#'!$A:$AL,22,FALSE)+6,1)</f>
        <v>I</v>
      </c>
      <c r="AB5" s="50" t="str">
        <f>MID(VLOOKUP($A5,Seqs!$A:$B,2,FALSE),VLOOKUP($A5,'SegEnds_NonXtal_Prot#'!$A:$AL,22,FALSE)+7,1)</f>
        <v>S</v>
      </c>
      <c r="AC5" s="50" t="str">
        <f>MID(VLOOKUP($A5,Seqs!$A:$B,2,FALSE),VLOOKUP($A5,'SegEnds_NonXtal_Prot#'!$A:$AL,22,FALSE)+8,1)</f>
        <v>M</v>
      </c>
      <c r="AD5" s="50" t="str">
        <f>MID(VLOOKUP($A5,Seqs!$A:$B,2,FALSE),VLOOKUP($A5,'SegEnds_NonXtal_Prot#'!$A:$AL,22,FALSE)+9,1)</f>
        <v>P</v>
      </c>
      <c r="AE5" s="50" t="str">
        <f>MID(VLOOKUP($A5,Seqs!$A:$B,2,FALSE),VLOOKUP($A5,'SegEnds_NonXtal_Prot#'!$A:$AL,22,FALSE)+10,1)</f>
        <v>P</v>
      </c>
      <c r="AF5" s="28" t="str">
        <f>MID(VLOOKUP($A5,Seqs!$A:$B,2,FALSE),VLOOKUP($A5,'SegEnds_NonXtal_Prot#'!$A:$AL,28,FALSE)-4,1)</f>
        <v>A</v>
      </c>
      <c r="AG5" s="50" t="str">
        <f>MID(VLOOKUP($A5,Seqs!$A:$B,2,FALSE),VLOOKUP($A5,'SegEnds_NonXtal_Prot#'!$A:$AL,28,FALSE),1)</f>
        <v>P</v>
      </c>
    </row>
    <row r="6" spans="1:33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F6" s="2" t="s">
        <v>5</v>
      </c>
      <c r="G6" s="4"/>
      <c r="Q6" s="2" t="s">
        <v>9</v>
      </c>
      <c r="S6" s="4" t="s">
        <v>12</v>
      </c>
      <c r="U6" s="28" t="str">
        <f>MID(VLOOKUP($A6,Seqs!$A:$B,2,FALSE),VLOOKUP($A6,'SegEnds_NonXtal_Prot#'!A:AL,10,FALSE),1)</f>
        <v>D</v>
      </c>
      <c r="V6" s="50" t="str">
        <f>MID(VLOOKUP($A6,Seqs!$A:$B,2,FALSE),VLOOKUP($A6,'SegEnds_NonXtal_Prot#'!A:AL,10,FALSE)+6,1)</f>
        <v>L</v>
      </c>
      <c r="W6" s="50" t="str">
        <f>MID(VLOOKUP($A6,Seqs!$A:$B,2,FALSE),VLOOKUP($A6,'SegEnds_NonXtal_Prot#'!A:AL,10,FALSE)+7,1)</f>
        <v>V</v>
      </c>
      <c r="X6" s="50" t="str">
        <f>MID(VLOOKUP($A6,Seqs!$A:$B,2,FALSE),VLOOKUP($A6,'SegEnds_NonXtal_Prot#'!A:AL,10,FALSE)+8,1)</f>
        <v>M</v>
      </c>
      <c r="Y6" s="50" t="str">
        <f>MID(VLOOKUP($A6,Seqs!$A:$B,2,FALSE),VLOOKUP($A6,'SegEnds_NonXtal_Prot#'!A:AL,10,FALSE)+9,1)</f>
        <v>P</v>
      </c>
      <c r="Z6" s="50" t="str">
        <f>MID(VLOOKUP($A6,Seqs!$A:$B,2,FALSE),VLOOKUP($A6,'SegEnds_NonXtal_Prot#'!A:AL,10,FALSE)+10,1)</f>
        <v>F</v>
      </c>
      <c r="AA6" s="28" t="str">
        <f>MID(VLOOKUP($A6,Seqs!$A:$B,2,FALSE),VLOOKUP($A6,'SegEnds_NonXtal_Prot#'!$A:$AL,22,FALSE)+6,1)</f>
        <v>I</v>
      </c>
      <c r="AB6" s="50" t="str">
        <f>MID(VLOOKUP($A6,Seqs!$A:$B,2,FALSE),VLOOKUP($A6,'SegEnds_NonXtal_Prot#'!$A:$AL,22,FALSE)+7,1)</f>
        <v>S</v>
      </c>
      <c r="AC6" s="50" t="str">
        <f>MID(VLOOKUP($A6,Seqs!$A:$B,2,FALSE),VLOOKUP($A6,'SegEnds_NonXtal_Prot#'!$A:$AL,22,FALSE)+8,1)</f>
        <v>M</v>
      </c>
      <c r="AD6" s="50" t="str">
        <f>MID(VLOOKUP($A6,Seqs!$A:$B,2,FALSE),VLOOKUP($A6,'SegEnds_NonXtal_Prot#'!$A:$AL,22,FALSE)+9,1)</f>
        <v>P</v>
      </c>
      <c r="AE6" s="50" t="str">
        <f>MID(VLOOKUP($A6,Seqs!$A:$B,2,FALSE),VLOOKUP($A6,'SegEnds_NonXtal_Prot#'!$A:$AL,22,FALSE)+10,1)</f>
        <v>P</v>
      </c>
      <c r="AF6" s="28" t="str">
        <f>MID(VLOOKUP($A6,Seqs!$A:$B,2,FALSE),VLOOKUP($A6,'SegEnds_NonXtal_Prot#'!$A:$AL,28,FALSE)-4,1)</f>
        <v>A</v>
      </c>
      <c r="AG6" s="50" t="str">
        <f>MID(VLOOKUP($A6,Seqs!$A:$B,2,FALSE),VLOOKUP($A6,'SegEnds_NonXtal_Prot#'!$A:$AL,28,FALSE),1)</f>
        <v>P</v>
      </c>
    </row>
    <row r="7" spans="1:33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F7" s="2" t="s">
        <v>5</v>
      </c>
      <c r="G7" s="4"/>
      <c r="Q7" s="2" t="s">
        <v>9</v>
      </c>
      <c r="S7" s="4" t="s">
        <v>12</v>
      </c>
      <c r="U7" s="28" t="str">
        <f>MID(VLOOKUP($A7,Seqs!$A:$B,2,FALSE),VLOOKUP($A7,'SegEnds_NonXtal_Prot#'!A:AL,10,FALSE),1)</f>
        <v>D</v>
      </c>
      <c r="V7" s="50" t="str">
        <f>MID(VLOOKUP($A7,Seqs!$A:$B,2,FALSE),VLOOKUP($A7,'SegEnds_NonXtal_Prot#'!A:AL,10,FALSE)+6,1)</f>
        <v>L</v>
      </c>
      <c r="W7" s="50" t="str">
        <f>MID(VLOOKUP($A7,Seqs!$A:$B,2,FALSE),VLOOKUP($A7,'SegEnds_NonXtal_Prot#'!A:AL,10,FALSE)+7,1)</f>
        <v>V</v>
      </c>
      <c r="X7" s="50" t="str">
        <f>MID(VLOOKUP($A7,Seqs!$A:$B,2,FALSE),VLOOKUP($A7,'SegEnds_NonXtal_Prot#'!A:AL,10,FALSE)+8,1)</f>
        <v>M</v>
      </c>
      <c r="Y7" s="50" t="str">
        <f>MID(VLOOKUP($A7,Seqs!$A:$B,2,FALSE),VLOOKUP($A7,'SegEnds_NonXtal_Prot#'!A:AL,10,FALSE)+9,1)</f>
        <v>P</v>
      </c>
      <c r="Z7" s="50" t="str">
        <f>MID(VLOOKUP($A7,Seqs!$A:$B,2,FALSE),VLOOKUP($A7,'SegEnds_NonXtal_Prot#'!A:AL,10,FALSE)+10,1)</f>
        <v>L</v>
      </c>
      <c r="AA7" s="28" t="str">
        <f>MID(VLOOKUP($A7,Seqs!$A:$B,2,FALSE),VLOOKUP($A7,'SegEnds_NonXtal_Prot#'!$A:$AL,22,FALSE)+6,1)</f>
        <v>I</v>
      </c>
      <c r="AB7" s="50" t="str">
        <f>MID(VLOOKUP($A7,Seqs!$A:$B,2,FALSE),VLOOKUP($A7,'SegEnds_NonXtal_Prot#'!$A:$AL,22,FALSE)+7,1)</f>
        <v>S</v>
      </c>
      <c r="AC7" s="50" t="str">
        <f>MID(VLOOKUP($A7,Seqs!$A:$B,2,FALSE),VLOOKUP($A7,'SegEnds_NonXtal_Prot#'!$A:$AL,22,FALSE)+8,1)</f>
        <v>L</v>
      </c>
      <c r="AD7" s="50" t="str">
        <f>MID(VLOOKUP($A7,Seqs!$A:$B,2,FALSE),VLOOKUP($A7,'SegEnds_NonXtal_Prot#'!$A:$AL,22,FALSE)+9,1)</f>
        <v>A</v>
      </c>
      <c r="AE7" s="50" t="str">
        <f>MID(VLOOKUP($A7,Seqs!$A:$B,2,FALSE),VLOOKUP($A7,'SegEnds_NonXtal_Prot#'!$A:$AL,22,FALSE)+10,1)</f>
        <v>P</v>
      </c>
      <c r="AF7" s="28" t="str">
        <f>MID(VLOOKUP($A7,Seqs!$A:$B,2,FALSE),VLOOKUP($A7,'SegEnds_NonXtal_Prot#'!$A:$AL,28,FALSE)-4,1)</f>
        <v>A</v>
      </c>
      <c r="AG7" s="50" t="str">
        <f>MID(VLOOKUP($A7,Seqs!$A:$B,2,FALSE),VLOOKUP($A7,'SegEnds_NonXtal_Prot#'!$A:$AL,28,FALSE),1)</f>
        <v>P</v>
      </c>
    </row>
    <row r="8" spans="1:33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F8" s="2" t="s">
        <v>5</v>
      </c>
      <c r="G8" s="4"/>
      <c r="Q8" s="2" t="s">
        <v>9</v>
      </c>
      <c r="S8" s="4" t="s">
        <v>12</v>
      </c>
      <c r="U8" s="28" t="str">
        <f>MID(VLOOKUP($A8,Seqs!$A:$B,2,FALSE),VLOOKUP($A8,'SegEnds_NonXtal_Prot#'!A:AL,10,FALSE),1)</f>
        <v>D</v>
      </c>
      <c r="V8" s="50" t="str">
        <f>MID(VLOOKUP($A8,Seqs!$A:$B,2,FALSE),VLOOKUP($A8,'SegEnds_NonXtal_Prot#'!A:AL,10,FALSE)+6,1)</f>
        <v>A</v>
      </c>
      <c r="W8" s="50" t="str">
        <f>MID(VLOOKUP($A8,Seqs!$A:$B,2,FALSE),VLOOKUP($A8,'SegEnds_NonXtal_Prot#'!A:AL,10,FALSE)+7,1)</f>
        <v>V</v>
      </c>
      <c r="X8" s="50" t="str">
        <f>MID(VLOOKUP($A8,Seqs!$A:$B,2,FALSE),VLOOKUP($A8,'SegEnds_NonXtal_Prot#'!A:AL,10,FALSE)+8,1)</f>
        <v>M</v>
      </c>
      <c r="Y8" s="50" t="str">
        <f>MID(VLOOKUP($A8,Seqs!$A:$B,2,FALSE),VLOOKUP($A8,'SegEnds_NonXtal_Prot#'!A:AL,10,FALSE)+9,1)</f>
        <v>P</v>
      </c>
      <c r="Z8" s="50" t="str">
        <f>MID(VLOOKUP($A8,Seqs!$A:$B,2,FALSE),VLOOKUP($A8,'SegEnds_NonXtal_Prot#'!A:AL,10,FALSE)+10,1)</f>
        <v>F</v>
      </c>
      <c r="AA8" s="28" t="str">
        <f>MID(VLOOKUP($A8,Seqs!$A:$B,2,FALSE),VLOOKUP($A8,'SegEnds_NonXtal_Prot#'!$A:$AL,22,FALSE)+6,1)</f>
        <v>I</v>
      </c>
      <c r="AB8" s="50" t="str">
        <f>MID(VLOOKUP($A8,Seqs!$A:$B,2,FALSE),VLOOKUP($A8,'SegEnds_NonXtal_Prot#'!$A:$AL,22,FALSE)+7,1)</f>
        <v>T</v>
      </c>
      <c r="AC8" s="50" t="str">
        <f>MID(VLOOKUP($A8,Seqs!$A:$B,2,FALSE),VLOOKUP($A8,'SegEnds_NonXtal_Prot#'!$A:$AL,22,FALSE)+8,1)</f>
        <v>L</v>
      </c>
      <c r="AD8" s="50" t="str">
        <f>MID(VLOOKUP($A8,Seqs!$A:$B,2,FALSE),VLOOKUP($A8,'SegEnds_NonXtal_Prot#'!$A:$AL,22,FALSE)+9,1)</f>
        <v>P</v>
      </c>
      <c r="AE8" s="50" t="str">
        <f>MID(VLOOKUP($A8,Seqs!$A:$B,2,FALSE),VLOOKUP($A8,'SegEnds_NonXtal_Prot#'!$A:$AL,22,FALSE)+10,1)</f>
        <v>P</v>
      </c>
      <c r="AF8" s="28" t="str">
        <f>MID(VLOOKUP($A8,Seqs!$A:$B,2,FALSE),VLOOKUP($A8,'SegEnds_NonXtal_Prot#'!$A:$AL,28,FALSE)-4,1)</f>
        <v>A</v>
      </c>
      <c r="AG8" s="50" t="str">
        <f>MID(VLOOKUP($A8,Seqs!$A:$B,2,FALSE),VLOOKUP($A8,'SegEnds_NonXtal_Prot#'!$A:$AL,28,FALSE),1)</f>
        <v>P</v>
      </c>
    </row>
    <row r="9" spans="1:33" s="2" customFormat="1" x14ac:dyDescent="0.2">
      <c r="A9" s="2" t="s">
        <v>152</v>
      </c>
      <c r="B9" s="2" t="str">
        <f>LOWER(VLOOKUP(A9,Xtal_Templ!A:B,2,FALSE))</f>
        <v>5ht1b_human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F9" s="2" t="s">
        <v>5</v>
      </c>
      <c r="G9" s="4"/>
      <c r="Q9" s="2" t="s">
        <v>9</v>
      </c>
      <c r="S9" s="4" t="s">
        <v>12</v>
      </c>
      <c r="U9" s="28" t="str">
        <f>MID(VLOOKUP($A9,Seqs!$A:$B,2,FALSE),VLOOKUP($A9,'SegEnds_NonXtal_Prot#'!A:AL,10,FALSE),1)</f>
        <v>D</v>
      </c>
      <c r="V9" s="50" t="str">
        <f>MID(VLOOKUP($A9,Seqs!$A:$B,2,FALSE),VLOOKUP($A9,'SegEnds_NonXtal_Prot#'!A:AL,10,FALSE)+6,1)</f>
        <v>T</v>
      </c>
      <c r="W9" s="50" t="str">
        <f>MID(VLOOKUP($A9,Seqs!$A:$B,2,FALSE),VLOOKUP($A9,'SegEnds_NonXtal_Prot#'!A:AL,10,FALSE)+7,1)</f>
        <v>V</v>
      </c>
      <c r="X9" s="50" t="str">
        <f>MID(VLOOKUP($A9,Seqs!$A:$B,2,FALSE),VLOOKUP($A9,'SegEnds_NonXtal_Prot#'!A:AL,10,FALSE)+8,1)</f>
        <v>L</v>
      </c>
      <c r="Y9" s="50" t="str">
        <f>MID(VLOOKUP($A9,Seqs!$A:$B,2,FALSE),VLOOKUP($A9,'SegEnds_NonXtal_Prot#'!A:AL,10,FALSE)+9,1)</f>
        <v>P</v>
      </c>
      <c r="Z9" s="50" t="str">
        <f>MID(VLOOKUP($A9,Seqs!$A:$B,2,FALSE),VLOOKUP($A9,'SegEnds_NonXtal_Prot#'!A:AL,10,FALSE)+10,1)</f>
        <v>F</v>
      </c>
      <c r="AA9" s="28" t="str">
        <f>MID(VLOOKUP($A9,Seqs!$A:$B,2,FALSE),VLOOKUP($A9,'SegEnds_NonXtal_Prot#'!$A:$AL,22,FALSE)+6,1)</f>
        <v>I</v>
      </c>
      <c r="AB9" s="50" t="str">
        <f>MID(VLOOKUP($A9,Seqs!$A:$B,2,FALSE),VLOOKUP($A9,'SegEnds_NonXtal_Prot#'!$A:$AL,22,FALSE)+7,1)</f>
        <v>S</v>
      </c>
      <c r="AC9" s="50" t="str">
        <f>MID(VLOOKUP($A9,Seqs!$A:$B,2,FALSE),VLOOKUP($A9,'SegEnds_NonXtal_Prot#'!$A:$AL,22,FALSE)+8,1)</f>
        <v>I</v>
      </c>
      <c r="AD9" s="50" t="str">
        <f>MID(VLOOKUP($A9,Seqs!$A:$B,2,FALSE),VLOOKUP($A9,'SegEnds_NonXtal_Prot#'!$A:$AL,22,FALSE)+9,1)</f>
        <v>G</v>
      </c>
      <c r="AE9" s="50" t="str">
        <f>MID(VLOOKUP($A9,Seqs!$A:$B,2,FALSE),VLOOKUP($A9,'SegEnds_NonXtal_Prot#'!$A:$AL,22,FALSE)+10,1)</f>
        <v>P</v>
      </c>
      <c r="AF9" s="28" t="str">
        <f>MID(VLOOKUP($A9,Seqs!$A:$B,2,FALSE),VLOOKUP($A9,'SegEnds_NonXtal_Prot#'!$A:$AL,28,FALSE)-4,1)</f>
        <v>S</v>
      </c>
      <c r="AG9" s="50" t="str">
        <f>MID(VLOOKUP($A9,Seqs!$A:$B,2,FALSE),VLOOKUP($A9,'SegEnds_NonXtal_Prot#'!$A:$AL,28,FALSE),1)</f>
        <v>P</v>
      </c>
    </row>
    <row r="10" spans="1:33" s="2" customFormat="1" x14ac:dyDescent="0.2">
      <c r="A10" s="2" t="s">
        <v>155</v>
      </c>
      <c r="B10" s="2" t="str">
        <f>LOWER(VLOOKUP(A10,Xtal_Templ!A:B,2,FALSE))</f>
        <v>drd3_human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F10" s="2" t="s">
        <v>5</v>
      </c>
      <c r="G10" s="4"/>
      <c r="Q10" s="2" t="s">
        <v>9</v>
      </c>
      <c r="S10" s="4" t="s">
        <v>12</v>
      </c>
      <c r="U10" s="28" t="str">
        <f>MID(VLOOKUP($A10,Seqs!$A:$B,2,FALSE),VLOOKUP($A10,'SegEnds_NonXtal_Prot#'!A:AL,10,FALSE),1)</f>
        <v>D</v>
      </c>
      <c r="V10" s="50" t="str">
        <f>MID(VLOOKUP($A10,Seqs!$A:$B,2,FALSE),VLOOKUP($A10,'SegEnds_NonXtal_Prot#'!A:AL,10,FALSE)+6,1)</f>
        <v>L</v>
      </c>
      <c r="W10" s="50" t="str">
        <f>MID(VLOOKUP($A10,Seqs!$A:$B,2,FALSE),VLOOKUP($A10,'SegEnds_NonXtal_Prot#'!A:AL,10,FALSE)+7,1)</f>
        <v>V</v>
      </c>
      <c r="X10" s="50" t="str">
        <f>MID(VLOOKUP($A10,Seqs!$A:$B,2,FALSE),VLOOKUP($A10,'SegEnds_NonXtal_Prot#'!A:AL,10,FALSE)+8,1)</f>
        <v>I</v>
      </c>
      <c r="Y10" s="50" t="str">
        <f>MID(VLOOKUP($A10,Seqs!$A:$B,2,FALSE),VLOOKUP($A10,'SegEnds_NonXtal_Prot#'!A:AL,10,FALSE)+9,1)</f>
        <v>P</v>
      </c>
      <c r="Z10" s="50" t="str">
        <f>MID(VLOOKUP($A10,Seqs!$A:$B,2,FALSE),VLOOKUP($A10,'SegEnds_NonXtal_Prot#'!A:AL,10,FALSE)+10,1)</f>
        <v>F</v>
      </c>
      <c r="AA10" s="28" t="str">
        <f>MID(VLOOKUP($A10,Seqs!$A:$B,2,FALSE),VLOOKUP($A10,'SegEnds_NonXtal_Prot#'!$A:$AL,22,FALSE)+6,1)</f>
        <v>I</v>
      </c>
      <c r="AB10" s="50" t="str">
        <f>MID(VLOOKUP($A10,Seqs!$A:$B,2,FALSE),VLOOKUP($A10,'SegEnds_NonXtal_Prot#'!$A:$AL,22,FALSE)+7,1)</f>
        <v>S</v>
      </c>
      <c r="AC10" s="50" t="str">
        <f>MID(VLOOKUP($A10,Seqs!$A:$B,2,FALSE),VLOOKUP($A10,'SegEnds_NonXtal_Prot#'!$A:$AL,22,FALSE)+8,1)</f>
        <v>F</v>
      </c>
      <c r="AD10" s="50" t="str">
        <f>MID(VLOOKUP($A10,Seqs!$A:$B,2,FALSE),VLOOKUP($A10,'SegEnds_NonXtal_Prot#'!$A:$AL,22,FALSE)+9,1)</f>
        <v>P</v>
      </c>
      <c r="AE10" s="50" t="str">
        <f>MID(VLOOKUP($A10,Seqs!$A:$B,2,FALSE),VLOOKUP($A10,'SegEnds_NonXtal_Prot#'!$A:$AL,22,FALSE)+10,1)</f>
        <v>P</v>
      </c>
      <c r="AF10" s="28" t="str">
        <f>MID(VLOOKUP($A10,Seqs!$A:$B,2,FALSE),VLOOKUP($A10,'SegEnds_NonXtal_Prot#'!$A:$AL,28,FALSE)-4,1)</f>
        <v>S</v>
      </c>
      <c r="AG10" s="50" t="str">
        <f>MID(VLOOKUP($A10,Seqs!$A:$B,2,FALSE),VLOOKUP($A10,'SegEnds_NonXtal_Prot#'!$A:$AL,28,FALSE),1)</f>
        <v>P</v>
      </c>
    </row>
    <row r="11" spans="1:33" s="2" customFormat="1" x14ac:dyDescent="0.2">
      <c r="A11" s="2" t="s">
        <v>157</v>
      </c>
      <c r="B11" s="2" t="str">
        <f>LOWER(VLOOKUP(A11,Xtal_Templ!A:B,2,FALSE))</f>
        <v>drd3_human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F11" s="2" t="s">
        <v>5</v>
      </c>
      <c r="G11" s="4"/>
      <c r="Q11" s="2" t="s">
        <v>9</v>
      </c>
      <c r="S11" s="4" t="s">
        <v>12</v>
      </c>
      <c r="U11" s="28" t="str">
        <f>MID(VLOOKUP($A11,Seqs!$A:$B,2,FALSE),VLOOKUP($A11,'SegEnds_NonXtal_Prot#'!A:AL,10,FALSE),1)</f>
        <v>D</v>
      </c>
      <c r="V11" s="50" t="str">
        <f>MID(VLOOKUP($A11,Seqs!$A:$B,2,FALSE),VLOOKUP($A11,'SegEnds_NonXtal_Prot#'!A:AL,10,FALSE)+6,1)</f>
        <v>L</v>
      </c>
      <c r="W11" s="50" t="str">
        <f>MID(VLOOKUP($A11,Seqs!$A:$B,2,FALSE),VLOOKUP($A11,'SegEnds_NonXtal_Prot#'!A:AL,10,FALSE)+7,1)</f>
        <v>V</v>
      </c>
      <c r="X11" s="50" t="str">
        <f>MID(VLOOKUP($A11,Seqs!$A:$B,2,FALSE),VLOOKUP($A11,'SegEnds_NonXtal_Prot#'!A:AL,10,FALSE)+8,1)</f>
        <v>M</v>
      </c>
      <c r="Y11" s="50" t="str">
        <f>MID(VLOOKUP($A11,Seqs!$A:$B,2,FALSE),VLOOKUP($A11,'SegEnds_NonXtal_Prot#'!A:AL,10,FALSE)+9,1)</f>
        <v>P</v>
      </c>
      <c r="Z11" s="50" t="str">
        <f>MID(VLOOKUP($A11,Seqs!$A:$B,2,FALSE),VLOOKUP($A11,'SegEnds_NonXtal_Prot#'!A:AL,10,FALSE)+10,1)</f>
        <v>F</v>
      </c>
      <c r="AA11" s="28" t="str">
        <f>MID(VLOOKUP($A11,Seqs!$A:$B,2,FALSE),VLOOKUP($A11,'SegEnds_NonXtal_Prot#'!$A:$AL,22,FALSE)+6,1)</f>
        <v>I</v>
      </c>
      <c r="AB11" s="50" t="str">
        <f>MID(VLOOKUP($A11,Seqs!$A:$B,2,FALSE),VLOOKUP($A11,'SegEnds_NonXtal_Prot#'!$A:$AL,22,FALSE)+7,1)</f>
        <v>S</v>
      </c>
      <c r="AC11" s="50" t="str">
        <f>MID(VLOOKUP($A11,Seqs!$A:$B,2,FALSE),VLOOKUP($A11,'SegEnds_NonXtal_Prot#'!$A:$AL,22,FALSE)+8,1)</f>
        <v>F</v>
      </c>
      <c r="AD11" s="50" t="str">
        <f>MID(VLOOKUP($A11,Seqs!$A:$B,2,FALSE),VLOOKUP($A11,'SegEnds_NonXtal_Prot#'!$A:$AL,22,FALSE)+9,1)</f>
        <v>P</v>
      </c>
      <c r="AE11" s="50" t="str">
        <f>MID(VLOOKUP($A11,Seqs!$A:$B,2,FALSE),VLOOKUP($A11,'SegEnds_NonXtal_Prot#'!$A:$AL,22,FALSE)+10,1)</f>
        <v>P</v>
      </c>
      <c r="AF11" s="28" t="str">
        <f>MID(VLOOKUP($A11,Seqs!$A:$B,2,FALSE),VLOOKUP($A11,'SegEnds_NonXtal_Prot#'!$A:$AL,28,FALSE)-4,1)</f>
        <v>S</v>
      </c>
      <c r="AG11" s="50" t="str">
        <f>MID(VLOOKUP($A11,Seqs!$A:$B,2,FALSE),VLOOKUP($A11,'SegEnds_NonXtal_Prot#'!$A:$AL,28,FALSE),1)</f>
        <v>P</v>
      </c>
    </row>
    <row r="12" spans="1:33" s="2" customFormat="1" x14ac:dyDescent="0.2">
      <c r="A12" s="2" t="s">
        <v>220</v>
      </c>
      <c r="B12" s="2" t="str">
        <f>LOWER(VLOOKUP(A12,Xtal_Templ!A:B,2,FALSE))</f>
        <v>5ht1b_human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G12" s="4"/>
      <c r="Q12" s="2" t="s">
        <v>9</v>
      </c>
      <c r="S12" s="4" t="s">
        <v>12</v>
      </c>
      <c r="U12" s="28" t="str">
        <f>MID(VLOOKUP($A12,Seqs!$A:$B,2,FALSE),VLOOKUP($A12,'SegEnds_NonXtal_Prot#'!A:AL,10,FALSE),1)</f>
        <v>D</v>
      </c>
      <c r="V12" s="50" t="str">
        <f>MID(VLOOKUP($A12,Seqs!$A:$B,2,FALSE),VLOOKUP($A12,'SegEnds_NonXtal_Prot#'!A:AL,10,FALSE)+6,1)</f>
        <v>L</v>
      </c>
      <c r="W12" s="50" t="str">
        <f>MID(VLOOKUP($A12,Seqs!$A:$B,2,FALSE),VLOOKUP($A12,'SegEnds_NonXtal_Prot#'!A:AL,10,FALSE)+7,1)</f>
        <v>H</v>
      </c>
      <c r="X12" s="50" t="str">
        <f>MID(VLOOKUP($A12,Seqs!$A:$B,2,FALSE),VLOOKUP($A12,'SegEnds_NonXtal_Prot#'!A:AL,10,FALSE)+8,1)</f>
        <v>M</v>
      </c>
      <c r="Y12" s="50" t="str">
        <f>MID(VLOOKUP($A12,Seqs!$A:$B,2,FALSE),VLOOKUP($A12,'SegEnds_NonXtal_Prot#'!A:AL,10,FALSE)+9,1)</f>
        <v>L</v>
      </c>
      <c r="Z12" s="50" t="str">
        <f>MID(VLOOKUP($A12,Seqs!$A:$B,2,FALSE),VLOOKUP($A12,'SegEnds_NonXtal_Prot#'!A:AL,10,FALSE)+10,1)</f>
        <v>I</v>
      </c>
      <c r="AA12" s="28" t="str">
        <f>MID(VLOOKUP($A12,Seqs!$A:$B,2,FALSE),VLOOKUP($A12,'SegEnds_NonXtal_Prot#'!$A:$AL,22,FALSE)+6,1)</f>
        <v>F</v>
      </c>
      <c r="AB12" s="50" t="str">
        <f>MID(VLOOKUP($A12,Seqs!$A:$B,2,FALSE),VLOOKUP($A12,'SegEnds_NonXtal_Prot#'!$A:$AL,22,FALSE)+7,1)</f>
        <v>P</v>
      </c>
      <c r="AC12" s="50" t="str">
        <f>MID(VLOOKUP($A12,Seqs!$A:$B,2,FALSE),VLOOKUP($A12,'SegEnds_NonXtal_Prot#'!$A:$AL,22,FALSE)+8,1)</f>
        <v>T</v>
      </c>
      <c r="AD12" s="50" t="str">
        <f>MID(VLOOKUP($A12,Seqs!$A:$B,2,FALSE),VLOOKUP($A12,'SegEnds_NonXtal_Prot#'!$A:$AL,22,FALSE)+9,1)</f>
        <v>F</v>
      </c>
      <c r="AE12" s="50" t="str">
        <f>MID(VLOOKUP($A12,Seqs!$A:$B,2,FALSE),VLOOKUP($A12,'SegEnds_NonXtal_Prot#'!$A:$AL,22,FALSE)+10,1)</f>
        <v>L</v>
      </c>
      <c r="AF12" s="28" t="str">
        <f>MID(VLOOKUP($A12,Seqs!$A:$B,2,FALSE),VLOOKUP($A12,'SegEnds_NonXtal_Prot#'!$A:$AL,28,FALSE)-4,1)</f>
        <v>M</v>
      </c>
      <c r="AG12" s="50" t="str">
        <f>MID(VLOOKUP($A12,Seqs!$A:$B,2,FALSE),VLOOKUP($A12,'SegEnds_NonXtal_Prot#'!$A:$AL,28,FALSE),1)</f>
        <v>P</v>
      </c>
    </row>
    <row r="13" spans="1:33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F13" s="2" t="s">
        <v>5</v>
      </c>
      <c r="G13" s="4"/>
      <c r="Q13" s="2" t="s">
        <v>9</v>
      </c>
      <c r="S13" s="4" t="s">
        <v>12</v>
      </c>
      <c r="U13" s="28" t="str">
        <f>MID(VLOOKUP($A13,Seqs!$A:$B,2,FALSE),VLOOKUP($A13,'SegEnds_NonXtal_Prot#'!A:AL,10,FALSE),1)</f>
        <v>N</v>
      </c>
      <c r="V13" s="50" t="str">
        <f>MID(VLOOKUP($A13,Seqs!$A:$B,2,FALSE),VLOOKUP($A13,'SegEnds_NonXtal_Prot#'!A:AL,10,FALSE)+6,1)</f>
        <v>L</v>
      </c>
      <c r="W13" s="50" t="str">
        <f>MID(VLOOKUP($A13,Seqs!$A:$B,2,FALSE),VLOOKUP($A13,'SegEnds_NonXtal_Prot#'!A:AL,10,FALSE)+7,1)</f>
        <v>V</v>
      </c>
      <c r="X13" s="50" t="str">
        <f>MID(VLOOKUP($A13,Seqs!$A:$B,2,FALSE),VLOOKUP($A13,'SegEnds_NonXtal_Prot#'!A:AL,10,FALSE)+8,1)</f>
        <v>L</v>
      </c>
      <c r="Y13" s="50" t="str">
        <f>MID(VLOOKUP($A13,Seqs!$A:$B,2,FALSE),VLOOKUP($A13,'SegEnds_NonXtal_Prot#'!A:AL,10,FALSE)+9,1)</f>
        <v>P</v>
      </c>
      <c r="Z13" s="50" t="str">
        <f>MID(VLOOKUP($A13,Seqs!$A:$B,2,FALSE),VLOOKUP($A13,'SegEnds_NonXtal_Prot#'!A:AL,10,FALSE)+10,1)</f>
        <v>F</v>
      </c>
      <c r="AA13" s="28" t="str">
        <f>MID(VLOOKUP($A13,Seqs!$A:$B,2,FALSE),VLOOKUP($A13,'SegEnds_NonXtal_Prot#'!$A:$AL,22,FALSE)+6,1)</f>
        <v>G</v>
      </c>
      <c r="AB13" s="50" t="str">
        <f>MID(VLOOKUP($A13,Seqs!$A:$B,2,FALSE),VLOOKUP($A13,'SegEnds_NonXtal_Prot#'!$A:$AL,22,FALSE)+7,1)</f>
        <v>C</v>
      </c>
      <c r="AC13" s="50" t="str">
        <f>MID(VLOOKUP($A13,Seqs!$A:$B,2,FALSE),VLOOKUP($A13,'SegEnds_NonXtal_Prot#'!$A:$AL,22,FALSE)+8,1)</f>
        <v>L</v>
      </c>
      <c r="AD13" s="50" t="str">
        <f>MID(VLOOKUP($A13,Seqs!$A:$B,2,FALSE),VLOOKUP($A13,'SegEnds_NonXtal_Prot#'!$A:$AL,22,FALSE)+9,1)</f>
        <v>P</v>
      </c>
      <c r="AE13" s="50" t="str">
        <f>MID(VLOOKUP($A13,Seqs!$A:$B,2,FALSE),VLOOKUP($A13,'SegEnds_NonXtal_Prot#'!$A:$AL,22,FALSE)+10,1)</f>
        <v>P</v>
      </c>
      <c r="AF13" s="28" t="str">
        <f>MID(VLOOKUP($A13,Seqs!$A:$B,2,FALSE),VLOOKUP($A13,'SegEnds_NonXtal_Prot#'!$A:$AL,28,FALSE)-4,1)</f>
        <v>C</v>
      </c>
      <c r="AG13" s="50" t="str">
        <f>MID(VLOOKUP($A13,Seqs!$A:$B,2,FALSE),VLOOKUP($A13,'SegEnds_NonXtal_Prot#'!$A:$AL,28,FALSE),1)</f>
        <v>P</v>
      </c>
    </row>
    <row r="14" spans="1:33" s="2" customFormat="1" x14ac:dyDescent="0.2">
      <c r="A14" s="2" t="s">
        <v>265</v>
      </c>
      <c r="B14" s="2" t="str">
        <f>LOWER(VLOOKUP(A14,Xtal_Templ!A:B,2,FALSE))</f>
        <v>5ht2b_human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F14" s="2" t="s">
        <v>5</v>
      </c>
      <c r="G14" s="4"/>
      <c r="M14" s="2" t="s">
        <v>14</v>
      </c>
      <c r="Q14" s="2" t="s">
        <v>9</v>
      </c>
      <c r="S14" s="4" t="s">
        <v>12</v>
      </c>
      <c r="U14" s="28" t="str">
        <f>MID(VLOOKUP($A14,Seqs!$A:$B,2,FALSE),VLOOKUP($A14,'SegEnds_NonXtal_Prot#'!A:AL,10,FALSE),1)</f>
        <v>D</v>
      </c>
      <c r="V14" s="50" t="str">
        <f>MID(VLOOKUP($A14,Seqs!$A:$B,2,FALSE),VLOOKUP($A14,'SegEnds_NonXtal_Prot#'!A:AL,10,FALSE)+6,1)</f>
        <v>L</v>
      </c>
      <c r="W14" s="50" t="str">
        <f>MID(VLOOKUP($A14,Seqs!$A:$B,2,FALSE),VLOOKUP($A14,'SegEnds_NonXtal_Prot#'!A:AL,10,FALSE)+7,1)</f>
        <v>N</v>
      </c>
      <c r="X14" s="50" t="str">
        <f>MID(VLOOKUP($A14,Seqs!$A:$B,2,FALSE),VLOOKUP($A14,'SegEnds_NonXtal_Prot#'!A:AL,10,FALSE)+8,1)</f>
        <v>M</v>
      </c>
      <c r="Y14" s="50" t="str">
        <f>MID(VLOOKUP($A14,Seqs!$A:$B,2,FALSE),VLOOKUP($A14,'SegEnds_NonXtal_Prot#'!A:AL,10,FALSE)+9,1)</f>
        <v>P</v>
      </c>
      <c r="Z14" s="50" t="str">
        <f>MID(VLOOKUP($A14,Seqs!$A:$B,2,FALSE),VLOOKUP($A14,'SegEnds_NonXtal_Prot#'!A:AL,10,FALSE)+10,1)</f>
        <v>F</v>
      </c>
      <c r="AA14" s="28" t="str">
        <f>MID(VLOOKUP($A14,Seqs!$A:$B,2,FALSE),VLOOKUP($A14,'SegEnds_NonXtal_Prot#'!$A:$AL,22,FALSE)+6,1)</f>
        <v>V</v>
      </c>
      <c r="AB14" s="50" t="str">
        <f>MID(VLOOKUP($A14,Seqs!$A:$B,2,FALSE),VLOOKUP($A14,'SegEnds_NonXtal_Prot#'!$A:$AL,22,FALSE)+7,1)</f>
        <v>A</v>
      </c>
      <c r="AC14" s="50" t="str">
        <f>MID(VLOOKUP($A14,Seqs!$A:$B,2,FALSE),VLOOKUP($A14,'SegEnds_NonXtal_Prot#'!$A:$AL,22,FALSE)+8,1)</f>
        <v>F</v>
      </c>
      <c r="AD14" s="50" t="str">
        <f>MID(VLOOKUP($A14,Seqs!$A:$B,2,FALSE),VLOOKUP($A14,'SegEnds_NonXtal_Prot#'!$A:$AL,22,FALSE)+9,1)</f>
        <v>P</v>
      </c>
      <c r="AE14" s="50" t="str">
        <f>MID(VLOOKUP($A14,Seqs!$A:$B,2,FALSE),VLOOKUP($A14,'SegEnds_NonXtal_Prot#'!$A:$AL,22,FALSE)+10,1)</f>
        <v>L</v>
      </c>
      <c r="AF14" s="28" t="str">
        <f>MID(VLOOKUP($A14,Seqs!$A:$B,2,FALSE),VLOOKUP($A14,'SegEnds_NonXtal_Prot#'!$A:$AL,28,FALSE)-4,1)</f>
        <v>S</v>
      </c>
      <c r="AG14" s="50" t="str">
        <f>MID(VLOOKUP($A14,Seqs!$A:$B,2,FALSE),VLOOKUP($A14,'SegEnds_NonXtal_Prot#'!$A:$AL,28,FALSE),1)</f>
        <v>P</v>
      </c>
    </row>
    <row r="15" spans="1:33" s="2" customFormat="1" x14ac:dyDescent="0.2">
      <c r="A15" s="2" t="s">
        <v>388</v>
      </c>
      <c r="B15" s="2" t="str">
        <f>LOWER(VLOOKUP(A15,Xtal_Templ!A:B,2,FALSE))</f>
        <v>adrb2_human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F15" s="2" t="s">
        <v>5</v>
      </c>
      <c r="G15" s="4"/>
      <c r="Q15" s="2" t="s">
        <v>9</v>
      </c>
      <c r="S15" s="4" t="s">
        <v>12</v>
      </c>
      <c r="U15" s="28" t="str">
        <f>MID(VLOOKUP($A15,Seqs!$A:$B,2,FALSE),VLOOKUP($A15,'SegEnds_NonXtal_Prot#'!A:AL,10,FALSE),1)</f>
        <v>D</v>
      </c>
      <c r="V15" s="50" t="str">
        <f>MID(VLOOKUP($A15,Seqs!$A:$B,2,FALSE),VLOOKUP($A15,'SegEnds_NonXtal_Prot#'!A:AL,10,FALSE)+6,1)</f>
        <v>T</v>
      </c>
      <c r="W15" s="50" t="str">
        <f>MID(VLOOKUP($A15,Seqs!$A:$B,2,FALSE),VLOOKUP($A15,'SegEnds_NonXtal_Prot#'!A:AL,10,FALSE)+7,1)</f>
        <v>I</v>
      </c>
      <c r="X15" s="50" t="str">
        <f>MID(VLOOKUP($A15,Seqs!$A:$B,2,FALSE),VLOOKUP($A15,'SegEnds_NonXtal_Prot#'!A:AL,10,FALSE)+8,1)</f>
        <v>M</v>
      </c>
      <c r="Y15" s="50" t="str">
        <f>MID(VLOOKUP($A15,Seqs!$A:$B,2,FALSE),VLOOKUP($A15,'SegEnds_NonXtal_Prot#'!A:AL,10,FALSE)+9,1)</f>
        <v>P</v>
      </c>
      <c r="Z15" s="50" t="str">
        <f>MID(VLOOKUP($A15,Seqs!$A:$B,2,FALSE),VLOOKUP($A15,'SegEnds_NonXtal_Prot#'!A:AL,10,FALSE)+10,1)</f>
        <v>Y</v>
      </c>
      <c r="AA15" s="28" t="str">
        <f>MID(VLOOKUP($A15,Seqs!$A:$B,2,FALSE),VLOOKUP($A15,'SegEnds_NonXtal_Prot#'!$A:$AL,22,FALSE)+6,1)</f>
        <v>F</v>
      </c>
      <c r="AB15" s="50" t="str">
        <f>MID(VLOOKUP($A15,Seqs!$A:$B,2,FALSE),VLOOKUP($A15,'SegEnds_NonXtal_Prot#'!$A:$AL,22,FALSE)+7,1)</f>
        <v>A</v>
      </c>
      <c r="AC15" s="50" t="str">
        <f>MID(VLOOKUP($A15,Seqs!$A:$B,2,FALSE),VLOOKUP($A15,'SegEnds_NonXtal_Prot#'!$A:$AL,22,FALSE)+8,1)</f>
        <v>F</v>
      </c>
      <c r="AD15" s="50" t="str">
        <f>MID(VLOOKUP($A15,Seqs!$A:$B,2,FALSE),VLOOKUP($A15,'SegEnds_NonXtal_Prot#'!$A:$AL,22,FALSE)+9,1)</f>
        <v>G</v>
      </c>
      <c r="AE15" s="50" t="str">
        <f>MID(VLOOKUP($A15,Seqs!$A:$B,2,FALSE),VLOOKUP($A15,'SegEnds_NonXtal_Prot#'!$A:$AL,22,FALSE)+10,1)</f>
        <v>V</v>
      </c>
      <c r="AF15" s="28" t="str">
        <f>MID(VLOOKUP($A15,Seqs!$A:$B,2,FALSE),VLOOKUP($A15,'SegEnds_NonXtal_Prot#'!$A:$AL,28,FALSE)-4,1)</f>
        <v>G</v>
      </c>
      <c r="AG15" s="50" t="str">
        <f>MID(VLOOKUP($A15,Seqs!$A:$B,2,FALSE),VLOOKUP($A15,'SegEnds_NonXtal_Prot#'!$A:$AL,28,FALSE),1)</f>
        <v>P</v>
      </c>
    </row>
    <row r="16" spans="1:33" s="2" customFormat="1" x14ac:dyDescent="0.2">
      <c r="A16" s="2" t="s">
        <v>389</v>
      </c>
      <c r="B16" s="2" t="str">
        <f>LOWER(VLOOKUP(A16,Xtal_Templ!A:B,2,FALSE))</f>
        <v>adrb2_human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F16" s="2" t="s">
        <v>5</v>
      </c>
      <c r="G16" s="4"/>
      <c r="Q16" s="2" t="s">
        <v>9</v>
      </c>
      <c r="S16" s="4" t="s">
        <v>12</v>
      </c>
      <c r="U16" s="28" t="str">
        <f>MID(VLOOKUP($A16,Seqs!$A:$B,2,FALSE),VLOOKUP($A16,'SegEnds_NonXtal_Prot#'!A:AL,10,FALSE),1)</f>
        <v>D</v>
      </c>
      <c r="V16" s="50" t="str">
        <f>MID(VLOOKUP($A16,Seqs!$A:$B,2,FALSE),VLOOKUP($A16,'SegEnds_NonXtal_Prot#'!A:AL,10,FALSE)+6,1)</f>
        <v>V</v>
      </c>
      <c r="W16" s="50" t="str">
        <f>MID(VLOOKUP($A16,Seqs!$A:$B,2,FALSE),VLOOKUP($A16,'SegEnds_NonXtal_Prot#'!A:AL,10,FALSE)+7,1)</f>
        <v>I</v>
      </c>
      <c r="X16" s="50" t="str">
        <f>MID(VLOOKUP($A16,Seqs!$A:$B,2,FALSE),VLOOKUP($A16,'SegEnds_NonXtal_Prot#'!A:AL,10,FALSE)+8,1)</f>
        <v>M</v>
      </c>
      <c r="Y16" s="50" t="str">
        <f>MID(VLOOKUP($A16,Seqs!$A:$B,2,FALSE),VLOOKUP($A16,'SegEnds_NonXtal_Prot#'!A:AL,10,FALSE)+9,1)</f>
        <v>P</v>
      </c>
      <c r="Z16" s="50" t="str">
        <f>MID(VLOOKUP($A16,Seqs!$A:$B,2,FALSE),VLOOKUP($A16,'SegEnds_NonXtal_Prot#'!A:AL,10,FALSE)+10,1)</f>
        <v>Y</v>
      </c>
      <c r="AA16" s="28" t="str">
        <f>MID(VLOOKUP($A16,Seqs!$A:$B,2,FALSE),VLOOKUP($A16,'SegEnds_NonXtal_Prot#'!$A:$AL,22,FALSE)+6,1)</f>
        <v>F</v>
      </c>
      <c r="AB16" s="50" t="str">
        <f>MID(VLOOKUP($A16,Seqs!$A:$B,2,FALSE),VLOOKUP($A16,'SegEnds_NonXtal_Prot#'!$A:$AL,22,FALSE)+7,1)</f>
        <v>S</v>
      </c>
      <c r="AC16" s="50" t="str">
        <f>MID(VLOOKUP($A16,Seqs!$A:$B,2,FALSE),VLOOKUP($A16,'SegEnds_NonXtal_Prot#'!$A:$AL,22,FALSE)+8,1)</f>
        <v>F</v>
      </c>
      <c r="AD16" s="50" t="str">
        <f>MID(VLOOKUP($A16,Seqs!$A:$B,2,FALSE),VLOOKUP($A16,'SegEnds_NonXtal_Prot#'!$A:$AL,22,FALSE)+9,1)</f>
        <v>G</v>
      </c>
      <c r="AE16" s="50" t="str">
        <f>MID(VLOOKUP($A16,Seqs!$A:$B,2,FALSE),VLOOKUP($A16,'SegEnds_NonXtal_Prot#'!$A:$AL,22,FALSE)+10,1)</f>
        <v>L</v>
      </c>
      <c r="AF16" s="28" t="str">
        <f>MID(VLOOKUP($A16,Seqs!$A:$B,2,FALSE),VLOOKUP($A16,'SegEnds_NonXtal_Prot#'!$A:$AL,28,FALSE)-4,1)</f>
        <v>C</v>
      </c>
      <c r="AG16" s="50" t="str">
        <f>MID(VLOOKUP($A16,Seqs!$A:$B,2,FALSE),VLOOKUP($A16,'SegEnds_NonXtal_Prot#'!$A:$AL,28,FALSE),1)</f>
        <v>P</v>
      </c>
    </row>
    <row r="17" spans="1:33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F17" s="2" t="s">
        <v>5</v>
      </c>
      <c r="G17" s="4"/>
      <c r="Q17" s="2" t="s">
        <v>9</v>
      </c>
      <c r="S17" s="4" t="s">
        <v>12</v>
      </c>
      <c r="U17" s="28" t="str">
        <f>MID(VLOOKUP($A17,Seqs!$A:$B,2,FALSE),VLOOKUP($A17,'SegEnds_NonXtal_Prot#'!A:AL,10,FALSE),1)</f>
        <v>D</v>
      </c>
      <c r="V17" s="50" t="str">
        <f>MID(VLOOKUP($A17,Seqs!$A:$B,2,FALSE),VLOOKUP($A17,'SegEnds_NonXtal_Prot#'!A:AL,10,FALSE)+6,1)</f>
        <v>L</v>
      </c>
      <c r="W17" s="50" t="str">
        <f>MID(VLOOKUP($A17,Seqs!$A:$B,2,FALSE),VLOOKUP($A17,'SegEnds_NonXtal_Prot#'!A:AL,10,FALSE)+7,1)</f>
        <v>V</v>
      </c>
      <c r="X17" s="50" t="str">
        <f>MID(VLOOKUP($A17,Seqs!$A:$B,2,FALSE),VLOOKUP($A17,'SegEnds_NonXtal_Prot#'!A:AL,10,FALSE)+8,1)</f>
        <v>L</v>
      </c>
      <c r="Y17" s="50" t="str">
        <f>MID(VLOOKUP($A17,Seqs!$A:$B,2,FALSE),VLOOKUP($A17,'SegEnds_NonXtal_Prot#'!A:AL,10,FALSE)+9,1)</f>
        <v>P</v>
      </c>
      <c r="Z17" s="50" t="str">
        <f>MID(VLOOKUP($A17,Seqs!$A:$B,2,FALSE),VLOOKUP($A17,'SegEnds_NonXtal_Prot#'!A:AL,10,FALSE)+10,1)</f>
        <v>L</v>
      </c>
      <c r="AA17" s="28" t="str">
        <f>MID(VLOOKUP($A17,Seqs!$A:$B,2,FALSE),VLOOKUP($A17,'SegEnds_NonXtal_Prot#'!$A:$AL,22,FALSE)+6,1)</f>
        <v>Y</v>
      </c>
      <c r="AB17" s="50" t="str">
        <f>MID(VLOOKUP($A17,Seqs!$A:$B,2,FALSE),VLOOKUP($A17,'SegEnds_NonXtal_Prot#'!$A:$AL,22,FALSE)+7,1)</f>
        <v>T</v>
      </c>
      <c r="AC17" s="50" t="str">
        <f>MID(VLOOKUP($A17,Seqs!$A:$B,2,FALSE),VLOOKUP($A17,'SegEnds_NonXtal_Prot#'!$A:$AL,22,FALSE)+8,1)</f>
        <v>S</v>
      </c>
      <c r="AD17" s="50" t="str">
        <f>MID(VLOOKUP($A17,Seqs!$A:$B,2,FALSE),VLOOKUP($A17,'SegEnds_NonXtal_Prot#'!$A:$AL,22,FALSE)+9,1)</f>
        <v>L</v>
      </c>
      <c r="AE17" s="50" t="str">
        <f>MID(VLOOKUP($A17,Seqs!$A:$B,2,FALSE),VLOOKUP($A17,'SegEnds_NonXtal_Prot#'!$A:$AL,22,FALSE)+10,1)</f>
        <v>F</v>
      </c>
      <c r="AF17" s="28" t="str">
        <f>MID(VLOOKUP($A17,Seqs!$A:$B,2,FALSE),VLOOKUP($A17,'SegEnds_NonXtal_Prot#'!$A:$AL,28,FALSE)-4,1)</f>
        <v>L</v>
      </c>
      <c r="AG17" s="50" t="str">
        <f>MID(VLOOKUP($A17,Seqs!$A:$B,2,FALSE),VLOOKUP($A17,'SegEnds_NonXtal_Prot#'!$A:$AL,28,FALSE),1)</f>
        <v>P</v>
      </c>
    </row>
    <row r="18" spans="1:33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F18" s="2" t="s">
        <v>5</v>
      </c>
      <c r="G18" s="4"/>
      <c r="Q18" s="2" t="s">
        <v>9</v>
      </c>
      <c r="S18" s="4" t="s">
        <v>12</v>
      </c>
      <c r="U18" s="28" t="str">
        <f>MID(VLOOKUP($A18,Seqs!$A:$B,2,FALSE),VLOOKUP($A18,'SegEnds_NonXtal_Prot#'!A:AL,10,FALSE),1)</f>
        <v>D</v>
      </c>
      <c r="V18" s="50" t="str">
        <f>MID(VLOOKUP($A18,Seqs!$A:$B,2,FALSE),VLOOKUP($A18,'SegEnds_NonXtal_Prot#'!A:AL,10,FALSE)+6,1)</f>
        <v>T</v>
      </c>
      <c r="W18" s="50" t="str">
        <f>MID(VLOOKUP($A18,Seqs!$A:$B,2,FALSE),VLOOKUP($A18,'SegEnds_NonXtal_Prot#'!A:AL,10,FALSE)+7,1)</f>
        <v>V</v>
      </c>
      <c r="X18" s="50" t="str">
        <f>MID(VLOOKUP($A18,Seqs!$A:$B,2,FALSE),VLOOKUP($A18,'SegEnds_NonXtal_Prot#'!A:AL,10,FALSE)+8,1)</f>
        <v>M</v>
      </c>
      <c r="Y18" s="50" t="str">
        <f>MID(VLOOKUP($A18,Seqs!$A:$B,2,FALSE),VLOOKUP($A18,'SegEnds_NonXtal_Prot#'!A:AL,10,FALSE)+9,1)</f>
        <v>P</v>
      </c>
      <c r="Z18" s="50" t="str">
        <f>MID(VLOOKUP($A18,Seqs!$A:$B,2,FALSE),VLOOKUP($A18,'SegEnds_NonXtal_Prot#'!A:AL,10,FALSE)+10,1)</f>
        <v>F</v>
      </c>
      <c r="AA18" s="28" t="str">
        <f>MID(VLOOKUP($A18,Seqs!$A:$B,2,FALSE),VLOOKUP($A18,'SegEnds_NonXtal_Prot#'!$A:$AL,22,FALSE)+6,1)</f>
        <v>Y</v>
      </c>
      <c r="AB18" s="50" t="str">
        <f>MID(VLOOKUP($A18,Seqs!$A:$B,2,FALSE),VLOOKUP($A18,'SegEnds_NonXtal_Prot#'!$A:$AL,22,FALSE)+7,1)</f>
        <v>S</v>
      </c>
      <c r="AC18" s="50" t="str">
        <f>MID(VLOOKUP($A18,Seqs!$A:$B,2,FALSE),VLOOKUP($A18,'SegEnds_NonXtal_Prot#'!$A:$AL,22,FALSE)+8,1)</f>
        <v>G</v>
      </c>
      <c r="AD18" s="50" t="str">
        <f>MID(VLOOKUP($A18,Seqs!$A:$B,2,FALSE),VLOOKUP($A18,'SegEnds_NonXtal_Prot#'!$A:$AL,22,FALSE)+9,1)</f>
        <v>A</v>
      </c>
      <c r="AE18" s="50" t="str">
        <f>MID(VLOOKUP($A18,Seqs!$A:$B,2,FALSE),VLOOKUP($A18,'SegEnds_NonXtal_Prot#'!$A:$AL,22,FALSE)+10,1)</f>
        <v>V</v>
      </c>
      <c r="AF18" s="28" t="str">
        <f>MID(VLOOKUP($A18,Seqs!$A:$B,2,FALSE),VLOOKUP($A18,'SegEnds_NonXtal_Prot#'!$A:$AL,28,FALSE)-4,1)</f>
        <v>S</v>
      </c>
      <c r="AG18" s="50" t="str">
        <f>MID(VLOOKUP($A18,Seqs!$A:$B,2,FALSE),VLOOKUP($A18,'SegEnds_NonXtal_Prot#'!$A:$AL,28,FALSE),1)</f>
        <v>P</v>
      </c>
    </row>
    <row r="19" spans="1:33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G19" s="4"/>
      <c r="Q19" s="2" t="s">
        <v>9</v>
      </c>
      <c r="S19" s="4" t="s">
        <v>12</v>
      </c>
      <c r="U19" s="28" t="str">
        <f>MID(VLOOKUP($A19,Seqs!$A:$B,2,FALSE),VLOOKUP($A19,'SegEnds_NonXtal_Prot#'!A:AL,10,FALSE),1)</f>
        <v>D</v>
      </c>
      <c r="V19" s="50" t="str">
        <f>MID(VLOOKUP($A19,Seqs!$A:$B,2,FALSE),VLOOKUP($A19,'SegEnds_NonXtal_Prot#'!A:AL,10,FALSE)+6,1)</f>
        <v>T</v>
      </c>
      <c r="W19" s="50" t="str">
        <f>MID(VLOOKUP($A19,Seqs!$A:$B,2,FALSE),VLOOKUP($A19,'SegEnds_NonXtal_Prot#'!A:AL,10,FALSE)+7,1)</f>
        <v>V</v>
      </c>
      <c r="X19" s="50" t="str">
        <f>MID(VLOOKUP($A19,Seqs!$A:$B,2,FALSE),VLOOKUP($A19,'SegEnds_NonXtal_Prot#'!A:AL,10,FALSE)+8,1)</f>
        <v>M</v>
      </c>
      <c r="Y19" s="50" t="str">
        <f>MID(VLOOKUP($A19,Seqs!$A:$B,2,FALSE),VLOOKUP($A19,'SegEnds_NonXtal_Prot#'!A:AL,10,FALSE)+9,1)</f>
        <v>L</v>
      </c>
      <c r="Z19" s="50" t="str">
        <f>MID(VLOOKUP($A19,Seqs!$A:$B,2,FALSE),VLOOKUP($A19,'SegEnds_NonXtal_Prot#'!A:AL,10,FALSE)+10,1)</f>
        <v>F</v>
      </c>
      <c r="AA19" s="28" t="str">
        <f>MID(VLOOKUP($A19,Seqs!$A:$B,2,FALSE),VLOOKUP($A19,'SegEnds_NonXtal_Prot#'!$A:$AL,22,FALSE)+6,1)</f>
        <v>Y</v>
      </c>
      <c r="AB19" s="50" t="str">
        <f>MID(VLOOKUP($A19,Seqs!$A:$B,2,FALSE),VLOOKUP($A19,'SegEnds_NonXtal_Prot#'!$A:$AL,22,FALSE)+7,1)</f>
        <v>S</v>
      </c>
      <c r="AC19" s="50" t="str">
        <f>MID(VLOOKUP($A19,Seqs!$A:$B,2,FALSE),VLOOKUP($A19,'SegEnds_NonXtal_Prot#'!$A:$AL,22,FALSE)+8,1)</f>
        <v>G</v>
      </c>
      <c r="AD19" s="50" t="str">
        <f>MID(VLOOKUP($A19,Seqs!$A:$B,2,FALSE),VLOOKUP($A19,'SegEnds_NonXtal_Prot#'!$A:$AL,22,FALSE)+9,1)</f>
        <v>A</v>
      </c>
      <c r="AE19" s="50" t="str">
        <f>MID(VLOOKUP($A19,Seqs!$A:$B,2,FALSE),VLOOKUP($A19,'SegEnds_NonXtal_Prot#'!$A:$AL,22,FALSE)+10,1)</f>
        <v>V</v>
      </c>
      <c r="AF19" s="28" t="str">
        <f>MID(VLOOKUP($A19,Seqs!$A:$B,2,FALSE),VLOOKUP($A19,'SegEnds_NonXtal_Prot#'!$A:$AL,28,FALSE)-4,1)</f>
        <v>L</v>
      </c>
      <c r="AG19" s="50" t="str">
        <f>MID(VLOOKUP($A19,Seqs!$A:$B,2,FALSE),VLOOKUP($A19,'SegEnds_NonXtal_Prot#'!$A:$AL,28,FALSE),1)</f>
        <v>P</v>
      </c>
    </row>
    <row r="20" spans="1:33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F20" s="2" t="s">
        <v>5</v>
      </c>
      <c r="G20" s="4"/>
      <c r="Q20" s="2" t="s">
        <v>9</v>
      </c>
      <c r="S20" s="4" t="s">
        <v>12</v>
      </c>
      <c r="U20" s="28" t="str">
        <f>MID(VLOOKUP($A20,Seqs!$A:$B,2,FALSE),VLOOKUP($A20,'SegEnds_NonXtal_Prot#'!A:AL,10,FALSE),1)</f>
        <v>D</v>
      </c>
      <c r="V20" s="50" t="str">
        <f>MID(VLOOKUP($A20,Seqs!$A:$B,2,FALSE),VLOOKUP($A20,'SegEnds_NonXtal_Prot#'!A:AL,10,FALSE)+6,1)</f>
        <v>T</v>
      </c>
      <c r="W20" s="50" t="str">
        <f>MID(VLOOKUP($A20,Seqs!$A:$B,2,FALSE),VLOOKUP($A20,'SegEnds_NonXtal_Prot#'!A:AL,10,FALSE)+7,1)</f>
        <v>V</v>
      </c>
      <c r="X20" s="50" t="str">
        <f>MID(VLOOKUP($A20,Seqs!$A:$B,2,FALSE),VLOOKUP($A20,'SegEnds_NonXtal_Prot#'!A:AL,10,FALSE)+8,1)</f>
        <v>M</v>
      </c>
      <c r="Y20" s="50" t="str">
        <f>MID(VLOOKUP($A20,Seqs!$A:$B,2,FALSE),VLOOKUP($A20,'SegEnds_NonXtal_Prot#'!A:AL,10,FALSE)+9,1)</f>
        <v>P</v>
      </c>
      <c r="Z20" s="50" t="str">
        <f>MID(VLOOKUP($A20,Seqs!$A:$B,2,FALSE),VLOOKUP($A20,'SegEnds_NonXtal_Prot#'!A:AL,10,FALSE)+10,1)</f>
        <v>F</v>
      </c>
      <c r="AA20" s="28" t="str">
        <f>MID(VLOOKUP($A20,Seqs!$A:$B,2,FALSE),VLOOKUP($A20,'SegEnds_NonXtal_Prot#'!$A:$AL,22,FALSE)+6,1)</f>
        <v>Y</v>
      </c>
      <c r="AB20" s="50" t="str">
        <f>MID(VLOOKUP($A20,Seqs!$A:$B,2,FALSE),VLOOKUP($A20,'SegEnds_NonXtal_Prot#'!$A:$AL,22,FALSE)+7,1)</f>
        <v>S</v>
      </c>
      <c r="AC20" s="50" t="str">
        <f>MID(VLOOKUP($A20,Seqs!$A:$B,2,FALSE),VLOOKUP($A20,'SegEnds_NonXtal_Prot#'!$A:$AL,22,FALSE)+8,1)</f>
        <v>F</v>
      </c>
      <c r="AD20" s="50" t="str">
        <f>MID(VLOOKUP($A20,Seqs!$A:$B,2,FALSE),VLOOKUP($A20,'SegEnds_NonXtal_Prot#'!$A:$AL,22,FALSE)+9,1)</f>
        <v>S</v>
      </c>
      <c r="AE20" s="50" t="str">
        <f>MID(VLOOKUP($A20,Seqs!$A:$B,2,FALSE),VLOOKUP($A20,'SegEnds_NonXtal_Prot#'!$A:$AL,22,FALSE)+10,1)</f>
        <v>I</v>
      </c>
      <c r="AF20" s="28" t="str">
        <f>MID(VLOOKUP($A20,Seqs!$A:$B,2,FALSE),VLOOKUP($A20,'SegEnds_NonXtal_Prot#'!$A:$AL,28,FALSE)-4,1)</f>
        <v>L</v>
      </c>
      <c r="AG20" s="50" t="str">
        <f>MID(VLOOKUP($A20,Seqs!$A:$B,2,FALSE),VLOOKUP($A20,'SegEnds_NonXtal_Prot#'!$A:$AL,28,FALSE),1)</f>
        <v>P</v>
      </c>
    </row>
    <row r="21" spans="1:33" s="2" customFormat="1" x14ac:dyDescent="0.2">
      <c r="A21" s="2" t="s">
        <v>132</v>
      </c>
      <c r="B21" s="2" t="str">
        <f>LOWER(VLOOKUP(A21,Xtal_Templ!A:B,2,FALSE))</f>
        <v>5ht2b_human</v>
      </c>
      <c r="C21" s="2" t="str">
        <f>VLOOKUP(A21,Classification!A:D,2,FALSE)</f>
        <v>A</v>
      </c>
      <c r="D21" s="2" t="str">
        <f>IF(ISERROR(MATCH(A21,'SegEnds_Xtal_Prot#'!B:B, 0)), "NoXtal", "Xtal")</f>
        <v>NoXtal</v>
      </c>
      <c r="F21" s="2" t="s">
        <v>5</v>
      </c>
      <c r="G21" s="4"/>
      <c r="M21" s="2" t="s">
        <v>14</v>
      </c>
      <c r="Q21" s="2" t="s">
        <v>9</v>
      </c>
      <c r="S21" s="4" t="s">
        <v>12</v>
      </c>
      <c r="U21" s="28" t="str">
        <f>MID(VLOOKUP($A21,Seqs!$A:$B,2,FALSE),VLOOKUP($A21,'SegEnds_NonXtal_Prot#'!A:AL,10,FALSE),1)</f>
        <v>D</v>
      </c>
      <c r="V21" s="50" t="str">
        <f>MID(VLOOKUP($A21,Seqs!$A:$B,2,FALSE),VLOOKUP($A21,'SegEnds_NonXtal_Prot#'!A:AL,10,FALSE)+6,1)</f>
        <v>L</v>
      </c>
      <c r="W21" s="50" t="str">
        <f>MID(VLOOKUP($A21,Seqs!$A:$B,2,FALSE),VLOOKUP($A21,'SegEnds_NonXtal_Prot#'!A:AL,10,FALSE)+7,1)</f>
        <v>V</v>
      </c>
      <c r="X21" s="50" t="str">
        <f>MID(VLOOKUP($A21,Seqs!$A:$B,2,FALSE),VLOOKUP($A21,'SegEnds_NonXtal_Prot#'!A:AL,10,FALSE)+8,1)</f>
        <v>M</v>
      </c>
      <c r="Y21" s="50" t="str">
        <f>MID(VLOOKUP($A21,Seqs!$A:$B,2,FALSE),VLOOKUP($A21,'SegEnds_NonXtal_Prot#'!A:AL,10,FALSE)+9,1)</f>
        <v>P</v>
      </c>
      <c r="Z21" s="50" t="str">
        <f>MID(VLOOKUP($A21,Seqs!$A:$B,2,FALSE),VLOOKUP($A21,'SegEnds_NonXtal_Prot#'!A:AL,10,FALSE)+10,1)</f>
        <v>V</v>
      </c>
      <c r="AA21" s="28" t="str">
        <f>MID(VLOOKUP($A21,Seqs!$A:$B,2,FALSE),VLOOKUP($A21,'SegEnds_NonXtal_Prot#'!$A:$AL,22,FALSE)+6,1)</f>
        <v>I</v>
      </c>
      <c r="AB21" s="50" t="str">
        <f>MID(VLOOKUP($A21,Seqs!$A:$B,2,FALSE),VLOOKUP($A21,'SegEnds_NonXtal_Prot#'!$A:$AL,22,FALSE)+7,1)</f>
        <v>S</v>
      </c>
      <c r="AC21" s="50" t="str">
        <f>MID(VLOOKUP($A21,Seqs!$A:$B,2,FALSE),VLOOKUP($A21,'SegEnds_NonXtal_Prot#'!$A:$AL,22,FALSE)+8,1)</f>
        <v>M</v>
      </c>
      <c r="AD21" s="50" t="str">
        <f>MID(VLOOKUP($A21,Seqs!$A:$B,2,FALSE),VLOOKUP($A21,'SegEnds_NonXtal_Prot#'!$A:$AL,22,FALSE)+9,1)</f>
        <v>P</v>
      </c>
      <c r="AE21" s="50" t="str">
        <f>MID(VLOOKUP($A21,Seqs!$A:$B,2,FALSE),VLOOKUP($A21,'SegEnds_NonXtal_Prot#'!$A:$AL,22,FALSE)+10,1)</f>
        <v>I</v>
      </c>
      <c r="AF21" s="28" t="str">
        <f>MID(VLOOKUP($A21,Seqs!$A:$B,2,FALSE),VLOOKUP($A21,'SegEnds_NonXtal_Prot#'!$A:$AL,28,FALSE)-4,1)</f>
        <v>S</v>
      </c>
      <c r="AG21" s="50" t="str">
        <f>MID(VLOOKUP($A21,Seqs!$A:$B,2,FALSE),VLOOKUP($A21,'SegEnds_NonXtal_Prot#'!$A:$AL,28,FALSE),1)</f>
        <v>P</v>
      </c>
    </row>
    <row r="22" spans="1:33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E22" s="2" t="s">
        <v>13</v>
      </c>
      <c r="F22" s="2" t="s">
        <v>5</v>
      </c>
      <c r="G22" s="4"/>
      <c r="M22" s="2" t="s">
        <v>14</v>
      </c>
      <c r="Q22" s="2" t="s">
        <v>9</v>
      </c>
      <c r="S22" s="4" t="s">
        <v>12</v>
      </c>
      <c r="U22" s="28" t="str">
        <f>MID(VLOOKUP($A22,Seqs!$A:$B,2,FALSE),VLOOKUP($A22,'SegEnds_NonXtal_Prot#'!A:AL,10,FALSE),1)</f>
        <v>D</v>
      </c>
      <c r="V22" s="50" t="str">
        <f>MID(VLOOKUP($A22,Seqs!$A:$B,2,FALSE),VLOOKUP($A22,'SegEnds_NonXtal_Prot#'!A:AL,10,FALSE)+6,1)</f>
        <v>F</v>
      </c>
      <c r="W22" s="50" t="str">
        <f>MID(VLOOKUP($A22,Seqs!$A:$B,2,FALSE),VLOOKUP($A22,'SegEnds_NonXtal_Prot#'!A:AL,10,FALSE)+7,1)</f>
        <v>V</v>
      </c>
      <c r="X22" s="50" t="str">
        <f>MID(VLOOKUP($A22,Seqs!$A:$B,2,FALSE),VLOOKUP($A22,'SegEnds_NonXtal_Prot#'!A:AL,10,FALSE)+8,1)</f>
        <v>M</v>
      </c>
      <c r="Y22" s="50" t="str">
        <f>MID(VLOOKUP($A22,Seqs!$A:$B,2,FALSE),VLOOKUP($A22,'SegEnds_NonXtal_Prot#'!A:AL,10,FALSE)+9,1)</f>
        <v>P</v>
      </c>
      <c r="Z22" s="50" t="str">
        <f>MID(VLOOKUP($A22,Seqs!$A:$B,2,FALSE),VLOOKUP($A22,'SegEnds_NonXtal_Prot#'!A:AL,10,FALSE)+10,1)</f>
        <v>I</v>
      </c>
      <c r="AA22" s="28" t="str">
        <f>MID(VLOOKUP($A22,Seqs!$A:$B,2,FALSE),VLOOKUP($A22,'SegEnds_NonXtal_Prot#'!$A:$AL,22,FALSE)+6,1)</f>
        <v>I</v>
      </c>
      <c r="AB22" s="50" t="str">
        <f>MID(VLOOKUP($A22,Seqs!$A:$B,2,FALSE),VLOOKUP($A22,'SegEnds_NonXtal_Prot#'!$A:$AL,22,FALSE)+7,1)</f>
        <v>A</v>
      </c>
      <c r="AC22" s="50" t="str">
        <f>MID(VLOOKUP($A22,Seqs!$A:$B,2,FALSE),VLOOKUP($A22,'SegEnds_NonXtal_Prot#'!$A:$AL,22,FALSE)+8,1)</f>
        <v>I</v>
      </c>
      <c r="AD22" s="50" t="str">
        <f>MID(VLOOKUP($A22,Seqs!$A:$B,2,FALSE),VLOOKUP($A22,'SegEnds_NonXtal_Prot#'!$A:$AL,22,FALSE)+9,1)</f>
        <v>P</v>
      </c>
      <c r="AE22" s="50" t="str">
        <f>MID(VLOOKUP($A22,Seqs!$A:$B,2,FALSE),VLOOKUP($A22,'SegEnds_NonXtal_Prot#'!$A:$AL,22,FALSE)+10,1)</f>
        <v>V</v>
      </c>
      <c r="AF22" s="28" t="str">
        <f>MID(VLOOKUP($A22,Seqs!$A:$B,2,FALSE),VLOOKUP($A22,'SegEnds_NonXtal_Prot#'!$A:$AL,28,FALSE)-4,1)</f>
        <v>A</v>
      </c>
      <c r="AG22" s="50" t="str">
        <f>MID(VLOOKUP($A22,Seqs!$A:$B,2,FALSE),VLOOKUP($A22,'SegEnds_NonXtal_Prot#'!$A:$AL,28,FALSE),1)</f>
        <v>P</v>
      </c>
    </row>
    <row r="23" spans="1:33" s="2" customFormat="1" x14ac:dyDescent="0.2">
      <c r="A23" s="2" t="s">
        <v>133</v>
      </c>
      <c r="B23" s="2" t="str">
        <f>LOWER(VLOOKUP(A23,Xtal_Templ!A:B,2,FALSE))</f>
        <v>5ht2b_human</v>
      </c>
      <c r="C23" s="2" t="str">
        <f>VLOOKUP(A23,Classification!A:D,2,FALSE)</f>
        <v>A</v>
      </c>
      <c r="D23" s="2" t="str">
        <f>IF(ISERROR(MATCH(A23,'SegEnds_Xtal_Prot#'!B:B, 0)), "NoXtal", "Xtal")</f>
        <v>NoXtal</v>
      </c>
      <c r="F23" s="2" t="s">
        <v>5</v>
      </c>
      <c r="G23" s="4"/>
      <c r="M23" s="2" t="s">
        <v>14</v>
      </c>
      <c r="Q23" s="2" t="s">
        <v>9</v>
      </c>
      <c r="S23" s="4" t="s">
        <v>12</v>
      </c>
      <c r="U23" s="28" t="str">
        <f>MID(VLOOKUP($A23,Seqs!$A:$B,2,FALSE),VLOOKUP($A23,'SegEnds_NonXtal_Prot#'!A:AL,10,FALSE),1)</f>
        <v>D</v>
      </c>
      <c r="V23" s="50" t="str">
        <f>MID(VLOOKUP($A23,Seqs!$A:$B,2,FALSE),VLOOKUP($A23,'SegEnds_NonXtal_Prot#'!A:AL,10,FALSE)+6,1)</f>
        <v>L</v>
      </c>
      <c r="W23" s="50" t="str">
        <f>MID(VLOOKUP($A23,Seqs!$A:$B,2,FALSE),VLOOKUP($A23,'SegEnds_NonXtal_Prot#'!A:AL,10,FALSE)+7,1)</f>
        <v>V</v>
      </c>
      <c r="X23" s="50" t="str">
        <f>MID(VLOOKUP($A23,Seqs!$A:$B,2,FALSE),VLOOKUP($A23,'SegEnds_NonXtal_Prot#'!A:AL,10,FALSE)+8,1)</f>
        <v>M</v>
      </c>
      <c r="Y23" s="50" t="str">
        <f>MID(VLOOKUP($A23,Seqs!$A:$B,2,FALSE),VLOOKUP($A23,'SegEnds_NonXtal_Prot#'!A:AL,10,FALSE)+9,1)</f>
        <v>P</v>
      </c>
      <c r="Z23" s="50" t="str">
        <f>MID(VLOOKUP($A23,Seqs!$A:$B,2,FALSE),VLOOKUP($A23,'SegEnds_NonXtal_Prot#'!A:AL,10,FALSE)+10,1)</f>
        <v>L</v>
      </c>
      <c r="AA23" s="28" t="str">
        <f>MID(VLOOKUP($A23,Seqs!$A:$B,2,FALSE),VLOOKUP($A23,'SegEnds_NonXtal_Prot#'!$A:$AL,22,FALSE)+6,1)</f>
        <v>V</v>
      </c>
      <c r="AB23" s="50" t="str">
        <f>MID(VLOOKUP($A23,Seqs!$A:$B,2,FALSE),VLOOKUP($A23,'SegEnds_NonXtal_Prot#'!$A:$AL,22,FALSE)+7,1)</f>
        <v>S</v>
      </c>
      <c r="AC23" s="50" t="str">
        <f>MID(VLOOKUP($A23,Seqs!$A:$B,2,FALSE),VLOOKUP($A23,'SegEnds_NonXtal_Prot#'!$A:$AL,22,FALSE)+8,1)</f>
        <v>V</v>
      </c>
      <c r="AD23" s="50" t="str">
        <f>MID(VLOOKUP($A23,Seqs!$A:$B,2,FALSE),VLOOKUP($A23,'SegEnds_NonXtal_Prot#'!$A:$AL,22,FALSE)+9,1)</f>
        <v>P</v>
      </c>
      <c r="AE23" s="50" t="str">
        <f>MID(VLOOKUP($A23,Seqs!$A:$B,2,FALSE),VLOOKUP($A23,'SegEnds_NonXtal_Prot#'!$A:$AL,22,FALSE)+10,1)</f>
        <v>I</v>
      </c>
      <c r="AF23" s="28" t="str">
        <f>MID(VLOOKUP($A23,Seqs!$A:$B,2,FALSE),VLOOKUP($A23,'SegEnds_NonXtal_Prot#'!$A:$AL,28,FALSE)-4,1)</f>
        <v>A</v>
      </c>
      <c r="AG23" s="50" t="str">
        <f>MID(VLOOKUP($A23,Seqs!$A:$B,2,FALSE),VLOOKUP($A23,'SegEnds_NonXtal_Prot#'!$A:$AL,28,FALSE),1)</f>
        <v>P</v>
      </c>
    </row>
    <row r="24" spans="1:33" s="2" customFormat="1" x14ac:dyDescent="0.2">
      <c r="A24" s="2" t="s">
        <v>230</v>
      </c>
      <c r="B24" s="2" t="str">
        <f>LOWER(VLOOKUP(A24,Xtal_Templ!A:B,2,FALSE))</f>
        <v>ox1r_human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F24" s="2" t="s">
        <v>5</v>
      </c>
      <c r="G24" s="4"/>
      <c r="Q24" s="2" t="s">
        <v>9</v>
      </c>
      <c r="S24" s="4" t="s">
        <v>12</v>
      </c>
      <c r="U24" s="28" t="str">
        <f>MID(VLOOKUP($A24,Seqs!$A:$B,2,FALSE),VLOOKUP($A24,'SegEnds_NonXtal_Prot#'!A:AL,10,FALSE),1)</f>
        <v>D</v>
      </c>
      <c r="V24" s="50" t="str">
        <f>MID(VLOOKUP($A24,Seqs!$A:$B,2,FALSE),VLOOKUP($A24,'SegEnds_NonXtal_Prot#'!A:AL,10,FALSE)+6,1)</f>
        <v>V</v>
      </c>
      <c r="W24" s="50" t="str">
        <f>MID(VLOOKUP($A24,Seqs!$A:$B,2,FALSE),VLOOKUP($A24,'SegEnds_NonXtal_Prot#'!A:AL,10,FALSE)+7,1)</f>
        <v>C</v>
      </c>
      <c r="X24" s="50" t="str">
        <f>MID(VLOOKUP($A24,Seqs!$A:$B,2,FALSE),VLOOKUP($A24,'SegEnds_NonXtal_Prot#'!A:AL,10,FALSE)+8,1)</f>
        <v>F</v>
      </c>
      <c r="Y24" s="50" t="str">
        <f>MID(VLOOKUP($A24,Seqs!$A:$B,2,FALSE),VLOOKUP($A24,'SegEnds_NonXtal_Prot#'!A:AL,10,FALSE)+9,1)</f>
        <v>P</v>
      </c>
      <c r="Z24" s="50" t="str">
        <f>MID(VLOOKUP($A24,Seqs!$A:$B,2,FALSE),VLOOKUP($A24,'SegEnds_NonXtal_Prot#'!A:AL,10,FALSE)+10,1)</f>
        <v>F</v>
      </c>
      <c r="AA24" s="28" t="str">
        <f>MID(VLOOKUP($A24,Seqs!$A:$B,2,FALSE),VLOOKUP($A24,'SegEnds_NonXtal_Prot#'!$A:$AL,22,FALSE)+6,1)</f>
        <v>M</v>
      </c>
      <c r="AB24" s="50" t="str">
        <f>MID(VLOOKUP($A24,Seqs!$A:$B,2,FALSE),VLOOKUP($A24,'SegEnds_NonXtal_Prot#'!$A:$AL,22,FALSE)+7,1)</f>
        <v>A</v>
      </c>
      <c r="AC24" s="50" t="str">
        <f>MID(VLOOKUP($A24,Seqs!$A:$B,2,FALSE),VLOOKUP($A24,'SegEnds_NonXtal_Prot#'!$A:$AL,22,FALSE)+8,1)</f>
        <v>F</v>
      </c>
      <c r="AD24" s="50" t="str">
        <f>MID(VLOOKUP($A24,Seqs!$A:$B,2,FALSE),VLOOKUP($A24,'SegEnds_NonXtal_Prot#'!$A:$AL,22,FALSE)+9,1)</f>
        <v>P</v>
      </c>
      <c r="AE24" s="50" t="str">
        <f>MID(VLOOKUP($A24,Seqs!$A:$B,2,FALSE),VLOOKUP($A24,'SegEnds_NonXtal_Prot#'!$A:$AL,22,FALSE)+10,1)</f>
        <v>P</v>
      </c>
      <c r="AF24" s="28" t="str">
        <f>MID(VLOOKUP($A24,Seqs!$A:$B,2,FALSE),VLOOKUP($A24,'SegEnds_NonXtal_Prot#'!$A:$AL,28,FALSE)-4,1)</f>
        <v>T</v>
      </c>
      <c r="AG24" s="50" t="str">
        <f>MID(VLOOKUP($A24,Seqs!$A:$B,2,FALSE),VLOOKUP($A24,'SegEnds_NonXtal_Prot#'!$A:$AL,28,FALSE),1)</f>
        <v>P</v>
      </c>
    </row>
    <row r="25" spans="1:33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F25" s="2" t="s">
        <v>5</v>
      </c>
      <c r="G25" s="4"/>
      <c r="S25" s="4" t="s">
        <v>12</v>
      </c>
      <c r="U25" s="28" t="str">
        <f>MID(VLOOKUP($A25,Seqs!$A:$B,2,FALSE),VLOOKUP($A25,'SegEnds_NonXtal_Prot#'!A:AL,10,FALSE),1)</f>
        <v>D</v>
      </c>
      <c r="V25" s="50" t="str">
        <f>MID(VLOOKUP($A25,Seqs!$A:$B,2,FALSE),VLOOKUP($A25,'SegEnds_NonXtal_Prot#'!A:AL,10,FALSE)+6,1)</f>
        <v>A</v>
      </c>
      <c r="W25" s="50" t="str">
        <f>MID(VLOOKUP($A25,Seqs!$A:$B,2,FALSE),VLOOKUP($A25,'SegEnds_NonXtal_Prot#'!A:AL,10,FALSE)+7,1)</f>
        <v>C</v>
      </c>
      <c r="X25" s="50" t="str">
        <f>MID(VLOOKUP($A25,Seqs!$A:$B,2,FALSE),VLOOKUP($A25,'SegEnds_NonXtal_Prot#'!A:AL,10,FALSE)+8,1)</f>
        <v>L</v>
      </c>
      <c r="Y25" s="50" t="str">
        <f>MID(VLOOKUP($A25,Seqs!$A:$B,2,FALSE),VLOOKUP($A25,'SegEnds_NonXtal_Prot#'!A:AL,10,FALSE)+9,1)</f>
        <v>P</v>
      </c>
      <c r="Z25" s="50" t="str">
        <f>MID(VLOOKUP($A25,Seqs!$A:$B,2,FALSE),VLOOKUP($A25,'SegEnds_NonXtal_Prot#'!A:AL,10,FALSE)+10,1)</f>
        <v>A</v>
      </c>
      <c r="AA25" s="28" t="str">
        <f>MID(VLOOKUP($A25,Seqs!$A:$B,2,FALSE),VLOOKUP($A25,'SegEnds_NonXtal_Prot#'!$A:$AL,22,FALSE)+6,1)</f>
        <v>A</v>
      </c>
      <c r="AB25" s="50" t="str">
        <f>MID(VLOOKUP($A25,Seqs!$A:$B,2,FALSE),VLOOKUP($A25,'SegEnds_NonXtal_Prot#'!$A:$AL,22,FALSE)+7,1)</f>
        <v>A</v>
      </c>
      <c r="AC25" s="50" t="str">
        <f>MID(VLOOKUP($A25,Seqs!$A:$B,2,FALSE),VLOOKUP($A25,'SegEnds_NonXtal_Prot#'!$A:$AL,22,FALSE)+8,1)</f>
        <v>F</v>
      </c>
      <c r="AD25" s="50" t="str">
        <f>MID(VLOOKUP($A25,Seqs!$A:$B,2,FALSE),VLOOKUP($A25,'SegEnds_NonXtal_Prot#'!$A:$AL,22,FALSE)+9,1)</f>
        <v>P</v>
      </c>
      <c r="AE25" s="50" t="str">
        <f>MID(VLOOKUP($A25,Seqs!$A:$B,2,FALSE),VLOOKUP($A25,'SegEnds_NonXtal_Prot#'!$A:$AL,22,FALSE)+10,1)</f>
        <v>P</v>
      </c>
      <c r="AF25" s="28" t="str">
        <f>MID(VLOOKUP($A25,Seqs!$A:$B,2,FALSE),VLOOKUP($A25,'SegEnds_NonXtal_Prot#'!$A:$AL,28,FALSE)-4,1)</f>
        <v>G</v>
      </c>
      <c r="AG25" s="50" t="str">
        <f>MID(VLOOKUP($A25,Seqs!$A:$B,2,FALSE),VLOOKUP($A25,'SegEnds_NonXtal_Prot#'!$A:$AL,28,FALSE),1)</f>
        <v>L</v>
      </c>
    </row>
    <row r="26" spans="1:33" s="2" customFormat="1" x14ac:dyDescent="0.2">
      <c r="A26" s="2" t="s">
        <v>271</v>
      </c>
      <c r="B26" s="2" t="str">
        <f>LOWER(VLOOKUP(A26,Xtal_Templ!A:B,2,FALSE))</f>
        <v>ox1r_human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F26" s="2" t="s">
        <v>5</v>
      </c>
      <c r="G26" s="4"/>
      <c r="Q26" s="2" t="s">
        <v>9</v>
      </c>
      <c r="S26" s="4" t="s">
        <v>12</v>
      </c>
      <c r="U26" s="28" t="str">
        <f>MID(VLOOKUP($A26,Seqs!$A:$B,2,FALSE),VLOOKUP($A26,'SegEnds_NonXtal_Prot#'!A:AL,10,FALSE),1)</f>
        <v>D</v>
      </c>
      <c r="V26" s="50" t="str">
        <f>MID(VLOOKUP($A26,Seqs!$A:$B,2,FALSE),VLOOKUP($A26,'SegEnds_NonXtal_Prot#'!A:AL,10,FALSE)+6,1)</f>
        <v>I</v>
      </c>
      <c r="W26" s="50" t="str">
        <f>MID(VLOOKUP($A26,Seqs!$A:$B,2,FALSE),VLOOKUP($A26,'SegEnds_NonXtal_Prot#'!A:AL,10,FALSE)+7,1)</f>
        <v>C</v>
      </c>
      <c r="X26" s="50" t="str">
        <f>MID(VLOOKUP($A26,Seqs!$A:$B,2,FALSE),VLOOKUP($A26,'SegEnds_NonXtal_Prot#'!A:AL,10,FALSE)+8,1)</f>
        <v>F</v>
      </c>
      <c r="Y26" s="50" t="str">
        <f>MID(VLOOKUP($A26,Seqs!$A:$B,2,FALSE),VLOOKUP($A26,'SegEnds_NonXtal_Prot#'!A:AL,10,FALSE)+9,1)</f>
        <v>P</v>
      </c>
      <c r="Z26" s="50" t="str">
        <f>MID(VLOOKUP($A26,Seqs!$A:$B,2,FALSE),VLOOKUP($A26,'SegEnds_NonXtal_Prot#'!A:AL,10,FALSE)+10,1)</f>
        <v>F</v>
      </c>
      <c r="AA26" s="28" t="str">
        <f>MID(VLOOKUP($A26,Seqs!$A:$B,2,FALSE),VLOOKUP($A26,'SegEnds_NonXtal_Prot#'!$A:$AL,22,FALSE)+6,1)</f>
        <v>M</v>
      </c>
      <c r="AB26" s="50" t="str">
        <f>MID(VLOOKUP($A26,Seqs!$A:$B,2,FALSE),VLOOKUP($A26,'SegEnds_NonXtal_Prot#'!$A:$AL,22,FALSE)+7,1)</f>
        <v>A</v>
      </c>
      <c r="AC26" s="50" t="str">
        <f>MID(VLOOKUP($A26,Seqs!$A:$B,2,FALSE),VLOOKUP($A26,'SegEnds_NonXtal_Prot#'!$A:$AL,22,FALSE)+8,1)</f>
        <v>F</v>
      </c>
      <c r="AD26" s="50" t="str">
        <f>MID(VLOOKUP($A26,Seqs!$A:$B,2,FALSE),VLOOKUP($A26,'SegEnds_NonXtal_Prot#'!$A:$AL,22,FALSE)+9,1)</f>
        <v>P</v>
      </c>
      <c r="AE26" s="50" t="str">
        <f>MID(VLOOKUP($A26,Seqs!$A:$B,2,FALSE),VLOOKUP($A26,'SegEnds_NonXtal_Prot#'!$A:$AL,22,FALSE)+10,1)</f>
        <v>P</v>
      </c>
      <c r="AF26" s="28" t="str">
        <f>MID(VLOOKUP($A26,Seqs!$A:$B,2,FALSE),VLOOKUP($A26,'SegEnds_NonXtal_Prot#'!$A:$AL,28,FALSE)-4,1)</f>
        <v>T</v>
      </c>
      <c r="AG26" s="50" t="str">
        <f>MID(VLOOKUP($A26,Seqs!$A:$B,2,FALSE),VLOOKUP($A26,'SegEnds_NonXtal_Prot#'!$A:$AL,28,FALSE),1)</f>
        <v>P</v>
      </c>
    </row>
    <row r="27" spans="1:33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F27" s="2" t="s">
        <v>5</v>
      </c>
      <c r="G27" s="4"/>
      <c r="N27" s="2" t="s">
        <v>1325</v>
      </c>
      <c r="Q27" s="2" t="s">
        <v>9</v>
      </c>
      <c r="S27" s="4" t="s">
        <v>12</v>
      </c>
      <c r="U27" s="28" t="str">
        <f>MID(VLOOKUP($A27,Seqs!$A:$B,2,FALSE),VLOOKUP($A27,'SegEnds_NonXtal_Prot#'!A:AL,10,FALSE),1)</f>
        <v>D</v>
      </c>
      <c r="V27" s="50" t="str">
        <f>MID(VLOOKUP($A27,Seqs!$A:$B,2,FALSE),VLOOKUP($A27,'SegEnds_NonXtal_Prot#'!A:AL,10,FALSE)+6,1)</f>
        <v>L</v>
      </c>
      <c r="W27" s="50" t="str">
        <f>MID(VLOOKUP($A27,Seqs!$A:$B,2,FALSE),VLOOKUP($A27,'SegEnds_NonXtal_Prot#'!A:AL,10,FALSE)+7,1)</f>
        <v>V</v>
      </c>
      <c r="X27" s="50" t="str">
        <f>MID(VLOOKUP($A27,Seqs!$A:$B,2,FALSE),VLOOKUP($A27,'SegEnds_NonXtal_Prot#'!A:AL,10,FALSE)+8,1)</f>
        <v>I</v>
      </c>
      <c r="Y27" s="50" t="str">
        <f>MID(VLOOKUP($A27,Seqs!$A:$B,2,FALSE),VLOOKUP($A27,'SegEnds_NonXtal_Prot#'!A:AL,10,FALSE)+9,1)</f>
        <v>P</v>
      </c>
      <c r="Z27" s="50" t="str">
        <f>MID(VLOOKUP($A27,Seqs!$A:$B,2,FALSE),VLOOKUP($A27,'SegEnds_NonXtal_Prot#'!A:AL,10,FALSE)+10,1)</f>
        <v>L</v>
      </c>
      <c r="AA27" s="28" t="str">
        <f>MID(VLOOKUP($A27,Seqs!$A:$B,2,FALSE),VLOOKUP($A27,'SegEnds_NonXtal_Prot#'!$A:$AL,22,FALSE)+6,1)</f>
        <v>V</v>
      </c>
      <c r="AB27" s="50" t="str">
        <f>MID(VLOOKUP($A27,Seqs!$A:$B,2,FALSE),VLOOKUP($A27,'SegEnds_NonXtal_Prot#'!$A:$AL,22,FALSE)+7,1)</f>
        <v>G</v>
      </c>
      <c r="AC27" s="50" t="str">
        <f>MID(VLOOKUP($A27,Seqs!$A:$B,2,FALSE),VLOOKUP($A27,'SegEnds_NonXtal_Prot#'!$A:$AL,22,FALSE)+8,1)</f>
        <v>L</v>
      </c>
      <c r="AD27" s="50" t="str">
        <f>MID(VLOOKUP($A27,Seqs!$A:$B,2,FALSE),VLOOKUP($A27,'SegEnds_NonXtal_Prot#'!$A:$AL,22,FALSE)+9,1)</f>
        <v>T</v>
      </c>
      <c r="AE27" s="50" t="str">
        <f>MID(VLOOKUP($A27,Seqs!$A:$B,2,FALSE),VLOOKUP($A27,'SegEnds_NonXtal_Prot#'!$A:$AL,22,FALSE)+10,1)</f>
        <v>P</v>
      </c>
      <c r="AF27" s="28" t="str">
        <f>MID(VLOOKUP($A27,Seqs!$A:$B,2,FALSE),VLOOKUP($A27,'SegEnds_NonXtal_Prot#'!$A:$AL,28,FALSE)-4,1)</f>
        <v>W</v>
      </c>
      <c r="AG27" s="50" t="str">
        <f>MID(VLOOKUP($A27,Seqs!$A:$B,2,FALSE),VLOOKUP($A27,'SegEnds_NonXtal_Prot#'!$A:$AL,28,FALSE),1)</f>
        <v>P</v>
      </c>
    </row>
    <row r="28" spans="1:33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F28" s="2" t="s">
        <v>5</v>
      </c>
      <c r="G28" s="4"/>
      <c r="N28" s="2" t="s">
        <v>1325</v>
      </c>
      <c r="Q28" s="2" t="s">
        <v>9</v>
      </c>
      <c r="S28" s="4" t="s">
        <v>12</v>
      </c>
      <c r="U28" s="28" t="str">
        <f>MID(VLOOKUP($A28,Seqs!$A:$B,2,FALSE),VLOOKUP($A28,'SegEnds_NonXtal_Prot#'!A:AL,10,FALSE),1)</f>
        <v>D</v>
      </c>
      <c r="V28" s="50" t="str">
        <f>MID(VLOOKUP($A28,Seqs!$A:$B,2,FALSE),VLOOKUP($A28,'SegEnds_NonXtal_Prot#'!A:AL,10,FALSE)+6,1)</f>
        <v>L</v>
      </c>
      <c r="W28" s="50" t="str">
        <f>MID(VLOOKUP($A28,Seqs!$A:$B,2,FALSE),VLOOKUP($A28,'SegEnds_NonXtal_Prot#'!A:AL,10,FALSE)+7,1)</f>
        <v>A</v>
      </c>
      <c r="X28" s="50" t="str">
        <f>MID(VLOOKUP($A28,Seqs!$A:$B,2,FALSE),VLOOKUP($A28,'SegEnds_NonXtal_Prot#'!A:AL,10,FALSE)+8,1)</f>
        <v>I</v>
      </c>
      <c r="Y28" s="50" t="str">
        <f>MID(VLOOKUP($A28,Seqs!$A:$B,2,FALSE),VLOOKUP($A28,'SegEnds_NonXtal_Prot#'!A:AL,10,FALSE)+9,1)</f>
        <v>P</v>
      </c>
      <c r="Z28" s="50" t="str">
        <f>MID(VLOOKUP($A28,Seqs!$A:$B,2,FALSE),VLOOKUP($A28,'SegEnds_NonXtal_Prot#'!A:AL,10,FALSE)+10,1)</f>
        <v>F</v>
      </c>
      <c r="AA28" s="28" t="str">
        <f>MID(VLOOKUP($A28,Seqs!$A:$B,2,FALSE),VLOOKUP($A28,'SegEnds_NonXtal_Prot#'!$A:$AL,22,FALSE)+6,1)</f>
        <v>I</v>
      </c>
      <c r="AB28" s="50" t="str">
        <f>MID(VLOOKUP($A28,Seqs!$A:$B,2,FALSE),VLOOKUP($A28,'SegEnds_NonXtal_Prot#'!$A:$AL,22,FALSE)+7,1)</f>
        <v>G</v>
      </c>
      <c r="AC28" s="50" t="str">
        <f>MID(VLOOKUP($A28,Seqs!$A:$B,2,FALSE),VLOOKUP($A28,'SegEnds_NonXtal_Prot#'!$A:$AL,22,FALSE)+8,1)</f>
        <v>L</v>
      </c>
      <c r="AD28" s="50" t="str">
        <f>MID(VLOOKUP($A28,Seqs!$A:$B,2,FALSE),VLOOKUP($A28,'SegEnds_NonXtal_Prot#'!$A:$AL,22,FALSE)+9,1)</f>
        <v>T</v>
      </c>
      <c r="AE28" s="50" t="str">
        <f>MID(VLOOKUP($A28,Seqs!$A:$B,2,FALSE),VLOOKUP($A28,'SegEnds_NonXtal_Prot#'!$A:$AL,22,FALSE)+10,1)</f>
        <v>P</v>
      </c>
      <c r="AF28" s="28" t="str">
        <f>MID(VLOOKUP($A28,Seqs!$A:$B,2,FALSE),VLOOKUP($A28,'SegEnds_NonXtal_Prot#'!$A:$AL,28,FALSE)-4,1)</f>
        <v>C</v>
      </c>
      <c r="AG28" s="50" t="str">
        <f>MID(VLOOKUP($A28,Seqs!$A:$B,2,FALSE),VLOOKUP($A28,'SegEnds_NonXtal_Prot#'!$A:$AL,28,FALSE),1)</f>
        <v>P</v>
      </c>
    </row>
    <row r="29" spans="1:33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F29" s="2" t="s">
        <v>5</v>
      </c>
      <c r="G29" s="4"/>
      <c r="N29" s="2" t="s">
        <v>1325</v>
      </c>
      <c r="Q29" s="2" t="s">
        <v>9</v>
      </c>
      <c r="S29" s="4" t="s">
        <v>12</v>
      </c>
      <c r="U29" s="28" t="str">
        <f>MID(VLOOKUP($A29,Seqs!$A:$B,2,FALSE),VLOOKUP($A29,'SegEnds_NonXtal_Prot#'!A:AL,10,FALSE),1)</f>
        <v>D</v>
      </c>
      <c r="V29" s="50" t="str">
        <f>MID(VLOOKUP($A29,Seqs!$A:$B,2,FALSE),VLOOKUP($A29,'SegEnds_NonXtal_Prot#'!A:AL,10,FALSE)+6,1)</f>
        <v>F</v>
      </c>
      <c r="W29" s="50" t="str">
        <f>MID(VLOOKUP($A29,Seqs!$A:$B,2,FALSE),VLOOKUP($A29,'SegEnds_NonXtal_Prot#'!A:AL,10,FALSE)+7,1)</f>
        <v>A</v>
      </c>
      <c r="X29" s="50" t="str">
        <f>MID(VLOOKUP($A29,Seqs!$A:$B,2,FALSE),VLOOKUP($A29,'SegEnds_NonXtal_Prot#'!A:AL,10,FALSE)+8,1)</f>
        <v>I</v>
      </c>
      <c r="Y29" s="50" t="str">
        <f>MID(VLOOKUP($A29,Seqs!$A:$B,2,FALSE),VLOOKUP($A29,'SegEnds_NonXtal_Prot#'!A:AL,10,FALSE)+9,1)</f>
        <v>P</v>
      </c>
      <c r="Z29" s="50" t="str">
        <f>MID(VLOOKUP($A29,Seqs!$A:$B,2,FALSE),VLOOKUP($A29,'SegEnds_NonXtal_Prot#'!A:AL,10,FALSE)+10,1)</f>
        <v>F</v>
      </c>
      <c r="AA29" s="28" t="str">
        <f>MID(VLOOKUP($A29,Seqs!$A:$B,2,FALSE),VLOOKUP($A29,'SegEnds_NonXtal_Prot#'!$A:$AL,22,FALSE)+6,1)</f>
        <v>I</v>
      </c>
      <c r="AB29" s="50" t="str">
        <f>MID(VLOOKUP($A29,Seqs!$A:$B,2,FALSE),VLOOKUP($A29,'SegEnds_NonXtal_Prot#'!$A:$AL,22,FALSE)+7,1)</f>
        <v>G</v>
      </c>
      <c r="AC29" s="50" t="str">
        <f>MID(VLOOKUP($A29,Seqs!$A:$B,2,FALSE),VLOOKUP($A29,'SegEnds_NonXtal_Prot#'!$A:$AL,22,FALSE)+8,1)</f>
        <v>L</v>
      </c>
      <c r="AD29" s="50" t="str">
        <f>MID(VLOOKUP($A29,Seqs!$A:$B,2,FALSE),VLOOKUP($A29,'SegEnds_NonXtal_Prot#'!$A:$AL,22,FALSE)+9,1)</f>
        <v>T</v>
      </c>
      <c r="AE29" s="50" t="str">
        <f>MID(VLOOKUP($A29,Seqs!$A:$B,2,FALSE),VLOOKUP($A29,'SegEnds_NonXtal_Prot#'!$A:$AL,22,FALSE)+10,1)</f>
        <v>P</v>
      </c>
      <c r="AF29" s="28" t="str">
        <f>MID(VLOOKUP($A29,Seqs!$A:$B,2,FALSE),VLOOKUP($A29,'SegEnds_NonXtal_Prot#'!$A:$AL,28,FALSE)-4,1)</f>
        <v>C</v>
      </c>
      <c r="AG29" s="50" t="str">
        <f>MID(VLOOKUP($A29,Seqs!$A:$B,2,FALSE),VLOOKUP($A29,'SegEnds_NonXtal_Prot#'!$A:$AL,28,FALSE),1)</f>
        <v>P</v>
      </c>
    </row>
    <row r="30" spans="1:33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F30" s="2" t="s">
        <v>5</v>
      </c>
      <c r="G30" s="4"/>
      <c r="N30" s="2" t="s">
        <v>1325</v>
      </c>
      <c r="Q30" s="2" t="s">
        <v>9</v>
      </c>
      <c r="S30" s="4" t="s">
        <v>12</v>
      </c>
      <c r="U30" s="28" t="str">
        <f>MID(VLOOKUP($A30,Seqs!$A:$B,2,FALSE),VLOOKUP($A30,'SegEnds_NonXtal_Prot#'!A:AL,10,FALSE),1)</f>
        <v>D</v>
      </c>
      <c r="V30" s="50" t="str">
        <f>MID(VLOOKUP($A30,Seqs!$A:$B,2,FALSE),VLOOKUP($A30,'SegEnds_NonXtal_Prot#'!A:AL,10,FALSE)+6,1)</f>
        <v>L</v>
      </c>
      <c r="W30" s="50" t="str">
        <f>MID(VLOOKUP($A30,Seqs!$A:$B,2,FALSE),VLOOKUP($A30,'SegEnds_NonXtal_Prot#'!A:AL,10,FALSE)+7,1)</f>
        <v>V</v>
      </c>
      <c r="X30" s="50" t="str">
        <f>MID(VLOOKUP($A30,Seqs!$A:$B,2,FALSE),VLOOKUP($A30,'SegEnds_NonXtal_Prot#'!A:AL,10,FALSE)+8,1)</f>
        <v>M</v>
      </c>
      <c r="Y30" s="50" t="str">
        <f>MID(VLOOKUP($A30,Seqs!$A:$B,2,FALSE),VLOOKUP($A30,'SegEnds_NonXtal_Prot#'!A:AL,10,FALSE)+9,1)</f>
        <v>P</v>
      </c>
      <c r="Z30" s="50" t="str">
        <f>MID(VLOOKUP($A30,Seqs!$A:$B,2,FALSE),VLOOKUP($A30,'SegEnds_NonXtal_Prot#'!A:AL,10,FALSE)+10,1)</f>
        <v>L</v>
      </c>
      <c r="AA30" s="28" t="str">
        <f>MID(VLOOKUP($A30,Seqs!$A:$B,2,FALSE),VLOOKUP($A30,'SegEnds_NonXtal_Prot#'!$A:$AL,22,FALSE)+6,1)</f>
        <v>V</v>
      </c>
      <c r="AB30" s="50" t="str">
        <f>MID(VLOOKUP($A30,Seqs!$A:$B,2,FALSE),VLOOKUP($A30,'SegEnds_NonXtal_Prot#'!$A:$AL,22,FALSE)+7,1)</f>
        <v>G</v>
      </c>
      <c r="AC30" s="50" t="str">
        <f>MID(VLOOKUP($A30,Seqs!$A:$B,2,FALSE),VLOOKUP($A30,'SegEnds_NonXtal_Prot#'!$A:$AL,22,FALSE)+8,1)</f>
        <v>L</v>
      </c>
      <c r="AD30" s="50" t="str">
        <f>MID(VLOOKUP($A30,Seqs!$A:$B,2,FALSE),VLOOKUP($A30,'SegEnds_NonXtal_Prot#'!$A:$AL,22,FALSE)+9,1)</f>
        <v>T</v>
      </c>
      <c r="AE30" s="50" t="str">
        <f>MID(VLOOKUP($A30,Seqs!$A:$B,2,FALSE),VLOOKUP($A30,'SegEnds_NonXtal_Prot#'!$A:$AL,22,FALSE)+10,1)</f>
        <v>P</v>
      </c>
      <c r="AF30" s="28" t="str">
        <f>MID(VLOOKUP($A30,Seqs!$A:$B,2,FALSE),VLOOKUP($A30,'SegEnds_NonXtal_Prot#'!$A:$AL,28,FALSE)-4,1)</f>
        <v>W</v>
      </c>
      <c r="AG30" s="50" t="str">
        <f>MID(VLOOKUP($A30,Seqs!$A:$B,2,FALSE),VLOOKUP($A30,'SegEnds_NonXtal_Prot#'!$A:$AL,28,FALSE),1)</f>
        <v>P</v>
      </c>
    </row>
    <row r="31" spans="1:33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G31" s="4"/>
      <c r="S31" s="4" t="s">
        <v>12</v>
      </c>
      <c r="U31" s="28" t="str">
        <f>MID(VLOOKUP($A31,Seqs!$A:$B,2,FALSE),VLOOKUP($A31,'SegEnds_NonXtal_Prot#'!A:AL,10,FALSE),1)</f>
        <v>D</v>
      </c>
      <c r="V31" s="50" t="str">
        <f>MID(VLOOKUP($A31,Seqs!$A:$B,2,FALSE),VLOOKUP($A31,'SegEnds_NonXtal_Prot#'!A:AL,10,FALSE)+6,1)</f>
        <v>Y</v>
      </c>
      <c r="W31" s="50" t="str">
        <f>MID(VLOOKUP($A31,Seqs!$A:$B,2,FALSE),VLOOKUP($A31,'SegEnds_NonXtal_Prot#'!A:AL,10,FALSE)+7,1)</f>
        <v>L</v>
      </c>
      <c r="X31" s="50" t="str">
        <f>MID(VLOOKUP($A31,Seqs!$A:$B,2,FALSE),VLOOKUP($A31,'SegEnds_NonXtal_Prot#'!A:AL,10,FALSE)+8,1)</f>
        <v>L</v>
      </c>
      <c r="Y31" s="50" t="str">
        <f>MID(VLOOKUP($A31,Seqs!$A:$B,2,FALSE),VLOOKUP($A31,'SegEnds_NonXtal_Prot#'!A:AL,10,FALSE)+9,1)</f>
        <v>L</v>
      </c>
      <c r="Z31" s="50" t="str">
        <f>MID(VLOOKUP($A31,Seqs!$A:$B,2,FALSE),VLOOKUP($A31,'SegEnds_NonXtal_Prot#'!A:AL,10,FALSE)+10,1)</f>
        <v>I</v>
      </c>
      <c r="AA31" s="28" t="str">
        <f>MID(VLOOKUP($A31,Seqs!$A:$B,2,FALSE),VLOOKUP($A31,'SegEnds_NonXtal_Prot#'!$A:$AL,22,FALSE)+6,1)</f>
        <v>A</v>
      </c>
      <c r="AB31" s="50" t="str">
        <f>MID(VLOOKUP($A31,Seqs!$A:$B,2,FALSE),VLOOKUP($A31,'SegEnds_NonXtal_Prot#'!$A:$AL,22,FALSE)+7,1)</f>
        <v>A</v>
      </c>
      <c r="AC31" s="50" t="str">
        <f>MID(VLOOKUP($A31,Seqs!$A:$B,2,FALSE),VLOOKUP($A31,'SegEnds_NonXtal_Prot#'!$A:$AL,22,FALSE)+8,1)</f>
        <v>L</v>
      </c>
      <c r="AD31" s="50" t="str">
        <f>MID(VLOOKUP($A31,Seqs!$A:$B,2,FALSE),VLOOKUP($A31,'SegEnds_NonXtal_Prot#'!$A:$AL,22,FALSE)+9,1)</f>
        <v>F</v>
      </c>
      <c r="AE31" s="50" t="str">
        <f>MID(VLOOKUP($A31,Seqs!$A:$B,2,FALSE),VLOOKUP($A31,'SegEnds_NonXtal_Prot#'!$A:$AL,22,FALSE)+10,1)</f>
        <v>P</v>
      </c>
      <c r="AF31" s="28" t="str">
        <f>MID(VLOOKUP($A31,Seqs!$A:$B,2,FALSE),VLOOKUP($A31,'SegEnds_NonXtal_Prot#'!$A:$AL,28,FALSE)-4,1)</f>
        <v>L</v>
      </c>
      <c r="AG31" s="50" t="str">
        <f>MID(VLOOKUP($A31,Seqs!$A:$B,2,FALSE),VLOOKUP($A31,'SegEnds_NonXtal_Prot#'!$A:$AL,28,FALSE),1)</f>
        <v>A</v>
      </c>
    </row>
    <row r="32" spans="1:33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G32" s="4"/>
      <c r="S32" s="4" t="s">
        <v>12</v>
      </c>
      <c r="U32" s="28" t="str">
        <f>MID(VLOOKUP($A32,Seqs!$A:$B,2,FALSE),VLOOKUP($A32,'SegEnds_NonXtal_Prot#'!A:AL,10,FALSE),1)</f>
        <v>N</v>
      </c>
      <c r="V32" s="50" t="str">
        <f>MID(VLOOKUP($A32,Seqs!$A:$B,2,FALSE),VLOOKUP($A32,'SegEnds_NonXtal_Prot#'!A:AL,10,FALSE)+6,1)</f>
        <v>S</v>
      </c>
      <c r="W32" s="50" t="str">
        <f>MID(VLOOKUP($A32,Seqs!$A:$B,2,FALSE),VLOOKUP($A32,'SegEnds_NonXtal_Prot#'!A:AL,10,FALSE)+7,1)</f>
        <v>S</v>
      </c>
      <c r="X32" s="50" t="str">
        <f>MID(VLOOKUP($A32,Seqs!$A:$B,2,FALSE),VLOOKUP($A32,'SegEnds_NonXtal_Prot#'!A:AL,10,FALSE)+8,1)</f>
        <v>A</v>
      </c>
      <c r="Y32" s="50" t="str">
        <f>MID(VLOOKUP($A32,Seqs!$A:$B,2,FALSE),VLOOKUP($A32,'SegEnds_NonXtal_Prot#'!A:AL,10,FALSE)+9,1)</f>
        <v>V</v>
      </c>
      <c r="Z32" s="50" t="str">
        <f>MID(VLOOKUP($A32,Seqs!$A:$B,2,FALSE),VLOOKUP($A32,'SegEnds_NonXtal_Prot#'!A:AL,10,FALSE)+10,1)</f>
        <v>L</v>
      </c>
      <c r="AA32" s="28" t="str">
        <f>MID(VLOOKUP($A32,Seqs!$A:$B,2,FALSE),VLOOKUP($A32,'SegEnds_NonXtal_Prot#'!$A:$AL,22,FALSE)+6,1)</f>
        <v>M</v>
      </c>
      <c r="AB32" s="50" t="str">
        <f>MID(VLOOKUP($A32,Seqs!$A:$B,2,FALSE),VLOOKUP($A32,'SegEnds_NonXtal_Prot#'!$A:$AL,22,FALSE)+7,1)</f>
        <v>A</v>
      </c>
      <c r="AC32" s="50" t="str">
        <f>MID(VLOOKUP($A32,Seqs!$A:$B,2,FALSE),VLOOKUP($A32,'SegEnds_NonXtal_Prot#'!$A:$AL,22,FALSE)+8,1)</f>
        <v>A</v>
      </c>
      <c r="AD32" s="50" t="str">
        <f>MID(VLOOKUP($A32,Seqs!$A:$B,2,FALSE),VLOOKUP($A32,'SegEnds_NonXtal_Prot#'!$A:$AL,22,FALSE)+9,1)</f>
        <v>V</v>
      </c>
      <c r="AE32" s="50" t="str">
        <f>MID(VLOOKUP($A32,Seqs!$A:$B,2,FALSE),VLOOKUP($A32,'SegEnds_NonXtal_Prot#'!$A:$AL,22,FALSE)+10,1)</f>
        <v>P</v>
      </c>
      <c r="AF32" s="28" t="str">
        <f>MID(VLOOKUP($A32,Seqs!$A:$B,2,FALSE),VLOOKUP($A32,'SegEnds_NonXtal_Prot#'!$A:$AL,28,FALSE)-4,1)</f>
        <v>L</v>
      </c>
      <c r="AG32" s="50" t="str">
        <f>MID(VLOOKUP($A32,Seqs!$A:$B,2,FALSE),VLOOKUP($A32,'SegEnds_NonXtal_Prot#'!$A:$AL,28,FALSE),1)</f>
        <v>C</v>
      </c>
    </row>
    <row r="33" spans="1:33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G33" s="4"/>
      <c r="S33" s="4" t="s">
        <v>12</v>
      </c>
      <c r="U33" s="28" t="str">
        <f>MID(VLOOKUP($A33,Seqs!$A:$B,2,FALSE),VLOOKUP($A33,'SegEnds_NonXtal_Prot#'!A:AL,10,FALSE),1)</f>
        <v>D</v>
      </c>
      <c r="V33" s="50" t="str">
        <f>MID(VLOOKUP($A33,Seqs!$A:$B,2,FALSE),VLOOKUP($A33,'SegEnds_NonXtal_Prot#'!A:AL,10,FALSE)+6,1)</f>
        <v>Y</v>
      </c>
      <c r="W33" s="50" t="str">
        <f>MID(VLOOKUP($A33,Seqs!$A:$B,2,FALSE),VLOOKUP($A33,'SegEnds_NonXtal_Prot#'!A:AL,10,FALSE)+7,1)</f>
        <v>L</v>
      </c>
      <c r="X33" s="50" t="str">
        <f>MID(VLOOKUP($A33,Seqs!$A:$B,2,FALSE),VLOOKUP($A33,'SegEnds_NonXtal_Prot#'!A:AL,10,FALSE)+8,1)</f>
        <v>L</v>
      </c>
      <c r="Y33" s="50" t="str">
        <f>MID(VLOOKUP($A33,Seqs!$A:$B,2,FALSE),VLOOKUP($A33,'SegEnds_NonXtal_Prot#'!A:AL,10,FALSE)+9,1)</f>
        <v>L</v>
      </c>
      <c r="Z33" s="50" t="str">
        <f>MID(VLOOKUP($A33,Seqs!$A:$B,2,FALSE),VLOOKUP($A33,'SegEnds_NonXtal_Prot#'!A:AL,10,FALSE)+10,1)</f>
        <v>I</v>
      </c>
      <c r="AA33" s="28" t="str">
        <f>MID(VLOOKUP($A33,Seqs!$A:$B,2,FALSE),VLOOKUP($A33,'SegEnds_NonXtal_Prot#'!$A:$AL,22,FALSE)+6,1)</f>
        <v>I</v>
      </c>
      <c r="AB33" s="50" t="str">
        <f>MID(VLOOKUP($A33,Seqs!$A:$B,2,FALSE),VLOOKUP($A33,'SegEnds_NonXtal_Prot#'!$A:$AL,22,FALSE)+7,1)</f>
        <v>A</v>
      </c>
      <c r="AC33" s="50" t="str">
        <f>MID(VLOOKUP($A33,Seqs!$A:$B,2,FALSE),VLOOKUP($A33,'SegEnds_NonXtal_Prot#'!$A:$AL,22,FALSE)+8,1)</f>
        <v>M</v>
      </c>
      <c r="AD33" s="50" t="str">
        <f>MID(VLOOKUP($A33,Seqs!$A:$B,2,FALSE),VLOOKUP($A33,'SegEnds_NonXtal_Prot#'!$A:$AL,22,FALSE)+9,1)</f>
        <v>L</v>
      </c>
      <c r="AE33" s="50" t="str">
        <f>MID(VLOOKUP($A33,Seqs!$A:$B,2,FALSE),VLOOKUP($A33,'SegEnds_NonXtal_Prot#'!$A:$AL,22,FALSE)+10,1)</f>
        <v>P</v>
      </c>
      <c r="AF33" s="28" t="str">
        <f>MID(VLOOKUP($A33,Seqs!$A:$B,2,FALSE),VLOOKUP($A33,'SegEnds_NonXtal_Prot#'!$A:$AL,28,FALSE)-4,1)</f>
        <v>L</v>
      </c>
      <c r="AG33" s="50" t="str">
        <f>MID(VLOOKUP($A33,Seqs!$A:$B,2,FALSE),VLOOKUP($A33,'SegEnds_NonXtal_Prot#'!$A:$AL,28,FALSE),1)</f>
        <v>A</v>
      </c>
    </row>
    <row r="34" spans="1:33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G34" s="4"/>
      <c r="S34" s="4" t="s">
        <v>12</v>
      </c>
      <c r="U34" s="28" t="str">
        <f>MID(VLOOKUP($A34,Seqs!$A:$B,2,FALSE),VLOOKUP($A34,'SegEnds_NonXtal_Prot#'!A:AL,10,FALSE),1)</f>
        <v>D</v>
      </c>
      <c r="V34" s="50" t="str">
        <f>MID(VLOOKUP($A34,Seqs!$A:$B,2,FALSE),VLOOKUP($A34,'SegEnds_NonXtal_Prot#'!A:AL,10,FALSE)+6,1)</f>
        <v>S</v>
      </c>
      <c r="W34" s="50" t="str">
        <f>MID(VLOOKUP($A34,Seqs!$A:$B,2,FALSE),VLOOKUP($A34,'SegEnds_NonXtal_Prot#'!A:AL,10,FALSE)+7,1)</f>
        <v>S</v>
      </c>
      <c r="X34" s="50" t="str">
        <f>MID(VLOOKUP($A34,Seqs!$A:$B,2,FALSE),VLOOKUP($A34,'SegEnds_NonXtal_Prot#'!A:AL,10,FALSE)+8,1)</f>
        <v>A</v>
      </c>
      <c r="Y34" s="50" t="str">
        <f>MID(VLOOKUP($A34,Seqs!$A:$B,2,FALSE),VLOOKUP($A34,'SegEnds_NonXtal_Prot#'!A:AL,10,FALSE)+9,1)</f>
        <v>W</v>
      </c>
      <c r="Z34" s="50" t="str">
        <f>MID(VLOOKUP($A34,Seqs!$A:$B,2,FALSE),VLOOKUP($A34,'SegEnds_NonXtal_Prot#'!A:AL,10,FALSE)+10,1)</f>
        <v>E</v>
      </c>
      <c r="AA34" s="28" t="str">
        <f>MID(VLOOKUP($A34,Seqs!$A:$B,2,FALSE),VLOOKUP($A34,'SegEnds_NonXtal_Prot#'!$A:$AL,22,FALSE)+6,1)</f>
        <v>C</v>
      </c>
      <c r="AB34" s="50" t="str">
        <f>MID(VLOOKUP($A34,Seqs!$A:$B,2,FALSE),VLOOKUP($A34,'SegEnds_NonXtal_Prot#'!$A:$AL,22,FALSE)+7,1)</f>
        <v>G</v>
      </c>
      <c r="AC34" s="50" t="str">
        <f>MID(VLOOKUP($A34,Seqs!$A:$B,2,FALSE),VLOOKUP($A34,'SegEnds_NonXtal_Prot#'!$A:$AL,22,FALSE)+8,1)</f>
        <v>I</v>
      </c>
      <c r="AD34" s="50" t="str">
        <f>MID(VLOOKUP($A34,Seqs!$A:$B,2,FALSE),VLOOKUP($A34,'SegEnds_NonXtal_Prot#'!$A:$AL,22,FALSE)+9,1)</f>
        <v>V</v>
      </c>
      <c r="AE34" s="50" t="str">
        <f>MID(VLOOKUP($A34,Seqs!$A:$B,2,FALSE),VLOOKUP($A34,'SegEnds_NonXtal_Prot#'!$A:$AL,22,FALSE)+10,1)</f>
        <v>F</v>
      </c>
      <c r="AF34" s="28" t="str">
        <f>MID(VLOOKUP($A34,Seqs!$A:$B,2,FALSE),VLOOKUP($A34,'SegEnds_NonXtal_Prot#'!$A:$AL,28,FALSE)-4,1)</f>
        <v>S</v>
      </c>
      <c r="AG34" s="50" t="str">
        <f>MID(VLOOKUP($A34,Seqs!$A:$B,2,FALSE),VLOOKUP($A34,'SegEnds_NonXtal_Prot#'!$A:$AL,28,FALSE),1)</f>
        <v>H</v>
      </c>
    </row>
    <row r="35" spans="1:33" s="2" customFormat="1" x14ac:dyDescent="0.2">
      <c r="A35" s="2" t="s">
        <v>361</v>
      </c>
      <c r="B35" s="2" t="str">
        <f>LOWER(VLOOKUP(A35,Xtal_Templ!A:B,2,FALSE))</f>
        <v>cnr1_human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G35" s="4"/>
      <c r="S35" s="4" t="s">
        <v>12</v>
      </c>
      <c r="U35" s="28" t="str">
        <f>MID(VLOOKUP($A35,Seqs!$A:$B,2,FALSE),VLOOKUP($A35,'SegEnds_NonXtal_Prot#'!A:AL,10,FALSE),1)</f>
        <v>D</v>
      </c>
      <c r="V35" s="50" t="str">
        <f>MID(VLOOKUP($A35,Seqs!$A:$B,2,FALSE),VLOOKUP($A35,'SegEnds_NonXtal_Prot#'!A:AL,10,FALSE)+6,1)</f>
        <v>I</v>
      </c>
      <c r="W35" s="50" t="str">
        <f>MID(VLOOKUP($A35,Seqs!$A:$B,2,FALSE),VLOOKUP($A35,'SegEnds_NonXtal_Prot#'!A:AL,10,FALSE)+7,1)</f>
        <v>P</v>
      </c>
      <c r="X35" s="50" t="str">
        <f>MID(VLOOKUP($A35,Seqs!$A:$B,2,FALSE),VLOOKUP($A35,'SegEnds_NonXtal_Prot#'!A:AL,10,FALSE)+8,1)</f>
        <v>G</v>
      </c>
      <c r="Y35" s="50" t="str">
        <f>MID(VLOOKUP($A35,Seqs!$A:$B,2,FALSE),VLOOKUP($A35,'SegEnds_NonXtal_Prot#'!A:AL,10,FALSE)+9,1)</f>
        <v>A</v>
      </c>
      <c r="Z35" s="50" t="str">
        <f>MID(VLOOKUP($A35,Seqs!$A:$B,2,FALSE),VLOOKUP($A35,'SegEnds_NonXtal_Prot#'!A:AL,10,FALSE)+10,1)</f>
        <v>L</v>
      </c>
      <c r="AA35" s="28" t="str">
        <f>MID(VLOOKUP($A35,Seqs!$A:$B,2,FALSE),VLOOKUP($A35,'SegEnds_NonXtal_Prot#'!$A:$AL,22,FALSE)+6,1)</f>
        <v>V</v>
      </c>
      <c r="AB35" s="50" t="str">
        <f>MID(VLOOKUP($A35,Seqs!$A:$B,2,FALSE),VLOOKUP($A35,'SegEnds_NonXtal_Prot#'!$A:$AL,22,FALSE)+7,1)</f>
        <v>A</v>
      </c>
      <c r="AC35" s="50" t="str">
        <f>MID(VLOOKUP($A35,Seqs!$A:$B,2,FALSE),VLOOKUP($A35,'SegEnds_NonXtal_Prot#'!$A:$AL,22,FALSE)+8,1)</f>
        <v>L</v>
      </c>
      <c r="AD35" s="50" t="str">
        <f>MID(VLOOKUP($A35,Seqs!$A:$B,2,FALSE),VLOOKUP($A35,'SegEnds_NonXtal_Prot#'!$A:$AL,22,FALSE)+9,1)</f>
        <v>L</v>
      </c>
      <c r="AE35" s="50" t="str">
        <f>MID(VLOOKUP($A35,Seqs!$A:$B,2,FALSE),VLOOKUP($A35,'SegEnds_NonXtal_Prot#'!$A:$AL,22,FALSE)+10,1)</f>
        <v>P</v>
      </c>
      <c r="AF35" s="28" t="str">
        <f>MID(VLOOKUP($A35,Seqs!$A:$B,2,FALSE),VLOOKUP($A35,'SegEnds_NonXtal_Prot#'!$A:$AL,28,FALSE)-4,1)</f>
        <v>L</v>
      </c>
      <c r="AG35" s="50" t="str">
        <f>MID(VLOOKUP($A35,Seqs!$A:$B,2,FALSE),VLOOKUP($A35,'SegEnds_NonXtal_Prot#'!$A:$AL,28,FALSE),1)</f>
        <v>L</v>
      </c>
    </row>
    <row r="36" spans="1:33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G36" s="4"/>
      <c r="S36" s="4" t="s">
        <v>12</v>
      </c>
      <c r="U36" s="28" t="str">
        <f>MID(VLOOKUP($A36,Seqs!$A:$B,2,FALSE),VLOOKUP($A36,'SegEnds_NonXtal_Prot#'!A:AL,10,FALSE),1)</f>
        <v>D</v>
      </c>
      <c r="V36" s="50" t="str">
        <f>MID(VLOOKUP($A36,Seqs!$A:$B,2,FALSE),VLOOKUP($A36,'SegEnds_NonXtal_Prot#'!A:AL,10,FALSE)+6,1)</f>
        <v>Y</v>
      </c>
      <c r="W36" s="50" t="str">
        <f>MID(VLOOKUP($A36,Seqs!$A:$B,2,FALSE),VLOOKUP($A36,'SegEnds_NonXtal_Prot#'!A:AL,10,FALSE)+7,1)</f>
        <v>L</v>
      </c>
      <c r="X36" s="50" t="str">
        <f>MID(VLOOKUP($A36,Seqs!$A:$B,2,FALSE),VLOOKUP($A36,'SegEnds_NonXtal_Prot#'!A:AL,10,FALSE)+8,1)</f>
        <v>L</v>
      </c>
      <c r="Y36" s="50" t="str">
        <f>MID(VLOOKUP($A36,Seqs!$A:$B,2,FALSE),VLOOKUP($A36,'SegEnds_NonXtal_Prot#'!A:AL,10,FALSE)+9,1)</f>
        <v>L</v>
      </c>
      <c r="Z36" s="50" t="str">
        <f>MID(VLOOKUP($A36,Seqs!$A:$B,2,FALSE),VLOOKUP($A36,'SegEnds_NonXtal_Prot#'!A:AL,10,FALSE)+10,1)</f>
        <v>I</v>
      </c>
      <c r="AA36" s="28" t="str">
        <f>MID(VLOOKUP($A36,Seqs!$A:$B,2,FALSE),VLOOKUP($A36,'SegEnds_NonXtal_Prot#'!$A:$AL,22,FALSE)+6,1)</f>
        <v>L</v>
      </c>
      <c r="AB36" s="50" t="str">
        <f>MID(VLOOKUP($A36,Seqs!$A:$B,2,FALSE),VLOOKUP($A36,'SegEnds_NonXtal_Prot#'!$A:$AL,22,FALSE)+7,1)</f>
        <v>A</v>
      </c>
      <c r="AC36" s="50" t="str">
        <f>MID(VLOOKUP($A36,Seqs!$A:$B,2,FALSE),VLOOKUP($A36,'SegEnds_NonXtal_Prot#'!$A:$AL,22,FALSE)+8,1)</f>
        <v>L</v>
      </c>
      <c r="AD36" s="50" t="str">
        <f>MID(VLOOKUP($A36,Seqs!$A:$B,2,FALSE),VLOOKUP($A36,'SegEnds_NonXtal_Prot#'!$A:$AL,22,FALSE)+9,1)</f>
        <v>L</v>
      </c>
      <c r="AE36" s="50" t="str">
        <f>MID(VLOOKUP($A36,Seqs!$A:$B,2,FALSE),VLOOKUP($A36,'SegEnds_NonXtal_Prot#'!$A:$AL,22,FALSE)+10,1)</f>
        <v>P</v>
      </c>
      <c r="AF36" s="28" t="str">
        <f>MID(VLOOKUP($A36,Seqs!$A:$B,2,FALSE),VLOOKUP($A36,'SegEnds_NonXtal_Prot#'!$A:$AL,28,FALSE)-4,1)</f>
        <v>L</v>
      </c>
      <c r="AG36" s="50" t="str">
        <f>MID(VLOOKUP($A36,Seqs!$A:$B,2,FALSE),VLOOKUP($A36,'SegEnds_NonXtal_Prot#'!$A:$AL,28,FALSE),1)</f>
        <v>A</v>
      </c>
    </row>
    <row r="37" spans="1:33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F37" s="2" t="s">
        <v>5</v>
      </c>
      <c r="G37" s="4"/>
      <c r="Q37" s="2" t="s">
        <v>9</v>
      </c>
      <c r="S37" s="4" t="s">
        <v>12</v>
      </c>
      <c r="U37" s="28" t="str">
        <f>MID(VLOOKUP($A37,Seqs!$A:$B,2,FALSE),VLOOKUP($A37,'SegEnds_NonXtal_Prot#'!A:AL,10,FALSE),1)</f>
        <v>D</v>
      </c>
      <c r="V37" s="50" t="str">
        <f>MID(VLOOKUP($A37,Seqs!$A:$B,2,FALSE),VLOOKUP($A37,'SegEnds_NonXtal_Prot#'!A:AL,10,FALSE)+6,1)</f>
        <v>F</v>
      </c>
      <c r="W37" s="50" t="str">
        <f>MID(VLOOKUP($A37,Seqs!$A:$B,2,FALSE),VLOOKUP($A37,'SegEnds_NonXtal_Prot#'!A:AL,10,FALSE)+7,1)</f>
        <v>S</v>
      </c>
      <c r="X37" s="50" t="str">
        <f>MID(VLOOKUP($A37,Seqs!$A:$B,2,FALSE),VLOOKUP($A37,'SegEnds_NonXtal_Prot#'!A:AL,10,FALSE)+8,1)</f>
        <v>M</v>
      </c>
      <c r="Y37" s="50" t="str">
        <f>MID(VLOOKUP($A37,Seqs!$A:$B,2,FALSE),VLOOKUP($A37,'SegEnds_NonXtal_Prot#'!A:AL,10,FALSE)+9,1)</f>
        <v>N</v>
      </c>
      <c r="Z37" s="50" t="str">
        <f>MID(VLOOKUP($A37,Seqs!$A:$B,2,FALSE),VLOOKUP($A37,'SegEnds_NonXtal_Prot#'!A:AL,10,FALSE)+10,1)</f>
        <v>L</v>
      </c>
      <c r="AA37" s="28" t="str">
        <f>MID(VLOOKUP($A37,Seqs!$A:$B,2,FALSE),VLOOKUP($A37,'SegEnds_NonXtal_Prot#'!$A:$AL,22,FALSE)+6,1)</f>
        <v>L</v>
      </c>
      <c r="AB37" s="50" t="str">
        <f>MID(VLOOKUP($A37,Seqs!$A:$B,2,FALSE),VLOOKUP($A37,'SegEnds_NonXtal_Prot#'!$A:$AL,22,FALSE)+7,1)</f>
        <v>W</v>
      </c>
      <c r="AC37" s="50" t="str">
        <f>MID(VLOOKUP($A37,Seqs!$A:$B,2,FALSE),VLOOKUP($A37,'SegEnds_NonXtal_Prot#'!$A:$AL,22,FALSE)+8,1)</f>
        <v>A</v>
      </c>
      <c r="AD37" s="50" t="str">
        <f>MID(VLOOKUP($A37,Seqs!$A:$B,2,FALSE),VLOOKUP($A37,'SegEnds_NonXtal_Prot#'!$A:$AL,22,FALSE)+9,1)</f>
        <v>P</v>
      </c>
      <c r="AE37" s="50" t="str">
        <f>MID(VLOOKUP($A37,Seqs!$A:$B,2,FALSE),VLOOKUP($A37,'SegEnds_NonXtal_Prot#'!$A:$AL,22,FALSE)+10,1)</f>
        <v>A</v>
      </c>
      <c r="AF37" s="28" t="str">
        <f>MID(VLOOKUP($A37,Seqs!$A:$B,2,FALSE),VLOOKUP($A37,'SegEnds_NonXtal_Prot#'!$A:$AL,28,FALSE)-4,1)</f>
        <v>A</v>
      </c>
      <c r="AG37" s="50" t="str">
        <f>MID(VLOOKUP($A37,Seqs!$A:$B,2,FALSE),VLOOKUP($A37,'SegEnds_NonXtal_Prot#'!$A:$AL,28,FALSE),1)</f>
        <v>P</v>
      </c>
    </row>
    <row r="38" spans="1:33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G38" s="4"/>
      <c r="Q38" s="2" t="s">
        <v>9</v>
      </c>
      <c r="S38" s="4" t="s">
        <v>12</v>
      </c>
      <c r="U38" s="28" t="str">
        <f>MID(VLOOKUP($A38,Seqs!$A:$B,2,FALSE),VLOOKUP($A38,'SegEnds_NonXtal_Prot#'!A:AL,10,FALSE),1)</f>
        <v>G</v>
      </c>
      <c r="V38" s="50" t="str">
        <f>MID(VLOOKUP($A38,Seqs!$A:$B,2,FALSE),VLOOKUP($A38,'SegEnds_NonXtal_Prot#'!A:AL,10,FALSE)+6,1)</f>
        <v>A</v>
      </c>
      <c r="W38" s="50" t="str">
        <f>MID(VLOOKUP($A38,Seqs!$A:$B,2,FALSE),VLOOKUP($A38,'SegEnds_NonXtal_Prot#'!A:AL,10,FALSE)+7,1)</f>
        <v>L</v>
      </c>
      <c r="X38" s="50" t="str">
        <f>MID(VLOOKUP($A38,Seqs!$A:$B,2,FALSE),VLOOKUP($A38,'SegEnds_NonXtal_Prot#'!A:AL,10,FALSE)+8,1)</f>
        <v>P</v>
      </c>
      <c r="Y38" s="50" t="str">
        <f>MID(VLOOKUP($A38,Seqs!$A:$B,2,FALSE),VLOOKUP($A38,'SegEnds_NonXtal_Prot#'!A:AL,10,FALSE)+9,1)</f>
        <v>T</v>
      </c>
      <c r="Z38" s="50" t="str">
        <f>MID(VLOOKUP($A38,Seqs!$A:$B,2,FALSE),VLOOKUP($A38,'SegEnds_NonXtal_Prot#'!A:AL,10,FALSE)+10,1)</f>
        <v>L</v>
      </c>
      <c r="AA38" s="28" t="str">
        <f>MID(VLOOKUP($A38,Seqs!$A:$B,2,FALSE),VLOOKUP($A38,'SegEnds_NonXtal_Prot#'!$A:$AL,22,FALSE)+6,1)</f>
        <v>F</v>
      </c>
      <c r="AB38" s="50" t="str">
        <f>MID(VLOOKUP($A38,Seqs!$A:$B,2,FALSE),VLOOKUP($A38,'SegEnds_NonXtal_Prot#'!$A:$AL,22,FALSE)+7,1)</f>
        <v>A</v>
      </c>
      <c r="AC38" s="50" t="str">
        <f>MID(VLOOKUP($A38,Seqs!$A:$B,2,FALSE),VLOOKUP($A38,'SegEnds_NonXtal_Prot#'!$A:$AL,22,FALSE)+8,1)</f>
        <v>S</v>
      </c>
      <c r="AD38" s="50" t="str">
        <f>MID(VLOOKUP($A38,Seqs!$A:$B,2,FALSE),VLOOKUP($A38,'SegEnds_NonXtal_Prot#'!$A:$AL,22,FALSE)+9,1)</f>
        <v>L</v>
      </c>
      <c r="AE38" s="50" t="str">
        <f>MID(VLOOKUP($A38,Seqs!$A:$B,2,FALSE),VLOOKUP($A38,'SegEnds_NonXtal_Prot#'!$A:$AL,22,FALSE)+10,1)</f>
        <v>P</v>
      </c>
      <c r="AF38" s="28" t="str">
        <f>MID(VLOOKUP($A38,Seqs!$A:$B,2,FALSE),VLOOKUP($A38,'SegEnds_NonXtal_Prot#'!$A:$AL,28,FALSE)-4,1)</f>
        <v>G</v>
      </c>
      <c r="AG38" s="50" t="str">
        <f>MID(VLOOKUP($A38,Seqs!$A:$B,2,FALSE),VLOOKUP($A38,'SegEnds_NonXtal_Prot#'!$A:$AL,28,FALSE),1)</f>
        <v>P</v>
      </c>
    </row>
    <row r="39" spans="1:33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F39" s="2" t="s">
        <v>5</v>
      </c>
      <c r="G39" s="4"/>
      <c r="M39" s="2" t="s">
        <v>14</v>
      </c>
      <c r="Q39" s="2" t="s">
        <v>9</v>
      </c>
      <c r="S39" s="4" t="s">
        <v>12</v>
      </c>
      <c r="U39" s="28" t="str">
        <f>MID(VLOOKUP($A39,Seqs!$A:$B,2,FALSE),VLOOKUP($A39,'SegEnds_NonXtal_Prot#'!A:AL,10,FALSE),1)</f>
        <v>D</v>
      </c>
      <c r="V39" s="50" t="str">
        <f>MID(VLOOKUP($A39,Seqs!$A:$B,2,FALSE),VLOOKUP($A39,'SegEnds_NonXtal_Prot#'!A:AL,10,FALSE)+6,1)</f>
        <v>F</v>
      </c>
      <c r="W39" s="50" t="str">
        <f>MID(VLOOKUP($A39,Seqs!$A:$B,2,FALSE),VLOOKUP($A39,'SegEnds_NonXtal_Prot#'!A:AL,10,FALSE)+7,1)</f>
        <v>C</v>
      </c>
      <c r="X39" s="50" t="str">
        <f>MID(VLOOKUP($A39,Seqs!$A:$B,2,FALSE),VLOOKUP($A39,'SegEnds_NonXtal_Prot#'!A:AL,10,FALSE)+8,1)</f>
        <v>I</v>
      </c>
      <c r="Y39" s="50" t="str">
        <f>MID(VLOOKUP($A39,Seqs!$A:$B,2,FALSE),VLOOKUP($A39,'SegEnds_NonXtal_Prot#'!A:AL,10,FALSE)+9,1)</f>
        <v>P</v>
      </c>
      <c r="Z39" s="50" t="str">
        <f>MID(VLOOKUP($A39,Seqs!$A:$B,2,FALSE),VLOOKUP($A39,'SegEnds_NonXtal_Prot#'!A:AL,10,FALSE)+10,1)</f>
        <v>L</v>
      </c>
      <c r="AA39" s="28" t="str">
        <f>MID(VLOOKUP($A39,Seqs!$A:$B,2,FALSE),VLOOKUP($A39,'SegEnds_NonXtal_Prot#'!$A:$AL,22,FALSE)+6,1)</f>
        <v>L</v>
      </c>
      <c r="AB39" s="50" t="str">
        <f>MID(VLOOKUP($A39,Seqs!$A:$B,2,FALSE),VLOOKUP($A39,'SegEnds_NonXtal_Prot#'!$A:$AL,22,FALSE)+7,1)</f>
        <v>Y</v>
      </c>
      <c r="AC39" s="50" t="str">
        <f>MID(VLOOKUP($A39,Seqs!$A:$B,2,FALSE),VLOOKUP($A39,'SegEnds_NonXtal_Prot#'!$A:$AL,22,FALSE)+8,1)</f>
        <v>G</v>
      </c>
      <c r="AD39" s="50" t="str">
        <f>MID(VLOOKUP($A39,Seqs!$A:$B,2,FALSE),VLOOKUP($A39,'SegEnds_NonXtal_Prot#'!$A:$AL,22,FALSE)+9,1)</f>
        <v>P</v>
      </c>
      <c r="AE39" s="50" t="str">
        <f>MID(VLOOKUP($A39,Seqs!$A:$B,2,FALSE),VLOOKUP($A39,'SegEnds_NonXtal_Prot#'!$A:$AL,22,FALSE)+10,1)</f>
        <v>A</v>
      </c>
      <c r="AF39" s="28" t="str">
        <f>MID(VLOOKUP($A39,Seqs!$A:$B,2,FALSE),VLOOKUP($A39,'SegEnds_NonXtal_Prot#'!$A:$AL,28,FALSE)-4,1)</f>
        <v>E</v>
      </c>
      <c r="AG39" s="50" t="str">
        <f>MID(VLOOKUP($A39,Seqs!$A:$B,2,FALSE),VLOOKUP($A39,'SegEnds_NonXtal_Prot#'!$A:$AL,28,FALSE),1)</f>
        <v>P</v>
      </c>
    </row>
    <row r="40" spans="1:33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F40" s="2" t="s">
        <v>5</v>
      </c>
      <c r="G40" s="4"/>
      <c r="Q40" s="2" t="s">
        <v>9</v>
      </c>
      <c r="S40" s="4" t="s">
        <v>12</v>
      </c>
      <c r="U40" s="28" t="str">
        <f>MID(VLOOKUP($A40,Seqs!$A:$B,2,FALSE),VLOOKUP($A40,'SegEnds_NonXtal_Prot#'!A:AL,10,FALSE),1)</f>
        <v>D</v>
      </c>
      <c r="V40" s="50" t="str">
        <f>MID(VLOOKUP($A40,Seqs!$A:$B,2,FALSE),VLOOKUP($A40,'SegEnds_NonXtal_Prot#'!A:AL,10,FALSE)+6,1)</f>
        <v>F</v>
      </c>
      <c r="W40" s="50" t="str">
        <f>MID(VLOOKUP($A40,Seqs!$A:$B,2,FALSE),VLOOKUP($A40,'SegEnds_NonXtal_Prot#'!A:AL,10,FALSE)+7,1)</f>
        <v>S</v>
      </c>
      <c r="X40" s="50" t="str">
        <f>MID(VLOOKUP($A40,Seqs!$A:$B,2,FALSE),VLOOKUP($A40,'SegEnds_NonXtal_Prot#'!A:AL,10,FALSE)+8,1)</f>
        <v>M</v>
      </c>
      <c r="Y40" s="50" t="str">
        <f>MID(VLOOKUP($A40,Seqs!$A:$B,2,FALSE),VLOOKUP($A40,'SegEnds_NonXtal_Prot#'!A:AL,10,FALSE)+9,1)</f>
        <v>N</v>
      </c>
      <c r="Z40" s="50" t="str">
        <f>MID(VLOOKUP($A40,Seqs!$A:$B,2,FALSE),VLOOKUP($A40,'SegEnds_NonXtal_Prot#'!A:AL,10,FALSE)+10,1)</f>
        <v>L</v>
      </c>
      <c r="AA40" s="28" t="str">
        <f>MID(VLOOKUP($A40,Seqs!$A:$B,2,FALSE),VLOOKUP($A40,'SegEnds_NonXtal_Prot#'!$A:$AL,22,FALSE)+6,1)</f>
        <v>L</v>
      </c>
      <c r="AB40" s="50" t="str">
        <f>MID(VLOOKUP($A40,Seqs!$A:$B,2,FALSE),VLOOKUP($A40,'SegEnds_NonXtal_Prot#'!$A:$AL,22,FALSE)+7,1)</f>
        <v>W</v>
      </c>
      <c r="AC40" s="50" t="str">
        <f>MID(VLOOKUP($A40,Seqs!$A:$B,2,FALSE),VLOOKUP($A40,'SegEnds_NonXtal_Prot#'!$A:$AL,22,FALSE)+8,1)</f>
        <v>A</v>
      </c>
      <c r="AD40" s="50" t="str">
        <f>MID(VLOOKUP($A40,Seqs!$A:$B,2,FALSE),VLOOKUP($A40,'SegEnds_NonXtal_Prot#'!$A:$AL,22,FALSE)+9,1)</f>
        <v>P</v>
      </c>
      <c r="AE40" s="50" t="str">
        <f>MID(VLOOKUP($A40,Seqs!$A:$B,2,FALSE),VLOOKUP($A40,'SegEnds_NonXtal_Prot#'!$A:$AL,22,FALSE)+10,1)</f>
        <v>A</v>
      </c>
      <c r="AF40" s="28" t="str">
        <f>MID(VLOOKUP($A40,Seqs!$A:$B,2,FALSE),VLOOKUP($A40,'SegEnds_NonXtal_Prot#'!$A:$AL,28,FALSE)-4,1)</f>
        <v>A</v>
      </c>
      <c r="AG40" s="50" t="str">
        <f>MID(VLOOKUP($A40,Seqs!$A:$B,2,FALSE),VLOOKUP($A40,'SegEnds_NonXtal_Prot#'!$A:$AL,28,FALSE),1)</f>
        <v>P</v>
      </c>
    </row>
    <row r="41" spans="1:33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F41" s="2" t="s">
        <v>5</v>
      </c>
      <c r="G41" s="4"/>
      <c r="Q41" s="2" t="s">
        <v>9</v>
      </c>
      <c r="S41" s="4" t="s">
        <v>12</v>
      </c>
      <c r="U41" s="28" t="str">
        <f>MID(VLOOKUP($A41,Seqs!$A:$B,2,FALSE),VLOOKUP($A41,'SegEnds_NonXtal_Prot#'!A:AL,10,FALSE),1)</f>
        <v>D</v>
      </c>
      <c r="V41" s="50" t="str">
        <f>MID(VLOOKUP($A41,Seqs!$A:$B,2,FALSE),VLOOKUP($A41,'SegEnds_NonXtal_Prot#'!A:AL,10,FALSE)+6,1)</f>
        <v>I</v>
      </c>
      <c r="W41" s="50" t="str">
        <f>MID(VLOOKUP($A41,Seqs!$A:$B,2,FALSE),VLOOKUP($A41,'SegEnds_NonXtal_Prot#'!A:AL,10,FALSE)+7,1)</f>
        <v>S</v>
      </c>
      <c r="X41" s="50" t="str">
        <f>MID(VLOOKUP($A41,Seqs!$A:$B,2,FALSE),VLOOKUP($A41,'SegEnds_NonXtal_Prot#'!A:AL,10,FALSE)+8,1)</f>
        <v>M</v>
      </c>
      <c r="Y41" s="50" t="str">
        <f>MID(VLOOKUP($A41,Seqs!$A:$B,2,FALSE),VLOOKUP($A41,'SegEnds_NonXtal_Prot#'!A:AL,10,FALSE)+9,1)</f>
        <v>N</v>
      </c>
      <c r="Z41" s="50" t="str">
        <f>MID(VLOOKUP($A41,Seqs!$A:$B,2,FALSE),VLOOKUP($A41,'SegEnds_NonXtal_Prot#'!A:AL,10,FALSE)+10,1)</f>
        <v>L</v>
      </c>
      <c r="AA41" s="28" t="str">
        <f>MID(VLOOKUP($A41,Seqs!$A:$B,2,FALSE),VLOOKUP($A41,'SegEnds_NonXtal_Prot#'!$A:$AL,22,FALSE)+6,1)</f>
        <v>L</v>
      </c>
      <c r="AB41" s="50" t="str">
        <f>MID(VLOOKUP($A41,Seqs!$A:$B,2,FALSE),VLOOKUP($A41,'SegEnds_NonXtal_Prot#'!$A:$AL,22,FALSE)+7,1)</f>
        <v>W</v>
      </c>
      <c r="AC41" s="50" t="str">
        <f>MID(VLOOKUP($A41,Seqs!$A:$B,2,FALSE),VLOOKUP($A41,'SegEnds_NonXtal_Prot#'!$A:$AL,22,FALSE)+8,1)</f>
        <v>A</v>
      </c>
      <c r="AD41" s="50" t="str">
        <f>MID(VLOOKUP($A41,Seqs!$A:$B,2,FALSE),VLOOKUP($A41,'SegEnds_NonXtal_Prot#'!$A:$AL,22,FALSE)+9,1)</f>
        <v>P</v>
      </c>
      <c r="AE41" s="50" t="str">
        <f>MID(VLOOKUP($A41,Seqs!$A:$B,2,FALSE),VLOOKUP($A41,'SegEnds_NonXtal_Prot#'!$A:$AL,22,FALSE)+10,1)</f>
        <v>A</v>
      </c>
      <c r="AF41" s="28" t="str">
        <f>MID(VLOOKUP($A41,Seqs!$A:$B,2,FALSE),VLOOKUP($A41,'SegEnds_NonXtal_Prot#'!$A:$AL,28,FALSE)-4,1)</f>
        <v>A</v>
      </c>
      <c r="AG41" s="50" t="str">
        <f>MID(VLOOKUP($A41,Seqs!$A:$B,2,FALSE),VLOOKUP($A41,'SegEnds_NonXtal_Prot#'!$A:$AL,28,FALSE),1)</f>
        <v>P</v>
      </c>
    </row>
    <row r="42" spans="1:33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F42" s="2" t="s">
        <v>5</v>
      </c>
      <c r="G42" s="4"/>
      <c r="Q42" s="2" t="s">
        <v>9</v>
      </c>
      <c r="S42" s="4" t="s">
        <v>12</v>
      </c>
      <c r="U42" s="28" t="str">
        <f>MID(VLOOKUP($A42,Seqs!$A:$B,2,FALSE),VLOOKUP($A42,'SegEnds_NonXtal_Prot#'!A:AL,10,FALSE),1)</f>
        <v>D</v>
      </c>
      <c r="V42" s="50" t="str">
        <f>MID(VLOOKUP($A42,Seqs!$A:$B,2,FALSE),VLOOKUP($A42,'SegEnds_NonXtal_Prot#'!A:AL,10,FALSE)+6,1)</f>
        <v>I</v>
      </c>
      <c r="W42" s="50" t="str">
        <f>MID(VLOOKUP($A42,Seqs!$A:$B,2,FALSE),VLOOKUP($A42,'SegEnds_NonXtal_Prot#'!A:AL,10,FALSE)+7,1)</f>
        <v>S</v>
      </c>
      <c r="X42" s="50" t="str">
        <f>MID(VLOOKUP($A42,Seqs!$A:$B,2,FALSE),VLOOKUP($A42,'SegEnds_NonXtal_Prot#'!A:AL,10,FALSE)+8,1)</f>
        <v>M</v>
      </c>
      <c r="Y42" s="50" t="str">
        <f>MID(VLOOKUP($A42,Seqs!$A:$B,2,FALSE),VLOOKUP($A42,'SegEnds_NonXtal_Prot#'!A:AL,10,FALSE)+9,1)</f>
        <v>N</v>
      </c>
      <c r="Z42" s="50" t="str">
        <f>MID(VLOOKUP($A42,Seqs!$A:$B,2,FALSE),VLOOKUP($A42,'SegEnds_NonXtal_Prot#'!A:AL,10,FALSE)+10,1)</f>
        <v>L</v>
      </c>
      <c r="AA42" s="28" t="str">
        <f>MID(VLOOKUP($A42,Seqs!$A:$B,2,FALSE),VLOOKUP($A42,'SegEnds_NonXtal_Prot#'!$A:$AL,22,FALSE)+6,1)</f>
        <v>L</v>
      </c>
      <c r="AB42" s="50" t="str">
        <f>MID(VLOOKUP($A42,Seqs!$A:$B,2,FALSE),VLOOKUP($A42,'SegEnds_NonXtal_Prot#'!$A:$AL,22,FALSE)+7,1)</f>
        <v>W</v>
      </c>
      <c r="AC42" s="50" t="str">
        <f>MID(VLOOKUP($A42,Seqs!$A:$B,2,FALSE),VLOOKUP($A42,'SegEnds_NonXtal_Prot#'!$A:$AL,22,FALSE)+8,1)</f>
        <v>A</v>
      </c>
      <c r="AD42" s="50" t="str">
        <f>MID(VLOOKUP($A42,Seqs!$A:$B,2,FALSE),VLOOKUP($A42,'SegEnds_NonXtal_Prot#'!$A:$AL,22,FALSE)+9,1)</f>
        <v>P</v>
      </c>
      <c r="AE42" s="50" t="str">
        <f>MID(VLOOKUP($A42,Seqs!$A:$B,2,FALSE),VLOOKUP($A42,'SegEnds_NonXtal_Prot#'!$A:$AL,22,FALSE)+10,1)</f>
        <v>A</v>
      </c>
      <c r="AF42" s="28" t="str">
        <f>MID(VLOOKUP($A42,Seqs!$A:$B,2,FALSE),VLOOKUP($A42,'SegEnds_NonXtal_Prot#'!$A:$AL,28,FALSE)-4,1)</f>
        <v>A</v>
      </c>
      <c r="AG42" s="50" t="str">
        <f>MID(VLOOKUP($A42,Seqs!$A:$B,2,FALSE),VLOOKUP($A42,'SegEnds_NonXtal_Prot#'!$A:$AL,28,FALSE),1)</f>
        <v>P</v>
      </c>
    </row>
    <row r="43" spans="1:33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F43" s="2" t="s">
        <v>5</v>
      </c>
      <c r="G43" s="4"/>
      <c r="Q43" s="2" t="s">
        <v>9</v>
      </c>
      <c r="S43" s="4" t="s">
        <v>12</v>
      </c>
      <c r="U43" s="28" t="str">
        <f>MID(VLOOKUP($A43,Seqs!$A:$B,2,FALSE),VLOOKUP($A43,'SegEnds_NonXtal_Prot#'!A:AL,10,FALSE),1)</f>
        <v>D</v>
      </c>
      <c r="V43" s="50" t="str">
        <f>MID(VLOOKUP($A43,Seqs!$A:$B,2,FALSE),VLOOKUP($A43,'SegEnds_NonXtal_Prot#'!A:AL,10,FALSE)+6,1)</f>
        <v>F</v>
      </c>
      <c r="W43" s="50" t="str">
        <f>MID(VLOOKUP($A43,Seqs!$A:$B,2,FALSE),VLOOKUP($A43,'SegEnds_NonXtal_Prot#'!A:AL,10,FALSE)+7,1)</f>
        <v>S</v>
      </c>
      <c r="X43" s="50" t="str">
        <f>MID(VLOOKUP($A43,Seqs!$A:$B,2,FALSE),VLOOKUP($A43,'SegEnds_NonXtal_Prot#'!A:AL,10,FALSE)+8,1)</f>
        <v>M</v>
      </c>
      <c r="Y43" s="50" t="str">
        <f>MID(VLOOKUP($A43,Seqs!$A:$B,2,FALSE),VLOOKUP($A43,'SegEnds_NonXtal_Prot#'!A:AL,10,FALSE)+9,1)</f>
        <v>N</v>
      </c>
      <c r="Z43" s="50" t="str">
        <f>MID(VLOOKUP($A43,Seqs!$A:$B,2,FALSE),VLOOKUP($A43,'SegEnds_NonXtal_Prot#'!A:AL,10,FALSE)+10,1)</f>
        <v>L</v>
      </c>
      <c r="AA43" s="28" t="str">
        <f>MID(VLOOKUP($A43,Seqs!$A:$B,2,FALSE),VLOOKUP($A43,'SegEnds_NonXtal_Prot#'!$A:$AL,22,FALSE)+6,1)</f>
        <v>L</v>
      </c>
      <c r="AB43" s="50" t="str">
        <f>MID(VLOOKUP($A43,Seqs!$A:$B,2,FALSE),VLOOKUP($A43,'SegEnds_NonXtal_Prot#'!$A:$AL,22,FALSE)+7,1)</f>
        <v>W</v>
      </c>
      <c r="AC43" s="50" t="str">
        <f>MID(VLOOKUP($A43,Seqs!$A:$B,2,FALSE),VLOOKUP($A43,'SegEnds_NonXtal_Prot#'!$A:$AL,22,FALSE)+8,1)</f>
        <v>A</v>
      </c>
      <c r="AD43" s="50" t="str">
        <f>MID(VLOOKUP($A43,Seqs!$A:$B,2,FALSE),VLOOKUP($A43,'SegEnds_NonXtal_Prot#'!$A:$AL,22,FALSE)+9,1)</f>
        <v>P</v>
      </c>
      <c r="AE43" s="50" t="str">
        <f>MID(VLOOKUP($A43,Seqs!$A:$B,2,FALSE),VLOOKUP($A43,'SegEnds_NonXtal_Prot#'!$A:$AL,22,FALSE)+10,1)</f>
        <v>A</v>
      </c>
      <c r="AF43" s="28" t="str">
        <f>MID(VLOOKUP($A43,Seqs!$A:$B,2,FALSE),VLOOKUP($A43,'SegEnds_NonXtal_Prot#'!$A:$AL,28,FALSE)-4,1)</f>
        <v>A</v>
      </c>
      <c r="AG43" s="50" t="str">
        <f>MID(VLOOKUP($A43,Seqs!$A:$B,2,FALSE),VLOOKUP($A43,'SegEnds_NonXtal_Prot#'!$A:$AL,28,FALSE),1)</f>
        <v>P</v>
      </c>
    </row>
    <row r="44" spans="1:33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F44" s="2" t="s">
        <v>5</v>
      </c>
      <c r="G44" s="4"/>
      <c r="M44" s="2" t="s">
        <v>14</v>
      </c>
      <c r="Q44" s="2" t="s">
        <v>9</v>
      </c>
      <c r="S44" s="4" t="s">
        <v>12</v>
      </c>
      <c r="U44" s="28" t="str">
        <f>MID(VLOOKUP($A44,Seqs!$A:$B,2,FALSE),VLOOKUP($A44,'SegEnds_NonXtal_Prot#'!A:AL,10,FALSE),1)</f>
        <v>D</v>
      </c>
      <c r="V44" s="50" t="str">
        <f>MID(VLOOKUP($A44,Seqs!$A:$B,2,FALSE),VLOOKUP($A44,'SegEnds_NonXtal_Prot#'!A:AL,10,FALSE)+6,1)</f>
        <v>I</v>
      </c>
      <c r="W44" s="50" t="str">
        <f>MID(VLOOKUP($A44,Seqs!$A:$B,2,FALSE),VLOOKUP($A44,'SegEnds_NonXtal_Prot#'!A:AL,10,FALSE)+7,1)</f>
        <v>S</v>
      </c>
      <c r="X44" s="50" t="str">
        <f>MID(VLOOKUP($A44,Seqs!$A:$B,2,FALSE),VLOOKUP($A44,'SegEnds_NonXtal_Prot#'!A:AL,10,FALSE)+8,1)</f>
        <v>I</v>
      </c>
      <c r="Y44" s="50" t="str">
        <f>MID(VLOOKUP($A44,Seqs!$A:$B,2,FALSE),VLOOKUP($A44,'SegEnds_NonXtal_Prot#'!A:AL,10,FALSE)+9,1)</f>
        <v>P</v>
      </c>
      <c r="Z44" s="50" t="str">
        <f>MID(VLOOKUP($A44,Seqs!$A:$B,2,FALSE),VLOOKUP($A44,'SegEnds_NonXtal_Prot#'!A:AL,10,FALSE)+10,1)</f>
        <v>L</v>
      </c>
      <c r="AA44" s="28" t="str">
        <f>MID(VLOOKUP($A44,Seqs!$A:$B,2,FALSE),VLOOKUP($A44,'SegEnds_NonXtal_Prot#'!$A:$AL,22,FALSE)+6,1)</f>
        <v>V</v>
      </c>
      <c r="AB44" s="50" t="str">
        <f>MID(VLOOKUP($A44,Seqs!$A:$B,2,FALSE),VLOOKUP($A44,'SegEnds_NonXtal_Prot#'!$A:$AL,22,FALSE)+7,1)</f>
        <v>N</v>
      </c>
      <c r="AC44" s="50" t="str">
        <f>MID(VLOOKUP($A44,Seqs!$A:$B,2,FALSE),VLOOKUP($A44,'SegEnds_NonXtal_Prot#'!$A:$AL,22,FALSE)+8,1)</f>
        <v>G</v>
      </c>
      <c r="AD44" s="50" t="str">
        <f>MID(VLOOKUP($A44,Seqs!$A:$B,2,FALSE),VLOOKUP($A44,'SegEnds_NonXtal_Prot#'!$A:$AL,22,FALSE)+9,1)</f>
        <v>P</v>
      </c>
      <c r="AE44" s="50" t="str">
        <f>MID(VLOOKUP($A44,Seqs!$A:$B,2,FALSE),VLOOKUP($A44,'SegEnds_NonXtal_Prot#'!$A:$AL,22,FALSE)+10,1)</f>
        <v>M</v>
      </c>
      <c r="AF44" s="28" t="str">
        <f>MID(VLOOKUP($A44,Seqs!$A:$B,2,FALSE),VLOOKUP($A44,'SegEnds_NonXtal_Prot#'!$A:$AL,28,FALSE)-4,1)</f>
        <v>E</v>
      </c>
      <c r="AG44" s="50" t="str">
        <f>MID(VLOOKUP($A44,Seqs!$A:$B,2,FALSE),VLOOKUP($A44,'SegEnds_NonXtal_Prot#'!$A:$AL,28,FALSE),1)</f>
        <v>P</v>
      </c>
    </row>
    <row r="45" spans="1:33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F45" s="2" t="s">
        <v>5</v>
      </c>
      <c r="G45" s="4"/>
      <c r="Q45" s="2" t="s">
        <v>9</v>
      </c>
      <c r="S45" s="4" t="s">
        <v>12</v>
      </c>
      <c r="U45" s="28" t="str">
        <f>MID(VLOOKUP($A45,Seqs!$A:$B,2,FALSE),VLOOKUP($A45,'SegEnds_NonXtal_Prot#'!A:AL,10,FALSE),1)</f>
        <v>D</v>
      </c>
      <c r="V45" s="50" t="str">
        <f>MID(VLOOKUP($A45,Seqs!$A:$B,2,FALSE),VLOOKUP($A45,'SegEnds_NonXtal_Prot#'!A:AL,10,FALSE)+6,1)</f>
        <v>F</v>
      </c>
      <c r="W45" s="50" t="str">
        <f>MID(VLOOKUP($A45,Seqs!$A:$B,2,FALSE),VLOOKUP($A45,'SegEnds_NonXtal_Prot#'!A:AL,10,FALSE)+7,1)</f>
        <v>S</v>
      </c>
      <c r="X45" s="50" t="str">
        <f>MID(VLOOKUP($A45,Seqs!$A:$B,2,FALSE),VLOOKUP($A45,'SegEnds_NonXtal_Prot#'!A:AL,10,FALSE)+8,1)</f>
        <v>M</v>
      </c>
      <c r="Y45" s="50" t="str">
        <f>MID(VLOOKUP($A45,Seqs!$A:$B,2,FALSE),VLOOKUP($A45,'SegEnds_NonXtal_Prot#'!A:AL,10,FALSE)+9,1)</f>
        <v>N</v>
      </c>
      <c r="Z45" s="50" t="str">
        <f>MID(VLOOKUP($A45,Seqs!$A:$B,2,FALSE),VLOOKUP($A45,'SegEnds_NonXtal_Prot#'!A:AL,10,FALSE)+10,1)</f>
        <v>L</v>
      </c>
      <c r="AA45" s="28" t="str">
        <f>MID(VLOOKUP($A45,Seqs!$A:$B,2,FALSE),VLOOKUP($A45,'SegEnds_NonXtal_Prot#'!$A:$AL,22,FALSE)+6,1)</f>
        <v>L</v>
      </c>
      <c r="AB45" s="50" t="str">
        <f>MID(VLOOKUP($A45,Seqs!$A:$B,2,FALSE),VLOOKUP($A45,'SegEnds_NonXtal_Prot#'!$A:$AL,22,FALSE)+7,1)</f>
        <v>W</v>
      </c>
      <c r="AC45" s="50" t="str">
        <f>MID(VLOOKUP($A45,Seqs!$A:$B,2,FALSE),VLOOKUP($A45,'SegEnds_NonXtal_Prot#'!$A:$AL,22,FALSE)+8,1)</f>
        <v>A</v>
      </c>
      <c r="AD45" s="50" t="str">
        <f>MID(VLOOKUP($A45,Seqs!$A:$B,2,FALSE),VLOOKUP($A45,'SegEnds_NonXtal_Prot#'!$A:$AL,22,FALSE)+9,1)</f>
        <v>P</v>
      </c>
      <c r="AE45" s="50" t="str">
        <f>MID(VLOOKUP($A45,Seqs!$A:$B,2,FALSE),VLOOKUP($A45,'SegEnds_NonXtal_Prot#'!$A:$AL,22,FALSE)+10,1)</f>
        <v>A</v>
      </c>
      <c r="AF45" s="28" t="str">
        <f>MID(VLOOKUP($A45,Seqs!$A:$B,2,FALSE),VLOOKUP($A45,'SegEnds_NonXtal_Prot#'!$A:$AL,28,FALSE)-4,1)</f>
        <v>A</v>
      </c>
      <c r="AG45" s="50" t="str">
        <f>MID(VLOOKUP($A45,Seqs!$A:$B,2,FALSE),VLOOKUP($A45,'SegEnds_NonXtal_Prot#'!$A:$AL,28,FALSE),1)</f>
        <v>P</v>
      </c>
    </row>
    <row r="46" spans="1:33" s="2" customFormat="1" x14ac:dyDescent="0.2">
      <c r="A46" s="2" t="s">
        <v>228</v>
      </c>
      <c r="B46" s="2" t="str">
        <f>LOWER(VLOOKUP(A46,Xtal_Templ!A:B,2,FALSE))</f>
        <v>ox2r_human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G46" s="4"/>
      <c r="S46" s="4" t="s">
        <v>12</v>
      </c>
      <c r="U46" s="28" t="str">
        <f>MID(VLOOKUP($A46,Seqs!$A:$B,2,FALSE),VLOOKUP($A46,'SegEnds_NonXtal_Prot#'!A:AL,10,FALSE),1)</f>
        <v>T</v>
      </c>
      <c r="V46" s="50" t="str">
        <f>MID(VLOOKUP($A46,Seqs!$A:$B,2,FALSE),VLOOKUP($A46,'SegEnds_NonXtal_Prot#'!A:AL,10,FALSE)+6,1)</f>
        <v>A</v>
      </c>
      <c r="W46" s="50" t="str">
        <f>MID(VLOOKUP($A46,Seqs!$A:$B,2,FALSE),VLOOKUP($A46,'SegEnds_NonXtal_Prot#'!A:AL,10,FALSE)+7,1)</f>
        <v>V</v>
      </c>
      <c r="X46" s="50" t="str">
        <f>MID(VLOOKUP($A46,Seqs!$A:$B,2,FALSE),VLOOKUP($A46,'SegEnds_NonXtal_Prot#'!A:AL,10,FALSE)+8,1)</f>
        <v>P</v>
      </c>
      <c r="Y46" s="50" t="str">
        <f>MID(VLOOKUP($A46,Seqs!$A:$B,2,FALSE),VLOOKUP($A46,'SegEnds_NonXtal_Prot#'!A:AL,10,FALSE)+9,1)</f>
        <v>L</v>
      </c>
      <c r="Z46" s="50" t="str">
        <f>MID(VLOOKUP($A46,Seqs!$A:$B,2,FALSE),VLOOKUP($A46,'SegEnds_NonXtal_Prot#'!A:AL,10,FALSE)+10,1)</f>
        <v>T</v>
      </c>
      <c r="AA46" s="28" t="str">
        <f>MID(VLOOKUP($A46,Seqs!$A:$B,2,FALSE),VLOOKUP($A46,'SegEnds_NonXtal_Prot#'!$A:$AL,22,FALSE)+6,1)</f>
        <v>L</v>
      </c>
      <c r="AB46" s="50" t="str">
        <f>MID(VLOOKUP($A46,Seqs!$A:$B,2,FALSE),VLOOKUP($A46,'SegEnds_NonXtal_Prot#'!$A:$AL,22,FALSE)+7,1)</f>
        <v>S</v>
      </c>
      <c r="AC46" s="50" t="str">
        <f>MID(VLOOKUP($A46,Seqs!$A:$B,2,FALSE),VLOOKUP($A46,'SegEnds_NonXtal_Prot#'!$A:$AL,22,FALSE)+8,1)</f>
        <v>T</v>
      </c>
      <c r="AD46" s="50" t="str">
        <f>MID(VLOOKUP($A46,Seqs!$A:$B,2,FALSE),VLOOKUP($A46,'SegEnds_NonXtal_Prot#'!$A:$AL,22,FALSE)+9,1)</f>
        <v>L</v>
      </c>
      <c r="AE46" s="50" t="str">
        <f>MID(VLOOKUP($A46,Seqs!$A:$B,2,FALSE),VLOOKUP($A46,'SegEnds_NonXtal_Prot#'!$A:$AL,22,FALSE)+10,1)</f>
        <v>P</v>
      </c>
      <c r="AF46" s="28" t="str">
        <f>MID(VLOOKUP($A46,Seqs!$A:$B,2,FALSE),VLOOKUP($A46,'SegEnds_NonXtal_Prot#'!$A:$AL,28,FALSE)-4,1)</f>
        <v>L</v>
      </c>
      <c r="AG46" s="50" t="str">
        <f>MID(VLOOKUP($A46,Seqs!$A:$B,2,FALSE),VLOOKUP($A46,'SegEnds_NonXtal_Prot#'!$A:$AL,28,FALSE),1)</f>
        <v>I</v>
      </c>
    </row>
    <row r="47" spans="1:33" s="2" customFormat="1" x14ac:dyDescent="0.2">
      <c r="A47" s="2" t="s">
        <v>134</v>
      </c>
      <c r="B47" s="2" t="str">
        <f>LOWER(VLOOKUP(A47,Xtal_Templ!A:B,2,FALSE))</f>
        <v>adrb2_human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F47" s="2" t="s">
        <v>5</v>
      </c>
      <c r="G47" s="4"/>
      <c r="Q47" s="2" t="s">
        <v>9</v>
      </c>
      <c r="S47" s="4" t="s">
        <v>12</v>
      </c>
      <c r="U47" s="28" t="str">
        <f>MID(VLOOKUP($A47,Seqs!$A:$B,2,FALSE),VLOOKUP($A47,'SegEnds_NonXtal_Prot#'!A:AL,10,FALSE),1)</f>
        <v>D</v>
      </c>
      <c r="V47" s="50" t="str">
        <f>MID(VLOOKUP($A47,Seqs!$A:$B,2,FALSE),VLOOKUP($A47,'SegEnds_NonXtal_Prot#'!A:AL,10,FALSE)+6,1)</f>
        <v>L</v>
      </c>
      <c r="W47" s="50" t="str">
        <f>MID(VLOOKUP($A47,Seqs!$A:$B,2,FALSE),VLOOKUP($A47,'SegEnds_NonXtal_Prot#'!A:AL,10,FALSE)+7,1)</f>
        <v>V</v>
      </c>
      <c r="X47" s="50" t="str">
        <f>MID(VLOOKUP($A47,Seqs!$A:$B,2,FALSE),VLOOKUP($A47,'SegEnds_NonXtal_Prot#'!A:AL,10,FALSE)+8,1)</f>
        <v>M</v>
      </c>
      <c r="Y47" s="50" t="str">
        <f>MID(VLOOKUP($A47,Seqs!$A:$B,2,FALSE),VLOOKUP($A47,'SegEnds_NonXtal_Prot#'!A:AL,10,FALSE)+9,1)</f>
        <v>P</v>
      </c>
      <c r="Z47" s="50" t="str">
        <f>MID(VLOOKUP($A47,Seqs!$A:$B,2,FALSE),VLOOKUP($A47,'SegEnds_NonXtal_Prot#'!A:AL,10,FALSE)+10,1)</f>
        <v>F</v>
      </c>
      <c r="AA47" s="28" t="str">
        <f>MID(VLOOKUP($A47,Seqs!$A:$B,2,FALSE),VLOOKUP($A47,'SegEnds_NonXtal_Prot#'!$A:$AL,22,FALSE)+6,1)</f>
        <v>I</v>
      </c>
      <c r="AB47" s="50" t="str">
        <f>MID(VLOOKUP($A47,Seqs!$A:$B,2,FALSE),VLOOKUP($A47,'SegEnds_NonXtal_Prot#'!$A:$AL,22,FALSE)+7,1)</f>
        <v>S</v>
      </c>
      <c r="AC47" s="50" t="str">
        <f>MID(VLOOKUP($A47,Seqs!$A:$B,2,FALSE),VLOOKUP($A47,'SegEnds_NonXtal_Prot#'!$A:$AL,22,FALSE)+8,1)</f>
        <v>F</v>
      </c>
      <c r="AD47" s="50" t="str">
        <f>MID(VLOOKUP($A47,Seqs!$A:$B,2,FALSE),VLOOKUP($A47,'SegEnds_NonXtal_Prot#'!$A:$AL,22,FALSE)+9,1)</f>
        <v>L</v>
      </c>
      <c r="AE47" s="50" t="str">
        <f>MID(VLOOKUP($A47,Seqs!$A:$B,2,FALSE),VLOOKUP($A47,'SegEnds_NonXtal_Prot#'!$A:$AL,22,FALSE)+10,1)</f>
        <v>P</v>
      </c>
      <c r="AF47" s="28" t="str">
        <f>MID(VLOOKUP($A47,Seqs!$A:$B,2,FALSE),VLOOKUP($A47,'SegEnds_NonXtal_Prot#'!$A:$AL,28,FALSE)-4,1)</f>
        <v>A</v>
      </c>
      <c r="AG47" s="50" t="str">
        <f>MID(VLOOKUP($A47,Seqs!$A:$B,2,FALSE),VLOOKUP($A47,'SegEnds_NonXtal_Prot#'!$A:$AL,28,FALSE),1)</f>
        <v>P</v>
      </c>
    </row>
    <row r="48" spans="1:33" s="2" customFormat="1" x14ac:dyDescent="0.2">
      <c r="A48" s="2" t="s">
        <v>136</v>
      </c>
      <c r="B48" s="2" t="str">
        <f>LOWER(VLOOKUP(A48,Xtal_Templ!A:B,2,FALSE))</f>
        <v>5ht2b_human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F48" s="2" t="s">
        <v>5</v>
      </c>
      <c r="G48" s="4"/>
      <c r="Q48" s="2" t="s">
        <v>9</v>
      </c>
      <c r="S48" s="4" t="s">
        <v>12</v>
      </c>
      <c r="U48" s="28" t="str">
        <f>MID(VLOOKUP($A48,Seqs!$A:$B,2,FALSE),VLOOKUP($A48,'SegEnds_NonXtal_Prot#'!A:AL,10,FALSE),1)</f>
        <v>D</v>
      </c>
      <c r="V48" s="50" t="str">
        <f>MID(VLOOKUP($A48,Seqs!$A:$B,2,FALSE),VLOOKUP($A48,'SegEnds_NonXtal_Prot#'!A:AL,10,FALSE)+6,1)</f>
        <v>V</v>
      </c>
      <c r="W48" s="50" t="str">
        <f>MID(VLOOKUP($A48,Seqs!$A:$B,2,FALSE),VLOOKUP($A48,'SegEnds_NonXtal_Prot#'!A:AL,10,FALSE)+7,1)</f>
        <v>V</v>
      </c>
      <c r="X48" s="50" t="str">
        <f>MID(VLOOKUP($A48,Seqs!$A:$B,2,FALSE),VLOOKUP($A48,'SegEnds_NonXtal_Prot#'!A:AL,10,FALSE)+8,1)</f>
        <v>M</v>
      </c>
      <c r="Y48" s="50" t="str">
        <f>MID(VLOOKUP($A48,Seqs!$A:$B,2,FALSE),VLOOKUP($A48,'SegEnds_NonXtal_Prot#'!A:AL,10,FALSE)+9,1)</f>
        <v>P</v>
      </c>
      <c r="Z48" s="50" t="str">
        <f>MID(VLOOKUP($A48,Seqs!$A:$B,2,FALSE),VLOOKUP($A48,'SegEnds_NonXtal_Prot#'!A:AL,10,FALSE)+10,1)</f>
        <v>P</v>
      </c>
      <c r="AA48" s="28" t="str">
        <f>MID(VLOOKUP($A48,Seqs!$A:$B,2,FALSE),VLOOKUP($A48,'SegEnds_NonXtal_Prot#'!$A:$AL,22,FALSE)+6,1)</f>
        <v>A</v>
      </c>
      <c r="AB48" s="50" t="str">
        <f>MID(VLOOKUP($A48,Seqs!$A:$B,2,FALSE),VLOOKUP($A48,'SegEnds_NonXtal_Prot#'!$A:$AL,22,FALSE)+7,1)</f>
        <v>S</v>
      </c>
      <c r="AC48" s="50" t="str">
        <f>MID(VLOOKUP($A48,Seqs!$A:$B,2,FALSE),VLOOKUP($A48,'SegEnds_NonXtal_Prot#'!$A:$AL,22,FALSE)+8,1)</f>
        <v>F</v>
      </c>
      <c r="AD48" s="50" t="str">
        <f>MID(VLOOKUP($A48,Seqs!$A:$B,2,FALSE),VLOOKUP($A48,'SegEnds_NonXtal_Prot#'!$A:$AL,22,FALSE)+9,1)</f>
        <v>L</v>
      </c>
      <c r="AE48" s="50" t="str">
        <f>MID(VLOOKUP($A48,Seqs!$A:$B,2,FALSE),VLOOKUP($A48,'SegEnds_NonXtal_Prot#'!$A:$AL,22,FALSE)+10,1)</f>
        <v>P</v>
      </c>
      <c r="AF48" s="28" t="str">
        <f>MID(VLOOKUP($A48,Seqs!$A:$B,2,FALSE),VLOOKUP($A48,'SegEnds_NonXtal_Prot#'!$A:$AL,28,FALSE)-4,1)</f>
        <v>T</v>
      </c>
      <c r="AG48" s="50" t="str">
        <f>MID(VLOOKUP($A48,Seqs!$A:$B,2,FALSE),VLOOKUP($A48,'SegEnds_NonXtal_Prot#'!$A:$AL,28,FALSE),1)</f>
        <v>P</v>
      </c>
    </row>
    <row r="49" spans="1:33" s="2" customFormat="1" x14ac:dyDescent="0.2">
      <c r="A49" s="2" t="s">
        <v>153</v>
      </c>
      <c r="B49" s="2" t="str">
        <f>LOWER(VLOOKUP(A49,Xtal_Templ!A:B,2,FALSE))</f>
        <v>drd3_human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F49" s="2" t="s">
        <v>5</v>
      </c>
      <c r="G49" s="4"/>
      <c r="Q49" s="2" t="s">
        <v>9</v>
      </c>
      <c r="S49" s="4" t="s">
        <v>12</v>
      </c>
      <c r="U49" s="28" t="str">
        <f>MID(VLOOKUP($A49,Seqs!$A:$B,2,FALSE),VLOOKUP($A49,'SegEnds_NonXtal_Prot#'!A:AL,10,FALSE),1)</f>
        <v>D</v>
      </c>
      <c r="V49" s="50" t="str">
        <f>MID(VLOOKUP($A49,Seqs!$A:$B,2,FALSE),VLOOKUP($A49,'SegEnds_NonXtal_Prot#'!A:AL,10,FALSE)+6,1)</f>
        <v>T</v>
      </c>
      <c r="W49" s="50" t="str">
        <f>MID(VLOOKUP($A49,Seqs!$A:$B,2,FALSE),VLOOKUP($A49,'SegEnds_NonXtal_Prot#'!A:AL,10,FALSE)+7,1)</f>
        <v>V</v>
      </c>
      <c r="X49" s="50" t="str">
        <f>MID(VLOOKUP($A49,Seqs!$A:$B,2,FALSE),VLOOKUP($A49,'SegEnds_NonXtal_Prot#'!A:AL,10,FALSE)+8,1)</f>
        <v>L</v>
      </c>
      <c r="Y49" s="50" t="str">
        <f>MID(VLOOKUP($A49,Seqs!$A:$B,2,FALSE),VLOOKUP($A49,'SegEnds_NonXtal_Prot#'!A:AL,10,FALSE)+9,1)</f>
        <v>P</v>
      </c>
      <c r="Z49" s="50" t="str">
        <f>MID(VLOOKUP($A49,Seqs!$A:$B,2,FALSE),VLOOKUP($A49,'SegEnds_NonXtal_Prot#'!A:AL,10,FALSE)+10,1)</f>
        <v>F</v>
      </c>
      <c r="AA49" s="28" t="str">
        <f>MID(VLOOKUP($A49,Seqs!$A:$B,2,FALSE),VLOOKUP($A49,'SegEnds_NonXtal_Prot#'!$A:$AL,22,FALSE)+6,1)</f>
        <v>I</v>
      </c>
      <c r="AB49" s="50" t="str">
        <f>MID(VLOOKUP($A49,Seqs!$A:$B,2,FALSE),VLOOKUP($A49,'SegEnds_NonXtal_Prot#'!$A:$AL,22,FALSE)+7,1)</f>
        <v>S</v>
      </c>
      <c r="AC49" s="50" t="str">
        <f>MID(VLOOKUP($A49,Seqs!$A:$B,2,FALSE),VLOOKUP($A49,'SegEnds_NonXtal_Prot#'!$A:$AL,22,FALSE)+8,1)</f>
        <v>I</v>
      </c>
      <c r="AD49" s="50" t="str">
        <f>MID(VLOOKUP($A49,Seqs!$A:$B,2,FALSE),VLOOKUP($A49,'SegEnds_NonXtal_Prot#'!$A:$AL,22,FALSE)+9,1)</f>
        <v>G</v>
      </c>
      <c r="AE49" s="50" t="str">
        <f>MID(VLOOKUP($A49,Seqs!$A:$B,2,FALSE),VLOOKUP($A49,'SegEnds_NonXtal_Prot#'!$A:$AL,22,FALSE)+10,1)</f>
        <v>P</v>
      </c>
      <c r="AF49" s="28" t="str">
        <f>MID(VLOOKUP($A49,Seqs!$A:$B,2,FALSE),VLOOKUP($A49,'SegEnds_NonXtal_Prot#'!$A:$AL,28,FALSE)-4,1)</f>
        <v>S</v>
      </c>
      <c r="AG49" s="50" t="str">
        <f>MID(VLOOKUP($A49,Seqs!$A:$B,2,FALSE),VLOOKUP($A49,'SegEnds_NonXtal_Prot#'!$A:$AL,28,FALSE),1)</f>
        <v>P</v>
      </c>
    </row>
    <row r="50" spans="1:33" s="2" customFormat="1" x14ac:dyDescent="0.2">
      <c r="A50" s="2" t="s">
        <v>154</v>
      </c>
      <c r="B50" s="2" t="str">
        <f>LOWER(VLOOKUP(A50,Xtal_Templ!A:B,2,FALSE))</f>
        <v>adrb2_human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F50" s="2" t="s">
        <v>5</v>
      </c>
      <c r="G50" s="4"/>
      <c r="Q50" s="2" t="s">
        <v>9</v>
      </c>
      <c r="S50" s="4" t="s">
        <v>12</v>
      </c>
      <c r="U50" s="28" t="str">
        <f>MID(VLOOKUP($A50,Seqs!$A:$B,2,FALSE),VLOOKUP($A50,'SegEnds_NonXtal_Prot#'!A:AL,10,FALSE),1)</f>
        <v>D</v>
      </c>
      <c r="V50" s="50" t="str">
        <f>MID(VLOOKUP($A50,Seqs!$A:$B,2,FALSE),VLOOKUP($A50,'SegEnds_NonXtal_Prot#'!A:AL,10,FALSE)+6,1)</f>
        <v>T</v>
      </c>
      <c r="W50" s="50" t="str">
        <f>MID(VLOOKUP($A50,Seqs!$A:$B,2,FALSE),VLOOKUP($A50,'SegEnds_NonXtal_Prot#'!A:AL,10,FALSE)+7,1)</f>
        <v>V</v>
      </c>
      <c r="X50" s="50" t="str">
        <f>MID(VLOOKUP($A50,Seqs!$A:$B,2,FALSE),VLOOKUP($A50,'SegEnds_NonXtal_Prot#'!A:AL,10,FALSE)+8,1)</f>
        <v>L</v>
      </c>
      <c r="Y50" s="50" t="str">
        <f>MID(VLOOKUP($A50,Seqs!$A:$B,2,FALSE),VLOOKUP($A50,'SegEnds_NonXtal_Prot#'!A:AL,10,FALSE)+9,1)</f>
        <v>P</v>
      </c>
      <c r="Z50" s="50" t="str">
        <f>MID(VLOOKUP($A50,Seqs!$A:$B,2,FALSE),VLOOKUP($A50,'SegEnds_NonXtal_Prot#'!A:AL,10,FALSE)+10,1)</f>
        <v>F</v>
      </c>
      <c r="AA50" s="28" t="str">
        <f>MID(VLOOKUP($A50,Seqs!$A:$B,2,FALSE),VLOOKUP($A50,'SegEnds_NonXtal_Prot#'!$A:$AL,22,FALSE)+6,1)</f>
        <v>V</v>
      </c>
      <c r="AB50" s="50" t="str">
        <f>MID(VLOOKUP($A50,Seqs!$A:$B,2,FALSE),VLOOKUP($A50,'SegEnds_NonXtal_Prot#'!$A:$AL,22,FALSE)+7,1)</f>
        <v>S</v>
      </c>
      <c r="AC50" s="50" t="str">
        <f>MID(VLOOKUP($A50,Seqs!$A:$B,2,FALSE),VLOOKUP($A50,'SegEnds_NonXtal_Prot#'!$A:$AL,22,FALSE)+8,1)</f>
        <v>V</v>
      </c>
      <c r="AD50" s="50" t="str">
        <f>MID(VLOOKUP($A50,Seqs!$A:$B,2,FALSE),VLOOKUP($A50,'SegEnds_NonXtal_Prot#'!$A:$AL,22,FALSE)+9,1)</f>
        <v>G</v>
      </c>
      <c r="AE50" s="50" t="str">
        <f>MID(VLOOKUP($A50,Seqs!$A:$B,2,FALSE),VLOOKUP($A50,'SegEnds_NonXtal_Prot#'!$A:$AL,22,FALSE)+10,1)</f>
        <v>P</v>
      </c>
      <c r="AF50" s="28" t="str">
        <f>MID(VLOOKUP($A50,Seqs!$A:$B,2,FALSE),VLOOKUP($A50,'SegEnds_NonXtal_Prot#'!$A:$AL,28,FALSE)-4,1)</f>
        <v>S</v>
      </c>
      <c r="AG50" s="50" t="str">
        <f>MID(VLOOKUP($A50,Seqs!$A:$B,2,FALSE),VLOOKUP($A50,'SegEnds_NonXtal_Prot#'!$A:$AL,28,FALSE),1)</f>
        <v>P</v>
      </c>
    </row>
    <row r="51" spans="1:33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F51" s="2" t="s">
        <v>5</v>
      </c>
      <c r="G51" s="4"/>
      <c r="Q51" s="2" t="s">
        <v>9</v>
      </c>
      <c r="S51" s="4" t="s">
        <v>12</v>
      </c>
      <c r="U51" s="28" t="str">
        <f>MID(VLOOKUP($A51,Seqs!$A:$B,2,FALSE),VLOOKUP($A51,'SegEnds_NonXtal_Prot#'!A:AL,10,FALSE),1)</f>
        <v>D</v>
      </c>
      <c r="V51" s="50" t="str">
        <f>MID(VLOOKUP($A51,Seqs!$A:$B,2,FALSE),VLOOKUP($A51,'SegEnds_NonXtal_Prot#'!A:AL,10,FALSE)+6,1)</f>
        <v>L</v>
      </c>
      <c r="W51" s="50" t="str">
        <f>MID(VLOOKUP($A51,Seqs!$A:$B,2,FALSE),VLOOKUP($A51,'SegEnds_NonXtal_Prot#'!A:AL,10,FALSE)+7,1)</f>
        <v>V</v>
      </c>
      <c r="X51" s="50" t="str">
        <f>MID(VLOOKUP($A51,Seqs!$A:$B,2,FALSE),VLOOKUP($A51,'SegEnds_NonXtal_Prot#'!A:AL,10,FALSE)+8,1)</f>
        <v>V</v>
      </c>
      <c r="Y51" s="50" t="str">
        <f>MID(VLOOKUP($A51,Seqs!$A:$B,2,FALSE),VLOOKUP($A51,'SegEnds_NonXtal_Prot#'!A:AL,10,FALSE)+9,1)</f>
        <v>P</v>
      </c>
      <c r="Z51" s="50" t="str">
        <f>MID(VLOOKUP($A51,Seqs!$A:$B,2,FALSE),VLOOKUP($A51,'SegEnds_NonXtal_Prot#'!A:AL,10,FALSE)+10,1)</f>
        <v>F</v>
      </c>
      <c r="AA51" s="28" t="str">
        <f>MID(VLOOKUP($A51,Seqs!$A:$B,2,FALSE),VLOOKUP($A51,'SegEnds_NonXtal_Prot#'!$A:$AL,22,FALSE)+6,1)</f>
        <v>V</v>
      </c>
      <c r="AB51" s="50" t="str">
        <f>MID(VLOOKUP($A51,Seqs!$A:$B,2,FALSE),VLOOKUP($A51,'SegEnds_NonXtal_Prot#'!$A:$AL,22,FALSE)+7,1)</f>
        <v>S</v>
      </c>
      <c r="AC51" s="50" t="str">
        <f>MID(VLOOKUP($A51,Seqs!$A:$B,2,FALSE),VLOOKUP($A51,'SegEnds_NonXtal_Prot#'!$A:$AL,22,FALSE)+8,1)</f>
        <v>F</v>
      </c>
      <c r="AD51" s="50" t="str">
        <f>MID(VLOOKUP($A51,Seqs!$A:$B,2,FALSE),VLOOKUP($A51,'SegEnds_NonXtal_Prot#'!$A:$AL,22,FALSE)+9,1)</f>
        <v>L</v>
      </c>
      <c r="AE51" s="50" t="str">
        <f>MID(VLOOKUP($A51,Seqs!$A:$B,2,FALSE),VLOOKUP($A51,'SegEnds_NonXtal_Prot#'!$A:$AL,22,FALSE)+10,1)</f>
        <v>P</v>
      </c>
      <c r="AF51" s="28" t="str">
        <f>MID(VLOOKUP($A51,Seqs!$A:$B,2,FALSE),VLOOKUP($A51,'SegEnds_NonXtal_Prot#'!$A:$AL,28,FALSE)-4,1)</f>
        <v>S</v>
      </c>
      <c r="AG51" s="50" t="str">
        <f>MID(VLOOKUP($A51,Seqs!$A:$B,2,FALSE),VLOOKUP($A51,'SegEnds_NonXtal_Prot#'!$A:$AL,28,FALSE),1)</f>
        <v>P</v>
      </c>
    </row>
    <row r="52" spans="1:33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F52" s="2" t="s">
        <v>5</v>
      </c>
      <c r="G52" s="4"/>
      <c r="Q52" s="2" t="s">
        <v>9</v>
      </c>
      <c r="S52" s="4" t="s">
        <v>12</v>
      </c>
      <c r="U52" s="28" t="str">
        <f>MID(VLOOKUP($A52,Seqs!$A:$B,2,FALSE),VLOOKUP($A52,'SegEnds_NonXtal_Prot#'!A:AL,10,FALSE),1)</f>
        <v>D</v>
      </c>
      <c r="V52" s="50" t="str">
        <f>MID(VLOOKUP($A52,Seqs!$A:$B,2,FALSE),VLOOKUP($A52,'SegEnds_NonXtal_Prot#'!A:AL,10,FALSE)+6,1)</f>
        <v>L</v>
      </c>
      <c r="W52" s="50" t="str">
        <f>MID(VLOOKUP($A52,Seqs!$A:$B,2,FALSE),VLOOKUP($A52,'SegEnds_NonXtal_Prot#'!A:AL,10,FALSE)+7,1)</f>
        <v>V</v>
      </c>
      <c r="X52" s="50" t="str">
        <f>MID(VLOOKUP($A52,Seqs!$A:$B,2,FALSE),VLOOKUP($A52,'SegEnds_NonXtal_Prot#'!A:AL,10,FALSE)+8,1)</f>
        <v>V</v>
      </c>
      <c r="Y52" s="50" t="str">
        <f>MID(VLOOKUP($A52,Seqs!$A:$B,2,FALSE),VLOOKUP($A52,'SegEnds_NonXtal_Prot#'!A:AL,10,FALSE)+9,1)</f>
        <v>P</v>
      </c>
      <c r="Z52" s="50" t="str">
        <f>MID(VLOOKUP($A52,Seqs!$A:$B,2,FALSE),VLOOKUP($A52,'SegEnds_NonXtal_Prot#'!A:AL,10,FALSE)+10,1)</f>
        <v>F</v>
      </c>
      <c r="AA52" s="28" t="str">
        <f>MID(VLOOKUP($A52,Seqs!$A:$B,2,FALSE),VLOOKUP($A52,'SegEnds_NonXtal_Prot#'!$A:$AL,22,FALSE)+6,1)</f>
        <v>V</v>
      </c>
      <c r="AB52" s="50" t="str">
        <f>MID(VLOOKUP($A52,Seqs!$A:$B,2,FALSE),VLOOKUP($A52,'SegEnds_NonXtal_Prot#'!$A:$AL,22,FALSE)+7,1)</f>
        <v>S</v>
      </c>
      <c r="AC52" s="50" t="str">
        <f>MID(VLOOKUP($A52,Seqs!$A:$B,2,FALSE),VLOOKUP($A52,'SegEnds_NonXtal_Prot#'!$A:$AL,22,FALSE)+8,1)</f>
        <v>F</v>
      </c>
      <c r="AD52" s="50" t="str">
        <f>MID(VLOOKUP($A52,Seqs!$A:$B,2,FALSE),VLOOKUP($A52,'SegEnds_NonXtal_Prot#'!$A:$AL,22,FALSE)+9,1)</f>
        <v>L</v>
      </c>
      <c r="AE52" s="50" t="str">
        <f>MID(VLOOKUP($A52,Seqs!$A:$B,2,FALSE),VLOOKUP($A52,'SegEnds_NonXtal_Prot#'!$A:$AL,22,FALSE)+10,1)</f>
        <v>P</v>
      </c>
      <c r="AF52" s="28" t="str">
        <f>MID(VLOOKUP($A52,Seqs!$A:$B,2,FALSE),VLOOKUP($A52,'SegEnds_NonXtal_Prot#'!$A:$AL,28,FALSE)-4,1)</f>
        <v>S</v>
      </c>
      <c r="AG52" s="50" t="str">
        <f>MID(VLOOKUP($A52,Seqs!$A:$B,2,FALSE),VLOOKUP($A52,'SegEnds_NonXtal_Prot#'!$A:$AL,28,FALSE),1)</f>
        <v>P</v>
      </c>
    </row>
    <row r="53" spans="1:33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F53" s="2" t="s">
        <v>5</v>
      </c>
      <c r="G53" s="4"/>
      <c r="Q53" s="2" t="s">
        <v>9</v>
      </c>
      <c r="S53" s="4" t="s">
        <v>12</v>
      </c>
      <c r="U53" s="28" t="str">
        <f>MID(VLOOKUP($A53,Seqs!$A:$B,2,FALSE),VLOOKUP($A53,'SegEnds_NonXtal_Prot#'!A:AL,10,FALSE),1)</f>
        <v>D</v>
      </c>
      <c r="V53" s="50" t="str">
        <f>MID(VLOOKUP($A53,Seqs!$A:$B,2,FALSE),VLOOKUP($A53,'SegEnds_NonXtal_Prot#'!A:AL,10,FALSE)+6,1)</f>
        <v>L</v>
      </c>
      <c r="W53" s="50" t="str">
        <f>MID(VLOOKUP($A53,Seqs!$A:$B,2,FALSE),VLOOKUP($A53,'SegEnds_NonXtal_Prot#'!A:AL,10,FALSE)+7,1)</f>
        <v>V</v>
      </c>
      <c r="X53" s="50" t="str">
        <f>MID(VLOOKUP($A53,Seqs!$A:$B,2,FALSE),VLOOKUP($A53,'SegEnds_NonXtal_Prot#'!A:AL,10,FALSE)+8,1)</f>
        <v>V</v>
      </c>
      <c r="Y53" s="50" t="str">
        <f>MID(VLOOKUP($A53,Seqs!$A:$B,2,FALSE),VLOOKUP($A53,'SegEnds_NonXtal_Prot#'!A:AL,10,FALSE)+9,1)</f>
        <v>P</v>
      </c>
      <c r="Z53" s="50" t="str">
        <f>MID(VLOOKUP($A53,Seqs!$A:$B,2,FALSE),VLOOKUP($A53,'SegEnds_NonXtal_Prot#'!A:AL,10,FALSE)+10,1)</f>
        <v>P</v>
      </c>
      <c r="AA53" s="28" t="str">
        <f>MID(VLOOKUP($A53,Seqs!$A:$B,2,FALSE),VLOOKUP($A53,'SegEnds_NonXtal_Prot#'!$A:$AL,22,FALSE)+6,1)</f>
        <v>V</v>
      </c>
      <c r="AB53" s="50" t="str">
        <f>MID(VLOOKUP($A53,Seqs!$A:$B,2,FALSE),VLOOKUP($A53,'SegEnds_NonXtal_Prot#'!$A:$AL,22,FALSE)+7,1)</f>
        <v>S</v>
      </c>
      <c r="AC53" s="50" t="str">
        <f>MID(VLOOKUP($A53,Seqs!$A:$B,2,FALSE),VLOOKUP($A53,'SegEnds_NonXtal_Prot#'!$A:$AL,22,FALSE)+8,1)</f>
        <v>F</v>
      </c>
      <c r="AD53" s="50" t="str">
        <f>MID(VLOOKUP($A53,Seqs!$A:$B,2,FALSE),VLOOKUP($A53,'SegEnds_NonXtal_Prot#'!$A:$AL,22,FALSE)+9,1)</f>
        <v>A</v>
      </c>
      <c r="AE53" s="50" t="str">
        <f>MID(VLOOKUP($A53,Seqs!$A:$B,2,FALSE),VLOOKUP($A53,'SegEnds_NonXtal_Prot#'!$A:$AL,22,FALSE)+10,1)</f>
        <v>P</v>
      </c>
      <c r="AF53" s="28" t="str">
        <f>MID(VLOOKUP($A53,Seqs!$A:$B,2,FALSE),VLOOKUP($A53,'SegEnds_NonXtal_Prot#'!$A:$AL,28,FALSE)-4,1)</f>
        <v>S</v>
      </c>
      <c r="AG53" s="50" t="str">
        <f>MID(VLOOKUP($A53,Seqs!$A:$B,2,FALSE),VLOOKUP($A53,'SegEnds_NonXtal_Prot#'!$A:$AL,28,FALSE),1)</f>
        <v>P</v>
      </c>
    </row>
    <row r="54" spans="1:33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F54" s="2" t="s">
        <v>5</v>
      </c>
      <c r="G54" s="4"/>
      <c r="Q54" s="2" t="s">
        <v>9</v>
      </c>
      <c r="S54" s="4" t="s">
        <v>12</v>
      </c>
      <c r="U54" s="28" t="str">
        <f>MID(VLOOKUP($A54,Seqs!$A:$B,2,FALSE),VLOOKUP($A54,'SegEnds_NonXtal_Prot#'!A:AL,10,FALSE),1)</f>
        <v>D</v>
      </c>
      <c r="V54" s="50" t="str">
        <f>MID(VLOOKUP($A54,Seqs!$A:$B,2,FALSE),VLOOKUP($A54,'SegEnds_NonXtal_Prot#'!A:AL,10,FALSE)+6,1)</f>
        <v>L</v>
      </c>
      <c r="W54" s="50" t="str">
        <f>MID(VLOOKUP($A54,Seqs!$A:$B,2,FALSE),VLOOKUP($A54,'SegEnds_NonXtal_Prot#'!A:AL,10,FALSE)+7,1)</f>
        <v>V</v>
      </c>
      <c r="X54" s="50" t="str">
        <f>MID(VLOOKUP($A54,Seqs!$A:$B,2,FALSE),VLOOKUP($A54,'SegEnds_NonXtal_Prot#'!A:AL,10,FALSE)+8,1)</f>
        <v>M</v>
      </c>
      <c r="Y54" s="50" t="str">
        <f>MID(VLOOKUP($A54,Seqs!$A:$B,2,FALSE),VLOOKUP($A54,'SegEnds_NonXtal_Prot#'!A:AL,10,FALSE)+9,1)</f>
        <v>P</v>
      </c>
      <c r="Z54" s="50" t="str">
        <f>MID(VLOOKUP($A54,Seqs!$A:$B,2,FALSE),VLOOKUP($A54,'SegEnds_NonXtal_Prot#'!A:AL,10,FALSE)+10,1)</f>
        <v>W</v>
      </c>
      <c r="AA54" s="28" t="str">
        <f>MID(VLOOKUP($A54,Seqs!$A:$B,2,FALSE),VLOOKUP($A54,'SegEnds_NonXtal_Prot#'!$A:$AL,22,FALSE)+6,1)</f>
        <v>I</v>
      </c>
      <c r="AB54" s="50" t="str">
        <f>MID(VLOOKUP($A54,Seqs!$A:$B,2,FALSE),VLOOKUP($A54,'SegEnds_NonXtal_Prot#'!$A:$AL,22,FALSE)+7,1)</f>
        <v>S</v>
      </c>
      <c r="AC54" s="50" t="str">
        <f>MID(VLOOKUP($A54,Seqs!$A:$B,2,FALSE),VLOOKUP($A54,'SegEnds_NonXtal_Prot#'!$A:$AL,22,FALSE)+8,1)</f>
        <v>F</v>
      </c>
      <c r="AD54" s="50" t="str">
        <f>MID(VLOOKUP($A54,Seqs!$A:$B,2,FALSE),VLOOKUP($A54,'SegEnds_NonXtal_Prot#'!$A:$AL,22,FALSE)+9,1)</f>
        <v>I</v>
      </c>
      <c r="AE54" s="50" t="str">
        <f>MID(VLOOKUP($A54,Seqs!$A:$B,2,FALSE),VLOOKUP($A54,'SegEnds_NonXtal_Prot#'!$A:$AL,22,FALSE)+10,1)</f>
        <v>P</v>
      </c>
      <c r="AF54" s="28" t="str">
        <f>MID(VLOOKUP($A54,Seqs!$A:$B,2,FALSE),VLOOKUP($A54,'SegEnds_NonXtal_Prot#'!$A:$AL,28,FALSE)-4,1)</f>
        <v>S</v>
      </c>
      <c r="AG54" s="50" t="str">
        <f>MID(VLOOKUP($A54,Seqs!$A:$B,2,FALSE),VLOOKUP($A54,'SegEnds_NonXtal_Prot#'!$A:$AL,28,FALSE),1)</f>
        <v>P</v>
      </c>
    </row>
    <row r="55" spans="1:33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F55" s="2" t="s">
        <v>5</v>
      </c>
      <c r="G55" s="4"/>
      <c r="Q55" s="2" t="s">
        <v>9</v>
      </c>
      <c r="S55" s="4" t="s">
        <v>12</v>
      </c>
      <c r="U55" s="28" t="str">
        <f>MID(VLOOKUP($A55,Seqs!$A:$B,2,FALSE),VLOOKUP($A55,'SegEnds_NonXtal_Prot#'!A:AL,10,FALSE),1)</f>
        <v>D</v>
      </c>
      <c r="V55" s="50" t="str">
        <f>MID(VLOOKUP($A55,Seqs!$A:$B,2,FALSE),VLOOKUP($A55,'SegEnds_NonXtal_Prot#'!A:AL,10,FALSE)+6,1)</f>
        <v>L</v>
      </c>
      <c r="W55" s="50" t="str">
        <f>MID(VLOOKUP($A55,Seqs!$A:$B,2,FALSE),VLOOKUP($A55,'SegEnds_NonXtal_Prot#'!A:AL,10,FALSE)+7,1)</f>
        <v>V</v>
      </c>
      <c r="X55" s="50" t="str">
        <f>MID(VLOOKUP($A55,Seqs!$A:$B,2,FALSE),VLOOKUP($A55,'SegEnds_NonXtal_Prot#'!A:AL,10,FALSE)+8,1)</f>
        <v>M</v>
      </c>
      <c r="Y55" s="50" t="str">
        <f>MID(VLOOKUP($A55,Seqs!$A:$B,2,FALSE),VLOOKUP($A55,'SegEnds_NonXtal_Prot#'!A:AL,10,FALSE)+9,1)</f>
        <v>P</v>
      </c>
      <c r="Z55" s="50" t="str">
        <f>MID(VLOOKUP($A55,Seqs!$A:$B,2,FALSE),VLOOKUP($A55,'SegEnds_NonXtal_Prot#'!A:AL,10,FALSE)+10,1)</f>
        <v>W</v>
      </c>
      <c r="AA55" s="28" t="str">
        <f>MID(VLOOKUP($A55,Seqs!$A:$B,2,FALSE),VLOOKUP($A55,'SegEnds_NonXtal_Prot#'!$A:$AL,22,FALSE)+6,1)</f>
        <v>I</v>
      </c>
      <c r="AB55" s="50" t="str">
        <f>MID(VLOOKUP($A55,Seqs!$A:$B,2,FALSE),VLOOKUP($A55,'SegEnds_NonXtal_Prot#'!$A:$AL,22,FALSE)+7,1)</f>
        <v>S</v>
      </c>
      <c r="AC55" s="50" t="str">
        <f>MID(VLOOKUP($A55,Seqs!$A:$B,2,FALSE),VLOOKUP($A55,'SegEnds_NonXtal_Prot#'!$A:$AL,22,FALSE)+8,1)</f>
        <v>F</v>
      </c>
      <c r="AD55" s="50" t="str">
        <f>MID(VLOOKUP($A55,Seqs!$A:$B,2,FALSE),VLOOKUP($A55,'SegEnds_NonXtal_Prot#'!$A:$AL,22,FALSE)+9,1)</f>
        <v>I</v>
      </c>
      <c r="AE55" s="50" t="str">
        <f>MID(VLOOKUP($A55,Seqs!$A:$B,2,FALSE),VLOOKUP($A55,'SegEnds_NonXtal_Prot#'!$A:$AL,22,FALSE)+10,1)</f>
        <v>P</v>
      </c>
      <c r="AF55" s="28" t="str">
        <f>MID(VLOOKUP($A55,Seqs!$A:$B,2,FALSE),VLOOKUP($A55,'SegEnds_NonXtal_Prot#'!$A:$AL,28,FALSE)-4,1)</f>
        <v>S</v>
      </c>
      <c r="AG55" s="50" t="str">
        <f>MID(VLOOKUP($A55,Seqs!$A:$B,2,FALSE),VLOOKUP($A55,'SegEnds_NonXtal_Prot#'!$A:$AL,28,FALSE),1)</f>
        <v>P</v>
      </c>
    </row>
    <row r="56" spans="1:33" s="2" customFormat="1" x14ac:dyDescent="0.2">
      <c r="A56" s="2" t="s">
        <v>212</v>
      </c>
      <c r="B56" s="2" t="str">
        <f>LOWER(VLOOKUP(A56,Xtal_Templ!A:B,2,FALSE))</f>
        <v>ccr5_human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F56" s="2" t="s">
        <v>5</v>
      </c>
      <c r="G56" s="4"/>
      <c r="S56" s="4" t="s">
        <v>12</v>
      </c>
      <c r="U56" s="28" t="str">
        <f>MID(VLOOKUP($A56,Seqs!$A:$B,2,FALSE),VLOOKUP($A56,'SegEnds_NonXtal_Prot#'!A:AL,10,FALSE),1)</f>
        <v>D</v>
      </c>
      <c r="V56" s="50" t="str">
        <f>MID(VLOOKUP($A56,Seqs!$A:$B,2,FALSE),VLOOKUP($A56,'SegEnds_NonXtal_Prot#'!A:AL,10,FALSE)+6,1)</f>
        <v>L</v>
      </c>
      <c r="W56" s="50" t="str">
        <f>MID(VLOOKUP($A56,Seqs!$A:$B,2,FALSE),VLOOKUP($A56,'SegEnds_NonXtal_Prot#'!A:AL,10,FALSE)+7,1)</f>
        <v>V</v>
      </c>
      <c r="X56" s="50" t="str">
        <f>MID(VLOOKUP($A56,Seqs!$A:$B,2,FALSE),VLOOKUP($A56,'SegEnds_NonXtal_Prot#'!A:AL,10,FALSE)+8,1)</f>
        <v>A</v>
      </c>
      <c r="Y56" s="50" t="str">
        <f>MID(VLOOKUP($A56,Seqs!$A:$B,2,FALSE),VLOOKUP($A56,'SegEnds_NonXtal_Prot#'!A:AL,10,FALSE)+9,1)</f>
        <v>P</v>
      </c>
      <c r="Z56" s="50" t="str">
        <f>MID(VLOOKUP($A56,Seqs!$A:$B,2,FALSE),VLOOKUP($A56,'SegEnds_NonXtal_Prot#'!A:AL,10,FALSE)+10,1)</f>
        <v>W</v>
      </c>
      <c r="AA56" s="28" t="str">
        <f>MID(VLOOKUP($A56,Seqs!$A:$B,2,FALSE),VLOOKUP($A56,'SegEnds_NonXtal_Prot#'!$A:$AL,22,FALSE)+6,1)</f>
        <v>Q</v>
      </c>
      <c r="AB56" s="50" t="str">
        <f>MID(VLOOKUP($A56,Seqs!$A:$B,2,FALSE),VLOOKUP($A56,'SegEnds_NonXtal_Prot#'!$A:$AL,22,FALSE)+7,1)</f>
        <v>S</v>
      </c>
      <c r="AC56" s="50" t="str">
        <f>MID(VLOOKUP($A56,Seqs!$A:$B,2,FALSE),VLOOKUP($A56,'SegEnds_NonXtal_Prot#'!$A:$AL,22,FALSE)+8,1)</f>
        <v>T</v>
      </c>
      <c r="AD56" s="50" t="str">
        <f>MID(VLOOKUP($A56,Seqs!$A:$B,2,FALSE),VLOOKUP($A56,'SegEnds_NonXtal_Prot#'!$A:$AL,22,FALSE)+9,1)</f>
        <v>P</v>
      </c>
      <c r="AE56" s="50" t="str">
        <f>MID(VLOOKUP($A56,Seqs!$A:$B,2,FALSE),VLOOKUP($A56,'SegEnds_NonXtal_Prot#'!$A:$AL,22,FALSE)+10,1)</f>
        <v>P</v>
      </c>
      <c r="AF56" s="28" t="str">
        <f>MID(VLOOKUP($A56,Seqs!$A:$B,2,FALSE),VLOOKUP($A56,'SegEnds_NonXtal_Prot#'!$A:$AL,28,FALSE)-4,1)</f>
        <v>F</v>
      </c>
      <c r="AG56" s="50" t="str">
        <f>MID(VLOOKUP($A56,Seqs!$A:$B,2,FALSE),VLOOKUP($A56,'SegEnds_NonXtal_Prot#'!$A:$AL,28,FALSE),1)</f>
        <v>P</v>
      </c>
    </row>
    <row r="57" spans="1:33" s="2" customFormat="1" x14ac:dyDescent="0.2">
      <c r="A57" s="2" t="s">
        <v>259</v>
      </c>
      <c r="B57" s="2" t="str">
        <f>LOWER(VLOOKUP(A57,Xtal_Templ!A:B,2,FALSE))</f>
        <v>5ht1b_human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F57" s="2" t="s">
        <v>5</v>
      </c>
      <c r="G57" s="4"/>
      <c r="M57" s="2" t="s">
        <v>14</v>
      </c>
      <c r="Q57" s="2" t="s">
        <v>9</v>
      </c>
      <c r="S57" s="4" t="s">
        <v>12</v>
      </c>
      <c r="U57" s="28" t="str">
        <f>MID(VLOOKUP($A57,Seqs!$A:$B,2,FALSE),VLOOKUP($A57,'SegEnds_NonXtal_Prot#'!A:AL,10,FALSE),1)</f>
        <v>D</v>
      </c>
      <c r="V57" s="50" t="str">
        <f>MID(VLOOKUP($A57,Seqs!$A:$B,2,FALSE),VLOOKUP($A57,'SegEnds_NonXtal_Prot#'!A:AL,10,FALSE)+6,1)</f>
        <v>C</v>
      </c>
      <c r="W57" s="50" t="str">
        <f>MID(VLOOKUP($A57,Seqs!$A:$B,2,FALSE),VLOOKUP($A57,'SegEnds_NonXtal_Prot#'!A:AL,10,FALSE)+7,1)</f>
        <v>C</v>
      </c>
      <c r="X57" s="50" t="str">
        <f>MID(VLOOKUP($A57,Seqs!$A:$B,2,FALSE),VLOOKUP($A57,'SegEnds_NonXtal_Prot#'!A:AL,10,FALSE)+8,1)</f>
        <v>M</v>
      </c>
      <c r="Y57" s="50" t="str">
        <f>MID(VLOOKUP($A57,Seqs!$A:$B,2,FALSE),VLOOKUP($A57,'SegEnds_NonXtal_Prot#'!A:AL,10,FALSE)+9,1)</f>
        <v>P</v>
      </c>
      <c r="Z57" s="50" t="str">
        <f>MID(VLOOKUP($A57,Seqs!$A:$B,2,FALSE),VLOOKUP($A57,'SegEnds_NonXtal_Prot#'!A:AL,10,FALSE)+10,1)</f>
        <v>F</v>
      </c>
      <c r="AA57" s="28" t="str">
        <f>MID(VLOOKUP($A57,Seqs!$A:$B,2,FALSE),VLOOKUP($A57,'SegEnds_NonXtal_Prot#'!$A:$AL,22,FALSE)+6,1)</f>
        <v>I</v>
      </c>
      <c r="AB57" s="50" t="str">
        <f>MID(VLOOKUP($A57,Seqs!$A:$B,2,FALSE),VLOOKUP($A57,'SegEnds_NonXtal_Prot#'!$A:$AL,22,FALSE)+7,1)</f>
        <v>A</v>
      </c>
      <c r="AC57" s="50" t="str">
        <f>MID(VLOOKUP($A57,Seqs!$A:$B,2,FALSE),VLOOKUP($A57,'SegEnds_NonXtal_Prot#'!$A:$AL,22,FALSE)+8,1)</f>
        <v>G</v>
      </c>
      <c r="AD57" s="50" t="str">
        <f>MID(VLOOKUP($A57,Seqs!$A:$B,2,FALSE),VLOOKUP($A57,'SegEnds_NonXtal_Prot#'!$A:$AL,22,FALSE)+9,1)</f>
        <v>P</v>
      </c>
      <c r="AE57" s="50" t="str">
        <f>MID(VLOOKUP($A57,Seqs!$A:$B,2,FALSE),VLOOKUP($A57,'SegEnds_NonXtal_Prot#'!$A:$AL,22,FALSE)+10,1)</f>
        <v>S</v>
      </c>
      <c r="AF57" s="28" t="str">
        <f>MID(VLOOKUP($A57,Seqs!$A:$B,2,FALSE),VLOOKUP($A57,'SegEnds_NonXtal_Prot#'!$A:$AL,28,FALSE)-4,1)</f>
        <v>V</v>
      </c>
      <c r="AG57" s="50" t="str">
        <f>MID(VLOOKUP($A57,Seqs!$A:$B,2,FALSE),VLOOKUP($A57,'SegEnds_NonXtal_Prot#'!$A:$AL,28,FALSE),1)</f>
        <v>P</v>
      </c>
    </row>
    <row r="58" spans="1:33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F58" s="2" t="s">
        <v>5</v>
      </c>
      <c r="G58" s="4"/>
      <c r="Q58" s="2" t="s">
        <v>9</v>
      </c>
      <c r="S58" s="4" t="s">
        <v>12</v>
      </c>
      <c r="U58" s="28" t="str">
        <f>MID(VLOOKUP($A58,Seqs!$A:$B,2,FALSE),VLOOKUP($A58,'SegEnds_NonXtal_Prot#'!A:AL,10,FALSE),1)</f>
        <v>D</v>
      </c>
      <c r="V58" s="50" t="str">
        <f>MID(VLOOKUP($A58,Seqs!$A:$B,2,FALSE),VLOOKUP($A58,'SegEnds_NonXtal_Prot#'!A:AL,10,FALSE)+6,1)</f>
        <v>L</v>
      </c>
      <c r="W58" s="50" t="str">
        <f>MID(VLOOKUP($A58,Seqs!$A:$B,2,FALSE),VLOOKUP($A58,'SegEnds_NonXtal_Prot#'!A:AL,10,FALSE)+7,1)</f>
        <v>V</v>
      </c>
      <c r="X58" s="50" t="str">
        <f>MID(VLOOKUP($A58,Seqs!$A:$B,2,FALSE),VLOOKUP($A58,'SegEnds_NonXtal_Prot#'!A:AL,10,FALSE)+8,1)</f>
        <v>L</v>
      </c>
      <c r="Y58" s="50" t="str">
        <f>MID(VLOOKUP($A58,Seqs!$A:$B,2,FALSE),VLOOKUP($A58,'SegEnds_NonXtal_Prot#'!A:AL,10,FALSE)+9,1)</f>
        <v>P</v>
      </c>
      <c r="Z58" s="50" t="str">
        <f>MID(VLOOKUP($A58,Seqs!$A:$B,2,FALSE),VLOOKUP($A58,'SegEnds_NonXtal_Prot#'!A:AL,10,FALSE)+10,1)</f>
        <v>F</v>
      </c>
      <c r="AA58" s="28" t="str">
        <f>MID(VLOOKUP($A58,Seqs!$A:$B,2,FALSE),VLOOKUP($A58,'SegEnds_NonXtal_Prot#'!$A:$AL,22,FALSE)+6,1)</f>
        <v>L</v>
      </c>
      <c r="AB58" s="50" t="str">
        <f>MID(VLOOKUP($A58,Seqs!$A:$B,2,FALSE),VLOOKUP($A58,'SegEnds_NonXtal_Prot#'!$A:$AL,22,FALSE)+7,1)</f>
        <v>S</v>
      </c>
      <c r="AC58" s="50" t="str">
        <f>MID(VLOOKUP($A58,Seqs!$A:$B,2,FALSE),VLOOKUP($A58,'SegEnds_NonXtal_Prot#'!$A:$AL,22,FALSE)+8,1)</f>
        <v>F</v>
      </c>
      <c r="AD58" s="50" t="str">
        <f>MID(VLOOKUP($A58,Seqs!$A:$B,2,FALSE),VLOOKUP($A58,'SegEnds_NonXtal_Prot#'!$A:$AL,22,FALSE)+9,1)</f>
        <v>L</v>
      </c>
      <c r="AE58" s="50" t="str">
        <f>MID(VLOOKUP($A58,Seqs!$A:$B,2,FALSE),VLOOKUP($A58,'SegEnds_NonXtal_Prot#'!$A:$AL,22,FALSE)+10,1)</f>
        <v>S</v>
      </c>
      <c r="AF58" s="28" t="str">
        <f>MID(VLOOKUP($A58,Seqs!$A:$B,2,FALSE),VLOOKUP($A58,'SegEnds_NonXtal_Prot#'!$A:$AL,28,FALSE)-4,1)</f>
        <v>T</v>
      </c>
      <c r="AG58" s="50" t="str">
        <f>MID(VLOOKUP($A58,Seqs!$A:$B,2,FALSE),VLOOKUP($A58,'SegEnds_NonXtal_Prot#'!$A:$AL,28,FALSE),1)</f>
        <v>P</v>
      </c>
    </row>
    <row r="59" spans="1:33" s="2" customFormat="1" x14ac:dyDescent="0.2">
      <c r="A59" s="2" t="s">
        <v>311</v>
      </c>
      <c r="B59" s="2" t="str">
        <f>LOWER(VLOOKUP(A59,Xtal_Templ!A:B,2,FALSE))</f>
        <v>ox2r_human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G59" s="4"/>
      <c r="M59" s="2" t="s">
        <v>14</v>
      </c>
      <c r="Q59" s="2" t="s">
        <v>9</v>
      </c>
      <c r="S59" s="4" t="s">
        <v>12</v>
      </c>
      <c r="U59" s="28" t="str">
        <f>MID(VLOOKUP($A59,Seqs!$A:$B,2,FALSE),VLOOKUP($A59,'SegEnds_NonXtal_Prot#'!A:AL,10,FALSE),1)</f>
        <v>D</v>
      </c>
      <c r="V59" s="50" t="str">
        <f>MID(VLOOKUP($A59,Seqs!$A:$B,2,FALSE),VLOOKUP($A59,'SegEnds_NonXtal_Prot#'!A:AL,10,FALSE)+6,1)</f>
        <v>Y</v>
      </c>
      <c r="W59" s="50" t="str">
        <f>MID(VLOOKUP($A59,Seqs!$A:$B,2,FALSE),VLOOKUP($A59,'SegEnds_NonXtal_Prot#'!A:AL,10,FALSE)+7,1)</f>
        <v>P</v>
      </c>
      <c r="X59" s="50" t="str">
        <f>MID(VLOOKUP($A59,Seqs!$A:$B,2,FALSE),VLOOKUP($A59,'SegEnds_NonXtal_Prot#'!A:AL,10,FALSE)+8,1)</f>
        <v>Y</v>
      </c>
      <c r="Y59" s="50" t="str">
        <f>MID(VLOOKUP($A59,Seqs!$A:$B,2,FALSE),VLOOKUP($A59,'SegEnds_NonXtal_Prot#'!A:AL,10,FALSE)+9,1)</f>
        <v>P</v>
      </c>
      <c r="Z59" s="50" t="str">
        <f>MID(VLOOKUP($A59,Seqs!$A:$B,2,FALSE),VLOOKUP($A59,'SegEnds_NonXtal_Prot#'!A:AL,10,FALSE)+10,1)</f>
        <v>L</v>
      </c>
      <c r="AA59" s="28" t="str">
        <f>MID(VLOOKUP($A59,Seqs!$A:$B,2,FALSE),VLOOKUP($A59,'SegEnds_NonXtal_Prot#'!$A:$AL,22,FALSE)+6,1)</f>
        <v>A</v>
      </c>
      <c r="AB59" s="50" t="str">
        <f>MID(VLOOKUP($A59,Seqs!$A:$B,2,FALSE),VLOOKUP($A59,'SegEnds_NonXtal_Prot#'!$A:$AL,22,FALSE)+7,1)</f>
        <v>V</v>
      </c>
      <c r="AC59" s="50" t="str">
        <f>MID(VLOOKUP($A59,Seqs!$A:$B,2,FALSE),VLOOKUP($A59,'SegEnds_NonXtal_Prot#'!$A:$AL,22,FALSE)+8,1)</f>
        <v>L</v>
      </c>
      <c r="AD59" s="50" t="str">
        <f>MID(VLOOKUP($A59,Seqs!$A:$B,2,FALSE),VLOOKUP($A59,'SegEnds_NonXtal_Prot#'!$A:$AL,22,FALSE)+9,1)</f>
        <v>P</v>
      </c>
      <c r="AE59" s="50" t="str">
        <f>MID(VLOOKUP($A59,Seqs!$A:$B,2,FALSE),VLOOKUP($A59,'SegEnds_NonXtal_Prot#'!$A:$AL,22,FALSE)+10,1)</f>
        <v>N</v>
      </c>
      <c r="AF59" s="28" t="str">
        <f>MID(VLOOKUP($A59,Seqs!$A:$B,2,FALSE),VLOOKUP($A59,'SegEnds_NonXtal_Prot#'!$A:$AL,28,FALSE)-4,1)</f>
        <v>H</v>
      </c>
      <c r="AG59" s="50" t="str">
        <f>MID(VLOOKUP($A59,Seqs!$A:$B,2,FALSE),VLOOKUP($A59,'SegEnds_NonXtal_Prot#'!$A:$AL,28,FALSE),1)</f>
        <v>P</v>
      </c>
    </row>
    <row r="60" spans="1:33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G60" s="4"/>
      <c r="S60" s="4" t="s">
        <v>12</v>
      </c>
      <c r="U60" s="28" t="str">
        <f>MID(VLOOKUP($A60,Seqs!$A:$B,2,FALSE),VLOOKUP($A60,'SegEnds_NonXtal_Prot#'!A:AL,10,FALSE),1)</f>
        <v>D</v>
      </c>
      <c r="V60" s="50" t="str">
        <f>MID(VLOOKUP($A60,Seqs!$A:$B,2,FALSE),VLOOKUP($A60,'SegEnds_NonXtal_Prot#'!A:AL,10,FALSE)+6,1)</f>
        <v>Y</v>
      </c>
      <c r="W60" s="50" t="str">
        <f>MID(VLOOKUP($A60,Seqs!$A:$B,2,FALSE),VLOOKUP($A60,'SegEnds_NonXtal_Prot#'!A:AL,10,FALSE)+7,1)</f>
        <v>L</v>
      </c>
      <c r="X60" s="50" t="str">
        <f>MID(VLOOKUP($A60,Seqs!$A:$B,2,FALSE),VLOOKUP($A60,'SegEnds_NonXtal_Prot#'!A:AL,10,FALSE)+8,1)</f>
        <v>F</v>
      </c>
      <c r="Y60" s="50" t="str">
        <f>MID(VLOOKUP($A60,Seqs!$A:$B,2,FALSE),VLOOKUP($A60,'SegEnds_NonXtal_Prot#'!A:AL,10,FALSE)+9,1)</f>
        <v>F</v>
      </c>
      <c r="Z60" s="50" t="str">
        <f>MID(VLOOKUP($A60,Seqs!$A:$B,2,FALSE),VLOOKUP($A60,'SegEnds_NonXtal_Prot#'!A:AL,10,FALSE)+10,1)</f>
        <v>V</v>
      </c>
      <c r="AA60" s="28" t="str">
        <f>MID(VLOOKUP($A60,Seqs!$A:$B,2,FALSE),VLOOKUP($A60,'SegEnds_NonXtal_Prot#'!$A:$AL,22,FALSE)+6,1)</f>
        <v>I</v>
      </c>
      <c r="AB60" s="50" t="str">
        <f>MID(VLOOKUP($A60,Seqs!$A:$B,2,FALSE),VLOOKUP($A60,'SegEnds_NonXtal_Prot#'!$A:$AL,22,FALSE)+7,1)</f>
        <v>A</v>
      </c>
      <c r="AC60" s="50" t="str">
        <f>MID(VLOOKUP($A60,Seqs!$A:$B,2,FALSE),VLOOKUP($A60,'SegEnds_NonXtal_Prot#'!$A:$AL,22,FALSE)+8,1)</f>
        <v>V</v>
      </c>
      <c r="AD60" s="50" t="str">
        <f>MID(VLOOKUP($A60,Seqs!$A:$B,2,FALSE),VLOOKUP($A60,'SegEnds_NonXtal_Prot#'!$A:$AL,22,FALSE)+9,1)</f>
        <v>I</v>
      </c>
      <c r="AE60" s="50" t="str">
        <f>MID(VLOOKUP($A60,Seqs!$A:$B,2,FALSE),VLOOKUP($A60,'SegEnds_NonXtal_Prot#'!$A:$AL,22,FALSE)+10,1)</f>
        <v>P</v>
      </c>
      <c r="AF60" s="28" t="str">
        <f>MID(VLOOKUP($A60,Seqs!$A:$B,2,FALSE),VLOOKUP($A60,'SegEnds_NonXtal_Prot#'!$A:$AL,28,FALSE)-4,1)</f>
        <v>V</v>
      </c>
      <c r="AG60" s="50" t="str">
        <f>MID(VLOOKUP($A60,Seqs!$A:$B,2,FALSE),VLOOKUP($A60,'SegEnds_NonXtal_Prot#'!$A:$AL,28,FALSE),1)</f>
        <v>A</v>
      </c>
    </row>
    <row r="61" spans="1:33" s="2" customFormat="1" x14ac:dyDescent="0.2">
      <c r="A61" s="2" t="s">
        <v>387</v>
      </c>
      <c r="B61" s="2" t="str">
        <f>LOWER(VLOOKUP(A61,Xtal_Templ!A:B,2,FALSE))</f>
        <v>5ht1b_human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F61" s="2" t="s">
        <v>5</v>
      </c>
      <c r="G61" s="4"/>
      <c r="Q61" s="2" t="s">
        <v>9</v>
      </c>
      <c r="S61" s="4" t="s">
        <v>12</v>
      </c>
      <c r="U61" s="28" t="str">
        <f>MID(VLOOKUP($A61,Seqs!$A:$B,2,FALSE),VLOOKUP($A61,'SegEnds_NonXtal_Prot#'!A:AL,10,FALSE),1)</f>
        <v>D</v>
      </c>
      <c r="V61" s="50" t="str">
        <f>MID(VLOOKUP($A61,Seqs!$A:$B,2,FALSE),VLOOKUP($A61,'SegEnds_NonXtal_Prot#'!A:AL,10,FALSE)+6,1)</f>
        <v>L</v>
      </c>
      <c r="W61" s="50" t="str">
        <f>MID(VLOOKUP($A61,Seqs!$A:$B,2,FALSE),VLOOKUP($A61,'SegEnds_NonXtal_Prot#'!A:AL,10,FALSE)+7,1)</f>
        <v>V</v>
      </c>
      <c r="X61" s="50" t="str">
        <f>MID(VLOOKUP($A61,Seqs!$A:$B,2,FALSE),VLOOKUP($A61,'SegEnds_NonXtal_Prot#'!A:AL,10,FALSE)+8,1)</f>
        <v>M</v>
      </c>
      <c r="Y61" s="50" t="str">
        <f>MID(VLOOKUP($A61,Seqs!$A:$B,2,FALSE),VLOOKUP($A61,'SegEnds_NonXtal_Prot#'!A:AL,10,FALSE)+9,1)</f>
        <v>P</v>
      </c>
      <c r="Z61" s="50" t="str">
        <f>MID(VLOOKUP($A61,Seqs!$A:$B,2,FALSE),VLOOKUP($A61,'SegEnds_NonXtal_Prot#'!A:AL,10,FALSE)+10,1)</f>
        <v>Y</v>
      </c>
      <c r="AA61" s="28" t="str">
        <f>MID(VLOOKUP($A61,Seqs!$A:$B,2,FALSE),VLOOKUP($A61,'SegEnds_NonXtal_Prot#'!$A:$AL,22,FALSE)+6,1)</f>
        <v>F</v>
      </c>
      <c r="AB61" s="50" t="str">
        <f>MID(VLOOKUP($A61,Seqs!$A:$B,2,FALSE),VLOOKUP($A61,'SegEnds_NonXtal_Prot#'!$A:$AL,22,FALSE)+7,1)</f>
        <v>A</v>
      </c>
      <c r="AC61" s="50" t="str">
        <f>MID(VLOOKUP($A61,Seqs!$A:$B,2,FALSE),VLOOKUP($A61,'SegEnds_NonXtal_Prot#'!$A:$AL,22,FALSE)+8,1)</f>
        <v>F</v>
      </c>
      <c r="AD61" s="50" t="str">
        <f>MID(VLOOKUP($A61,Seqs!$A:$B,2,FALSE),VLOOKUP($A61,'SegEnds_NonXtal_Prot#'!$A:$AL,22,FALSE)+9,1)</f>
        <v>G</v>
      </c>
      <c r="AE61" s="50" t="str">
        <f>MID(VLOOKUP($A61,Seqs!$A:$B,2,FALSE),VLOOKUP($A61,'SegEnds_NonXtal_Prot#'!$A:$AL,22,FALSE)+10,1)</f>
        <v>M</v>
      </c>
      <c r="AF61" s="28" t="str">
        <f>MID(VLOOKUP($A61,Seqs!$A:$B,2,FALSE),VLOOKUP($A61,'SegEnds_NonXtal_Prot#'!$A:$AL,28,FALSE)-4,1)</f>
        <v>S</v>
      </c>
      <c r="AG61" s="50" t="str">
        <f>MID(VLOOKUP($A61,Seqs!$A:$B,2,FALSE),VLOOKUP($A61,'SegEnds_NonXtal_Prot#'!$A:$AL,28,FALSE),1)</f>
        <v>P</v>
      </c>
    </row>
    <row r="62" spans="1:33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F62" s="2" t="s">
        <v>5</v>
      </c>
      <c r="G62" s="4"/>
      <c r="Q62" s="2" t="s">
        <v>9</v>
      </c>
      <c r="S62" s="4" t="s">
        <v>12</v>
      </c>
      <c r="U62" s="28" t="str">
        <f>MID(VLOOKUP($A62,Seqs!$A:$B,2,FALSE),VLOOKUP($A62,'SegEnds_NonXtal_Prot#'!A:AL,10,FALSE),1)</f>
        <v>D</v>
      </c>
      <c r="V62" s="50" t="str">
        <f>MID(VLOOKUP($A62,Seqs!$A:$B,2,FALSE),VLOOKUP($A62,'SegEnds_NonXtal_Prot#'!A:AL,10,FALSE)+6,1)</f>
        <v>A</v>
      </c>
      <c r="W62" s="50" t="str">
        <f>MID(VLOOKUP($A62,Seqs!$A:$B,2,FALSE),VLOOKUP($A62,'SegEnds_NonXtal_Prot#'!A:AL,10,FALSE)+7,1)</f>
        <v>V</v>
      </c>
      <c r="X62" s="50" t="str">
        <f>MID(VLOOKUP($A62,Seqs!$A:$B,2,FALSE),VLOOKUP($A62,'SegEnds_NonXtal_Prot#'!A:AL,10,FALSE)+8,1)</f>
        <v>V</v>
      </c>
      <c r="Y62" s="50" t="str">
        <f>MID(VLOOKUP($A62,Seqs!$A:$B,2,FALSE),VLOOKUP($A62,'SegEnds_NonXtal_Prot#'!A:AL,10,FALSE)+9,1)</f>
        <v>P</v>
      </c>
      <c r="Z62" s="50" t="str">
        <f>MID(VLOOKUP($A62,Seqs!$A:$B,2,FALSE),VLOOKUP($A62,'SegEnds_NonXtal_Prot#'!A:AL,10,FALSE)+10,1)</f>
        <v>F</v>
      </c>
      <c r="AA62" s="28" t="str">
        <f>MID(VLOOKUP($A62,Seqs!$A:$B,2,FALSE),VLOOKUP($A62,'SegEnds_NonXtal_Prot#'!$A:$AL,22,FALSE)+6,1)</f>
        <v>T</v>
      </c>
      <c r="AB62" s="50" t="str">
        <f>MID(VLOOKUP($A62,Seqs!$A:$B,2,FALSE),VLOOKUP($A62,'SegEnds_NonXtal_Prot#'!$A:$AL,22,FALSE)+7,1)</f>
        <v>S</v>
      </c>
      <c r="AC62" s="50" t="str">
        <f>MID(VLOOKUP($A62,Seqs!$A:$B,2,FALSE),VLOOKUP($A62,'SegEnds_NonXtal_Prot#'!$A:$AL,22,FALSE)+8,1)</f>
        <v>F</v>
      </c>
      <c r="AD62" s="50" t="str">
        <f>MID(VLOOKUP($A62,Seqs!$A:$B,2,FALSE),VLOOKUP($A62,'SegEnds_NonXtal_Prot#'!$A:$AL,22,FALSE)+9,1)</f>
        <v>L</v>
      </c>
      <c r="AE62" s="50" t="str">
        <f>MID(VLOOKUP($A62,Seqs!$A:$B,2,FALSE),VLOOKUP($A62,'SegEnds_NonXtal_Prot#'!$A:$AL,22,FALSE)+10,1)</f>
        <v>P</v>
      </c>
      <c r="AF62" s="28" t="str">
        <f>MID(VLOOKUP($A62,Seqs!$A:$B,2,FALSE),VLOOKUP($A62,'SegEnds_NonXtal_Prot#'!$A:$AL,28,FALSE)-4,1)</f>
        <v>S</v>
      </c>
      <c r="AG62" s="50" t="str">
        <f>MID(VLOOKUP($A62,Seqs!$A:$B,2,FALSE),VLOOKUP($A62,'SegEnds_NonXtal_Prot#'!$A:$AL,28,FALSE),1)</f>
        <v>P</v>
      </c>
    </row>
    <row r="63" spans="1:33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G63" s="4"/>
      <c r="S63" s="4" t="s">
        <v>12</v>
      </c>
      <c r="U63" s="28" t="str">
        <f>MID(VLOOKUP($A63,Seqs!$A:$B,2,FALSE),VLOOKUP($A63,'SegEnds_NonXtal_Prot#'!A:AL,10,FALSE),1)</f>
        <v>D</v>
      </c>
      <c r="V63" s="50" t="str">
        <f>MID(VLOOKUP($A63,Seqs!$A:$B,2,FALSE),VLOOKUP($A63,'SegEnds_NonXtal_Prot#'!A:AL,10,FALSE)+6,1)</f>
        <v>Y</v>
      </c>
      <c r="W63" s="50" t="str">
        <f>MID(VLOOKUP($A63,Seqs!$A:$B,2,FALSE),VLOOKUP($A63,'SegEnds_NonXtal_Prot#'!A:AL,10,FALSE)+7,1)</f>
        <v>L</v>
      </c>
      <c r="X63" s="50" t="str">
        <f>MID(VLOOKUP($A63,Seqs!$A:$B,2,FALSE),VLOOKUP($A63,'SegEnds_NonXtal_Prot#'!A:AL,10,FALSE)+8,1)</f>
        <v>F</v>
      </c>
      <c r="Y63" s="50" t="str">
        <f>MID(VLOOKUP($A63,Seqs!$A:$B,2,FALSE),VLOOKUP($A63,'SegEnds_NonXtal_Prot#'!A:AL,10,FALSE)+9,1)</f>
        <v>V</v>
      </c>
      <c r="Z63" s="50" t="str">
        <f>MID(VLOOKUP($A63,Seqs!$A:$B,2,FALSE),VLOOKUP($A63,'SegEnds_NonXtal_Prot#'!A:AL,10,FALSE)+10,1)</f>
        <v>I</v>
      </c>
      <c r="AA63" s="28" t="str">
        <f>MID(VLOOKUP($A63,Seqs!$A:$B,2,FALSE),VLOOKUP($A63,'SegEnds_NonXtal_Prot#'!$A:$AL,22,FALSE)+6,1)</f>
        <v>V</v>
      </c>
      <c r="AB63" s="50" t="str">
        <f>MID(VLOOKUP($A63,Seqs!$A:$B,2,FALSE),VLOOKUP($A63,'SegEnds_NonXtal_Prot#'!$A:$AL,22,FALSE)+7,1)</f>
        <v>A</v>
      </c>
      <c r="AC63" s="50" t="str">
        <f>MID(VLOOKUP($A63,Seqs!$A:$B,2,FALSE),VLOOKUP($A63,'SegEnds_NonXtal_Prot#'!$A:$AL,22,FALSE)+8,1)</f>
        <v>F</v>
      </c>
      <c r="AD63" s="50" t="str">
        <f>MID(VLOOKUP($A63,Seqs!$A:$B,2,FALSE),VLOOKUP($A63,'SegEnds_NonXtal_Prot#'!$A:$AL,22,FALSE)+9,1)</f>
        <v>I</v>
      </c>
      <c r="AE63" s="50" t="str">
        <f>MID(VLOOKUP($A63,Seqs!$A:$B,2,FALSE),VLOOKUP($A63,'SegEnds_NonXtal_Prot#'!$A:$AL,22,FALSE)+10,1)</f>
        <v>P</v>
      </c>
      <c r="AF63" s="28" t="str">
        <f>MID(VLOOKUP($A63,Seqs!$A:$B,2,FALSE),VLOOKUP($A63,'SegEnds_NonXtal_Prot#'!$A:$AL,28,FALSE)-4,1)</f>
        <v>I</v>
      </c>
      <c r="AG63" s="50" t="str">
        <f>MID(VLOOKUP($A63,Seqs!$A:$B,2,FALSE),VLOOKUP($A63,'SegEnds_NonXtal_Prot#'!$A:$AL,28,FALSE),1)</f>
        <v>A</v>
      </c>
    </row>
    <row r="64" spans="1:33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G64" s="4"/>
      <c r="M64" s="2" t="s">
        <v>14</v>
      </c>
      <c r="Q64" s="2" t="s">
        <v>9</v>
      </c>
      <c r="S64" s="4" t="s">
        <v>12</v>
      </c>
      <c r="U64" s="28" t="str">
        <f>MID(VLOOKUP($A64,Seqs!$A:$B,2,FALSE),VLOOKUP($A64,'SegEnds_NonXtal_Prot#'!A:AL,10,FALSE),1)</f>
        <v>D</v>
      </c>
      <c r="V64" s="50" t="str">
        <f>MID(VLOOKUP($A64,Seqs!$A:$B,2,FALSE),VLOOKUP($A64,'SegEnds_NonXtal_Prot#'!A:AL,10,FALSE)+6,1)</f>
        <v>T</v>
      </c>
      <c r="W64" s="50" t="str">
        <f>MID(VLOOKUP($A64,Seqs!$A:$B,2,FALSE),VLOOKUP($A64,'SegEnds_NonXtal_Prot#'!A:AL,10,FALSE)+7,1)</f>
        <v>I</v>
      </c>
      <c r="X64" s="50" t="str">
        <f>MID(VLOOKUP($A64,Seqs!$A:$B,2,FALSE),VLOOKUP($A64,'SegEnds_NonXtal_Prot#'!A:AL,10,FALSE)+8,1)</f>
        <v>P</v>
      </c>
      <c r="Y64" s="50" t="str">
        <f>MID(VLOOKUP($A64,Seqs!$A:$B,2,FALSE),VLOOKUP($A64,'SegEnds_NonXtal_Prot#'!A:AL,10,FALSE)+9,1)</f>
        <v>V</v>
      </c>
      <c r="Z64" s="50" t="str">
        <f>MID(VLOOKUP($A64,Seqs!$A:$B,2,FALSE),VLOOKUP($A64,'SegEnds_NonXtal_Prot#'!A:AL,10,FALSE)+10,1)</f>
        <v>W</v>
      </c>
      <c r="AA64" s="28" t="str">
        <f>MID(VLOOKUP($A64,Seqs!$A:$B,2,FALSE),VLOOKUP($A64,'SegEnds_NonXtal_Prot#'!$A:$AL,22,FALSE)+6,1)</f>
        <v>V</v>
      </c>
      <c r="AB64" s="50" t="str">
        <f>MID(VLOOKUP($A64,Seqs!$A:$B,2,FALSE),VLOOKUP($A64,'SegEnds_NonXtal_Prot#'!$A:$AL,22,FALSE)+7,1)</f>
        <v>S</v>
      </c>
      <c r="AC64" s="50" t="str">
        <f>MID(VLOOKUP($A64,Seqs!$A:$B,2,FALSE),VLOOKUP($A64,'SegEnds_NonXtal_Prot#'!$A:$AL,22,FALSE)+8,1)</f>
        <v>L</v>
      </c>
      <c r="AD64" s="50" t="str">
        <f>MID(VLOOKUP($A64,Seqs!$A:$B,2,FALSE),VLOOKUP($A64,'SegEnds_NonXtal_Prot#'!$A:$AL,22,FALSE)+9,1)</f>
        <v>P</v>
      </c>
      <c r="AE64" s="50" t="str">
        <f>MID(VLOOKUP($A64,Seqs!$A:$B,2,FALSE),VLOOKUP($A64,'SegEnds_NonXtal_Prot#'!$A:$AL,22,FALSE)+10,1)</f>
        <v>D</v>
      </c>
      <c r="AF64" s="28" t="str">
        <f>MID(VLOOKUP($A64,Seqs!$A:$B,2,FALSE),VLOOKUP($A64,'SegEnds_NonXtal_Prot#'!$A:$AL,28,FALSE)-4,1)</f>
        <v>G</v>
      </c>
      <c r="AG64" s="50" t="str">
        <f>MID(VLOOKUP($A64,Seqs!$A:$B,2,FALSE),VLOOKUP($A64,'SegEnds_NonXtal_Prot#'!$A:$AL,28,FALSE),1)</f>
        <v>P</v>
      </c>
    </row>
    <row r="65" spans="1:33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G65" s="4"/>
      <c r="M65" s="109" t="s">
        <v>14</v>
      </c>
      <c r="Q65" s="2" t="s">
        <v>9</v>
      </c>
      <c r="S65" s="4" t="s">
        <v>12</v>
      </c>
      <c r="U65" s="28" t="str">
        <f>MID(VLOOKUP($A65,Seqs!$A:$B,2,FALSE),VLOOKUP($A65,'SegEnds_NonXtal_Prot#'!A:AL,10,FALSE),1)</f>
        <v>D</v>
      </c>
      <c r="V65" s="50" t="str">
        <f>MID(VLOOKUP($A65,Seqs!$A:$B,2,FALSE),VLOOKUP($A65,'SegEnds_NonXtal_Prot#'!A:AL,10,FALSE)+6,1)</f>
        <v>T</v>
      </c>
      <c r="W65" s="50" t="str">
        <f>MID(VLOOKUP($A65,Seqs!$A:$B,2,FALSE),VLOOKUP($A65,'SegEnds_NonXtal_Prot#'!A:AL,10,FALSE)+7,1)</f>
        <v>L</v>
      </c>
      <c r="X65" s="50" t="str">
        <f>MID(VLOOKUP($A65,Seqs!$A:$B,2,FALSE),VLOOKUP($A65,'SegEnds_NonXtal_Prot#'!A:AL,10,FALSE)+8,1)</f>
        <v>P</v>
      </c>
      <c r="Y65" s="50" t="str">
        <f>MID(VLOOKUP($A65,Seqs!$A:$B,2,FALSE),VLOOKUP($A65,'SegEnds_NonXtal_Prot#'!A:AL,10,FALSE)+9,1)</f>
        <v>L</v>
      </c>
      <c r="Z65" s="50" t="str">
        <f>MID(VLOOKUP($A65,Seqs!$A:$B,2,FALSE),VLOOKUP($A65,'SegEnds_NonXtal_Prot#'!A:AL,10,FALSE)+10,1)</f>
        <v>W</v>
      </c>
      <c r="AA65" s="28" t="str">
        <f>MID(VLOOKUP($A65,Seqs!$A:$B,2,FALSE),VLOOKUP($A65,'SegEnds_NonXtal_Prot#'!$A:$AL,22,FALSE)+6,1)</f>
        <v>A</v>
      </c>
      <c r="AB65" s="50" t="str">
        <f>MID(VLOOKUP($A65,Seqs!$A:$B,2,FALSE),VLOOKUP($A65,'SegEnds_NonXtal_Prot#'!$A:$AL,22,FALSE)+7,1)</f>
        <v>S</v>
      </c>
      <c r="AC65" s="50" t="str">
        <f>MID(VLOOKUP($A65,Seqs!$A:$B,2,FALSE),VLOOKUP($A65,'SegEnds_NonXtal_Prot#'!$A:$AL,22,FALSE)+8,1)</f>
        <v>L</v>
      </c>
      <c r="AD65" s="50" t="str">
        <f>MID(VLOOKUP($A65,Seqs!$A:$B,2,FALSE),VLOOKUP($A65,'SegEnds_NonXtal_Prot#'!$A:$AL,22,FALSE)+9,1)</f>
        <v>P</v>
      </c>
      <c r="AE65" s="50" t="str">
        <f>MID(VLOOKUP($A65,Seqs!$A:$B,2,FALSE),VLOOKUP($A65,'SegEnds_NonXtal_Prot#'!$A:$AL,22,FALSE)+10,1)</f>
        <v>A</v>
      </c>
      <c r="AF65" s="28" t="str">
        <f>MID(VLOOKUP($A65,Seqs!$A:$B,2,FALSE),VLOOKUP($A65,'SegEnds_NonXtal_Prot#'!$A:$AL,28,FALSE)-4,1)</f>
        <v>G</v>
      </c>
      <c r="AG65" s="50" t="str">
        <f>MID(VLOOKUP($A65,Seqs!$A:$B,2,FALSE),VLOOKUP($A65,'SegEnds_NonXtal_Prot#'!$A:$AL,28,FALSE),1)</f>
        <v>P</v>
      </c>
    </row>
    <row r="66" spans="1:33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G66" s="4"/>
      <c r="M66" s="109" t="s">
        <v>14</v>
      </c>
      <c r="Q66" s="2" t="s">
        <v>9</v>
      </c>
      <c r="S66" s="4" t="s">
        <v>12</v>
      </c>
      <c r="U66" s="28" t="str">
        <f>MID(VLOOKUP($A66,Seqs!$A:$B,2,FALSE),VLOOKUP($A66,'SegEnds_NonXtal_Prot#'!A:AL,10,FALSE),1)</f>
        <v>D</v>
      </c>
      <c r="V66" s="50" t="str">
        <f>MID(VLOOKUP($A66,Seqs!$A:$B,2,FALSE),VLOOKUP($A66,'SegEnds_NonXtal_Prot#'!A:AL,10,FALSE)+6,1)</f>
        <v>T</v>
      </c>
      <c r="W66" s="50" t="str">
        <f>MID(VLOOKUP($A66,Seqs!$A:$B,2,FALSE),VLOOKUP($A66,'SegEnds_NonXtal_Prot#'!A:AL,10,FALSE)+7,1)</f>
        <v>L</v>
      </c>
      <c r="X66" s="50" t="str">
        <f>MID(VLOOKUP($A66,Seqs!$A:$B,2,FALSE),VLOOKUP($A66,'SegEnds_NonXtal_Prot#'!A:AL,10,FALSE)+8,1)</f>
        <v>P</v>
      </c>
      <c r="Y66" s="50" t="str">
        <f>MID(VLOOKUP($A66,Seqs!$A:$B,2,FALSE),VLOOKUP($A66,'SegEnds_NonXtal_Prot#'!A:AL,10,FALSE)+9,1)</f>
        <v>L</v>
      </c>
      <c r="Z66" s="50" t="str">
        <f>MID(VLOOKUP($A66,Seqs!$A:$B,2,FALSE),VLOOKUP($A66,'SegEnds_NonXtal_Prot#'!A:AL,10,FALSE)+10,1)</f>
        <v>W</v>
      </c>
      <c r="AA66" s="28" t="str">
        <f>MID(VLOOKUP($A66,Seqs!$A:$B,2,FALSE),VLOOKUP($A66,'SegEnds_NonXtal_Prot#'!$A:$AL,22,FALSE)+6,1)</f>
        <v>S</v>
      </c>
      <c r="AB66" s="50" t="str">
        <f>MID(VLOOKUP($A66,Seqs!$A:$B,2,FALSE),VLOOKUP($A66,'SegEnds_NonXtal_Prot#'!$A:$AL,22,FALSE)+7,1)</f>
        <v>S</v>
      </c>
      <c r="AC66" s="50" t="str">
        <f>MID(VLOOKUP($A66,Seqs!$A:$B,2,FALSE),VLOOKUP($A66,'SegEnds_NonXtal_Prot#'!$A:$AL,22,FALSE)+8,1)</f>
        <v>L</v>
      </c>
      <c r="AD66" s="50" t="str">
        <f>MID(VLOOKUP($A66,Seqs!$A:$B,2,FALSE),VLOOKUP($A66,'SegEnds_NonXtal_Prot#'!$A:$AL,22,FALSE)+9,1)</f>
        <v>P</v>
      </c>
      <c r="AE66" s="50" t="str">
        <f>MID(VLOOKUP($A66,Seqs!$A:$B,2,FALSE),VLOOKUP($A66,'SegEnds_NonXtal_Prot#'!$A:$AL,22,FALSE)+10,1)</f>
        <v>T</v>
      </c>
      <c r="AF66" s="28" t="str">
        <f>MID(VLOOKUP($A66,Seqs!$A:$B,2,FALSE),VLOOKUP($A66,'SegEnds_NonXtal_Prot#'!$A:$AL,28,FALSE)-4,1)</f>
        <v>G</v>
      </c>
      <c r="AG66" s="50" t="str">
        <f>MID(VLOOKUP($A66,Seqs!$A:$B,2,FALSE),VLOOKUP($A66,'SegEnds_NonXtal_Prot#'!$A:$AL,28,FALSE),1)</f>
        <v>P</v>
      </c>
    </row>
    <row r="67" spans="1:33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G67" s="51"/>
      <c r="M67" s="2" t="s">
        <v>14</v>
      </c>
      <c r="Q67" s="2" t="s">
        <v>9</v>
      </c>
      <c r="S67" s="4" t="s">
        <v>12</v>
      </c>
      <c r="U67" s="28" t="str">
        <f>MID(VLOOKUP($A67,Seqs!$A:$B,2,FALSE),VLOOKUP($A67,'SegEnds_NonXtal_Prot#'!A:AL,10,FALSE),1)</f>
        <v>D</v>
      </c>
      <c r="V67" s="50" t="str">
        <f>MID(VLOOKUP($A67,Seqs!$A:$B,2,FALSE),VLOOKUP($A67,'SegEnds_NonXtal_Prot#'!A:AL,10,FALSE)+6,1)</f>
        <v>T</v>
      </c>
      <c r="W67" s="50" t="str">
        <f>MID(VLOOKUP($A67,Seqs!$A:$B,2,FALSE),VLOOKUP($A67,'SegEnds_NonXtal_Prot#'!A:AL,10,FALSE)+7,1)</f>
        <v>L</v>
      </c>
      <c r="X67" s="50" t="str">
        <f>MID(VLOOKUP($A67,Seqs!$A:$B,2,FALSE),VLOOKUP($A67,'SegEnds_NonXtal_Prot#'!A:AL,10,FALSE)+8,1)</f>
        <v>P</v>
      </c>
      <c r="Y67" s="50" t="str">
        <f>MID(VLOOKUP($A67,Seqs!$A:$B,2,FALSE),VLOOKUP($A67,'SegEnds_NonXtal_Prot#'!A:AL,10,FALSE)+9,1)</f>
        <v>L</v>
      </c>
      <c r="Z67" s="50" t="str">
        <f>MID(VLOOKUP($A67,Seqs!$A:$B,2,FALSE),VLOOKUP($A67,'SegEnds_NonXtal_Prot#'!A:AL,10,FALSE)+10,1)</f>
        <v>W</v>
      </c>
      <c r="AA67" s="28" t="str">
        <f>MID(VLOOKUP($A67,Seqs!$A:$B,2,FALSE),VLOOKUP($A67,'SegEnds_NonXtal_Prot#'!$A:$AL,22,FALSE)+6,1)</f>
        <v>L</v>
      </c>
      <c r="AB67" s="50" t="str">
        <f>MID(VLOOKUP($A67,Seqs!$A:$B,2,FALSE),VLOOKUP($A67,'SegEnds_NonXtal_Prot#'!$A:$AL,22,FALSE)+7,1)</f>
        <v>A</v>
      </c>
      <c r="AC67" s="50" t="str">
        <f>MID(VLOOKUP($A67,Seqs!$A:$B,2,FALSE),VLOOKUP($A67,'SegEnds_NonXtal_Prot#'!$A:$AL,22,FALSE)+8,1)</f>
        <v>M</v>
      </c>
      <c r="AD67" s="50" t="str">
        <f>MID(VLOOKUP($A67,Seqs!$A:$B,2,FALSE),VLOOKUP($A67,'SegEnds_NonXtal_Prot#'!$A:$AL,22,FALSE)+9,1)</f>
        <v>P</v>
      </c>
      <c r="AE67" s="50" t="str">
        <f>MID(VLOOKUP($A67,Seqs!$A:$B,2,FALSE),VLOOKUP($A67,'SegEnds_NonXtal_Prot#'!$A:$AL,22,FALSE)+10,1)</f>
        <v>V</v>
      </c>
      <c r="AF67" s="28" t="str">
        <f>MID(VLOOKUP($A67,Seqs!$A:$B,2,FALSE),VLOOKUP($A67,'SegEnds_NonXtal_Prot#'!$A:$AL,28,FALSE)-4,1)</f>
        <v>G</v>
      </c>
      <c r="AG67" s="50" t="str">
        <f>MID(VLOOKUP($A67,Seqs!$A:$B,2,FALSE),VLOOKUP($A67,'SegEnds_NonXtal_Prot#'!$A:$AL,28,FALSE),1)</f>
        <v>P</v>
      </c>
    </row>
    <row r="68" spans="1:33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G68" s="4"/>
      <c r="M68" s="2" t="s">
        <v>14</v>
      </c>
      <c r="Q68" s="2" t="s">
        <v>9</v>
      </c>
      <c r="S68" s="4" t="s">
        <v>12</v>
      </c>
      <c r="U68" s="28" t="str">
        <f>MID(VLOOKUP($A68,Seqs!$A:$B,2,FALSE),VLOOKUP($A68,'SegEnds_NonXtal_Prot#'!A:AL,10,FALSE),1)</f>
        <v>D</v>
      </c>
      <c r="V68" s="50" t="str">
        <f>MID(VLOOKUP($A68,Seqs!$A:$B,2,FALSE),VLOOKUP($A68,'SegEnds_NonXtal_Prot#'!A:AL,10,FALSE)+6,1)</f>
        <v>G</v>
      </c>
      <c r="W68" s="50" t="str">
        <f>MID(VLOOKUP($A68,Seqs!$A:$B,2,FALSE),VLOOKUP($A68,'SegEnds_NonXtal_Prot#'!A:AL,10,FALSE)+7,1)</f>
        <v>L</v>
      </c>
      <c r="X68" s="50" t="str">
        <f>MID(VLOOKUP($A68,Seqs!$A:$B,2,FALSE),VLOOKUP($A68,'SegEnds_NonXtal_Prot#'!A:AL,10,FALSE)+8,1)</f>
        <v>P</v>
      </c>
      <c r="Y68" s="50" t="str">
        <f>MID(VLOOKUP($A68,Seqs!$A:$B,2,FALSE),VLOOKUP($A68,'SegEnds_NonXtal_Prot#'!A:AL,10,FALSE)+9,1)</f>
        <v>F</v>
      </c>
      <c r="Z68" s="50" t="str">
        <f>MID(VLOOKUP($A68,Seqs!$A:$B,2,FALSE),VLOOKUP($A68,'SegEnds_NonXtal_Prot#'!A:AL,10,FALSE)+10,1)</f>
        <v>W</v>
      </c>
      <c r="AA68" s="28" t="str">
        <f>MID(VLOOKUP($A68,Seqs!$A:$B,2,FALSE),VLOOKUP($A68,'SegEnds_NonXtal_Prot#'!$A:$AL,22,FALSE)+6,1)</f>
        <v>L</v>
      </c>
      <c r="AB68" s="50" t="str">
        <f>MID(VLOOKUP($A68,Seqs!$A:$B,2,FALSE),VLOOKUP($A68,'SegEnds_NonXtal_Prot#'!$A:$AL,22,FALSE)+7,1)</f>
        <v>S</v>
      </c>
      <c r="AC68" s="50" t="str">
        <f>MID(VLOOKUP($A68,Seqs!$A:$B,2,FALSE),VLOOKUP($A68,'SegEnds_NonXtal_Prot#'!$A:$AL,22,FALSE)+8,1)</f>
        <v>I</v>
      </c>
      <c r="AD68" s="50" t="str">
        <f>MID(VLOOKUP($A68,Seqs!$A:$B,2,FALSE),VLOOKUP($A68,'SegEnds_NonXtal_Prot#'!$A:$AL,22,FALSE)+9,1)</f>
        <v>P</v>
      </c>
      <c r="AE68" s="50" t="str">
        <f>MID(VLOOKUP($A68,Seqs!$A:$B,2,FALSE),VLOOKUP($A68,'SegEnds_NonXtal_Prot#'!$A:$AL,22,FALSE)+10,1)</f>
        <v>T</v>
      </c>
      <c r="AF68" s="28" t="str">
        <f>MID(VLOOKUP($A68,Seqs!$A:$B,2,FALSE),VLOOKUP($A68,'SegEnds_NonXtal_Prot#'!$A:$AL,28,FALSE)-4,1)</f>
        <v>G</v>
      </c>
      <c r="AG68" s="50" t="str">
        <f>MID(VLOOKUP($A68,Seqs!$A:$B,2,FALSE),VLOOKUP($A68,'SegEnds_NonXtal_Prot#'!$A:$AL,28,FALSE),1)</f>
        <v>P</v>
      </c>
    </row>
    <row r="69" spans="1:33" s="41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4"/>
      <c r="H69" s="2"/>
      <c r="I69" s="2"/>
      <c r="J69" s="2"/>
      <c r="K69" s="2"/>
      <c r="L69" s="2"/>
      <c r="M69" s="2" t="s">
        <v>14</v>
      </c>
      <c r="N69" s="2"/>
      <c r="O69" s="2"/>
      <c r="P69" s="2"/>
      <c r="Q69" s="2" t="s">
        <v>9</v>
      </c>
      <c r="R69" s="2"/>
      <c r="S69" s="4" t="s">
        <v>12</v>
      </c>
      <c r="T69" s="2"/>
      <c r="U69" s="28" t="str">
        <f>MID(VLOOKUP($A69,Seqs!$A:$B,2,FALSE),VLOOKUP($A69,'SegEnds_NonXtal_Prot#'!A:AL,10,FALSE),1)</f>
        <v>D</v>
      </c>
      <c r="V69" s="50" t="str">
        <f>MID(VLOOKUP($A69,Seqs!$A:$B,2,FALSE),VLOOKUP($A69,'SegEnds_NonXtal_Prot#'!A:AL,10,FALSE)+6,1)</f>
        <v>G</v>
      </c>
      <c r="W69" s="50" t="str">
        <f>MID(VLOOKUP($A69,Seqs!$A:$B,2,FALSE),VLOOKUP($A69,'SegEnds_NonXtal_Prot#'!A:AL,10,FALSE)+7,1)</f>
        <v>L</v>
      </c>
      <c r="X69" s="50" t="str">
        <f>MID(VLOOKUP($A69,Seqs!$A:$B,2,FALSE),VLOOKUP($A69,'SegEnds_NonXtal_Prot#'!A:AL,10,FALSE)+8,1)</f>
        <v>P</v>
      </c>
      <c r="Y69" s="50" t="str">
        <f>MID(VLOOKUP($A69,Seqs!$A:$B,2,FALSE),VLOOKUP($A69,'SegEnds_NonXtal_Prot#'!A:AL,10,FALSE)+9,1)</f>
        <v>F</v>
      </c>
      <c r="Z69" s="50" t="str">
        <f>MID(VLOOKUP($A69,Seqs!$A:$B,2,FALSE),VLOOKUP($A69,'SegEnds_NonXtal_Prot#'!A:AL,10,FALSE)+10,1)</f>
        <v>W</v>
      </c>
      <c r="AA69" s="28" t="str">
        <f>MID(VLOOKUP($A69,Seqs!$A:$B,2,FALSE),VLOOKUP($A69,'SegEnds_NonXtal_Prot#'!$A:$AL,22,FALSE)+6,1)</f>
        <v>L</v>
      </c>
      <c r="AB69" s="50" t="str">
        <f>MID(VLOOKUP($A69,Seqs!$A:$B,2,FALSE),VLOOKUP($A69,'SegEnds_NonXtal_Prot#'!$A:$AL,22,FALSE)+7,1)</f>
        <v>S</v>
      </c>
      <c r="AC69" s="50" t="str">
        <f>MID(VLOOKUP($A69,Seqs!$A:$B,2,FALSE),VLOOKUP($A69,'SegEnds_NonXtal_Prot#'!$A:$AL,22,FALSE)+8,1)</f>
        <v>S</v>
      </c>
      <c r="AD69" s="50" t="str">
        <f>MID(VLOOKUP($A69,Seqs!$A:$B,2,FALSE),VLOOKUP($A69,'SegEnds_NonXtal_Prot#'!$A:$AL,22,FALSE)+9,1)</f>
        <v>P</v>
      </c>
      <c r="AE69" s="50" t="str">
        <f>MID(VLOOKUP($A69,Seqs!$A:$B,2,FALSE),VLOOKUP($A69,'SegEnds_NonXtal_Prot#'!$A:$AL,22,FALSE)+10,1)</f>
        <v>M</v>
      </c>
      <c r="AF69" s="28" t="str">
        <f>MID(VLOOKUP($A69,Seqs!$A:$B,2,FALSE),VLOOKUP($A69,'SegEnds_NonXtal_Prot#'!$A:$AL,28,FALSE)-4,1)</f>
        <v>G</v>
      </c>
      <c r="AG69" s="50" t="str">
        <f>MID(VLOOKUP($A69,Seqs!$A:$B,2,FALSE),VLOOKUP($A69,'SegEnds_NonXtal_Prot#'!$A:$AL,28,FALSE),1)</f>
        <v>P</v>
      </c>
    </row>
    <row r="70" spans="1:33" s="2" customFormat="1" x14ac:dyDescent="0.2">
      <c r="A70" s="2" t="s">
        <v>165</v>
      </c>
      <c r="B70" s="2" t="str">
        <f>LOWER(VLOOKUP(A70,Xtal_Templ!A:B,2,FALSE))</f>
        <v>agtr1_human</v>
      </c>
      <c r="C70" s="2" t="str">
        <f>VLOOKUP(A70,Classification!A:D,2,FALSE)</f>
        <v>A</v>
      </c>
      <c r="D70" s="2" t="str">
        <f>IF(ISERROR(MATCH(A70,'SegEnds_Xtal_Prot#'!B:B, 0)), "NoXtal", "Xtal")</f>
        <v>NoXtal</v>
      </c>
      <c r="G70" s="4"/>
      <c r="M70" s="2" t="s">
        <v>14</v>
      </c>
      <c r="Q70" s="2" t="s">
        <v>9</v>
      </c>
      <c r="S70" s="4" t="s">
        <v>12</v>
      </c>
      <c r="U70" s="28" t="str">
        <f>MID(VLOOKUP($A70,Seqs!$A:$B,2,FALSE),VLOOKUP($A70,'SegEnds_NonXtal_Prot#'!A:AL,10,FALSE),1)</f>
        <v>D</v>
      </c>
      <c r="V70" s="50" t="str">
        <f>MID(VLOOKUP($A70,Seqs!$A:$B,2,FALSE),VLOOKUP($A70,'SegEnds_NonXtal_Prot#'!A:AL,10,FALSE)+6,1)</f>
        <v>A</v>
      </c>
      <c r="W70" s="50" t="str">
        <f>MID(VLOOKUP($A70,Seqs!$A:$B,2,FALSE),VLOOKUP($A70,'SegEnds_NonXtal_Prot#'!A:AL,10,FALSE)+7,1)</f>
        <v>L</v>
      </c>
      <c r="X70" s="50" t="str">
        <f>MID(VLOOKUP($A70,Seqs!$A:$B,2,FALSE),VLOOKUP($A70,'SegEnds_NonXtal_Prot#'!A:AL,10,FALSE)+8,1)</f>
        <v>P</v>
      </c>
      <c r="Y70" s="50" t="str">
        <f>MID(VLOOKUP($A70,Seqs!$A:$B,2,FALSE),VLOOKUP($A70,'SegEnds_NonXtal_Prot#'!A:AL,10,FALSE)+9,1)</f>
        <v>I</v>
      </c>
      <c r="Z70" s="50" t="str">
        <f>MID(VLOOKUP($A70,Seqs!$A:$B,2,FALSE),VLOOKUP($A70,'SegEnds_NonXtal_Prot#'!A:AL,10,FALSE)+10,1)</f>
        <v>L</v>
      </c>
      <c r="AA70" s="28" t="str">
        <f>MID(VLOOKUP($A70,Seqs!$A:$B,2,FALSE),VLOOKUP($A70,'SegEnds_NonXtal_Prot#'!$A:$AL,22,FALSE)+6,1)</f>
        <v>L</v>
      </c>
      <c r="AB70" s="50" t="str">
        <f>MID(VLOOKUP($A70,Seqs!$A:$B,2,FALSE),VLOOKUP($A70,'SegEnds_NonXtal_Prot#'!$A:$AL,22,FALSE)+7,1)</f>
        <v>T</v>
      </c>
      <c r="AC70" s="50" t="str">
        <f>MID(VLOOKUP($A70,Seqs!$A:$B,2,FALSE),VLOOKUP($A70,'SegEnds_NonXtal_Prot#'!$A:$AL,22,FALSE)+8,1)</f>
        <v>I</v>
      </c>
      <c r="AD70" s="50" t="str">
        <f>MID(VLOOKUP($A70,Seqs!$A:$B,2,FALSE),VLOOKUP($A70,'SegEnds_NonXtal_Prot#'!$A:$AL,22,FALSE)+9,1)</f>
        <v>P</v>
      </c>
      <c r="AE70" s="50" t="str">
        <f>MID(VLOOKUP($A70,Seqs!$A:$B,2,FALSE),VLOOKUP($A70,'SegEnds_NonXtal_Prot#'!$A:$AL,22,FALSE)+10,1)</f>
        <v>S</v>
      </c>
      <c r="AF70" s="28" t="str">
        <f>MID(VLOOKUP($A70,Seqs!$A:$B,2,FALSE),VLOOKUP($A70,'SegEnds_NonXtal_Prot#'!$A:$AL,28,FALSE)-4,1)</f>
        <v>G</v>
      </c>
      <c r="AG70" s="50" t="str">
        <f>MID(VLOOKUP($A70,Seqs!$A:$B,2,FALSE),VLOOKUP($A70,'SegEnds_NonXtal_Prot#'!$A:$AL,28,FALSE),1)</f>
        <v>P</v>
      </c>
    </row>
    <row r="71" spans="1:33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G71" s="4"/>
      <c r="M71" s="2" t="s">
        <v>14</v>
      </c>
      <c r="Q71" s="2" t="s">
        <v>9</v>
      </c>
      <c r="S71" s="4" t="s">
        <v>12</v>
      </c>
      <c r="U71" s="28" t="str">
        <f>MID(VLOOKUP($A71,Seqs!$A:$B,2,FALSE),VLOOKUP($A71,'SegEnds_NonXtal_Prot#'!A:AL,10,FALSE),1)</f>
        <v>D</v>
      </c>
      <c r="V71" s="50" t="str">
        <f>MID(VLOOKUP($A71,Seqs!$A:$B,2,FALSE),VLOOKUP($A71,'SegEnds_NonXtal_Prot#'!A:AL,10,FALSE)+6,1)</f>
        <v>F</v>
      </c>
      <c r="W71" s="50" t="str">
        <f>MID(VLOOKUP($A71,Seqs!$A:$B,2,FALSE),VLOOKUP($A71,'SegEnds_NonXtal_Prot#'!A:AL,10,FALSE)+7,1)</f>
        <v>L</v>
      </c>
      <c r="X71" s="50" t="str">
        <f>MID(VLOOKUP($A71,Seqs!$A:$B,2,FALSE),VLOOKUP($A71,'SegEnds_NonXtal_Prot#'!A:AL,10,FALSE)+8,1)</f>
        <v>P</v>
      </c>
      <c r="Y71" s="50" t="str">
        <f>MID(VLOOKUP($A71,Seqs!$A:$B,2,FALSE),VLOOKUP($A71,'SegEnds_NonXtal_Prot#'!A:AL,10,FALSE)+9,1)</f>
        <v>I</v>
      </c>
      <c r="Z71" s="50" t="str">
        <f>MID(VLOOKUP($A71,Seqs!$A:$B,2,FALSE),VLOOKUP($A71,'SegEnds_NonXtal_Prot#'!A:AL,10,FALSE)+10,1)</f>
        <v>H</v>
      </c>
      <c r="AA71" s="28" t="str">
        <f>MID(VLOOKUP($A71,Seqs!$A:$B,2,FALSE),VLOOKUP($A71,'SegEnds_NonXtal_Prot#'!$A:$AL,22,FALSE)+6,1)</f>
        <v>L</v>
      </c>
      <c r="AB71" s="50" t="str">
        <f>MID(VLOOKUP($A71,Seqs!$A:$B,2,FALSE),VLOOKUP($A71,'SegEnds_NonXtal_Prot#'!$A:$AL,22,FALSE)+7,1)</f>
        <v>S</v>
      </c>
      <c r="AC71" s="50" t="str">
        <f>MID(VLOOKUP($A71,Seqs!$A:$B,2,FALSE),VLOOKUP($A71,'SegEnds_NonXtal_Prot#'!$A:$AL,22,FALSE)+8,1)</f>
        <v>S</v>
      </c>
      <c r="AD71" s="50" t="str">
        <f>MID(VLOOKUP($A71,Seqs!$A:$B,2,FALSE),VLOOKUP($A71,'SegEnds_NonXtal_Prot#'!$A:$AL,22,FALSE)+9,1)</f>
        <v>P</v>
      </c>
      <c r="AE71" s="50" t="str">
        <f>MID(VLOOKUP($A71,Seqs!$A:$B,2,FALSE),VLOOKUP($A71,'SegEnds_NonXtal_Prot#'!$A:$AL,22,FALSE)+10,1)</f>
        <v>S</v>
      </c>
      <c r="AF71" s="28" t="str">
        <f>MID(VLOOKUP($A71,Seqs!$A:$B,2,FALSE),VLOOKUP($A71,'SegEnds_NonXtal_Prot#'!$A:$AL,28,FALSE)-4,1)</f>
        <v>G</v>
      </c>
      <c r="AG71" s="50" t="str">
        <f>MID(VLOOKUP($A71,Seqs!$A:$B,2,FALSE),VLOOKUP($A71,'SegEnds_NonXtal_Prot#'!$A:$AL,28,FALSE),1)</f>
        <v>P</v>
      </c>
    </row>
    <row r="72" spans="1:33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G72" s="4"/>
      <c r="M72" s="2" t="s">
        <v>14</v>
      </c>
      <c r="Q72" s="2" t="s">
        <v>9</v>
      </c>
      <c r="S72" s="4" t="s">
        <v>12</v>
      </c>
      <c r="U72" s="28" t="str">
        <f>MID(VLOOKUP($A72,Seqs!$A:$B,2,FALSE),VLOOKUP($A72,'SegEnds_NonXtal_Prot#'!A:AL,10,FALSE),1)</f>
        <v>D</v>
      </c>
      <c r="V72" s="50" t="str">
        <f>MID(VLOOKUP($A72,Seqs!$A:$B,2,FALSE),VLOOKUP($A72,'SegEnds_NonXtal_Prot#'!A:AL,10,FALSE)+6,1)</f>
        <v>S</v>
      </c>
      <c r="W72" s="50" t="str">
        <f>MID(VLOOKUP($A72,Seqs!$A:$B,2,FALSE),VLOOKUP($A72,'SegEnds_NonXtal_Prot#'!A:AL,10,FALSE)+7,1)</f>
        <v>L</v>
      </c>
      <c r="X72" s="50" t="str">
        <f>MID(VLOOKUP($A72,Seqs!$A:$B,2,FALSE),VLOOKUP($A72,'SegEnds_NonXtal_Prot#'!A:AL,10,FALSE)+8,1)</f>
        <v>P</v>
      </c>
      <c r="Y72" s="50" t="str">
        <f>MID(VLOOKUP($A72,Seqs!$A:$B,2,FALSE),VLOOKUP($A72,'SegEnds_NonXtal_Prot#'!A:AL,10,FALSE)+9,1)</f>
        <v>V</v>
      </c>
      <c r="Z72" s="50" t="str">
        <f>MID(VLOOKUP($A72,Seqs!$A:$B,2,FALSE),VLOOKUP($A72,'SegEnds_NonXtal_Prot#'!A:AL,10,FALSE)+10,1)</f>
        <v>W</v>
      </c>
      <c r="AA72" s="28" t="str">
        <f>MID(VLOOKUP($A72,Seqs!$A:$B,2,FALSE),VLOOKUP($A72,'SegEnds_NonXtal_Prot#'!$A:$AL,22,FALSE)+6,1)</f>
        <v>I</v>
      </c>
      <c r="AB72" s="50" t="str">
        <f>MID(VLOOKUP($A72,Seqs!$A:$B,2,FALSE),VLOOKUP($A72,'SegEnds_NonXtal_Prot#'!$A:$AL,22,FALSE)+7,1)</f>
        <v>P</v>
      </c>
      <c r="AC72" s="50" t="str">
        <f>MID(VLOOKUP($A72,Seqs!$A:$B,2,FALSE),VLOOKUP($A72,'SegEnds_NonXtal_Prot#'!$A:$AL,22,FALSE)+8,1)</f>
        <v>L</v>
      </c>
      <c r="AD72" s="50" t="str">
        <f>MID(VLOOKUP($A72,Seqs!$A:$B,2,FALSE),VLOOKUP($A72,'SegEnds_NonXtal_Prot#'!$A:$AL,22,FALSE)+9,1)</f>
        <v>P</v>
      </c>
      <c r="AE72" s="50" t="str">
        <f>MID(VLOOKUP($A72,Seqs!$A:$B,2,FALSE),VLOOKUP($A72,'SegEnds_NonXtal_Prot#'!$A:$AL,22,FALSE)+10,1)</f>
        <v>E</v>
      </c>
      <c r="AF72" s="28" t="str">
        <f>MID(VLOOKUP($A72,Seqs!$A:$B,2,FALSE),VLOOKUP($A72,'SegEnds_NonXtal_Prot#'!$A:$AL,28,FALSE)-4,1)</f>
        <v>G</v>
      </c>
      <c r="AG72" s="50" t="str">
        <f>MID(VLOOKUP($A72,Seqs!$A:$B,2,FALSE),VLOOKUP($A72,'SegEnds_NonXtal_Prot#'!$A:$AL,28,FALSE),1)</f>
        <v>P</v>
      </c>
    </row>
    <row r="73" spans="1:33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G73" s="4"/>
      <c r="Q73" s="2" t="s">
        <v>9</v>
      </c>
      <c r="S73" s="4" t="s">
        <v>12</v>
      </c>
      <c r="U73" s="28" t="str">
        <f>MID(VLOOKUP($A73,Seqs!$A:$B,2,FALSE),VLOOKUP($A73,'SegEnds_NonXtal_Prot#'!A:AL,10,FALSE),1)</f>
        <v>D</v>
      </c>
      <c r="V73" s="50" t="str">
        <f>MID(VLOOKUP($A73,Seqs!$A:$B,2,FALSE),VLOOKUP($A73,'SegEnds_NonXtal_Prot#'!A:AL,10,FALSE)+6,1)</f>
        <v>D</v>
      </c>
      <c r="W73" s="50" t="str">
        <f>MID(VLOOKUP($A73,Seqs!$A:$B,2,FALSE),VLOOKUP($A73,'SegEnds_NonXtal_Prot#'!A:AL,10,FALSE)+7,1)</f>
        <v>S</v>
      </c>
      <c r="X73" s="50" t="str">
        <f>MID(VLOOKUP($A73,Seqs!$A:$B,2,FALSE),VLOOKUP($A73,'SegEnds_NonXtal_Prot#'!A:AL,10,FALSE)+8,1)</f>
        <v>L</v>
      </c>
      <c r="Y73" s="50" t="str">
        <f>MID(VLOOKUP($A73,Seqs!$A:$B,2,FALSE),VLOOKUP($A73,'SegEnds_NonXtal_Prot#'!A:AL,10,FALSE)+9,1)</f>
        <v>I</v>
      </c>
      <c r="Z73" s="50" t="str">
        <f>MID(VLOOKUP($A73,Seqs!$A:$B,2,FALSE),VLOOKUP($A73,'SegEnds_NonXtal_Prot#'!A:AL,10,FALSE)+10,1)</f>
        <v>E</v>
      </c>
      <c r="AA73" s="28" t="str">
        <f>MID(VLOOKUP($A73,Seqs!$A:$B,2,FALSE),VLOOKUP($A73,'SegEnds_NonXtal_Prot#'!$A:$AL,22,FALSE)+6,1)</f>
        <v>A</v>
      </c>
      <c r="AB73" s="50" t="str">
        <f>MID(VLOOKUP($A73,Seqs!$A:$B,2,FALSE),VLOOKUP($A73,'SegEnds_NonXtal_Prot#'!$A:$AL,22,FALSE)+7,1)</f>
        <v>T</v>
      </c>
      <c r="AC73" s="50" t="str">
        <f>MID(VLOOKUP($A73,Seqs!$A:$B,2,FALSE),VLOOKUP($A73,'SegEnds_NonXtal_Prot#'!$A:$AL,22,FALSE)+8,1)</f>
        <v>L</v>
      </c>
      <c r="AD73" s="50" t="str">
        <f>MID(VLOOKUP($A73,Seqs!$A:$B,2,FALSE),VLOOKUP($A73,'SegEnds_NonXtal_Prot#'!$A:$AL,22,FALSE)+9,1)</f>
        <v>V</v>
      </c>
      <c r="AE73" s="50" t="str">
        <f>MID(VLOOKUP($A73,Seqs!$A:$B,2,FALSE),VLOOKUP($A73,'SegEnds_NonXtal_Prot#'!$A:$AL,22,FALSE)+10,1)</f>
        <v>P</v>
      </c>
      <c r="AF73" s="28" t="str">
        <f>MID(VLOOKUP($A73,Seqs!$A:$B,2,FALSE),VLOOKUP($A73,'SegEnds_NonXtal_Prot#'!$A:$AL,28,FALSE)-4,1)</f>
        <v>G</v>
      </c>
      <c r="AG73" s="50" t="str">
        <f>MID(VLOOKUP($A73,Seqs!$A:$B,2,FALSE),VLOOKUP($A73,'SegEnds_NonXtal_Prot#'!$A:$AL,28,FALSE),1)</f>
        <v>P</v>
      </c>
    </row>
    <row r="74" spans="1:33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G74" s="4"/>
      <c r="Q74" s="2" t="s">
        <v>9</v>
      </c>
      <c r="S74" s="4" t="s">
        <v>12</v>
      </c>
      <c r="U74" s="28" t="str">
        <f>MID(VLOOKUP($A74,Seqs!$A:$B,2,FALSE),VLOOKUP($A74,'SegEnds_NonXtal_Prot#'!A:AL,10,FALSE),1)</f>
        <v>D</v>
      </c>
      <c r="V74" s="50" t="str">
        <f>MID(VLOOKUP($A74,Seqs!$A:$B,2,FALSE),VLOOKUP($A74,'SegEnds_NonXtal_Prot#'!A:AL,10,FALSE)+6,1)</f>
        <v>F</v>
      </c>
      <c r="W74" s="50" t="str">
        <f>MID(VLOOKUP($A74,Seqs!$A:$B,2,FALSE),VLOOKUP($A74,'SegEnds_NonXtal_Prot#'!A:AL,10,FALSE)+7,1)</f>
        <v>L</v>
      </c>
      <c r="X74" s="50" t="str">
        <f>MID(VLOOKUP($A74,Seqs!$A:$B,2,FALSE),VLOOKUP($A74,'SegEnds_NonXtal_Prot#'!A:AL,10,FALSE)+8,1)</f>
        <v>P</v>
      </c>
      <c r="Y74" s="50" t="str">
        <f>MID(VLOOKUP($A74,Seqs!$A:$B,2,FALSE),VLOOKUP($A74,'SegEnds_NonXtal_Prot#'!A:AL,10,FALSE)+9,1)</f>
        <v>L</v>
      </c>
      <c r="Z74" s="50" t="str">
        <f>MID(VLOOKUP($A74,Seqs!$A:$B,2,FALSE),VLOOKUP($A74,'SegEnds_NonXtal_Prot#'!A:AL,10,FALSE)+10,1)</f>
        <v>Y</v>
      </c>
      <c r="AA74" s="28" t="str">
        <f>MID(VLOOKUP($A74,Seqs!$A:$B,2,FALSE),VLOOKUP($A74,'SegEnds_NonXtal_Prot#'!$A:$AL,22,FALSE)+6,1)</f>
        <v>I</v>
      </c>
      <c r="AB74" s="50" t="str">
        <f>MID(VLOOKUP($A74,Seqs!$A:$B,2,FALSE),VLOOKUP($A74,'SegEnds_NonXtal_Prot#'!$A:$AL,22,FALSE)+7,1)</f>
        <v>G</v>
      </c>
      <c r="AC74" s="50" t="str">
        <f>MID(VLOOKUP($A74,Seqs!$A:$B,2,FALSE),VLOOKUP($A74,'SegEnds_NonXtal_Prot#'!$A:$AL,22,FALSE)+8,1)</f>
        <v>G</v>
      </c>
      <c r="AD74" s="50" t="str">
        <f>MID(VLOOKUP($A74,Seqs!$A:$B,2,FALSE),VLOOKUP($A74,'SegEnds_NonXtal_Prot#'!$A:$AL,22,FALSE)+9,1)</f>
        <v>P</v>
      </c>
      <c r="AE74" s="50" t="str">
        <f>MID(VLOOKUP($A74,Seqs!$A:$B,2,FALSE),VLOOKUP($A74,'SegEnds_NonXtal_Prot#'!$A:$AL,22,FALSE)+10,1)</f>
        <v>A</v>
      </c>
      <c r="AF74" s="28" t="str">
        <f>MID(VLOOKUP($A74,Seqs!$A:$B,2,FALSE),VLOOKUP($A74,'SegEnds_NonXtal_Prot#'!$A:$AL,28,FALSE)-4,1)</f>
        <v>G</v>
      </c>
      <c r="AG74" s="50" t="str">
        <f>MID(VLOOKUP($A74,Seqs!$A:$B,2,FALSE),VLOOKUP($A74,'SegEnds_NonXtal_Prot#'!$A:$AL,28,FALSE),1)</f>
        <v>P</v>
      </c>
    </row>
    <row r="75" spans="1:33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G75" s="4"/>
      <c r="Q75" s="2" t="s">
        <v>9</v>
      </c>
      <c r="S75" s="4" t="s">
        <v>12</v>
      </c>
      <c r="U75" s="28" t="str">
        <f>MID(VLOOKUP($A75,Seqs!$A:$B,2,FALSE),VLOOKUP($A75,'SegEnds_NonXtal_Prot#'!A:AL,10,FALSE),1)</f>
        <v>D</v>
      </c>
      <c r="V75" s="50" t="str">
        <f>MID(VLOOKUP($A75,Seqs!$A:$B,2,FALSE),VLOOKUP($A75,'SegEnds_NonXtal_Prot#'!A:AL,10,FALSE)+6,1)</f>
        <v>T</v>
      </c>
      <c r="W75" s="50" t="str">
        <f>MID(VLOOKUP($A75,Seqs!$A:$B,2,FALSE),VLOOKUP($A75,'SegEnds_NonXtal_Prot#'!A:AL,10,FALSE)+7,1)</f>
        <v>L</v>
      </c>
      <c r="X75" s="50" t="str">
        <f>MID(VLOOKUP($A75,Seqs!$A:$B,2,FALSE),VLOOKUP($A75,'SegEnds_NonXtal_Prot#'!A:AL,10,FALSE)+8,1)</f>
        <v>P</v>
      </c>
      <c r="Y75" s="50" t="str">
        <f>MID(VLOOKUP($A75,Seqs!$A:$B,2,FALSE),VLOOKUP($A75,'SegEnds_NonXtal_Prot#'!A:AL,10,FALSE)+9,1)</f>
        <v>L</v>
      </c>
      <c r="Z75" s="50" t="str">
        <f>MID(VLOOKUP($A75,Seqs!$A:$B,2,FALSE),VLOOKUP($A75,'SegEnds_NonXtal_Prot#'!A:AL,10,FALSE)+10,1)</f>
        <v>W</v>
      </c>
      <c r="AA75" s="28" t="str">
        <f>MID(VLOOKUP($A75,Seqs!$A:$B,2,FALSE),VLOOKUP($A75,'SegEnds_NonXtal_Prot#'!$A:$AL,22,FALSE)+6,1)</f>
        <v>L</v>
      </c>
      <c r="AB75" s="50" t="str">
        <f>MID(VLOOKUP($A75,Seqs!$A:$B,2,FALSE),VLOOKUP($A75,'SegEnds_NonXtal_Prot#'!$A:$AL,22,FALSE)+7,1)</f>
        <v>G</v>
      </c>
      <c r="AC75" s="50" t="str">
        <f>MID(VLOOKUP($A75,Seqs!$A:$B,2,FALSE),VLOOKUP($A75,'SegEnds_NonXtal_Prot#'!$A:$AL,22,FALSE)+8,1)</f>
        <v>L</v>
      </c>
      <c r="AD75" s="50" t="str">
        <f>MID(VLOOKUP($A75,Seqs!$A:$B,2,FALSE),VLOOKUP($A75,'SegEnds_NonXtal_Prot#'!$A:$AL,22,FALSE)+9,1)</f>
        <v>P</v>
      </c>
      <c r="AE75" s="50" t="str">
        <f>MID(VLOOKUP($A75,Seqs!$A:$B,2,FALSE),VLOOKUP($A75,'SegEnds_NonXtal_Prot#'!$A:$AL,22,FALSE)+10,1)</f>
        <v>T</v>
      </c>
      <c r="AF75" s="28" t="str">
        <f>MID(VLOOKUP($A75,Seqs!$A:$B,2,FALSE),VLOOKUP($A75,'SegEnds_NonXtal_Prot#'!$A:$AL,28,FALSE)-4,1)</f>
        <v>T</v>
      </c>
      <c r="AG75" s="50" t="str">
        <f>MID(VLOOKUP($A75,Seqs!$A:$B,2,FALSE),VLOOKUP($A75,'SegEnds_NonXtal_Prot#'!$A:$AL,28,FALSE),1)</f>
        <v>P</v>
      </c>
    </row>
    <row r="76" spans="1:33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G76" s="4"/>
      <c r="Q76" s="2" t="s">
        <v>9</v>
      </c>
      <c r="S76" s="4" t="s">
        <v>12</v>
      </c>
      <c r="U76" s="28" t="str">
        <f>MID(VLOOKUP($A76,Seqs!$A:$B,2,FALSE),VLOOKUP($A76,'SegEnds_NonXtal_Prot#'!A:AL,10,FALSE),1)</f>
        <v>D</v>
      </c>
      <c r="V76" s="50" t="str">
        <f>MID(VLOOKUP($A76,Seqs!$A:$B,2,FALSE),VLOOKUP($A76,'SegEnds_NonXtal_Prot#'!A:AL,10,FALSE)+6,1)</f>
        <v>T</v>
      </c>
      <c r="W76" s="50" t="str">
        <f>MID(VLOOKUP($A76,Seqs!$A:$B,2,FALSE),VLOOKUP($A76,'SegEnds_NonXtal_Prot#'!A:AL,10,FALSE)+7,1)</f>
        <v>L</v>
      </c>
      <c r="X76" s="50" t="str">
        <f>MID(VLOOKUP($A76,Seqs!$A:$B,2,FALSE),VLOOKUP($A76,'SegEnds_NonXtal_Prot#'!A:AL,10,FALSE)+8,1)</f>
        <v>P</v>
      </c>
      <c r="Y76" s="50" t="str">
        <f>MID(VLOOKUP($A76,Seqs!$A:$B,2,FALSE),VLOOKUP($A76,'SegEnds_NonXtal_Prot#'!A:AL,10,FALSE)+9,1)</f>
        <v>L</v>
      </c>
      <c r="Z76" s="50" t="str">
        <f>MID(VLOOKUP($A76,Seqs!$A:$B,2,FALSE),VLOOKUP($A76,'SegEnds_NonXtal_Prot#'!A:AL,10,FALSE)+10,1)</f>
        <v>W</v>
      </c>
      <c r="AA76" s="28" t="str">
        <f>MID(VLOOKUP($A76,Seqs!$A:$B,2,FALSE),VLOOKUP($A76,'SegEnds_NonXtal_Prot#'!$A:$AL,22,FALSE)+6,1)</f>
        <v>A</v>
      </c>
      <c r="AB76" s="50" t="str">
        <f>MID(VLOOKUP($A76,Seqs!$A:$B,2,FALSE),VLOOKUP($A76,'SegEnds_NonXtal_Prot#'!$A:$AL,22,FALSE)+7,1)</f>
        <v>G</v>
      </c>
      <c r="AC76" s="50" t="str">
        <f>MID(VLOOKUP($A76,Seqs!$A:$B,2,FALSE),VLOOKUP($A76,'SegEnds_NonXtal_Prot#'!$A:$AL,22,FALSE)+8,1)</f>
        <v>L</v>
      </c>
      <c r="AD76" s="50" t="str">
        <f>MID(VLOOKUP($A76,Seqs!$A:$B,2,FALSE),VLOOKUP($A76,'SegEnds_NonXtal_Prot#'!$A:$AL,22,FALSE)+9,1)</f>
        <v>P</v>
      </c>
      <c r="AE76" s="50" t="str">
        <f>MID(VLOOKUP($A76,Seqs!$A:$B,2,FALSE),VLOOKUP($A76,'SegEnds_NonXtal_Prot#'!$A:$AL,22,FALSE)+10,1)</f>
        <v>S</v>
      </c>
      <c r="AF76" s="28" t="str">
        <f>MID(VLOOKUP($A76,Seqs!$A:$B,2,FALSE),VLOOKUP($A76,'SegEnds_NonXtal_Prot#'!$A:$AL,28,FALSE)-4,1)</f>
        <v>T</v>
      </c>
      <c r="AG76" s="50" t="str">
        <f>MID(VLOOKUP($A76,Seqs!$A:$B,2,FALSE),VLOOKUP($A76,'SegEnds_NonXtal_Prot#'!$A:$AL,28,FALSE),1)</f>
        <v>P</v>
      </c>
    </row>
    <row r="77" spans="1:33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G77" s="4"/>
      <c r="M77" s="2" t="s">
        <v>14</v>
      </c>
      <c r="Q77" s="2" t="s">
        <v>9</v>
      </c>
      <c r="S77" s="4" t="s">
        <v>12</v>
      </c>
      <c r="U77" s="28" t="str">
        <f>MID(VLOOKUP($A77,Seqs!$A:$B,2,FALSE),VLOOKUP($A77,'SegEnds_NonXtal_Prot#'!A:AL,10,FALSE),1)</f>
        <v>Y</v>
      </c>
      <c r="V77" s="50" t="str">
        <f>MID(VLOOKUP($A77,Seqs!$A:$B,2,FALSE),VLOOKUP($A77,'SegEnds_NonXtal_Prot#'!A:AL,10,FALSE)+6,1)</f>
        <v>I</v>
      </c>
      <c r="W77" s="50" t="str">
        <f>MID(VLOOKUP($A77,Seqs!$A:$B,2,FALSE),VLOOKUP($A77,'SegEnds_NonXtal_Prot#'!A:AL,10,FALSE)+7,1)</f>
        <v>L</v>
      </c>
      <c r="X77" s="50" t="str">
        <f>MID(VLOOKUP($A77,Seqs!$A:$B,2,FALSE),VLOOKUP($A77,'SegEnds_NonXtal_Prot#'!A:AL,10,FALSE)+8,1)</f>
        <v>P</v>
      </c>
      <c r="Y77" s="50" t="str">
        <f>MID(VLOOKUP($A77,Seqs!$A:$B,2,FALSE),VLOOKUP($A77,'SegEnds_NonXtal_Prot#'!A:AL,10,FALSE)+9,1)</f>
        <v>F</v>
      </c>
      <c r="Z77" s="50" t="str">
        <f>MID(VLOOKUP($A77,Seqs!$A:$B,2,FALSE),VLOOKUP($A77,'SegEnds_NonXtal_Prot#'!A:AL,10,FALSE)+10,1)</f>
        <v>M</v>
      </c>
      <c r="AA77" s="28" t="str">
        <f>MID(VLOOKUP($A77,Seqs!$A:$B,2,FALSE),VLOOKUP($A77,'SegEnds_NonXtal_Prot#'!$A:$AL,22,FALSE)+6,1)</f>
        <v>L</v>
      </c>
      <c r="AB77" s="50" t="str">
        <f>MID(VLOOKUP($A77,Seqs!$A:$B,2,FALSE),VLOOKUP($A77,'SegEnds_NonXtal_Prot#'!$A:$AL,22,FALSE)+7,1)</f>
        <v>S</v>
      </c>
      <c r="AC77" s="50" t="str">
        <f>MID(VLOOKUP($A77,Seqs!$A:$B,2,FALSE),VLOOKUP($A77,'SegEnds_NonXtal_Prot#'!$A:$AL,22,FALSE)+8,1)</f>
        <v>I</v>
      </c>
      <c r="AD77" s="50" t="str">
        <f>MID(VLOOKUP($A77,Seqs!$A:$B,2,FALSE),VLOOKUP($A77,'SegEnds_NonXtal_Prot#'!$A:$AL,22,FALSE)+9,1)</f>
        <v>P</v>
      </c>
      <c r="AE77" s="50" t="str">
        <f>MID(VLOOKUP($A77,Seqs!$A:$B,2,FALSE),VLOOKUP($A77,'SegEnds_NonXtal_Prot#'!$A:$AL,22,FALSE)+10,1)</f>
        <v>Y</v>
      </c>
      <c r="AF77" s="28" t="str">
        <f>MID(VLOOKUP($A77,Seqs!$A:$B,2,FALSE),VLOOKUP($A77,'SegEnds_NonXtal_Prot#'!$A:$AL,28,FALSE)-4,1)</f>
        <v>G</v>
      </c>
      <c r="AG77" s="50" t="str">
        <f>MID(VLOOKUP($A77,Seqs!$A:$B,2,FALSE),VLOOKUP($A77,'SegEnds_NonXtal_Prot#'!$A:$AL,28,FALSE),1)</f>
        <v>P</v>
      </c>
    </row>
    <row r="78" spans="1:33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G78" s="4"/>
      <c r="S78" s="4" t="s">
        <v>12</v>
      </c>
      <c r="U78" s="28" t="str">
        <f>MID(VLOOKUP($A78,Seqs!$A:$B,2,FALSE),VLOOKUP($A78,'SegEnds_NonXtal_Prot#'!A:AL,10,FALSE),1)</f>
        <v>N</v>
      </c>
      <c r="V78" s="50" t="str">
        <f>MID(VLOOKUP($A78,Seqs!$A:$B,2,FALSE),VLOOKUP($A78,'SegEnds_NonXtal_Prot#'!A:AL,10,FALSE)+6,1)</f>
        <v>Y</v>
      </c>
      <c r="W78" s="50" t="str">
        <f>MID(VLOOKUP($A78,Seqs!$A:$B,2,FALSE),VLOOKUP($A78,'SegEnds_NonXtal_Prot#'!A:AL,10,FALSE)+7,1)</f>
        <v>T</v>
      </c>
      <c r="X78" s="50" t="str">
        <f>MID(VLOOKUP($A78,Seqs!$A:$B,2,FALSE),VLOOKUP($A78,'SegEnds_NonXtal_Prot#'!A:AL,10,FALSE)+8,1)</f>
        <v>G</v>
      </c>
      <c r="Y78" s="50" t="str">
        <f>MID(VLOOKUP($A78,Seqs!$A:$B,2,FALSE),VLOOKUP($A78,'SegEnds_NonXtal_Prot#'!A:AL,10,FALSE)+9,1)</f>
        <v>I</v>
      </c>
      <c r="Z78" s="50" t="str">
        <f>MID(VLOOKUP($A78,Seqs!$A:$B,2,FALSE),VLOOKUP($A78,'SegEnds_NonXtal_Prot#'!A:AL,10,FALSE)+10,1)</f>
        <v>L</v>
      </c>
      <c r="AA78" s="28" t="str">
        <f>MID(VLOOKUP($A78,Seqs!$A:$B,2,FALSE),VLOOKUP($A78,'SegEnds_NonXtal_Prot#'!$A:$AL,22,FALSE)+6,1)</f>
        <v>A</v>
      </c>
      <c r="AB78" s="50" t="str">
        <f>MID(VLOOKUP($A78,Seqs!$A:$B,2,FALSE),VLOOKUP($A78,'SegEnds_NonXtal_Prot#'!$A:$AL,22,FALSE)+7,1)</f>
        <v>G</v>
      </c>
      <c r="AC78" s="50" t="str">
        <f>MID(VLOOKUP($A78,Seqs!$A:$B,2,FALSE),VLOOKUP($A78,'SegEnds_NonXtal_Prot#'!$A:$AL,22,FALSE)+8,1)</f>
        <v>C</v>
      </c>
      <c r="AD78" s="50" t="str">
        <f>MID(VLOOKUP($A78,Seqs!$A:$B,2,FALSE),VLOOKUP($A78,'SegEnds_NonXtal_Prot#'!$A:$AL,22,FALSE)+9,1)</f>
        <v>F</v>
      </c>
      <c r="AE78" s="50" t="str">
        <f>MID(VLOOKUP($A78,Seqs!$A:$B,2,FALSE),VLOOKUP($A78,'SegEnds_NonXtal_Prot#'!$A:$AL,22,FALSE)+10,1)</f>
        <v>P</v>
      </c>
      <c r="AF78" s="28" t="str">
        <f>MID(VLOOKUP($A78,Seqs!$A:$B,2,FALSE),VLOOKUP($A78,'SegEnds_NonXtal_Prot#'!$A:$AL,28,FALSE)-4,1)</f>
        <v>L</v>
      </c>
      <c r="AG78" s="50" t="str">
        <f>MID(VLOOKUP($A78,Seqs!$A:$B,2,FALSE),VLOOKUP($A78,'SegEnds_NonXtal_Prot#'!$A:$AL,28,FALSE),1)</f>
        <v>A</v>
      </c>
    </row>
    <row r="79" spans="1:33" s="2" customFormat="1" x14ac:dyDescent="0.2">
      <c r="A79" s="2" t="s">
        <v>292</v>
      </c>
      <c r="B79" s="2" t="str">
        <f>LOWER(VLOOKUP(A79,Xtal_Templ!A:B,2,FALSE))</f>
        <v>agtr1_human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G79" s="4"/>
      <c r="M79" s="2" t="s">
        <v>14</v>
      </c>
      <c r="Q79" s="2" t="s">
        <v>9</v>
      </c>
      <c r="S79" s="4" t="s">
        <v>12</v>
      </c>
      <c r="U79" s="28" t="str">
        <f>MID(VLOOKUP($A79,Seqs!$A:$B,2,FALSE),VLOOKUP($A79,'SegEnds_NonXtal_Prot#'!A:AL,10,FALSE),1)</f>
        <v>D</v>
      </c>
      <c r="V79" s="50" t="str">
        <f>MID(VLOOKUP($A79,Seqs!$A:$B,2,FALSE),VLOOKUP($A79,'SegEnds_NonXtal_Prot#'!A:AL,10,FALSE)+6,1)</f>
        <v>T</v>
      </c>
      <c r="W79" s="50" t="str">
        <f>MID(VLOOKUP($A79,Seqs!$A:$B,2,FALSE),VLOOKUP($A79,'SegEnds_NonXtal_Prot#'!A:AL,10,FALSE)+7,1)</f>
        <v>A</v>
      </c>
      <c r="X79" s="50" t="str">
        <f>MID(VLOOKUP($A79,Seqs!$A:$B,2,FALSE),VLOOKUP($A79,'SegEnds_NonXtal_Prot#'!A:AL,10,FALSE)+8,1)</f>
        <v>P</v>
      </c>
      <c r="Y79" s="50" t="str">
        <f>MID(VLOOKUP($A79,Seqs!$A:$B,2,FALSE),VLOOKUP($A79,'SegEnds_NonXtal_Prot#'!A:AL,10,FALSE)+9,1)</f>
        <v>F</v>
      </c>
      <c r="Z79" s="50" t="str">
        <f>MID(VLOOKUP($A79,Seqs!$A:$B,2,FALSE),VLOOKUP($A79,'SegEnds_NonXtal_Prot#'!A:AL,10,FALSE)+10,1)</f>
        <v>F</v>
      </c>
      <c r="AA79" s="28" t="str">
        <f>MID(VLOOKUP($A79,Seqs!$A:$B,2,FALSE),VLOOKUP($A79,'SegEnds_NonXtal_Prot#'!$A:$AL,22,FALSE)+6,1)</f>
        <v>L</v>
      </c>
      <c r="AB79" s="50" t="str">
        <f>MID(VLOOKUP($A79,Seqs!$A:$B,2,FALSE),VLOOKUP($A79,'SegEnds_NonXtal_Prot#'!$A:$AL,22,FALSE)+7,1)</f>
        <v>A</v>
      </c>
      <c r="AC79" s="50" t="str">
        <f>MID(VLOOKUP($A79,Seqs!$A:$B,2,FALSE),VLOOKUP($A79,'SegEnds_NonXtal_Prot#'!$A:$AL,22,FALSE)+8,1)</f>
        <v>T</v>
      </c>
      <c r="AD79" s="50" t="str">
        <f>MID(VLOOKUP($A79,Seqs!$A:$B,2,FALSE),VLOOKUP($A79,'SegEnds_NonXtal_Prot#'!$A:$AL,22,FALSE)+9,1)</f>
        <v>P</v>
      </c>
      <c r="AE79" s="50" t="str">
        <f>MID(VLOOKUP($A79,Seqs!$A:$B,2,FALSE),VLOOKUP($A79,'SegEnds_NonXtal_Prot#'!$A:$AL,22,FALSE)+10,1)</f>
        <v>V</v>
      </c>
      <c r="AF79" s="28" t="str">
        <f>MID(VLOOKUP($A79,Seqs!$A:$B,2,FALSE),VLOOKUP($A79,'SegEnds_NonXtal_Prot#'!$A:$AL,28,FALSE)-4,1)</f>
        <v>G</v>
      </c>
      <c r="AG79" s="50" t="str">
        <f>MID(VLOOKUP($A79,Seqs!$A:$B,2,FALSE),VLOOKUP($A79,'SegEnds_NonXtal_Prot#'!$A:$AL,28,FALSE),1)</f>
        <v>P</v>
      </c>
    </row>
    <row r="80" spans="1:33" s="2" customFormat="1" x14ac:dyDescent="0.2">
      <c r="A80" s="2" t="s">
        <v>304</v>
      </c>
      <c r="B80" s="2" t="str">
        <f>LOWER(VLOOKUP(A80,Xtal_Templ!A:B,2,FALSE))</f>
        <v>agtr1_human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G80" s="4"/>
      <c r="S80" s="4" t="s">
        <v>12</v>
      </c>
      <c r="U80" s="28" t="str">
        <f>MID(VLOOKUP($A80,Seqs!$A:$B,2,FALSE),VLOOKUP($A80,'SegEnds_NonXtal_Prot#'!A:AL,10,FALSE),1)</f>
        <v>D</v>
      </c>
      <c r="V80" s="50" t="str">
        <f>MID(VLOOKUP($A80,Seqs!$A:$B,2,FALSE),VLOOKUP($A80,'SegEnds_NonXtal_Prot#'!A:AL,10,FALSE)+6,1)</f>
        <v>C</v>
      </c>
      <c r="W80" s="50" t="str">
        <f>MID(VLOOKUP($A80,Seqs!$A:$B,2,FALSE),VLOOKUP($A80,'SegEnds_NonXtal_Prot#'!A:AL,10,FALSE)+7,1)</f>
        <v>R</v>
      </c>
      <c r="X80" s="50" t="str">
        <f>MID(VLOOKUP($A80,Seqs!$A:$B,2,FALSE),VLOOKUP($A80,'SegEnds_NonXtal_Prot#'!A:AL,10,FALSE)+8,1)</f>
        <v>V</v>
      </c>
      <c r="Y80" s="50" t="str">
        <f>MID(VLOOKUP($A80,Seqs!$A:$B,2,FALSE),VLOOKUP($A80,'SegEnds_NonXtal_Prot#'!A:AL,10,FALSE)+9,1)</f>
        <v>G</v>
      </c>
      <c r="Z80" s="50" t="str">
        <f>MID(VLOOKUP($A80,Seqs!$A:$B,2,FALSE),VLOOKUP($A80,'SegEnds_NonXtal_Prot#'!A:AL,10,FALSE)+10,1)</f>
        <v>F</v>
      </c>
      <c r="AA80" s="28" t="str">
        <f>MID(VLOOKUP($A80,Seqs!$A:$B,2,FALSE),VLOOKUP($A80,'SegEnds_NonXtal_Prot#'!$A:$AL,22,FALSE)+6,1)</f>
        <v>A</v>
      </c>
      <c r="AB80" s="50" t="str">
        <f>MID(VLOOKUP($A80,Seqs!$A:$B,2,FALSE),VLOOKUP($A80,'SegEnds_NonXtal_Prot#'!$A:$AL,22,FALSE)+7,1)</f>
        <v>V</v>
      </c>
      <c r="AC80" s="50" t="str">
        <f>MID(VLOOKUP($A80,Seqs!$A:$B,2,FALSE),VLOOKUP($A80,'SegEnds_NonXtal_Prot#'!$A:$AL,22,FALSE)+8,1)</f>
        <v>P</v>
      </c>
      <c r="AD80" s="50" t="str">
        <f>MID(VLOOKUP($A80,Seqs!$A:$B,2,FALSE),VLOOKUP($A80,'SegEnds_NonXtal_Prot#'!$A:$AL,22,FALSE)+9,1)</f>
        <v>L</v>
      </c>
      <c r="AE80" s="50" t="str">
        <f>MID(VLOOKUP($A80,Seqs!$A:$B,2,FALSE),VLOOKUP($A80,'SegEnds_NonXtal_Prot#'!$A:$AL,22,FALSE)+10,1)</f>
        <v>P</v>
      </c>
      <c r="AF80" s="28" t="str">
        <f>MID(VLOOKUP($A80,Seqs!$A:$B,2,FALSE),VLOOKUP($A80,'SegEnds_NonXtal_Prot#'!$A:$AL,28,FALSE)-4,1)</f>
        <v>L</v>
      </c>
      <c r="AG80" s="50" t="str">
        <f>MID(VLOOKUP($A80,Seqs!$A:$B,2,FALSE),VLOOKUP($A80,'SegEnds_NonXtal_Prot#'!$A:$AL,28,FALSE),1)</f>
        <v>R</v>
      </c>
    </row>
    <row r="81" spans="1:33" s="2" customFormat="1" x14ac:dyDescent="0.2">
      <c r="A81" s="2" t="s">
        <v>306</v>
      </c>
      <c r="B81" s="2" t="str">
        <f>LOWER(VLOOKUP(A81,Xtal_Templ!A:B,2,FALSE))</f>
        <v>agtr1_human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G81" s="4"/>
      <c r="S81" s="4" t="s">
        <v>12</v>
      </c>
      <c r="U81" s="28" t="str">
        <f>MID(VLOOKUP($A81,Seqs!$A:$B,2,FALSE),VLOOKUP($A81,'SegEnds_NonXtal_Prot#'!A:AL,10,FALSE),1)</f>
        <v>D</v>
      </c>
      <c r="V81" s="50" t="str">
        <f>MID(VLOOKUP($A81,Seqs!$A:$B,2,FALSE),VLOOKUP($A81,'SegEnds_NonXtal_Prot#'!A:AL,10,FALSE)+6,1)</f>
        <v>F</v>
      </c>
      <c r="W81" s="50" t="str">
        <f>MID(VLOOKUP($A81,Seqs!$A:$B,2,FALSE),VLOOKUP($A81,'SegEnds_NonXtal_Prot#'!A:AL,10,FALSE)+7,1)</f>
        <v>Q</v>
      </c>
      <c r="X81" s="50" t="str">
        <f>MID(VLOOKUP($A81,Seqs!$A:$B,2,FALSE),VLOOKUP($A81,'SegEnds_NonXtal_Prot#'!A:AL,10,FALSE)+8,1)</f>
        <v>I</v>
      </c>
      <c r="Y81" s="50" t="str">
        <f>MID(VLOOKUP($A81,Seqs!$A:$B,2,FALSE),VLOOKUP($A81,'SegEnds_NonXtal_Prot#'!A:AL,10,FALSE)+9,1)</f>
        <v>I</v>
      </c>
      <c r="Z81" s="50" t="str">
        <f>MID(VLOOKUP($A81,Seqs!$A:$B,2,FALSE),VLOOKUP($A81,'SegEnds_NonXtal_Prot#'!A:AL,10,FALSE)+10,1)</f>
        <v>N</v>
      </c>
      <c r="AA81" s="28" t="str">
        <f>MID(VLOOKUP($A81,Seqs!$A:$B,2,FALSE),VLOOKUP($A81,'SegEnds_NonXtal_Prot#'!$A:$AL,22,FALSE)+6,1)</f>
        <v>L</v>
      </c>
      <c r="AB81" s="50" t="str">
        <f>MID(VLOOKUP($A81,Seqs!$A:$B,2,FALSE),VLOOKUP($A81,'SegEnds_NonXtal_Prot#'!$A:$AL,22,FALSE)+7,1)</f>
        <v>S</v>
      </c>
      <c r="AC81" s="50" t="str">
        <f>MID(VLOOKUP($A81,Seqs!$A:$B,2,FALSE),VLOOKUP($A81,'SegEnds_NonXtal_Prot#'!$A:$AL,22,FALSE)+8,1)</f>
        <v>I</v>
      </c>
      <c r="AD81" s="50" t="str">
        <f>MID(VLOOKUP($A81,Seqs!$A:$B,2,FALSE),VLOOKUP($A81,'SegEnds_NonXtal_Prot#'!$A:$AL,22,FALSE)+9,1)</f>
        <v>L</v>
      </c>
      <c r="AE81" s="50" t="str">
        <f>MID(VLOOKUP($A81,Seqs!$A:$B,2,FALSE),VLOOKUP($A81,'SegEnds_NonXtal_Prot#'!$A:$AL,22,FALSE)+10,1)</f>
        <v>E</v>
      </c>
      <c r="AF81" s="28" t="str">
        <f>MID(VLOOKUP($A81,Seqs!$A:$B,2,FALSE),VLOOKUP($A81,'SegEnds_NonXtal_Prot#'!$A:$AL,28,FALSE)-4,1)</f>
        <v>I</v>
      </c>
      <c r="AG81" s="50" t="str">
        <f>MID(VLOOKUP($A81,Seqs!$A:$B,2,FALSE),VLOOKUP($A81,'SegEnds_NonXtal_Prot#'!$A:$AL,28,FALSE),1)</f>
        <v>M</v>
      </c>
    </row>
    <row r="82" spans="1:33" s="2" customFormat="1" x14ac:dyDescent="0.2">
      <c r="A82" s="2" t="s">
        <v>331</v>
      </c>
      <c r="B82" s="2" t="str">
        <f>LOWER(VLOOKUP(A82,Xtal_Templ!A:B,2,FALSE))</f>
        <v>agtr1_human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G82" s="4"/>
      <c r="Q82" s="2" t="s">
        <v>9</v>
      </c>
      <c r="S82" s="4" t="s">
        <v>12</v>
      </c>
      <c r="U82" s="28" t="str">
        <f>MID(VLOOKUP($A82,Seqs!$A:$B,2,FALSE),VLOOKUP($A82,'SegEnds_NonXtal_Prot#'!A:AL,10,FALSE),1)</f>
        <v>D</v>
      </c>
      <c r="V82" s="50" t="str">
        <f>MID(VLOOKUP($A82,Seqs!$A:$B,2,FALSE),VLOOKUP($A82,'SegEnds_NonXtal_Prot#'!A:AL,10,FALSE)+6,1)</f>
        <v>S</v>
      </c>
      <c r="W82" s="50" t="str">
        <f>MID(VLOOKUP($A82,Seqs!$A:$B,2,FALSE),VLOOKUP($A82,'SegEnds_NonXtal_Prot#'!A:AL,10,FALSE)+7,1)</f>
        <v>L</v>
      </c>
      <c r="X82" s="50" t="str">
        <f>MID(VLOOKUP($A82,Seqs!$A:$B,2,FALSE),VLOOKUP($A82,'SegEnds_NonXtal_Prot#'!A:AL,10,FALSE)+8,1)</f>
        <v>P</v>
      </c>
      <c r="Y82" s="50" t="str">
        <f>MID(VLOOKUP($A82,Seqs!$A:$B,2,FALSE),VLOOKUP($A82,'SegEnds_NonXtal_Prot#'!A:AL,10,FALSE)+9,1)</f>
        <v>F</v>
      </c>
      <c r="Z82" s="50" t="str">
        <f>MID(VLOOKUP($A82,Seqs!$A:$B,2,FALSE),VLOOKUP($A82,'SegEnds_NonXtal_Prot#'!A:AL,10,FALSE)+10,1)</f>
        <v>W</v>
      </c>
      <c r="AA82" s="28" t="str">
        <f>MID(VLOOKUP($A82,Seqs!$A:$B,2,FALSE),VLOOKUP($A82,'SegEnds_NonXtal_Prot#'!$A:$AL,22,FALSE)+6,1)</f>
        <v>T</v>
      </c>
      <c r="AB82" s="50" t="str">
        <f>MID(VLOOKUP($A82,Seqs!$A:$B,2,FALSE),VLOOKUP($A82,'SegEnds_NonXtal_Prot#'!$A:$AL,22,FALSE)+7,1)</f>
        <v>S</v>
      </c>
      <c r="AC82" s="50" t="str">
        <f>MID(VLOOKUP($A82,Seqs!$A:$B,2,FALSE),VLOOKUP($A82,'SegEnds_NonXtal_Prot#'!$A:$AL,22,FALSE)+8,1)</f>
        <v>I</v>
      </c>
      <c r="AD82" s="50" t="str">
        <f>MID(VLOOKUP($A82,Seqs!$A:$B,2,FALSE),VLOOKUP($A82,'SegEnds_NonXtal_Prot#'!$A:$AL,22,FALSE)+9,1)</f>
        <v>Y</v>
      </c>
      <c r="AE82" s="50" t="str">
        <f>MID(VLOOKUP($A82,Seqs!$A:$B,2,FALSE),VLOOKUP($A82,'SegEnds_NonXtal_Prot#'!$A:$AL,22,FALSE)+10,1)</f>
        <v>F</v>
      </c>
      <c r="AF82" s="28" t="str">
        <f>MID(VLOOKUP($A82,Seqs!$A:$B,2,FALSE),VLOOKUP($A82,'SegEnds_NonXtal_Prot#'!$A:$AL,28,FALSE)-4,1)</f>
        <v>G</v>
      </c>
      <c r="AG82" s="50" t="str">
        <f>MID(VLOOKUP($A82,Seqs!$A:$B,2,FALSE),VLOOKUP($A82,'SegEnds_NonXtal_Prot#'!$A:$AL,28,FALSE),1)</f>
        <v>P</v>
      </c>
    </row>
    <row r="83" spans="1:33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G83" s="4"/>
      <c r="M83" s="2" t="s">
        <v>14</v>
      </c>
      <c r="Q83" s="2" t="s">
        <v>9</v>
      </c>
      <c r="S83" s="4" t="s">
        <v>12</v>
      </c>
      <c r="U83" s="28" t="str">
        <f>MID(VLOOKUP($A83,Seqs!$A:$B,2,FALSE),VLOOKUP($A83,'SegEnds_NonXtal_Prot#'!A:AL,10,FALSE),1)</f>
        <v>D</v>
      </c>
      <c r="V83" s="50" t="str">
        <f>MID(VLOOKUP($A83,Seqs!$A:$B,2,FALSE),VLOOKUP($A83,'SegEnds_NonXtal_Prot#'!A:AL,10,FALSE)+6,1)</f>
        <v>T</v>
      </c>
      <c r="W83" s="50" t="str">
        <f>MID(VLOOKUP($A83,Seqs!$A:$B,2,FALSE),VLOOKUP($A83,'SegEnds_NonXtal_Prot#'!A:AL,10,FALSE)+7,1)</f>
        <v>L</v>
      </c>
      <c r="X83" s="50" t="str">
        <f>MID(VLOOKUP($A83,Seqs!$A:$B,2,FALSE),VLOOKUP($A83,'SegEnds_NonXtal_Prot#'!A:AL,10,FALSE)+8,1)</f>
        <v>P</v>
      </c>
      <c r="Y83" s="50" t="str">
        <f>MID(VLOOKUP($A83,Seqs!$A:$B,2,FALSE),VLOOKUP($A83,'SegEnds_NonXtal_Prot#'!A:AL,10,FALSE)+9,1)</f>
        <v>F</v>
      </c>
      <c r="Z83" s="50" t="str">
        <f>MID(VLOOKUP($A83,Seqs!$A:$B,2,FALSE),VLOOKUP($A83,'SegEnds_NonXtal_Prot#'!A:AL,10,FALSE)+10,1)</f>
        <v>W</v>
      </c>
      <c r="AA83" s="28" t="str">
        <f>MID(VLOOKUP($A83,Seqs!$A:$B,2,FALSE),VLOOKUP($A83,'SegEnds_NonXtal_Prot#'!$A:$AL,22,FALSE)+6,1)</f>
        <v>A</v>
      </c>
      <c r="AB83" s="50" t="str">
        <f>MID(VLOOKUP($A83,Seqs!$A:$B,2,FALSE),VLOOKUP($A83,'SegEnds_NonXtal_Prot#'!$A:$AL,22,FALSE)+7,1)</f>
        <v>S</v>
      </c>
      <c r="AC83" s="50" t="str">
        <f>MID(VLOOKUP($A83,Seqs!$A:$B,2,FALSE),VLOOKUP($A83,'SegEnds_NonXtal_Prot#'!$A:$AL,22,FALSE)+8,1)</f>
        <v>L</v>
      </c>
      <c r="AD83" s="50" t="str">
        <f>MID(VLOOKUP($A83,Seqs!$A:$B,2,FALSE),VLOOKUP($A83,'SegEnds_NonXtal_Prot#'!$A:$AL,22,FALSE)+9,1)</f>
        <v>P</v>
      </c>
      <c r="AE83" s="50" t="str">
        <f>MID(VLOOKUP($A83,Seqs!$A:$B,2,FALSE),VLOOKUP($A83,'SegEnds_NonXtal_Prot#'!$A:$AL,22,FALSE)+10,1)</f>
        <v>S</v>
      </c>
      <c r="AF83" s="28" t="str">
        <f>MID(VLOOKUP($A83,Seqs!$A:$B,2,FALSE),VLOOKUP($A83,'SegEnds_NonXtal_Prot#'!$A:$AL,28,FALSE)-4,1)</f>
        <v>G</v>
      </c>
      <c r="AG83" s="50" t="str">
        <f>MID(VLOOKUP($A83,Seqs!$A:$B,2,FALSE),VLOOKUP($A83,'SegEnds_NonXtal_Prot#'!$A:$AL,28,FALSE),1)</f>
        <v>P</v>
      </c>
    </row>
    <row r="84" spans="1:33" s="2" customFormat="1" x14ac:dyDescent="0.2">
      <c r="A84" s="2" t="s">
        <v>374</v>
      </c>
      <c r="B84" s="2" t="str">
        <f>LOWER(VLOOKUP(A84,Xtal_Templ!A:B,2,FALSE))</f>
        <v>agtr1_human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G84" s="4"/>
      <c r="M84" s="2" t="s">
        <v>14</v>
      </c>
      <c r="Q84" s="2" t="s">
        <v>9</v>
      </c>
      <c r="S84" s="4" t="s">
        <v>12</v>
      </c>
      <c r="U84" s="28" t="str">
        <f>MID(VLOOKUP($A84,Seqs!$A:$B,2,FALSE),VLOOKUP($A84,'SegEnds_NonXtal_Prot#'!A:AL,10,FALSE),1)</f>
        <v>D</v>
      </c>
      <c r="V84" s="50" t="str">
        <f>MID(VLOOKUP($A84,Seqs!$A:$B,2,FALSE),VLOOKUP($A84,'SegEnds_NonXtal_Prot#'!A:AL,10,FALSE)+6,1)</f>
        <v>T</v>
      </c>
      <c r="W84" s="50" t="str">
        <f>MID(VLOOKUP($A84,Seqs!$A:$B,2,FALSE),VLOOKUP($A84,'SegEnds_NonXtal_Prot#'!A:AL,10,FALSE)+7,1)</f>
        <v>L</v>
      </c>
      <c r="X84" s="50" t="str">
        <f>MID(VLOOKUP($A84,Seqs!$A:$B,2,FALSE),VLOOKUP($A84,'SegEnds_NonXtal_Prot#'!A:AL,10,FALSE)+8,1)</f>
        <v>P</v>
      </c>
      <c r="Y84" s="50" t="str">
        <f>MID(VLOOKUP($A84,Seqs!$A:$B,2,FALSE),VLOOKUP($A84,'SegEnds_NonXtal_Prot#'!A:AL,10,FALSE)+9,1)</f>
        <v>F</v>
      </c>
      <c r="Z84" s="50" t="str">
        <f>MID(VLOOKUP($A84,Seqs!$A:$B,2,FALSE),VLOOKUP($A84,'SegEnds_NonXtal_Prot#'!A:AL,10,FALSE)+10,1)</f>
        <v>W</v>
      </c>
      <c r="AA84" s="28" t="str">
        <f>MID(VLOOKUP($A84,Seqs!$A:$B,2,FALSE),VLOOKUP($A84,'SegEnds_NonXtal_Prot#'!$A:$AL,22,FALSE)+6,1)</f>
        <v>V</v>
      </c>
      <c r="AB84" s="50" t="str">
        <f>MID(VLOOKUP($A84,Seqs!$A:$B,2,FALSE),VLOOKUP($A84,'SegEnds_NonXtal_Prot#'!$A:$AL,22,FALSE)+7,1)</f>
        <v>T</v>
      </c>
      <c r="AC84" s="50" t="str">
        <f>MID(VLOOKUP($A84,Seqs!$A:$B,2,FALSE),VLOOKUP($A84,'SegEnds_NonXtal_Prot#'!$A:$AL,22,FALSE)+8,1)</f>
        <v>V</v>
      </c>
      <c r="AD84" s="50" t="str">
        <f>MID(VLOOKUP($A84,Seqs!$A:$B,2,FALSE),VLOOKUP($A84,'SegEnds_NonXtal_Prot#'!$A:$AL,22,FALSE)+9,1)</f>
        <v>P</v>
      </c>
      <c r="AE84" s="50" t="str">
        <f>MID(VLOOKUP($A84,Seqs!$A:$B,2,FALSE),VLOOKUP($A84,'SegEnds_NonXtal_Prot#'!$A:$AL,22,FALSE)+10,1)</f>
        <v>T</v>
      </c>
      <c r="AF84" s="28" t="str">
        <f>MID(VLOOKUP($A84,Seqs!$A:$B,2,FALSE),VLOOKUP($A84,'SegEnds_NonXtal_Prot#'!$A:$AL,28,FALSE)-4,1)</f>
        <v>A</v>
      </c>
      <c r="AG84" s="50" t="str">
        <f>MID(VLOOKUP($A84,Seqs!$A:$B,2,FALSE),VLOOKUP($A84,'SegEnds_NonXtal_Prot#'!$A:$AL,28,FALSE),1)</f>
        <v>P</v>
      </c>
    </row>
    <row r="85" spans="1:33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G85" s="4"/>
      <c r="M85" s="2" t="s">
        <v>14</v>
      </c>
      <c r="Q85" s="2" t="s">
        <v>9</v>
      </c>
      <c r="S85" s="4" t="s">
        <v>12</v>
      </c>
      <c r="U85" s="28" t="str">
        <f>MID(VLOOKUP($A85,Seqs!$A:$B,2,FALSE),VLOOKUP($A85,'SegEnds_NonXtal_Prot#'!A:AL,10,FALSE),1)</f>
        <v>D</v>
      </c>
      <c r="V85" s="50" t="str">
        <f>MID(VLOOKUP($A85,Seqs!$A:$B,2,FALSE),VLOOKUP($A85,'SegEnds_NonXtal_Prot#'!A:AL,10,FALSE)+6,1)</f>
        <v>T</v>
      </c>
      <c r="W85" s="50" t="str">
        <f>MID(VLOOKUP($A85,Seqs!$A:$B,2,FALSE),VLOOKUP($A85,'SegEnds_NonXtal_Prot#'!A:AL,10,FALSE)+7,1)</f>
        <v>L</v>
      </c>
      <c r="X85" s="50" t="str">
        <f>MID(VLOOKUP($A85,Seqs!$A:$B,2,FALSE),VLOOKUP($A85,'SegEnds_NonXtal_Prot#'!A:AL,10,FALSE)+8,1)</f>
        <v>P</v>
      </c>
      <c r="Y85" s="50" t="str">
        <f>MID(VLOOKUP($A85,Seqs!$A:$B,2,FALSE),VLOOKUP($A85,'SegEnds_NonXtal_Prot#'!A:AL,10,FALSE)+9,1)</f>
        <v>L</v>
      </c>
      <c r="Z85" s="50" t="str">
        <f>MID(VLOOKUP($A85,Seqs!$A:$B,2,FALSE),VLOOKUP($A85,'SegEnds_NonXtal_Prot#'!A:AL,10,FALSE)+10,1)</f>
        <v>W</v>
      </c>
      <c r="AA85" s="28" t="str">
        <f>MID(VLOOKUP($A85,Seqs!$A:$B,2,FALSE),VLOOKUP($A85,'SegEnds_NonXtal_Prot#'!$A:$AL,22,FALSE)+6,1)</f>
        <v>A</v>
      </c>
      <c r="AB85" s="50" t="str">
        <f>MID(VLOOKUP($A85,Seqs!$A:$B,2,FALSE),VLOOKUP($A85,'SegEnds_NonXtal_Prot#'!$A:$AL,22,FALSE)+7,1)</f>
        <v>S</v>
      </c>
      <c r="AC85" s="50" t="str">
        <f>MID(VLOOKUP($A85,Seqs!$A:$B,2,FALSE),VLOOKUP($A85,'SegEnds_NonXtal_Prot#'!$A:$AL,22,FALSE)+8,1)</f>
        <v>V</v>
      </c>
      <c r="AD85" s="50" t="str">
        <f>MID(VLOOKUP($A85,Seqs!$A:$B,2,FALSE),VLOOKUP($A85,'SegEnds_NonXtal_Prot#'!$A:$AL,22,FALSE)+9,1)</f>
        <v>P</v>
      </c>
      <c r="AE85" s="50" t="str">
        <f>MID(VLOOKUP($A85,Seqs!$A:$B,2,FALSE),VLOOKUP($A85,'SegEnds_NonXtal_Prot#'!$A:$AL,22,FALSE)+10,1)</f>
        <v>G</v>
      </c>
      <c r="AF85" s="28" t="str">
        <f>MID(VLOOKUP($A85,Seqs!$A:$B,2,FALSE),VLOOKUP($A85,'SegEnds_NonXtal_Prot#'!$A:$AL,28,FALSE)-4,1)</f>
        <v>G</v>
      </c>
      <c r="AG85" s="50" t="str">
        <f>MID(VLOOKUP($A85,Seqs!$A:$B,2,FALSE),VLOOKUP($A85,'SegEnds_NonXtal_Prot#'!$A:$AL,28,FALSE),1)</f>
        <v>P</v>
      </c>
    </row>
    <row r="86" spans="1:33" s="2" customFormat="1" x14ac:dyDescent="0.2">
      <c r="A86" s="2" t="s">
        <v>142</v>
      </c>
      <c r="B86" s="2" t="str">
        <f>LOWER(VLOOKUP(A86,Xtal_Templ!A:B,2,FALSE))</f>
        <v>ccr9_human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G86" s="4"/>
      <c r="M86" s="2" t="s">
        <v>14</v>
      </c>
      <c r="S86" s="4" t="s">
        <v>12</v>
      </c>
      <c r="U86" s="28" t="str">
        <f>MID(VLOOKUP($A86,Seqs!$A:$B,2,FALSE),VLOOKUP($A86,'SegEnds_NonXtal_Prot#'!A:AL,10,FALSE),1)</f>
        <v>S</v>
      </c>
      <c r="V86" s="50" t="str">
        <f>MID(VLOOKUP($A86,Seqs!$A:$B,2,FALSE),VLOOKUP($A86,'SegEnds_NonXtal_Prot#'!A:AL,10,FALSE)+6,1)</f>
        <v>V</v>
      </c>
      <c r="W86" s="50" t="str">
        <f>MID(VLOOKUP($A86,Seqs!$A:$B,2,FALSE),VLOOKUP($A86,'SegEnds_NonXtal_Prot#'!A:AL,10,FALSE)+7,1)</f>
        <v>V</v>
      </c>
      <c r="X86" s="50" t="str">
        <f>MID(VLOOKUP($A86,Seqs!$A:$B,2,FALSE),VLOOKUP($A86,'SegEnds_NonXtal_Prot#'!A:AL,10,FALSE)+8,1)</f>
        <v>P</v>
      </c>
      <c r="Y86" s="50" t="str">
        <f>MID(VLOOKUP($A86,Seqs!$A:$B,2,FALSE),VLOOKUP($A86,'SegEnds_NonXtal_Prot#'!A:AL,10,FALSE)+9,1)</f>
        <v>V</v>
      </c>
      <c r="Z86" s="50" t="str">
        <f>MID(VLOOKUP($A86,Seqs!$A:$B,2,FALSE),VLOOKUP($A86,'SegEnds_NonXtal_Prot#'!A:AL,10,FALSE)+10,1)</f>
        <v>L</v>
      </c>
      <c r="AA86" s="28" t="str">
        <f>MID(VLOOKUP($A86,Seqs!$A:$B,2,FALSE),VLOOKUP($A86,'SegEnds_NonXtal_Prot#'!$A:$AL,22,FALSE)+6,1)</f>
        <v>L</v>
      </c>
      <c r="AB86" s="50" t="str">
        <f>MID(VLOOKUP($A86,Seqs!$A:$B,2,FALSE),VLOOKUP($A86,'SegEnds_NonXtal_Prot#'!$A:$AL,22,FALSE)+7,1)</f>
        <v>T</v>
      </c>
      <c r="AC86" s="50" t="str">
        <f>MID(VLOOKUP($A86,Seqs!$A:$B,2,FALSE),VLOOKUP($A86,'SegEnds_NonXtal_Prot#'!$A:$AL,22,FALSE)+8,1)</f>
        <v>L</v>
      </c>
      <c r="AD86" s="50" t="str">
        <f>MID(VLOOKUP($A86,Seqs!$A:$B,2,FALSE),VLOOKUP($A86,'SegEnds_NonXtal_Prot#'!$A:$AL,22,FALSE)+9,1)</f>
        <v>P</v>
      </c>
      <c r="AE86" s="50" t="str">
        <f>MID(VLOOKUP($A86,Seqs!$A:$B,2,FALSE),VLOOKUP($A86,'SegEnds_NonXtal_Prot#'!$A:$AL,22,FALSE)+10,1)</f>
        <v>V</v>
      </c>
      <c r="AF86" s="28" t="str">
        <f>MID(VLOOKUP($A86,Seqs!$A:$B,2,FALSE),VLOOKUP($A86,'SegEnds_NonXtal_Prot#'!$A:$AL,28,FALSE)-4,1)</f>
        <v>C</v>
      </c>
      <c r="AG86" s="50" t="str">
        <f>MID(VLOOKUP($A86,Seqs!$A:$B,2,FALSE),VLOOKUP($A86,'SegEnds_NonXtal_Prot#'!$A:$AL,28,FALSE),1)</f>
        <v>F</v>
      </c>
    </row>
    <row r="87" spans="1:33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G87" s="4"/>
      <c r="M87" s="2" t="s">
        <v>14</v>
      </c>
      <c r="Q87" s="2" t="s">
        <v>9</v>
      </c>
      <c r="S87" s="4" t="s">
        <v>12</v>
      </c>
      <c r="U87" s="28" t="str">
        <f>MID(VLOOKUP($A87,Seqs!$A:$B,2,FALSE),VLOOKUP($A87,'SegEnds_NonXtal_Prot#'!A:AL,10,FALSE),1)</f>
        <v>N</v>
      </c>
      <c r="V87" s="50" t="str">
        <f>MID(VLOOKUP($A87,Seqs!$A:$B,2,FALSE),VLOOKUP($A87,'SegEnds_NonXtal_Prot#'!A:AL,10,FALSE)+6,1)</f>
        <v>T</v>
      </c>
      <c r="W87" s="50" t="str">
        <f>MID(VLOOKUP($A87,Seqs!$A:$B,2,FALSE),VLOOKUP($A87,'SegEnds_NonXtal_Prot#'!A:AL,10,FALSE)+7,1)</f>
        <v>L</v>
      </c>
      <c r="X87" s="50" t="str">
        <f>MID(VLOOKUP($A87,Seqs!$A:$B,2,FALSE),VLOOKUP($A87,'SegEnds_NonXtal_Prot#'!A:AL,10,FALSE)+8,1)</f>
        <v>P</v>
      </c>
      <c r="Y87" s="50" t="str">
        <f>MID(VLOOKUP($A87,Seqs!$A:$B,2,FALSE),VLOOKUP($A87,'SegEnds_NonXtal_Prot#'!A:AL,10,FALSE)+9,1)</f>
        <v>F</v>
      </c>
      <c r="Z87" s="50" t="str">
        <f>MID(VLOOKUP($A87,Seqs!$A:$B,2,FALSE),VLOOKUP($A87,'SegEnds_NonXtal_Prot#'!A:AL,10,FALSE)+10,1)</f>
        <v>W</v>
      </c>
      <c r="AA87" s="28" t="str">
        <f>MID(VLOOKUP($A87,Seqs!$A:$B,2,FALSE),VLOOKUP($A87,'SegEnds_NonXtal_Prot#'!$A:$AL,22,FALSE)+6,1)</f>
        <v>V</v>
      </c>
      <c r="AB87" s="50" t="str">
        <f>MID(VLOOKUP($A87,Seqs!$A:$B,2,FALSE),VLOOKUP($A87,'SegEnds_NonXtal_Prot#'!$A:$AL,22,FALSE)+7,1)</f>
        <v>S</v>
      </c>
      <c r="AC87" s="50" t="str">
        <f>MID(VLOOKUP($A87,Seqs!$A:$B,2,FALSE),VLOOKUP($A87,'SegEnds_NonXtal_Prot#'!$A:$AL,22,FALSE)+8,1)</f>
        <v>I</v>
      </c>
      <c r="AD87" s="50" t="str">
        <f>MID(VLOOKUP($A87,Seqs!$A:$B,2,FALSE),VLOOKUP($A87,'SegEnds_NonXtal_Prot#'!$A:$AL,22,FALSE)+9,1)</f>
        <v>P</v>
      </c>
      <c r="AE87" s="50" t="str">
        <f>MID(VLOOKUP($A87,Seqs!$A:$B,2,FALSE),VLOOKUP($A87,'SegEnds_NonXtal_Prot#'!$A:$AL,22,FALSE)+10,1)</f>
        <v>D</v>
      </c>
      <c r="AF87" s="28" t="str">
        <f>MID(VLOOKUP($A87,Seqs!$A:$B,2,FALSE),VLOOKUP($A87,'SegEnds_NonXtal_Prot#'!$A:$AL,28,FALSE)-4,1)</f>
        <v>G</v>
      </c>
      <c r="AG87" s="50" t="str">
        <f>MID(VLOOKUP($A87,Seqs!$A:$B,2,FALSE),VLOOKUP($A87,'SegEnds_NonXtal_Prot#'!$A:$AL,28,FALSE),1)</f>
        <v>P</v>
      </c>
    </row>
    <row r="88" spans="1:33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G88" s="4"/>
      <c r="M88" s="2" t="s">
        <v>14</v>
      </c>
      <c r="Q88" s="2" t="s">
        <v>9</v>
      </c>
      <c r="S88" s="4" t="s">
        <v>12</v>
      </c>
      <c r="U88" s="28" t="str">
        <f>MID(VLOOKUP($A88,Seqs!$A:$B,2,FALSE),VLOOKUP($A88,'SegEnds_NonXtal_Prot#'!A:AL,10,FALSE),1)</f>
        <v>D</v>
      </c>
      <c r="V88" s="50" t="str">
        <f>MID(VLOOKUP($A88,Seqs!$A:$B,2,FALSE),VLOOKUP($A88,'SegEnds_NonXtal_Prot#'!A:AL,10,FALSE)+6,1)</f>
        <v>T</v>
      </c>
      <c r="W88" s="50" t="str">
        <f>MID(VLOOKUP($A88,Seqs!$A:$B,2,FALSE),VLOOKUP($A88,'SegEnds_NonXtal_Prot#'!A:AL,10,FALSE)+7,1)</f>
        <v>L</v>
      </c>
      <c r="X88" s="50" t="str">
        <f>MID(VLOOKUP($A88,Seqs!$A:$B,2,FALSE),VLOOKUP($A88,'SegEnds_NonXtal_Prot#'!A:AL,10,FALSE)+8,1)</f>
        <v>P</v>
      </c>
      <c r="Y88" s="50" t="str">
        <f>MID(VLOOKUP($A88,Seqs!$A:$B,2,FALSE),VLOOKUP($A88,'SegEnds_NonXtal_Prot#'!A:AL,10,FALSE)+9,1)</f>
        <v>F</v>
      </c>
      <c r="Z88" s="50" t="str">
        <f>MID(VLOOKUP($A88,Seqs!$A:$B,2,FALSE),VLOOKUP($A88,'SegEnds_NonXtal_Prot#'!A:AL,10,FALSE)+10,1)</f>
        <v>W</v>
      </c>
      <c r="AA88" s="28" t="str">
        <f>MID(VLOOKUP($A88,Seqs!$A:$B,2,FALSE),VLOOKUP($A88,'SegEnds_NonXtal_Prot#'!$A:$AL,22,FALSE)+6,1)</f>
        <v>L</v>
      </c>
      <c r="AB88" s="50" t="str">
        <f>MID(VLOOKUP($A88,Seqs!$A:$B,2,FALSE),VLOOKUP($A88,'SegEnds_NonXtal_Prot#'!$A:$AL,22,FALSE)+7,1)</f>
        <v>S</v>
      </c>
      <c r="AC88" s="50" t="str">
        <f>MID(VLOOKUP($A88,Seqs!$A:$B,2,FALSE),VLOOKUP($A88,'SegEnds_NonXtal_Prot#'!$A:$AL,22,FALSE)+8,1)</f>
        <v>I</v>
      </c>
      <c r="AD88" s="50" t="str">
        <f>MID(VLOOKUP($A88,Seqs!$A:$B,2,FALSE),VLOOKUP($A88,'SegEnds_NonXtal_Prot#'!$A:$AL,22,FALSE)+9,1)</f>
        <v>P</v>
      </c>
      <c r="AE88" s="50" t="str">
        <f>MID(VLOOKUP($A88,Seqs!$A:$B,2,FALSE),VLOOKUP($A88,'SegEnds_NonXtal_Prot#'!$A:$AL,22,FALSE)+10,1)</f>
        <v>Q</v>
      </c>
      <c r="AF88" s="28" t="str">
        <f>MID(VLOOKUP($A88,Seqs!$A:$B,2,FALSE),VLOOKUP($A88,'SegEnds_NonXtal_Prot#'!$A:$AL,28,FALSE)-4,1)</f>
        <v>G</v>
      </c>
      <c r="AG88" s="50" t="str">
        <f>MID(VLOOKUP($A88,Seqs!$A:$B,2,FALSE),VLOOKUP($A88,'SegEnds_NonXtal_Prot#'!$A:$AL,28,FALSE),1)</f>
        <v>P</v>
      </c>
    </row>
    <row r="89" spans="1:33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G89" s="4"/>
      <c r="M89" s="2" t="s">
        <v>14</v>
      </c>
      <c r="Q89" s="2" t="s">
        <v>9</v>
      </c>
      <c r="S89" s="4" t="s">
        <v>12</v>
      </c>
      <c r="U89" s="28" t="str">
        <f>MID(VLOOKUP($A89,Seqs!$A:$B,2,FALSE),VLOOKUP($A89,'SegEnds_NonXtal_Prot#'!A:AL,10,FALSE),1)</f>
        <v>D</v>
      </c>
      <c r="V89" s="50" t="str">
        <f>MID(VLOOKUP($A89,Seqs!$A:$B,2,FALSE),VLOOKUP($A89,'SegEnds_NonXtal_Prot#'!A:AL,10,FALSE)+6,1)</f>
        <v>T</v>
      </c>
      <c r="W89" s="50" t="str">
        <f>MID(VLOOKUP($A89,Seqs!$A:$B,2,FALSE),VLOOKUP($A89,'SegEnds_NonXtal_Prot#'!A:AL,10,FALSE)+7,1)</f>
        <v>L</v>
      </c>
      <c r="X89" s="50" t="str">
        <f>MID(VLOOKUP($A89,Seqs!$A:$B,2,FALSE),VLOOKUP($A89,'SegEnds_NonXtal_Prot#'!A:AL,10,FALSE)+8,1)</f>
        <v>P</v>
      </c>
      <c r="Y89" s="50" t="str">
        <f>MID(VLOOKUP($A89,Seqs!$A:$B,2,FALSE),VLOOKUP($A89,'SegEnds_NonXtal_Prot#'!A:AL,10,FALSE)+9,1)</f>
        <v>F</v>
      </c>
      <c r="Z89" s="50" t="str">
        <f>MID(VLOOKUP($A89,Seqs!$A:$B,2,FALSE),VLOOKUP($A89,'SegEnds_NonXtal_Prot#'!A:AL,10,FALSE)+10,1)</f>
        <v>W</v>
      </c>
      <c r="AA89" s="28" t="str">
        <f>MID(VLOOKUP($A89,Seqs!$A:$B,2,FALSE),VLOOKUP($A89,'SegEnds_NonXtal_Prot#'!$A:$AL,22,FALSE)+6,1)</f>
        <v>A</v>
      </c>
      <c r="AB89" s="50" t="str">
        <f>MID(VLOOKUP($A89,Seqs!$A:$B,2,FALSE),VLOOKUP($A89,'SegEnds_NonXtal_Prot#'!$A:$AL,22,FALSE)+7,1)</f>
        <v>S</v>
      </c>
      <c r="AC89" s="50" t="str">
        <f>MID(VLOOKUP($A89,Seqs!$A:$B,2,FALSE),VLOOKUP($A89,'SegEnds_NonXtal_Prot#'!$A:$AL,22,FALSE)+8,1)</f>
        <v>M</v>
      </c>
      <c r="AD89" s="50" t="str">
        <f>MID(VLOOKUP($A89,Seqs!$A:$B,2,FALSE),VLOOKUP($A89,'SegEnds_NonXtal_Prot#'!$A:$AL,22,FALSE)+9,1)</f>
        <v>P</v>
      </c>
      <c r="AE89" s="50" t="str">
        <f>MID(VLOOKUP($A89,Seqs!$A:$B,2,FALSE),VLOOKUP($A89,'SegEnds_NonXtal_Prot#'!$A:$AL,22,FALSE)+10,1)</f>
        <v>G</v>
      </c>
      <c r="AF89" s="28" t="str">
        <f>MID(VLOOKUP($A89,Seqs!$A:$B,2,FALSE),VLOOKUP($A89,'SegEnds_NonXtal_Prot#'!$A:$AL,28,FALSE)-4,1)</f>
        <v>G</v>
      </c>
      <c r="AG89" s="50" t="str">
        <f>MID(VLOOKUP($A89,Seqs!$A:$B,2,FALSE),VLOOKUP($A89,'SegEnds_NonXtal_Prot#'!$A:$AL,28,FALSE),1)</f>
        <v>P</v>
      </c>
    </row>
    <row r="90" spans="1:33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G90" s="4"/>
      <c r="M90" s="2" t="s">
        <v>14</v>
      </c>
      <c r="Q90" s="2" t="s">
        <v>9</v>
      </c>
      <c r="S90" s="4" t="s">
        <v>12</v>
      </c>
      <c r="U90" s="28" t="str">
        <f>MID(VLOOKUP($A90,Seqs!$A:$B,2,FALSE),VLOOKUP($A90,'SegEnds_NonXtal_Prot#'!A:AL,10,FALSE),1)</f>
        <v>D</v>
      </c>
      <c r="V90" s="50" t="str">
        <f>MID(VLOOKUP($A90,Seqs!$A:$B,2,FALSE),VLOOKUP($A90,'SegEnds_NonXtal_Prot#'!A:AL,10,FALSE)+6,1)</f>
        <v>T</v>
      </c>
      <c r="W90" s="50" t="str">
        <f>MID(VLOOKUP($A90,Seqs!$A:$B,2,FALSE),VLOOKUP($A90,'SegEnds_NonXtal_Prot#'!A:AL,10,FALSE)+7,1)</f>
        <v>L</v>
      </c>
      <c r="X90" s="50" t="str">
        <f>MID(VLOOKUP($A90,Seqs!$A:$B,2,FALSE),VLOOKUP($A90,'SegEnds_NonXtal_Prot#'!A:AL,10,FALSE)+8,1)</f>
        <v>P</v>
      </c>
      <c r="Y90" s="50" t="str">
        <f>MID(VLOOKUP($A90,Seqs!$A:$B,2,FALSE),VLOOKUP($A90,'SegEnds_NonXtal_Prot#'!A:AL,10,FALSE)+9,1)</f>
        <v>F</v>
      </c>
      <c r="Z90" s="50" t="str">
        <f>MID(VLOOKUP($A90,Seqs!$A:$B,2,FALSE),VLOOKUP($A90,'SegEnds_NonXtal_Prot#'!A:AL,10,FALSE)+10,1)</f>
        <v>A</v>
      </c>
      <c r="AA90" s="28" t="str">
        <f>MID(VLOOKUP($A90,Seqs!$A:$B,2,FALSE),VLOOKUP($A90,'SegEnds_NonXtal_Prot#'!$A:$AL,22,FALSE)+6,1)</f>
        <v>L</v>
      </c>
      <c r="AB90" s="50" t="str">
        <f>MID(VLOOKUP($A90,Seqs!$A:$B,2,FALSE),VLOOKUP($A90,'SegEnds_NonXtal_Prot#'!$A:$AL,22,FALSE)+7,1)</f>
        <v>A</v>
      </c>
      <c r="AC90" s="50" t="str">
        <f>MID(VLOOKUP($A90,Seqs!$A:$B,2,FALSE),VLOOKUP($A90,'SegEnds_NonXtal_Prot#'!$A:$AL,22,FALSE)+8,1)</f>
        <v>L</v>
      </c>
      <c r="AD90" s="50" t="str">
        <f>MID(VLOOKUP($A90,Seqs!$A:$B,2,FALSE),VLOOKUP($A90,'SegEnds_NonXtal_Prot#'!$A:$AL,22,FALSE)+9,1)</f>
        <v>P</v>
      </c>
      <c r="AE90" s="50" t="str">
        <f>MID(VLOOKUP($A90,Seqs!$A:$B,2,FALSE),VLOOKUP($A90,'SegEnds_NonXtal_Prot#'!$A:$AL,22,FALSE)+10,1)</f>
        <v>A</v>
      </c>
      <c r="AF90" s="28" t="str">
        <f>MID(VLOOKUP($A90,Seqs!$A:$B,2,FALSE),VLOOKUP($A90,'SegEnds_NonXtal_Prot#'!$A:$AL,28,FALSE)-4,1)</f>
        <v>G</v>
      </c>
      <c r="AG90" s="50" t="str">
        <f>MID(VLOOKUP($A90,Seqs!$A:$B,2,FALSE),VLOOKUP($A90,'SegEnds_NonXtal_Prot#'!$A:$AL,28,FALSE),1)</f>
        <v>P</v>
      </c>
    </row>
    <row r="91" spans="1:33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G91" s="4"/>
      <c r="M91" s="2" t="s">
        <v>14</v>
      </c>
      <c r="Q91" s="2" t="s">
        <v>9</v>
      </c>
      <c r="S91" s="4" t="s">
        <v>12</v>
      </c>
      <c r="U91" s="28" t="str">
        <f>MID(VLOOKUP($A91,Seqs!$A:$B,2,FALSE),VLOOKUP($A91,'SegEnds_NonXtal_Prot#'!A:AL,10,FALSE),1)</f>
        <v>D</v>
      </c>
      <c r="V91" s="50" t="str">
        <f>MID(VLOOKUP($A91,Seqs!$A:$B,2,FALSE),VLOOKUP($A91,'SegEnds_NonXtal_Prot#'!A:AL,10,FALSE)+6,1)</f>
        <v>T</v>
      </c>
      <c r="W91" s="50" t="str">
        <f>MID(VLOOKUP($A91,Seqs!$A:$B,2,FALSE),VLOOKUP($A91,'SegEnds_NonXtal_Prot#'!A:AL,10,FALSE)+7,1)</f>
        <v>L</v>
      </c>
      <c r="X91" s="50" t="str">
        <f>MID(VLOOKUP($A91,Seqs!$A:$B,2,FALSE),VLOOKUP($A91,'SegEnds_NonXtal_Prot#'!A:AL,10,FALSE)+8,1)</f>
        <v>P</v>
      </c>
      <c r="Y91" s="50" t="str">
        <f>MID(VLOOKUP($A91,Seqs!$A:$B,2,FALSE),VLOOKUP($A91,'SegEnds_NonXtal_Prot#'!A:AL,10,FALSE)+9,1)</f>
        <v>F</v>
      </c>
      <c r="Z91" s="50" t="str">
        <f>MID(VLOOKUP($A91,Seqs!$A:$B,2,FALSE),VLOOKUP($A91,'SegEnds_NonXtal_Prot#'!A:AL,10,FALSE)+10,1)</f>
        <v>W</v>
      </c>
      <c r="AA91" s="28" t="str">
        <f>MID(VLOOKUP($A91,Seqs!$A:$B,2,FALSE),VLOOKUP($A91,'SegEnds_NonXtal_Prot#'!$A:$AL,22,FALSE)+6,1)</f>
        <v>A</v>
      </c>
      <c r="AB91" s="50" t="str">
        <f>MID(VLOOKUP($A91,Seqs!$A:$B,2,FALSE),VLOOKUP($A91,'SegEnds_NonXtal_Prot#'!$A:$AL,22,FALSE)+7,1)</f>
        <v>A</v>
      </c>
      <c r="AC91" s="50" t="str">
        <f>MID(VLOOKUP($A91,Seqs!$A:$B,2,FALSE),VLOOKUP($A91,'SegEnds_NonXtal_Prot#'!$A:$AL,22,FALSE)+8,1)</f>
        <v>L</v>
      </c>
      <c r="AD91" s="50" t="str">
        <f>MID(VLOOKUP($A91,Seqs!$A:$B,2,FALSE),VLOOKUP($A91,'SegEnds_NonXtal_Prot#'!$A:$AL,22,FALSE)+9,1)</f>
        <v>P</v>
      </c>
      <c r="AE91" s="50" t="str">
        <f>MID(VLOOKUP($A91,Seqs!$A:$B,2,FALSE),VLOOKUP($A91,'SegEnds_NonXtal_Prot#'!$A:$AL,22,FALSE)+10,1)</f>
        <v>E</v>
      </c>
      <c r="AF91" s="28" t="str">
        <f>MID(VLOOKUP($A91,Seqs!$A:$B,2,FALSE),VLOOKUP($A91,'SegEnds_NonXtal_Prot#'!$A:$AL,28,FALSE)-4,1)</f>
        <v>C</v>
      </c>
      <c r="AG91" s="50" t="str">
        <f>MID(VLOOKUP($A91,Seqs!$A:$B,2,FALSE),VLOOKUP($A91,'SegEnds_NonXtal_Prot#'!$A:$AL,28,FALSE),1)</f>
        <v>P</v>
      </c>
    </row>
    <row r="92" spans="1:33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G92" s="4"/>
      <c r="M92" s="2" t="s">
        <v>14</v>
      </c>
      <c r="Q92" s="2" t="s">
        <v>9</v>
      </c>
      <c r="S92" s="4" t="s">
        <v>12</v>
      </c>
      <c r="U92" s="28" t="str">
        <f>MID(VLOOKUP($A92,Seqs!$A:$B,2,FALSE),VLOOKUP($A92,'SegEnds_NonXtal_Prot#'!A:AL,10,FALSE),1)</f>
        <v>D</v>
      </c>
      <c r="V92" s="50" t="str">
        <f>MID(VLOOKUP($A92,Seqs!$A:$B,2,FALSE),VLOOKUP($A92,'SegEnds_NonXtal_Prot#'!A:AL,10,FALSE)+6,1)</f>
        <v>S</v>
      </c>
      <c r="W92" s="50" t="str">
        <f>MID(VLOOKUP($A92,Seqs!$A:$B,2,FALSE),VLOOKUP($A92,'SegEnds_NonXtal_Prot#'!A:AL,10,FALSE)+7,1)</f>
        <v>L</v>
      </c>
      <c r="X92" s="50" t="str">
        <f>MID(VLOOKUP($A92,Seqs!$A:$B,2,FALSE),VLOOKUP($A92,'SegEnds_NonXtal_Prot#'!A:AL,10,FALSE)+8,1)</f>
        <v>P</v>
      </c>
      <c r="Y92" s="50" t="str">
        <f>MID(VLOOKUP($A92,Seqs!$A:$B,2,FALSE),VLOOKUP($A92,'SegEnds_NonXtal_Prot#'!A:AL,10,FALSE)+9,1)</f>
        <v>F</v>
      </c>
      <c r="Z92" s="50" t="str">
        <f>MID(VLOOKUP($A92,Seqs!$A:$B,2,FALSE),VLOOKUP($A92,'SegEnds_NonXtal_Prot#'!A:AL,10,FALSE)+10,1)</f>
        <v>W</v>
      </c>
      <c r="AA92" s="28" t="str">
        <f>MID(VLOOKUP($A92,Seqs!$A:$B,2,FALSE),VLOOKUP($A92,'SegEnds_NonXtal_Prot#'!$A:$AL,22,FALSE)+6,1)</f>
        <v>A</v>
      </c>
      <c r="AB92" s="50" t="str">
        <f>MID(VLOOKUP($A92,Seqs!$A:$B,2,FALSE),VLOOKUP($A92,'SegEnds_NonXtal_Prot#'!$A:$AL,22,FALSE)+7,1)</f>
        <v>S</v>
      </c>
      <c r="AC92" s="50" t="str">
        <f>MID(VLOOKUP($A92,Seqs!$A:$B,2,FALSE),VLOOKUP($A92,'SegEnds_NonXtal_Prot#'!$A:$AL,22,FALSE)+8,1)</f>
        <v>L</v>
      </c>
      <c r="AD92" s="50" t="str">
        <f>MID(VLOOKUP($A92,Seqs!$A:$B,2,FALSE),VLOOKUP($A92,'SegEnds_NonXtal_Prot#'!$A:$AL,22,FALSE)+9,1)</f>
        <v>P</v>
      </c>
      <c r="AE92" s="50" t="str">
        <f>MID(VLOOKUP($A92,Seqs!$A:$B,2,FALSE),VLOOKUP($A92,'SegEnds_NonXtal_Prot#'!$A:$AL,22,FALSE)+10,1)</f>
        <v>G</v>
      </c>
      <c r="AF92" s="28" t="str">
        <f>MID(VLOOKUP($A92,Seqs!$A:$B,2,FALSE),VLOOKUP($A92,'SegEnds_NonXtal_Prot#'!$A:$AL,28,FALSE)-4,1)</f>
        <v>G</v>
      </c>
      <c r="AG92" s="50" t="str">
        <f>MID(VLOOKUP($A92,Seqs!$A:$B,2,FALSE),VLOOKUP($A92,'SegEnds_NonXtal_Prot#'!$A:$AL,28,FALSE),1)</f>
        <v>P</v>
      </c>
    </row>
    <row r="93" spans="1:33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G93" s="4"/>
      <c r="M93" s="2" t="s">
        <v>14</v>
      </c>
      <c r="Q93" s="2" t="s">
        <v>9</v>
      </c>
      <c r="S93" s="4" t="s">
        <v>12</v>
      </c>
      <c r="U93" s="28" t="str">
        <f>MID(VLOOKUP($A93,Seqs!$A:$B,2,FALSE),VLOOKUP($A93,'SegEnds_NonXtal_Prot#'!A:AL,10,FALSE),1)</f>
        <v>D</v>
      </c>
      <c r="V93" s="50" t="str">
        <f>MID(VLOOKUP($A93,Seqs!$A:$B,2,FALSE),VLOOKUP($A93,'SegEnds_NonXtal_Prot#'!A:AL,10,FALSE)+6,1)</f>
        <v>T</v>
      </c>
      <c r="W93" s="50" t="str">
        <f>MID(VLOOKUP($A93,Seqs!$A:$B,2,FALSE),VLOOKUP($A93,'SegEnds_NonXtal_Prot#'!A:AL,10,FALSE)+7,1)</f>
        <v>V</v>
      </c>
      <c r="X93" s="50" t="str">
        <f>MID(VLOOKUP($A93,Seqs!$A:$B,2,FALSE),VLOOKUP($A93,'SegEnds_NonXtal_Prot#'!A:AL,10,FALSE)+8,1)</f>
        <v>P</v>
      </c>
      <c r="Y93" s="50" t="str">
        <f>MID(VLOOKUP($A93,Seqs!$A:$B,2,FALSE),VLOOKUP($A93,'SegEnds_NonXtal_Prot#'!A:AL,10,FALSE)+9,1)</f>
        <v>F</v>
      </c>
      <c r="Z93" s="50" t="str">
        <f>MID(VLOOKUP($A93,Seqs!$A:$B,2,FALSE),VLOOKUP($A93,'SegEnds_NonXtal_Prot#'!A:AL,10,FALSE)+10,1)</f>
        <v>W</v>
      </c>
      <c r="AA93" s="28" t="str">
        <f>MID(VLOOKUP($A93,Seqs!$A:$B,2,FALSE),VLOOKUP($A93,'SegEnds_NonXtal_Prot#'!$A:$AL,22,FALSE)+6,1)</f>
        <v>A</v>
      </c>
      <c r="AB93" s="50" t="str">
        <f>MID(VLOOKUP($A93,Seqs!$A:$B,2,FALSE),VLOOKUP($A93,'SegEnds_NonXtal_Prot#'!$A:$AL,22,FALSE)+7,1)</f>
        <v>S</v>
      </c>
      <c r="AC93" s="50" t="str">
        <f>MID(VLOOKUP($A93,Seqs!$A:$B,2,FALSE),VLOOKUP($A93,'SegEnds_NonXtal_Prot#'!$A:$AL,22,FALSE)+8,1)</f>
        <v>L</v>
      </c>
      <c r="AD93" s="50" t="str">
        <f>MID(VLOOKUP($A93,Seqs!$A:$B,2,FALSE),VLOOKUP($A93,'SegEnds_NonXtal_Prot#'!$A:$AL,22,FALSE)+9,1)</f>
        <v>P</v>
      </c>
      <c r="AE93" s="50" t="str">
        <f>MID(VLOOKUP($A93,Seqs!$A:$B,2,FALSE),VLOOKUP($A93,'SegEnds_NonXtal_Prot#'!$A:$AL,22,FALSE)+10,1)</f>
        <v>G</v>
      </c>
      <c r="AF93" s="28" t="str">
        <f>MID(VLOOKUP($A93,Seqs!$A:$B,2,FALSE),VLOOKUP($A93,'SegEnds_NonXtal_Prot#'!$A:$AL,28,FALSE)-4,1)</f>
        <v>G</v>
      </c>
      <c r="AG93" s="50" t="str">
        <f>MID(VLOOKUP($A93,Seqs!$A:$B,2,FALSE),VLOOKUP($A93,'SegEnds_NonXtal_Prot#'!$A:$AL,28,FALSE),1)</f>
        <v>P</v>
      </c>
    </row>
    <row r="94" spans="1:33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G94" s="4"/>
      <c r="Q94" s="2" t="s">
        <v>9</v>
      </c>
      <c r="S94" s="4" t="s">
        <v>12</v>
      </c>
      <c r="U94" s="28" t="str">
        <f>MID(VLOOKUP($A94,Seqs!$A:$B,2,FALSE),VLOOKUP($A94,'SegEnds_NonXtal_Prot#'!A:AL,10,FALSE),1)</f>
        <v>D</v>
      </c>
      <c r="V94" s="50" t="str">
        <f>MID(VLOOKUP($A94,Seqs!$A:$B,2,FALSE),VLOOKUP($A94,'SegEnds_NonXtal_Prot#'!A:AL,10,FALSE)+6,1)</f>
        <v>T</v>
      </c>
      <c r="W94" s="50" t="str">
        <f>MID(VLOOKUP($A94,Seqs!$A:$B,2,FALSE),VLOOKUP($A94,'SegEnds_NonXtal_Prot#'!A:AL,10,FALSE)+7,1)</f>
        <v>L</v>
      </c>
      <c r="X94" s="50" t="str">
        <f>MID(VLOOKUP($A94,Seqs!$A:$B,2,FALSE),VLOOKUP($A94,'SegEnds_NonXtal_Prot#'!A:AL,10,FALSE)+8,1)</f>
        <v>P</v>
      </c>
      <c r="Y94" s="50" t="str">
        <f>MID(VLOOKUP($A94,Seqs!$A:$B,2,FALSE),VLOOKUP($A94,'SegEnds_NonXtal_Prot#'!A:AL,10,FALSE)+9,1)</f>
        <v>F</v>
      </c>
      <c r="Z94" s="50" t="str">
        <f>MID(VLOOKUP($A94,Seqs!$A:$B,2,FALSE),VLOOKUP($A94,'SegEnds_NonXtal_Prot#'!A:AL,10,FALSE)+10,1)</f>
        <v>W</v>
      </c>
      <c r="AA94" s="28" t="str">
        <f>MID(VLOOKUP($A94,Seqs!$A:$B,2,FALSE),VLOOKUP($A94,'SegEnds_NonXtal_Prot#'!$A:$AL,22,FALSE)+6,1)</f>
        <v>I</v>
      </c>
      <c r="AB94" s="50" t="str">
        <f>MID(VLOOKUP($A94,Seqs!$A:$B,2,FALSE),VLOOKUP($A94,'SegEnds_NonXtal_Prot#'!$A:$AL,22,FALSE)+7,1)</f>
        <v>S</v>
      </c>
      <c r="AC94" s="50" t="str">
        <f>MID(VLOOKUP($A94,Seqs!$A:$B,2,FALSE),VLOOKUP($A94,'SegEnds_NonXtal_Prot#'!$A:$AL,22,FALSE)+8,1)</f>
        <v>S</v>
      </c>
      <c r="AD94" s="50" t="str">
        <f>MID(VLOOKUP($A94,Seqs!$A:$B,2,FALSE),VLOOKUP($A94,'SegEnds_NonXtal_Prot#'!$A:$AL,22,FALSE)+9,1)</f>
        <v>S</v>
      </c>
      <c r="AE94" s="50" t="str">
        <f>MID(VLOOKUP($A94,Seqs!$A:$B,2,FALSE),VLOOKUP($A94,'SegEnds_NonXtal_Prot#'!$A:$AL,22,FALSE)+10,1)</f>
        <v>T</v>
      </c>
      <c r="AF94" s="28" t="str">
        <f>MID(VLOOKUP($A94,Seqs!$A:$B,2,FALSE),VLOOKUP($A94,'SegEnds_NonXtal_Prot#'!$A:$AL,28,FALSE)-4,1)</f>
        <v>G</v>
      </c>
      <c r="AG94" s="50" t="str">
        <f>MID(VLOOKUP($A94,Seqs!$A:$B,2,FALSE),VLOOKUP($A94,'SegEnds_NonXtal_Prot#'!$A:$AL,28,FALSE),1)</f>
        <v>P</v>
      </c>
    </row>
    <row r="95" spans="1:33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G95" s="4"/>
      <c r="M95" s="2" t="s">
        <v>14</v>
      </c>
      <c r="Q95" s="2" t="s">
        <v>9</v>
      </c>
      <c r="S95" s="4" t="s">
        <v>12</v>
      </c>
      <c r="U95" s="28" t="str">
        <f>MID(VLOOKUP($A95,Seqs!$A:$B,2,FALSE),VLOOKUP($A95,'SegEnds_NonXtal_Prot#'!A:AL,10,FALSE),1)</f>
        <v>D</v>
      </c>
      <c r="V95" s="50" t="str">
        <f>MID(VLOOKUP($A95,Seqs!$A:$B,2,FALSE),VLOOKUP($A95,'SegEnds_NonXtal_Prot#'!A:AL,10,FALSE)+6,1)</f>
        <v>T</v>
      </c>
      <c r="W95" s="50" t="str">
        <f>MID(VLOOKUP($A95,Seqs!$A:$B,2,FALSE),VLOOKUP($A95,'SegEnds_NonXtal_Prot#'!A:AL,10,FALSE)+7,1)</f>
        <v>L</v>
      </c>
      <c r="X95" s="50" t="str">
        <f>MID(VLOOKUP($A95,Seqs!$A:$B,2,FALSE),VLOOKUP($A95,'SegEnds_NonXtal_Prot#'!A:AL,10,FALSE)+8,1)</f>
        <v>P</v>
      </c>
      <c r="Y95" s="50" t="str">
        <f>MID(VLOOKUP($A95,Seqs!$A:$B,2,FALSE),VLOOKUP($A95,'SegEnds_NonXtal_Prot#'!A:AL,10,FALSE)+9,1)</f>
        <v>F</v>
      </c>
      <c r="Z95" s="50" t="str">
        <f>MID(VLOOKUP($A95,Seqs!$A:$B,2,FALSE),VLOOKUP($A95,'SegEnds_NonXtal_Prot#'!A:AL,10,FALSE)+10,1)</f>
        <v>W</v>
      </c>
      <c r="AA95" s="28" t="str">
        <f>MID(VLOOKUP($A95,Seqs!$A:$B,2,FALSE),VLOOKUP($A95,'SegEnds_NonXtal_Prot#'!$A:$AL,22,FALSE)+6,1)</f>
        <v>L</v>
      </c>
      <c r="AB95" s="50" t="str">
        <f>MID(VLOOKUP($A95,Seqs!$A:$B,2,FALSE),VLOOKUP($A95,'SegEnds_NonXtal_Prot#'!$A:$AL,22,FALSE)+7,1)</f>
        <v>S</v>
      </c>
      <c r="AC95" s="50" t="str">
        <f>MID(VLOOKUP($A95,Seqs!$A:$B,2,FALSE),VLOOKUP($A95,'SegEnds_NonXtal_Prot#'!$A:$AL,22,FALSE)+8,1)</f>
        <v>I</v>
      </c>
      <c r="AD95" s="50" t="str">
        <f>MID(VLOOKUP($A95,Seqs!$A:$B,2,FALSE),VLOOKUP($A95,'SegEnds_NonXtal_Prot#'!$A:$AL,22,FALSE)+9,1)</f>
        <v>P</v>
      </c>
      <c r="AE95" s="50" t="str">
        <f>MID(VLOOKUP($A95,Seqs!$A:$B,2,FALSE),VLOOKUP($A95,'SegEnds_NonXtal_Prot#'!$A:$AL,22,FALSE)+10,1)</f>
        <v>E</v>
      </c>
      <c r="AF95" s="28" t="str">
        <f>MID(VLOOKUP($A95,Seqs!$A:$B,2,FALSE),VLOOKUP($A95,'SegEnds_NonXtal_Prot#'!$A:$AL,28,FALSE)-4,1)</f>
        <v>G</v>
      </c>
      <c r="AG95" s="50" t="str">
        <f>MID(VLOOKUP($A95,Seqs!$A:$B,2,FALSE),VLOOKUP($A95,'SegEnds_NonXtal_Prot#'!$A:$AL,28,FALSE),1)</f>
        <v>P</v>
      </c>
    </row>
    <row r="96" spans="1:33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G96" s="4"/>
      <c r="M96" s="2" t="s">
        <v>14</v>
      </c>
      <c r="Q96" s="2" t="s">
        <v>9</v>
      </c>
      <c r="S96" s="4" t="s">
        <v>12</v>
      </c>
      <c r="U96" s="28" t="str">
        <f>MID(VLOOKUP($A96,Seqs!$A:$B,2,FALSE),VLOOKUP($A96,'SegEnds_NonXtal_Prot#'!A:AL,10,FALSE),1)</f>
        <v>D</v>
      </c>
      <c r="V96" s="50" t="str">
        <f>MID(VLOOKUP($A96,Seqs!$A:$B,2,FALSE),VLOOKUP($A96,'SegEnds_NonXtal_Prot#'!A:AL,10,FALSE)+6,1)</f>
        <v>S</v>
      </c>
      <c r="W96" s="50" t="str">
        <f>MID(VLOOKUP($A96,Seqs!$A:$B,2,FALSE),VLOOKUP($A96,'SegEnds_NonXtal_Prot#'!A:AL,10,FALSE)+7,1)</f>
        <v>F</v>
      </c>
      <c r="X96" s="50" t="str">
        <f>MID(VLOOKUP($A96,Seqs!$A:$B,2,FALSE),VLOOKUP($A96,'SegEnds_NonXtal_Prot#'!A:AL,10,FALSE)+8,1)</f>
        <v>P</v>
      </c>
      <c r="Y96" s="50" t="str">
        <f>MID(VLOOKUP($A96,Seqs!$A:$B,2,FALSE),VLOOKUP($A96,'SegEnds_NonXtal_Prot#'!A:AL,10,FALSE)+9,1)</f>
        <v>F</v>
      </c>
      <c r="Z96" s="50" t="str">
        <f>MID(VLOOKUP($A96,Seqs!$A:$B,2,FALSE),VLOOKUP($A96,'SegEnds_NonXtal_Prot#'!A:AL,10,FALSE)+10,1)</f>
        <v>Q</v>
      </c>
      <c r="AA96" s="28" t="str">
        <f>MID(VLOOKUP($A96,Seqs!$A:$B,2,FALSE),VLOOKUP($A96,'SegEnds_NonXtal_Prot#'!$A:$AL,22,FALSE)+6,1)</f>
        <v>A</v>
      </c>
      <c r="AB96" s="50" t="str">
        <f>MID(VLOOKUP($A96,Seqs!$A:$B,2,FALSE),VLOOKUP($A96,'SegEnds_NonXtal_Prot#'!$A:$AL,22,FALSE)+7,1)</f>
        <v>T</v>
      </c>
      <c r="AC96" s="50" t="str">
        <f>MID(VLOOKUP($A96,Seqs!$A:$B,2,FALSE),VLOOKUP($A96,'SegEnds_NonXtal_Prot#'!$A:$AL,22,FALSE)+8,1)</f>
        <v>I</v>
      </c>
      <c r="AD96" s="50" t="str">
        <f>MID(VLOOKUP($A96,Seqs!$A:$B,2,FALSE),VLOOKUP($A96,'SegEnds_NonXtal_Prot#'!$A:$AL,22,FALSE)+9,1)</f>
        <v>P</v>
      </c>
      <c r="AE96" s="50" t="str">
        <f>MID(VLOOKUP($A96,Seqs!$A:$B,2,FALSE),VLOOKUP($A96,'SegEnds_NonXtal_Prot#'!$A:$AL,22,FALSE)+10,1)</f>
        <v>L</v>
      </c>
      <c r="AF96" s="28" t="str">
        <f>MID(VLOOKUP($A96,Seqs!$A:$B,2,FALSE),VLOOKUP($A96,'SegEnds_NonXtal_Prot#'!$A:$AL,28,FALSE)-4,1)</f>
        <v>G</v>
      </c>
      <c r="AG96" s="50" t="str">
        <f>MID(VLOOKUP($A96,Seqs!$A:$B,2,FALSE),VLOOKUP($A96,'SegEnds_NonXtal_Prot#'!$A:$AL,28,FALSE),1)</f>
        <v>P</v>
      </c>
    </row>
    <row r="97" spans="1:33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G97" s="4"/>
      <c r="M97" s="2" t="s">
        <v>14</v>
      </c>
      <c r="Q97" s="2" t="s">
        <v>9</v>
      </c>
      <c r="S97" s="4" t="s">
        <v>12</v>
      </c>
      <c r="U97" s="28" t="str">
        <f>MID(VLOOKUP($A97,Seqs!$A:$B,2,FALSE),VLOOKUP($A97,'SegEnds_NonXtal_Prot#'!A:AL,10,FALSE),1)</f>
        <v>N</v>
      </c>
      <c r="V97" s="50" t="str">
        <f>MID(VLOOKUP($A97,Seqs!$A:$B,2,FALSE),VLOOKUP($A97,'SegEnds_NonXtal_Prot#'!A:AL,10,FALSE)+6,1)</f>
        <v>T</v>
      </c>
      <c r="W97" s="50" t="str">
        <f>MID(VLOOKUP($A97,Seqs!$A:$B,2,FALSE),VLOOKUP($A97,'SegEnds_NonXtal_Prot#'!A:AL,10,FALSE)+7,1)</f>
        <v>L</v>
      </c>
      <c r="X97" s="50" t="str">
        <f>MID(VLOOKUP($A97,Seqs!$A:$B,2,FALSE),VLOOKUP($A97,'SegEnds_NonXtal_Prot#'!A:AL,10,FALSE)+8,1)</f>
        <v>P</v>
      </c>
      <c r="Y97" s="50" t="str">
        <f>MID(VLOOKUP($A97,Seqs!$A:$B,2,FALSE),VLOOKUP($A97,'SegEnds_NonXtal_Prot#'!A:AL,10,FALSE)+9,1)</f>
        <v>F</v>
      </c>
      <c r="Z97" s="50" t="str">
        <f>MID(VLOOKUP($A97,Seqs!$A:$B,2,FALSE),VLOOKUP($A97,'SegEnds_NonXtal_Prot#'!A:AL,10,FALSE)+10,1)</f>
        <v>W</v>
      </c>
      <c r="AA97" s="28" t="str">
        <f>MID(VLOOKUP($A97,Seqs!$A:$B,2,FALSE),VLOOKUP($A97,'SegEnds_NonXtal_Prot#'!$A:$AL,22,FALSE)+6,1)</f>
        <v>A</v>
      </c>
      <c r="AB97" s="50" t="str">
        <f>MID(VLOOKUP($A97,Seqs!$A:$B,2,FALSE),VLOOKUP($A97,'SegEnds_NonXtal_Prot#'!$A:$AL,22,FALSE)+7,1)</f>
        <v>T</v>
      </c>
      <c r="AC97" s="50" t="str">
        <f>MID(VLOOKUP($A97,Seqs!$A:$B,2,FALSE),VLOOKUP($A97,'SegEnds_NonXtal_Prot#'!$A:$AL,22,FALSE)+8,1)</f>
        <v>L</v>
      </c>
      <c r="AD97" s="50" t="str">
        <f>MID(VLOOKUP($A97,Seqs!$A:$B,2,FALSE),VLOOKUP($A97,'SegEnds_NonXtal_Prot#'!$A:$AL,22,FALSE)+9,1)</f>
        <v>P</v>
      </c>
      <c r="AE97" s="50" t="str">
        <f>MID(VLOOKUP($A97,Seqs!$A:$B,2,FALSE),VLOOKUP($A97,'SegEnds_NonXtal_Prot#'!$A:$AL,22,FALSE)+10,1)</f>
        <v>E</v>
      </c>
      <c r="AF97" s="28" t="str">
        <f>MID(VLOOKUP($A97,Seqs!$A:$B,2,FALSE),VLOOKUP($A97,'SegEnds_NonXtal_Prot#'!$A:$AL,28,FALSE)-4,1)</f>
        <v>V</v>
      </c>
      <c r="AG97" s="50" t="str">
        <f>MID(VLOOKUP($A97,Seqs!$A:$B,2,FALSE),VLOOKUP($A97,'SegEnds_NonXtal_Prot#'!$A:$AL,28,FALSE),1)</f>
        <v>P</v>
      </c>
    </row>
    <row r="98" spans="1:33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G98" s="4"/>
      <c r="M98" s="2" t="s">
        <v>14</v>
      </c>
      <c r="Q98" s="2" t="s">
        <v>9</v>
      </c>
      <c r="S98" s="4" t="s">
        <v>12</v>
      </c>
      <c r="U98" s="28" t="str">
        <f>MID(VLOOKUP($A98,Seqs!$A:$B,2,FALSE),VLOOKUP($A98,'SegEnds_NonXtal_Prot#'!A:AL,10,FALSE),1)</f>
        <v>D</v>
      </c>
      <c r="V98" s="50" t="str">
        <f>MID(VLOOKUP($A98,Seqs!$A:$B,2,FALSE),VLOOKUP($A98,'SegEnds_NonXtal_Prot#'!A:AL,10,FALSE)+6,1)</f>
        <v>T</v>
      </c>
      <c r="W98" s="50" t="str">
        <f>MID(VLOOKUP($A98,Seqs!$A:$B,2,FALSE),VLOOKUP($A98,'SegEnds_NonXtal_Prot#'!A:AL,10,FALSE)+7,1)</f>
        <v>L</v>
      </c>
      <c r="X98" s="50" t="str">
        <f>MID(VLOOKUP($A98,Seqs!$A:$B,2,FALSE),VLOOKUP($A98,'SegEnds_NonXtal_Prot#'!A:AL,10,FALSE)+8,1)</f>
        <v>P</v>
      </c>
      <c r="Y98" s="50" t="str">
        <f>MID(VLOOKUP($A98,Seqs!$A:$B,2,FALSE),VLOOKUP($A98,'SegEnds_NonXtal_Prot#'!A:AL,10,FALSE)+9,1)</f>
        <v>F</v>
      </c>
      <c r="Z98" s="50" t="str">
        <f>MID(VLOOKUP($A98,Seqs!$A:$B,2,FALSE),VLOOKUP($A98,'SegEnds_NonXtal_Prot#'!A:AL,10,FALSE)+10,1)</f>
        <v>W</v>
      </c>
      <c r="AA98" s="28" t="str">
        <f>MID(VLOOKUP($A98,Seqs!$A:$B,2,FALSE),VLOOKUP($A98,'SegEnds_NonXtal_Prot#'!$A:$AL,22,FALSE)+6,1)</f>
        <v>V</v>
      </c>
      <c r="AB98" s="50" t="str">
        <f>MID(VLOOKUP($A98,Seqs!$A:$B,2,FALSE),VLOOKUP($A98,'SegEnds_NonXtal_Prot#'!$A:$AL,22,FALSE)+7,1)</f>
        <v>A</v>
      </c>
      <c r="AC98" s="50" t="str">
        <f>MID(VLOOKUP($A98,Seqs!$A:$B,2,FALSE),VLOOKUP($A98,'SegEnds_NonXtal_Prot#'!$A:$AL,22,FALSE)+8,1)</f>
        <v>A</v>
      </c>
      <c r="AD98" s="50" t="str">
        <f>MID(VLOOKUP($A98,Seqs!$A:$B,2,FALSE),VLOOKUP($A98,'SegEnds_NonXtal_Prot#'!$A:$AL,22,FALSE)+9,1)</f>
        <v>P</v>
      </c>
      <c r="AE98" s="50" t="str">
        <f>MID(VLOOKUP($A98,Seqs!$A:$B,2,FALSE),VLOOKUP($A98,'SegEnds_NonXtal_Prot#'!$A:$AL,22,FALSE)+10,1)</f>
        <v>Q</v>
      </c>
      <c r="AF98" s="28" t="str">
        <f>MID(VLOOKUP($A98,Seqs!$A:$B,2,FALSE),VLOOKUP($A98,'SegEnds_NonXtal_Prot#'!$A:$AL,28,FALSE)-4,1)</f>
        <v>G</v>
      </c>
      <c r="AG98" s="50" t="str">
        <f>MID(VLOOKUP($A98,Seqs!$A:$B,2,FALSE),VLOOKUP($A98,'SegEnds_NonXtal_Prot#'!$A:$AL,28,FALSE),1)</f>
        <v>P</v>
      </c>
    </row>
    <row r="99" spans="1:33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G99" s="4"/>
      <c r="M99" s="2" t="s">
        <v>14</v>
      </c>
      <c r="Q99" s="2" t="s">
        <v>9</v>
      </c>
      <c r="S99" s="4" t="s">
        <v>12</v>
      </c>
      <c r="U99" s="28" t="str">
        <f>MID(VLOOKUP($A99,Seqs!$A:$B,2,FALSE),VLOOKUP($A99,'SegEnds_NonXtal_Prot#'!A:AL,10,FALSE),1)</f>
        <v>D</v>
      </c>
      <c r="V99" s="50" t="str">
        <f>MID(VLOOKUP($A99,Seqs!$A:$B,2,FALSE),VLOOKUP($A99,'SegEnds_NonXtal_Prot#'!A:AL,10,FALSE)+6,1)</f>
        <v>T</v>
      </c>
      <c r="W99" s="50" t="str">
        <f>MID(VLOOKUP($A99,Seqs!$A:$B,2,FALSE),VLOOKUP($A99,'SegEnds_NonXtal_Prot#'!A:AL,10,FALSE)+7,1)</f>
        <v>L</v>
      </c>
      <c r="X99" s="50" t="str">
        <f>MID(VLOOKUP($A99,Seqs!$A:$B,2,FALSE),VLOOKUP($A99,'SegEnds_NonXtal_Prot#'!A:AL,10,FALSE)+8,1)</f>
        <v>P</v>
      </c>
      <c r="Y99" s="50" t="str">
        <f>MID(VLOOKUP($A99,Seqs!$A:$B,2,FALSE),VLOOKUP($A99,'SegEnds_NonXtal_Prot#'!A:AL,10,FALSE)+9,1)</f>
        <v>I</v>
      </c>
      <c r="Z99" s="50" t="str">
        <f>MID(VLOOKUP($A99,Seqs!$A:$B,2,FALSE),VLOOKUP($A99,'SegEnds_NonXtal_Prot#'!A:AL,10,FALSE)+10,1)</f>
        <v>W</v>
      </c>
      <c r="AA99" s="28" t="str">
        <f>MID(VLOOKUP($A99,Seqs!$A:$B,2,FALSE),VLOOKUP($A99,'SegEnds_NonXtal_Prot#'!$A:$AL,22,FALSE)+6,1)</f>
        <v>L</v>
      </c>
      <c r="AB99" s="50" t="str">
        <f>MID(VLOOKUP($A99,Seqs!$A:$B,2,FALSE),VLOOKUP($A99,'SegEnds_NonXtal_Prot#'!$A:$AL,22,FALSE)+7,1)</f>
        <v>S</v>
      </c>
      <c r="AC99" s="50" t="str">
        <f>MID(VLOOKUP($A99,Seqs!$A:$B,2,FALSE),VLOOKUP($A99,'SegEnds_NonXtal_Prot#'!$A:$AL,22,FALSE)+8,1)</f>
        <v>L</v>
      </c>
      <c r="AD99" s="50" t="str">
        <f>MID(VLOOKUP($A99,Seqs!$A:$B,2,FALSE),VLOOKUP($A99,'SegEnds_NonXtal_Prot#'!$A:$AL,22,FALSE)+9,1)</f>
        <v>P</v>
      </c>
      <c r="AE99" s="50" t="str">
        <f>MID(VLOOKUP($A99,Seqs!$A:$B,2,FALSE),VLOOKUP($A99,'SegEnds_NonXtal_Prot#'!$A:$AL,22,FALSE)+10,1)</f>
        <v>F</v>
      </c>
      <c r="AF99" s="28" t="str">
        <f>MID(VLOOKUP($A99,Seqs!$A:$B,2,FALSE),VLOOKUP($A99,'SegEnds_NonXtal_Prot#'!$A:$AL,28,FALSE)-4,1)</f>
        <v>G</v>
      </c>
      <c r="AG99" s="50" t="str">
        <f>MID(VLOOKUP($A99,Seqs!$A:$B,2,FALSE),VLOOKUP($A99,'SegEnds_NonXtal_Prot#'!$A:$AL,28,FALSE),1)</f>
        <v>P</v>
      </c>
    </row>
    <row r="100" spans="1:33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G100" s="4"/>
      <c r="M100" s="2" t="s">
        <v>14</v>
      </c>
      <c r="Q100" s="2" t="s">
        <v>9</v>
      </c>
      <c r="S100" s="4" t="s">
        <v>12</v>
      </c>
      <c r="U100" s="28" t="str">
        <f>MID(VLOOKUP($A100,Seqs!$A:$B,2,FALSE),VLOOKUP($A100,'SegEnds_NonXtal_Prot#'!A:AL,10,FALSE),1)</f>
        <v>D</v>
      </c>
      <c r="V100" s="50" t="str">
        <f>MID(VLOOKUP($A100,Seqs!$A:$B,2,FALSE),VLOOKUP($A100,'SegEnds_NonXtal_Prot#'!A:AL,10,FALSE)+6,1)</f>
        <v>T</v>
      </c>
      <c r="W100" s="50" t="str">
        <f>MID(VLOOKUP($A100,Seqs!$A:$B,2,FALSE),VLOOKUP($A100,'SegEnds_NonXtal_Prot#'!A:AL,10,FALSE)+7,1)</f>
        <v>L</v>
      </c>
      <c r="X100" s="50" t="str">
        <f>MID(VLOOKUP($A100,Seqs!$A:$B,2,FALSE),VLOOKUP($A100,'SegEnds_NonXtal_Prot#'!A:AL,10,FALSE)+8,1)</f>
        <v>P</v>
      </c>
      <c r="Y100" s="50" t="str">
        <f>MID(VLOOKUP($A100,Seqs!$A:$B,2,FALSE),VLOOKUP($A100,'SegEnds_NonXtal_Prot#'!A:AL,10,FALSE)+9,1)</f>
        <v>I</v>
      </c>
      <c r="Z100" s="50" t="str">
        <f>MID(VLOOKUP($A100,Seqs!$A:$B,2,FALSE),VLOOKUP($A100,'SegEnds_NonXtal_Prot#'!A:AL,10,FALSE)+10,1)</f>
        <v>W</v>
      </c>
      <c r="AA100" s="28" t="str">
        <f>MID(VLOOKUP($A100,Seqs!$A:$B,2,FALSE),VLOOKUP($A100,'SegEnds_NonXtal_Prot#'!$A:$AL,22,FALSE)+6,1)</f>
        <v>L</v>
      </c>
      <c r="AB100" s="50" t="str">
        <f>MID(VLOOKUP($A100,Seqs!$A:$B,2,FALSE),VLOOKUP($A100,'SegEnds_NonXtal_Prot#'!$A:$AL,22,FALSE)+7,1)</f>
        <v>A</v>
      </c>
      <c r="AC100" s="50" t="str">
        <f>MID(VLOOKUP($A100,Seqs!$A:$B,2,FALSE),VLOOKUP($A100,'SegEnds_NonXtal_Prot#'!$A:$AL,22,FALSE)+8,1)</f>
        <v>L</v>
      </c>
      <c r="AD100" s="50" t="str">
        <f>MID(VLOOKUP($A100,Seqs!$A:$B,2,FALSE),VLOOKUP($A100,'SegEnds_NonXtal_Prot#'!$A:$AL,22,FALSE)+9,1)</f>
        <v>P</v>
      </c>
      <c r="AE100" s="50" t="str">
        <f>MID(VLOOKUP($A100,Seqs!$A:$B,2,FALSE),VLOOKUP($A100,'SegEnds_NonXtal_Prot#'!$A:$AL,22,FALSE)+10,1)</f>
        <v>V</v>
      </c>
      <c r="AF100" s="28" t="str">
        <f>MID(VLOOKUP($A100,Seqs!$A:$B,2,FALSE),VLOOKUP($A100,'SegEnds_NonXtal_Prot#'!$A:$AL,28,FALSE)-4,1)</f>
        <v>G</v>
      </c>
      <c r="AG100" s="50" t="str">
        <f>MID(VLOOKUP($A100,Seqs!$A:$B,2,FALSE),VLOOKUP($A100,'SegEnds_NonXtal_Prot#'!$A:$AL,28,FALSE),1)</f>
        <v>P</v>
      </c>
    </row>
    <row r="101" spans="1:33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G101" s="4"/>
      <c r="M101" s="2" t="s">
        <v>14</v>
      </c>
      <c r="Q101" s="2" t="s">
        <v>9</v>
      </c>
      <c r="S101" s="4" t="s">
        <v>12</v>
      </c>
      <c r="U101" s="28" t="str">
        <f>MID(VLOOKUP($A101,Seqs!$A:$B,2,FALSE),VLOOKUP($A101,'SegEnds_NonXtal_Prot#'!A:AL,10,FALSE),1)</f>
        <v>D</v>
      </c>
      <c r="V101" s="50" t="str">
        <f>MID(VLOOKUP($A101,Seqs!$A:$B,2,FALSE),VLOOKUP($A101,'SegEnds_NonXtal_Prot#'!A:AL,10,FALSE)+6,1)</f>
        <v>T</v>
      </c>
      <c r="W101" s="50" t="str">
        <f>MID(VLOOKUP($A101,Seqs!$A:$B,2,FALSE),VLOOKUP($A101,'SegEnds_NonXtal_Prot#'!A:AL,10,FALSE)+7,1)</f>
        <v>L</v>
      </c>
      <c r="X101" s="50" t="str">
        <f>MID(VLOOKUP($A101,Seqs!$A:$B,2,FALSE),VLOOKUP($A101,'SegEnds_NonXtal_Prot#'!A:AL,10,FALSE)+8,1)</f>
        <v>P</v>
      </c>
      <c r="Y101" s="50" t="str">
        <f>MID(VLOOKUP($A101,Seqs!$A:$B,2,FALSE),VLOOKUP($A101,'SegEnds_NonXtal_Prot#'!A:AL,10,FALSE)+9,1)</f>
        <v>F</v>
      </c>
      <c r="Z101" s="50" t="str">
        <f>MID(VLOOKUP($A101,Seqs!$A:$B,2,FALSE),VLOOKUP($A101,'SegEnds_NonXtal_Prot#'!A:AL,10,FALSE)+10,1)</f>
        <v>W</v>
      </c>
      <c r="AA101" s="28" t="str">
        <f>MID(VLOOKUP($A101,Seqs!$A:$B,2,FALSE),VLOOKUP($A101,'SegEnds_NonXtal_Prot#'!$A:$AL,22,FALSE)+6,1)</f>
        <v>V</v>
      </c>
      <c r="AB101" s="50" t="str">
        <f>MID(VLOOKUP($A101,Seqs!$A:$B,2,FALSE),VLOOKUP($A101,'SegEnds_NonXtal_Prot#'!$A:$AL,22,FALSE)+7,1)</f>
        <v>S</v>
      </c>
      <c r="AC101" s="50" t="str">
        <f>MID(VLOOKUP($A101,Seqs!$A:$B,2,FALSE),VLOOKUP($A101,'SegEnds_NonXtal_Prot#'!$A:$AL,22,FALSE)+8,1)</f>
        <v>L</v>
      </c>
      <c r="AD101" s="50" t="str">
        <f>MID(VLOOKUP($A101,Seqs!$A:$B,2,FALSE),VLOOKUP($A101,'SegEnds_NonXtal_Prot#'!$A:$AL,22,FALSE)+9,1)</f>
        <v>P</v>
      </c>
      <c r="AE101" s="50" t="str">
        <f>MID(VLOOKUP($A101,Seqs!$A:$B,2,FALSE),VLOOKUP($A101,'SegEnds_NonXtal_Prot#'!$A:$AL,22,FALSE)+10,1)</f>
        <v>Q</v>
      </c>
      <c r="AF101" s="28" t="str">
        <f>MID(VLOOKUP($A101,Seqs!$A:$B,2,FALSE),VLOOKUP($A101,'SegEnds_NonXtal_Prot#'!$A:$AL,28,FALSE)-4,1)</f>
        <v>G</v>
      </c>
      <c r="AG101" s="50" t="str">
        <f>MID(VLOOKUP($A101,Seqs!$A:$B,2,FALSE),VLOOKUP($A101,'SegEnds_NonXtal_Prot#'!$A:$AL,28,FALSE),1)</f>
        <v>P</v>
      </c>
    </row>
    <row r="102" spans="1:33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G102" s="4"/>
      <c r="S102" s="4" t="s">
        <v>12</v>
      </c>
      <c r="U102" s="28" t="str">
        <f>MID(VLOOKUP($A102,Seqs!$A:$B,2,FALSE),VLOOKUP($A102,'SegEnds_NonXtal_Prot#'!A:AL,10,FALSE),1)</f>
        <v>D</v>
      </c>
      <c r="V102" s="50" t="str">
        <f>MID(VLOOKUP($A102,Seqs!$A:$B,2,FALSE),VLOOKUP($A102,'SegEnds_NonXtal_Prot#'!A:AL,10,FALSE)+6,1)</f>
        <v>L</v>
      </c>
      <c r="W102" s="50" t="str">
        <f>MID(VLOOKUP($A102,Seqs!$A:$B,2,FALSE),VLOOKUP($A102,'SegEnds_NonXtal_Prot#'!A:AL,10,FALSE)+7,1)</f>
        <v>L</v>
      </c>
      <c r="X102" s="50" t="str">
        <f>MID(VLOOKUP($A102,Seqs!$A:$B,2,FALSE),VLOOKUP($A102,'SegEnds_NonXtal_Prot#'!A:AL,10,FALSE)+8,1)</f>
        <v>P</v>
      </c>
      <c r="Y102" s="50" t="str">
        <f>MID(VLOOKUP($A102,Seqs!$A:$B,2,FALSE),VLOOKUP($A102,'SegEnds_NonXtal_Prot#'!A:AL,10,FALSE)+9,1)</f>
        <v>V</v>
      </c>
      <c r="Z102" s="50" t="str">
        <f>MID(VLOOKUP($A102,Seqs!$A:$B,2,FALSE),VLOOKUP($A102,'SegEnds_NonXtal_Prot#'!A:AL,10,FALSE)+10,1)</f>
        <v>W</v>
      </c>
      <c r="AA102" s="28" t="str">
        <f>MID(VLOOKUP($A102,Seqs!$A:$B,2,FALSE),VLOOKUP($A102,'SegEnds_NonXtal_Prot#'!$A:$AL,22,FALSE)+6,1)</f>
        <v>S</v>
      </c>
      <c r="AB102" s="50" t="str">
        <f>MID(VLOOKUP($A102,Seqs!$A:$B,2,FALSE),VLOOKUP($A102,'SegEnds_NonXtal_Prot#'!$A:$AL,22,FALSE)+7,1)</f>
        <v>S</v>
      </c>
      <c r="AC102" s="50" t="str">
        <f>MID(VLOOKUP($A102,Seqs!$A:$B,2,FALSE),VLOOKUP($A102,'SegEnds_NonXtal_Prot#'!$A:$AL,22,FALSE)+8,1)</f>
        <v>I</v>
      </c>
      <c r="AD102" s="50" t="str">
        <f>MID(VLOOKUP($A102,Seqs!$A:$B,2,FALSE),VLOOKUP($A102,'SegEnds_NonXtal_Prot#'!$A:$AL,22,FALSE)+9,1)</f>
        <v>L</v>
      </c>
      <c r="AE102" s="50" t="str">
        <f>MID(VLOOKUP($A102,Seqs!$A:$B,2,FALSE),VLOOKUP($A102,'SegEnds_NonXtal_Prot#'!$A:$AL,22,FALSE)+10,1)</f>
        <v>D</v>
      </c>
      <c r="AF102" s="28" t="str">
        <f>MID(VLOOKUP($A102,Seqs!$A:$B,2,FALSE),VLOOKUP($A102,'SegEnds_NonXtal_Prot#'!$A:$AL,28,FALSE)-4,1)</f>
        <v>F</v>
      </c>
      <c r="AG102" s="50" t="str">
        <f>MID(VLOOKUP($A102,Seqs!$A:$B,2,FALSE),VLOOKUP($A102,'SegEnds_NonXtal_Prot#'!$A:$AL,28,FALSE),1)</f>
        <v>S</v>
      </c>
    </row>
    <row r="103" spans="1:33" s="2" customFormat="1" x14ac:dyDescent="0.2">
      <c r="A103" s="41" t="s">
        <v>177</v>
      </c>
      <c r="B103" s="41" t="str">
        <f>LOWER(VLOOKUP(A103,Xtal_Templ!A:B,2,FALSE))</f>
        <v>ccr9_human</v>
      </c>
      <c r="C103" s="41" t="str">
        <f>VLOOKUP(A103,Classification!A:D,2,FALSE)</f>
        <v>A</v>
      </c>
      <c r="D103" s="41" t="str">
        <f>IF(ISERROR(MATCH(A103,'SegEnds_Xtal_Prot#'!B:B, 0)), "NoXtal", "Xtal")</f>
        <v>Xtal</v>
      </c>
      <c r="E103" s="41"/>
      <c r="F103" s="41"/>
      <c r="G103" s="11"/>
      <c r="H103" s="41"/>
      <c r="I103" s="41"/>
      <c r="J103" s="41"/>
      <c r="K103" s="41"/>
      <c r="L103" s="41"/>
      <c r="M103" s="41" t="s">
        <v>14</v>
      </c>
      <c r="N103" s="41"/>
      <c r="O103" s="41"/>
      <c r="P103" s="41"/>
      <c r="Q103" s="41" t="s">
        <v>9</v>
      </c>
      <c r="R103" s="41"/>
      <c r="S103" s="11" t="s">
        <v>12</v>
      </c>
      <c r="T103" s="41"/>
      <c r="U103" s="59" t="str">
        <f>MID(VLOOKUP($A103,Seqs!$A:$B,2,FALSE),VLOOKUP($A103,'SegEnds_NonXtal_Prot#'!A:AL,10,FALSE),1)</f>
        <v>D</v>
      </c>
      <c r="V103" s="52" t="str">
        <f>MID(VLOOKUP($A103,Seqs!$A:$B,2,FALSE),VLOOKUP($A103,'SegEnds_NonXtal_Prot#'!A:AL,10,FALSE)+6,1)</f>
        <v>T</v>
      </c>
      <c r="W103" s="52" t="str">
        <f>MID(VLOOKUP($A103,Seqs!$A:$B,2,FALSE),VLOOKUP($A103,'SegEnds_NonXtal_Prot#'!A:AL,10,FALSE)+7,1)</f>
        <v>L</v>
      </c>
      <c r="X103" s="52" t="str">
        <f>MID(VLOOKUP($A103,Seqs!$A:$B,2,FALSE),VLOOKUP($A103,'SegEnds_NonXtal_Prot#'!A:AL,10,FALSE)+8,1)</f>
        <v>P</v>
      </c>
      <c r="Y103" s="50" t="str">
        <f>MID(VLOOKUP($A103,Seqs!$A:$B,2,FALSE),VLOOKUP($A103,'SegEnds_NonXtal_Prot#'!A:AL,10,FALSE)+9,1)</f>
        <v>F</v>
      </c>
      <c r="Z103" s="50" t="str">
        <f>MID(VLOOKUP($A103,Seqs!$A:$B,2,FALSE),VLOOKUP($A103,'SegEnds_NonXtal_Prot#'!A:AL,10,FALSE)+10,1)</f>
        <v>W</v>
      </c>
      <c r="AA103" s="59" t="str">
        <f>MID(VLOOKUP($A103,Seqs!$A:$B,2,FALSE),VLOOKUP($A103,'SegEnds_NonXtal_Prot#'!$A:$AL,22,FALSE)+6,1)</f>
        <v>L</v>
      </c>
      <c r="AB103" s="52" t="str">
        <f>MID(VLOOKUP($A103,Seqs!$A:$B,2,FALSE),VLOOKUP($A103,'SegEnds_NonXtal_Prot#'!$A:$AL,22,FALSE)+7,1)</f>
        <v>C</v>
      </c>
      <c r="AC103" s="52" t="str">
        <f>MID(VLOOKUP($A103,Seqs!$A:$B,2,FALSE),VLOOKUP($A103,'SegEnds_NonXtal_Prot#'!$A:$AL,22,FALSE)+8,1)</f>
        <v>I</v>
      </c>
      <c r="AD103" s="52" t="str">
        <f>MID(VLOOKUP($A103,Seqs!$A:$B,2,FALSE),VLOOKUP($A103,'SegEnds_NonXtal_Prot#'!$A:$AL,22,FALSE)+9,1)</f>
        <v>P</v>
      </c>
      <c r="AE103" s="52" t="str">
        <f>MID(VLOOKUP($A103,Seqs!$A:$B,2,FALSE),VLOOKUP($A103,'SegEnds_NonXtal_Prot#'!$A:$AL,22,FALSE)+10,1)</f>
        <v>E</v>
      </c>
      <c r="AF103" s="59" t="str">
        <f>MID(VLOOKUP($A103,Seqs!$A:$B,2,FALSE),VLOOKUP($A103,'SegEnds_NonXtal_Prot#'!$A:$AL,28,FALSE)-4,1)</f>
        <v>G</v>
      </c>
      <c r="AG103" s="52" t="str">
        <f>MID(VLOOKUP($A103,Seqs!$A:$B,2,FALSE),VLOOKUP($A103,'SegEnds_NonXtal_Prot#'!$A:$AL,28,FALSE),1)</f>
        <v>P</v>
      </c>
    </row>
    <row r="104" spans="1:33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G104" s="4"/>
      <c r="S104" s="4" t="s">
        <v>12</v>
      </c>
      <c r="U104" s="28" t="str">
        <f>MID(VLOOKUP($A104,Seqs!$A:$B,2,FALSE),VLOOKUP($A104,'SegEnds_NonXtal_Prot#'!A:AL,10,FALSE),1)</f>
        <v>D</v>
      </c>
      <c r="V104" s="50" t="str">
        <f>MID(VLOOKUP($A104,Seqs!$A:$B,2,FALSE),VLOOKUP($A104,'SegEnds_NonXtal_Prot#'!A:AL,10,FALSE)+6,1)</f>
        <v>I</v>
      </c>
      <c r="W104" s="50" t="str">
        <f>MID(VLOOKUP($A104,Seqs!$A:$B,2,FALSE),VLOOKUP($A104,'SegEnds_NonXtal_Prot#'!A:AL,10,FALSE)+7,1)</f>
        <v>F</v>
      </c>
      <c r="X104" s="50" t="str">
        <f>MID(VLOOKUP($A104,Seqs!$A:$B,2,FALSE),VLOOKUP($A104,'SegEnds_NonXtal_Prot#'!A:AL,10,FALSE)+8,1)</f>
        <v>V</v>
      </c>
      <c r="Y104" s="50" t="str">
        <f>MID(VLOOKUP($A104,Seqs!$A:$B,2,FALSE),VLOOKUP($A104,'SegEnds_NonXtal_Prot#'!A:AL,10,FALSE)+9,1)</f>
        <v>Y</v>
      </c>
      <c r="Z104" s="50" t="str">
        <f>MID(VLOOKUP($A104,Seqs!$A:$B,2,FALSE),VLOOKUP($A104,'SegEnds_NonXtal_Prot#'!A:AL,10,FALSE)+10,1)</f>
        <v>S</v>
      </c>
      <c r="AA104" s="28" t="str">
        <f>MID(VLOOKUP($A104,Seqs!$A:$B,2,FALSE),VLOOKUP($A104,'SegEnds_NonXtal_Prot#'!$A:$AL,22,FALSE)+6,1)</f>
        <v>I</v>
      </c>
      <c r="AB104" s="50" t="str">
        <f>MID(VLOOKUP($A104,Seqs!$A:$B,2,FALSE),VLOOKUP($A104,'SegEnds_NonXtal_Prot#'!$A:$AL,22,FALSE)+7,1)</f>
        <v>A</v>
      </c>
      <c r="AC104" s="50" t="str">
        <f>MID(VLOOKUP($A104,Seqs!$A:$B,2,FALSE),VLOOKUP($A104,'SegEnds_NonXtal_Prot#'!$A:$AL,22,FALSE)+8,1)</f>
        <v>V</v>
      </c>
      <c r="AD104" s="50" t="str">
        <f>MID(VLOOKUP($A104,Seqs!$A:$B,2,FALSE),VLOOKUP($A104,'SegEnds_NonXtal_Prot#'!$A:$AL,22,FALSE)+9,1)</f>
        <v>L</v>
      </c>
      <c r="AE104" s="50" t="str">
        <f>MID(VLOOKUP($A104,Seqs!$A:$B,2,FALSE),VLOOKUP($A104,'SegEnds_NonXtal_Prot#'!$A:$AL,22,FALSE)+10,1)</f>
        <v>P</v>
      </c>
      <c r="AF104" s="28" t="str">
        <f>MID(VLOOKUP($A104,Seqs!$A:$B,2,FALSE),VLOOKUP($A104,'SegEnds_NonXtal_Prot#'!$A:$AL,28,FALSE)-4,1)</f>
        <v>V</v>
      </c>
      <c r="AG104" s="50" t="str">
        <f>MID(VLOOKUP($A104,Seqs!$A:$B,2,FALSE),VLOOKUP($A104,'SegEnds_NonXtal_Prot#'!$A:$AL,28,FALSE),1)</f>
        <v>L</v>
      </c>
    </row>
    <row r="105" spans="1:33" s="2" customFormat="1" ht="17" customHeight="1" x14ac:dyDescent="0.2">
      <c r="A105" s="2" t="s">
        <v>183</v>
      </c>
      <c r="B105" s="2" t="str">
        <f>LOWER(VLOOKUP(A105,Xtal_Templ!A:B,2,FALSE))</f>
        <v>cnr1_human</v>
      </c>
      <c r="C105" s="2" t="str">
        <f>VLOOKUP(A105,Classification!A:D,2,FALSE)</f>
        <v>A</v>
      </c>
      <c r="D105" s="2" t="str">
        <f>IF(ISERROR(MATCH(A105,'SegEnds_Xtal_Prot#'!B:B, 0)), "NoXtal", "Xtal")</f>
        <v>NoXtal</v>
      </c>
      <c r="G105" s="4"/>
      <c r="S105" s="4" t="s">
        <v>12</v>
      </c>
      <c r="U105" s="28" t="str">
        <f>MID(VLOOKUP($A105,Seqs!$A:$B,2,FALSE),VLOOKUP($A105,'SegEnds_NonXtal_Prot#'!A:AL,10,FALSE),1)</f>
        <v>D</v>
      </c>
      <c r="V105" s="50" t="str">
        <f>MID(VLOOKUP($A105,Seqs!$A:$B,2,FALSE),VLOOKUP($A105,'SegEnds_NonXtal_Prot#'!A:AL,10,FALSE)+6,1)</f>
        <v>V</v>
      </c>
      <c r="W105" s="50" t="str">
        <f>MID(VLOOKUP($A105,Seqs!$A:$B,2,FALSE),VLOOKUP($A105,'SegEnds_NonXtal_Prot#'!A:AL,10,FALSE)+7,1)</f>
        <v>F</v>
      </c>
      <c r="X105" s="50" t="str">
        <f>MID(VLOOKUP($A105,Seqs!$A:$B,2,FALSE),VLOOKUP($A105,'SegEnds_NonXtal_Prot#'!A:AL,10,FALSE)+8,1)</f>
        <v>A</v>
      </c>
      <c r="Y105" s="50" t="str">
        <f>MID(VLOOKUP($A105,Seqs!$A:$B,2,FALSE),VLOOKUP($A105,'SegEnds_NonXtal_Prot#'!A:AL,10,FALSE)+9,1)</f>
        <v>C</v>
      </c>
      <c r="Z105" s="50" t="str">
        <f>MID(VLOOKUP($A105,Seqs!$A:$B,2,FALSE),VLOOKUP($A105,'SegEnds_NonXtal_Prot#'!A:AL,10,FALSE)+10,1)</f>
        <v>S</v>
      </c>
      <c r="AA105" s="28" t="str">
        <f>MID(VLOOKUP($A105,Seqs!$A:$B,2,FALSE),VLOOKUP($A105,'SegEnds_NonXtal_Prot#'!$A:$AL,22,FALSE)+6,1)</f>
        <v>V</v>
      </c>
      <c r="AB105" s="50" t="str">
        <f>MID(VLOOKUP($A105,Seqs!$A:$B,2,FALSE),VLOOKUP($A105,'SegEnds_NonXtal_Prot#'!$A:$AL,22,FALSE)+7,1)</f>
        <v>S</v>
      </c>
      <c r="AC105" s="50" t="str">
        <f>MID(VLOOKUP($A105,Seqs!$A:$B,2,FALSE),VLOOKUP($A105,'SegEnds_NonXtal_Prot#'!$A:$AL,22,FALSE)+8,1)</f>
        <v>Y</v>
      </c>
      <c r="AD105" s="50" t="str">
        <f>MID(VLOOKUP($A105,Seqs!$A:$B,2,FALSE),VLOOKUP($A105,'SegEnds_NonXtal_Prot#'!$A:$AL,22,FALSE)+9,1)</f>
        <v>L</v>
      </c>
      <c r="AE105" s="50" t="str">
        <f>MID(VLOOKUP($A105,Seqs!$A:$B,2,FALSE),VLOOKUP($A105,'SegEnds_NonXtal_Prot#'!$A:$AL,22,FALSE)+10,1)</f>
        <v>P</v>
      </c>
      <c r="AF105" s="28" t="str">
        <f>MID(VLOOKUP($A105,Seqs!$A:$B,2,FALSE),VLOOKUP($A105,'SegEnds_NonXtal_Prot#'!$A:$AL,28,FALSE)-4,1)</f>
        <v>F</v>
      </c>
      <c r="AG105" s="50" t="str">
        <f>MID(VLOOKUP($A105,Seqs!$A:$B,2,FALSE),VLOOKUP($A105,'SegEnds_NonXtal_Prot#'!$A:$AL,28,FALSE),1)</f>
        <v>L</v>
      </c>
    </row>
    <row r="106" spans="1:33" s="2" customFormat="1" x14ac:dyDescent="0.2">
      <c r="A106" s="2" t="s">
        <v>166</v>
      </c>
      <c r="B106" s="2" t="str">
        <f>LOWER(VLOOKUP(A106,Xtal_Templ!A:B,2,FALSE))</f>
        <v>agtr1_human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G106" s="4"/>
      <c r="M106" s="2" t="s">
        <v>14</v>
      </c>
      <c r="Q106" s="2" t="s">
        <v>9</v>
      </c>
      <c r="S106" s="4" t="s">
        <v>12</v>
      </c>
      <c r="U106" s="28" t="str">
        <f>MID(VLOOKUP($A106,Seqs!$A:$B,2,FALSE),VLOOKUP($A106,'SegEnds_NonXtal_Prot#'!A:AL,10,FALSE),1)</f>
        <v>D</v>
      </c>
      <c r="V106" s="50" t="str">
        <f>MID(VLOOKUP($A106,Seqs!$A:$B,2,FALSE),VLOOKUP($A106,'SegEnds_NonXtal_Prot#'!A:AL,10,FALSE)+6,1)</f>
        <v>S</v>
      </c>
      <c r="W106" s="50" t="str">
        <f>MID(VLOOKUP($A106,Seqs!$A:$B,2,FALSE),VLOOKUP($A106,'SegEnds_NonXtal_Prot#'!A:AL,10,FALSE)+7,1)</f>
        <v>L</v>
      </c>
      <c r="X106" s="50" t="str">
        <f>MID(VLOOKUP($A106,Seqs!$A:$B,2,FALSE),VLOOKUP($A106,'SegEnds_NonXtal_Prot#'!A:AL,10,FALSE)+8,1)</f>
        <v>P</v>
      </c>
      <c r="Y106" s="50" t="str">
        <f>MID(VLOOKUP($A106,Seqs!$A:$B,2,FALSE),VLOOKUP($A106,'SegEnds_NonXtal_Prot#'!A:AL,10,FALSE)+9,1)</f>
        <v>I</v>
      </c>
      <c r="Z106" s="50" t="str">
        <f>MID(VLOOKUP($A106,Seqs!$A:$B,2,FALSE),VLOOKUP($A106,'SegEnds_NonXtal_Prot#'!A:AL,10,FALSE)+10,1)</f>
        <v>L</v>
      </c>
      <c r="AA106" s="28" t="str">
        <f>MID(VLOOKUP($A106,Seqs!$A:$B,2,FALSE),VLOOKUP($A106,'SegEnds_NonXtal_Prot#'!$A:$AL,22,FALSE)+6,1)</f>
        <v>L</v>
      </c>
      <c r="AB106" s="50" t="str">
        <f>MID(VLOOKUP($A106,Seqs!$A:$B,2,FALSE),VLOOKUP($A106,'SegEnds_NonXtal_Prot#'!$A:$AL,22,FALSE)+7,1)</f>
        <v>T</v>
      </c>
      <c r="AC106" s="50" t="str">
        <f>MID(VLOOKUP($A106,Seqs!$A:$B,2,FALSE),VLOOKUP($A106,'SegEnds_NonXtal_Prot#'!$A:$AL,22,FALSE)+8,1)</f>
        <v>V</v>
      </c>
      <c r="AD106" s="50" t="str">
        <f>MID(VLOOKUP($A106,Seqs!$A:$B,2,FALSE),VLOOKUP($A106,'SegEnds_NonXtal_Prot#'!$A:$AL,22,FALSE)+9,1)</f>
        <v>P</v>
      </c>
      <c r="AE106" s="50" t="str">
        <f>MID(VLOOKUP($A106,Seqs!$A:$B,2,FALSE),VLOOKUP($A106,'SegEnds_NonXtal_Prot#'!$A:$AL,22,FALSE)+10,1)</f>
        <v>S</v>
      </c>
      <c r="AF106" s="28" t="str">
        <f>MID(VLOOKUP($A106,Seqs!$A:$B,2,FALSE),VLOOKUP($A106,'SegEnds_NonXtal_Prot#'!$A:$AL,28,FALSE)-4,1)</f>
        <v>G</v>
      </c>
      <c r="AG106" s="50" t="str">
        <f>MID(VLOOKUP($A106,Seqs!$A:$B,2,FALSE),VLOOKUP($A106,'SegEnds_NonXtal_Prot#'!$A:$AL,28,FALSE),1)</f>
        <v>P</v>
      </c>
    </row>
    <row r="107" spans="1:33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G107" s="4"/>
      <c r="M107" s="2" t="s">
        <v>14</v>
      </c>
      <c r="Q107" s="2" t="s">
        <v>9</v>
      </c>
      <c r="S107" s="4" t="s">
        <v>12</v>
      </c>
      <c r="U107" s="28" t="str">
        <f>MID(VLOOKUP($A107,Seqs!$A:$B,2,FALSE),VLOOKUP($A107,'SegEnds_NonXtal_Prot#'!A:AL,10,FALSE),1)</f>
        <v>D</v>
      </c>
      <c r="V107" s="50" t="str">
        <f>MID(VLOOKUP($A107,Seqs!$A:$B,2,FALSE),VLOOKUP($A107,'SegEnds_NonXtal_Prot#'!A:AL,10,FALSE)+6,1)</f>
        <v>T</v>
      </c>
      <c r="W107" s="50" t="str">
        <f>MID(VLOOKUP($A107,Seqs!$A:$B,2,FALSE),VLOOKUP($A107,'SegEnds_NonXtal_Prot#'!A:AL,10,FALSE)+7,1)</f>
        <v>L</v>
      </c>
      <c r="X107" s="50" t="str">
        <f>MID(VLOOKUP($A107,Seqs!$A:$B,2,FALSE),VLOOKUP($A107,'SegEnds_NonXtal_Prot#'!A:AL,10,FALSE)+8,1)</f>
        <v>P</v>
      </c>
      <c r="Y107" s="50" t="str">
        <f>MID(VLOOKUP($A107,Seqs!$A:$B,2,FALSE),VLOOKUP($A107,'SegEnds_NonXtal_Prot#'!A:AL,10,FALSE)+9,1)</f>
        <v>L</v>
      </c>
      <c r="Z107" s="50" t="str">
        <f>MID(VLOOKUP($A107,Seqs!$A:$B,2,FALSE),VLOOKUP($A107,'SegEnds_NonXtal_Prot#'!A:AL,10,FALSE)+10,1)</f>
        <v>W</v>
      </c>
      <c r="AA107" s="28" t="str">
        <f>MID(VLOOKUP($A107,Seqs!$A:$B,2,FALSE),VLOOKUP($A107,'SegEnds_NonXtal_Prot#'!$A:$AL,22,FALSE)+6,1)</f>
        <v>F</v>
      </c>
      <c r="AB107" s="50" t="str">
        <f>MID(VLOOKUP($A107,Seqs!$A:$B,2,FALSE),VLOOKUP($A107,'SegEnds_NonXtal_Prot#'!$A:$AL,22,FALSE)+7,1)</f>
        <v>A</v>
      </c>
      <c r="AC107" s="50" t="str">
        <f>MID(VLOOKUP($A107,Seqs!$A:$B,2,FALSE),VLOOKUP($A107,'SegEnds_NonXtal_Prot#'!$A:$AL,22,FALSE)+8,1)</f>
        <v>L</v>
      </c>
      <c r="AD107" s="50" t="str">
        <f>MID(VLOOKUP($A107,Seqs!$A:$B,2,FALSE),VLOOKUP($A107,'SegEnds_NonXtal_Prot#'!$A:$AL,22,FALSE)+9,1)</f>
        <v>P</v>
      </c>
      <c r="AE107" s="50" t="str">
        <f>MID(VLOOKUP($A107,Seqs!$A:$B,2,FALSE),VLOOKUP($A107,'SegEnds_NonXtal_Prot#'!$A:$AL,22,FALSE)+10,1)</f>
        <v>D</v>
      </c>
      <c r="AF107" s="28" t="str">
        <f>MID(VLOOKUP($A107,Seqs!$A:$B,2,FALSE),VLOOKUP($A107,'SegEnds_NonXtal_Prot#'!$A:$AL,28,FALSE)-4,1)</f>
        <v>G</v>
      </c>
      <c r="AG107" s="50" t="str">
        <f>MID(VLOOKUP($A107,Seqs!$A:$B,2,FALSE),VLOOKUP($A107,'SegEnds_NonXtal_Prot#'!$A:$AL,28,FALSE),1)</f>
        <v>P</v>
      </c>
    </row>
    <row r="108" spans="1:33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G108" s="4"/>
      <c r="M108" s="2" t="s">
        <v>14</v>
      </c>
      <c r="Q108" s="2" t="s">
        <v>9</v>
      </c>
      <c r="S108" s="4" t="s">
        <v>12</v>
      </c>
      <c r="U108" s="28" t="str">
        <f>MID(VLOOKUP($A108,Seqs!$A:$B,2,FALSE),VLOOKUP($A108,'SegEnds_NonXtal_Prot#'!A:AL,10,FALSE),1)</f>
        <v>D</v>
      </c>
      <c r="V108" s="50" t="str">
        <f>MID(VLOOKUP($A108,Seqs!$A:$B,2,FALSE),VLOOKUP($A108,'SegEnds_NonXtal_Prot#'!A:AL,10,FALSE)+6,1)</f>
        <v>T</v>
      </c>
      <c r="W108" s="50" t="str">
        <f>MID(VLOOKUP($A108,Seqs!$A:$B,2,FALSE),VLOOKUP($A108,'SegEnds_NonXtal_Prot#'!A:AL,10,FALSE)+7,1)</f>
        <v>L</v>
      </c>
      <c r="X108" s="50" t="str">
        <f>MID(VLOOKUP($A108,Seqs!$A:$B,2,FALSE),VLOOKUP($A108,'SegEnds_NonXtal_Prot#'!A:AL,10,FALSE)+8,1)</f>
        <v>P</v>
      </c>
      <c r="Y108" s="50" t="str">
        <f>MID(VLOOKUP($A108,Seqs!$A:$B,2,FALSE),VLOOKUP($A108,'SegEnds_NonXtal_Prot#'!A:AL,10,FALSE)+9,1)</f>
        <v>F</v>
      </c>
      <c r="Z108" s="50" t="str">
        <f>MID(VLOOKUP($A108,Seqs!$A:$B,2,FALSE),VLOOKUP($A108,'SegEnds_NonXtal_Prot#'!A:AL,10,FALSE)+10,1)</f>
        <v>W</v>
      </c>
      <c r="AA108" s="28" t="str">
        <f>MID(VLOOKUP($A108,Seqs!$A:$B,2,FALSE),VLOOKUP($A108,'SegEnds_NonXtal_Prot#'!$A:$AL,22,FALSE)+6,1)</f>
        <v>L</v>
      </c>
      <c r="AB108" s="50" t="str">
        <f>MID(VLOOKUP($A108,Seqs!$A:$B,2,FALSE),VLOOKUP($A108,'SegEnds_NonXtal_Prot#'!$A:$AL,22,FALSE)+7,1)</f>
        <v>T</v>
      </c>
      <c r="AC108" s="50" t="str">
        <f>MID(VLOOKUP($A108,Seqs!$A:$B,2,FALSE),VLOOKUP($A108,'SegEnds_NonXtal_Prot#'!$A:$AL,22,FALSE)+8,1)</f>
        <v>I</v>
      </c>
      <c r="AD108" s="50" t="str">
        <f>MID(VLOOKUP($A108,Seqs!$A:$B,2,FALSE),VLOOKUP($A108,'SegEnds_NonXtal_Prot#'!$A:$AL,22,FALSE)+9,1)</f>
        <v>P</v>
      </c>
      <c r="AE108" s="50" t="str">
        <f>MID(VLOOKUP($A108,Seqs!$A:$B,2,FALSE),VLOOKUP($A108,'SegEnds_NonXtal_Prot#'!$A:$AL,22,FALSE)+10,1)</f>
        <v>D</v>
      </c>
      <c r="AF108" s="28" t="str">
        <f>MID(VLOOKUP($A108,Seqs!$A:$B,2,FALSE),VLOOKUP($A108,'SegEnds_NonXtal_Prot#'!$A:$AL,28,FALSE)-4,1)</f>
        <v>G</v>
      </c>
      <c r="AG108" s="50" t="str">
        <f>MID(VLOOKUP($A108,Seqs!$A:$B,2,FALSE),VLOOKUP($A108,'SegEnds_NonXtal_Prot#'!$A:$AL,28,FALSE),1)</f>
        <v>P</v>
      </c>
    </row>
    <row r="109" spans="1:33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G109" s="4"/>
      <c r="M109" s="2" t="s">
        <v>14</v>
      </c>
      <c r="Q109" s="2" t="s">
        <v>9</v>
      </c>
      <c r="S109" s="4" t="s">
        <v>12</v>
      </c>
      <c r="U109" s="28" t="str">
        <f>MID(VLOOKUP($A109,Seqs!$A:$B,2,FALSE),VLOOKUP($A109,'SegEnds_NonXtal_Prot#'!A:AL,10,FALSE),1)</f>
        <v>D</v>
      </c>
      <c r="V109" s="50" t="str">
        <f>MID(VLOOKUP($A109,Seqs!$A:$B,2,FALSE),VLOOKUP($A109,'SegEnds_NonXtal_Prot#'!A:AL,10,FALSE)+6,1)</f>
        <v>I</v>
      </c>
      <c r="W109" s="50" t="str">
        <f>MID(VLOOKUP($A109,Seqs!$A:$B,2,FALSE),VLOOKUP($A109,'SegEnds_NonXtal_Prot#'!A:AL,10,FALSE)+7,1)</f>
        <v>L</v>
      </c>
      <c r="X109" s="50" t="str">
        <f>MID(VLOOKUP($A109,Seqs!$A:$B,2,FALSE),VLOOKUP($A109,'SegEnds_NonXtal_Prot#'!A:AL,10,FALSE)+8,1)</f>
        <v>P</v>
      </c>
      <c r="Y109" s="50" t="str">
        <f>MID(VLOOKUP($A109,Seqs!$A:$B,2,FALSE),VLOOKUP($A109,'SegEnds_NonXtal_Prot#'!A:AL,10,FALSE)+9,1)</f>
        <v>F</v>
      </c>
      <c r="Z109" s="50" t="str">
        <f>MID(VLOOKUP($A109,Seqs!$A:$B,2,FALSE),VLOOKUP($A109,'SegEnds_NonXtal_Prot#'!A:AL,10,FALSE)+10,1)</f>
        <v>A</v>
      </c>
      <c r="AA109" s="28" t="str">
        <f>MID(VLOOKUP($A109,Seqs!$A:$B,2,FALSE),VLOOKUP($A109,'SegEnds_NonXtal_Prot#'!$A:$AL,22,FALSE)+6,1)</f>
        <v>L</v>
      </c>
      <c r="AB109" s="50" t="str">
        <f>MID(VLOOKUP($A109,Seqs!$A:$B,2,FALSE),VLOOKUP($A109,'SegEnds_NonXtal_Prot#'!$A:$AL,22,FALSE)+7,1)</f>
        <v>A</v>
      </c>
      <c r="AC109" s="50" t="str">
        <f>MID(VLOOKUP($A109,Seqs!$A:$B,2,FALSE),VLOOKUP($A109,'SegEnds_NonXtal_Prot#'!$A:$AL,22,FALSE)+8,1)</f>
        <v>L</v>
      </c>
      <c r="AD109" s="50" t="str">
        <f>MID(VLOOKUP($A109,Seqs!$A:$B,2,FALSE),VLOOKUP($A109,'SegEnds_NonXtal_Prot#'!$A:$AL,22,FALSE)+9,1)</f>
        <v>P</v>
      </c>
      <c r="AE109" s="50" t="str">
        <f>MID(VLOOKUP($A109,Seqs!$A:$B,2,FALSE),VLOOKUP($A109,'SegEnds_NonXtal_Prot#'!$A:$AL,22,FALSE)+10,1)</f>
        <v>E</v>
      </c>
      <c r="AF109" s="28" t="str">
        <f>MID(VLOOKUP($A109,Seqs!$A:$B,2,FALSE),VLOOKUP($A109,'SegEnds_NonXtal_Prot#'!$A:$AL,28,FALSE)-4,1)</f>
        <v>G</v>
      </c>
      <c r="AG109" s="50" t="str">
        <f>MID(VLOOKUP($A109,Seqs!$A:$B,2,FALSE),VLOOKUP($A109,'SegEnds_NonXtal_Prot#'!$A:$AL,28,FALSE),1)</f>
        <v>P</v>
      </c>
    </row>
    <row r="110" spans="1:33" s="2" customFormat="1" x14ac:dyDescent="0.2">
      <c r="A110" s="2" t="s">
        <v>201</v>
      </c>
      <c r="B110" s="2" t="str">
        <f>LOWER(VLOOKUP(A110,Xtal_Templ!A:B,2,FALSE))</f>
        <v>agtr1_human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G110" s="4"/>
      <c r="M110" s="2" t="s">
        <v>14</v>
      </c>
      <c r="Q110" s="2" t="s">
        <v>9</v>
      </c>
      <c r="S110" s="4" t="s">
        <v>12</v>
      </c>
      <c r="U110" s="28" t="str">
        <f>MID(VLOOKUP($A110,Seqs!$A:$B,2,FALSE),VLOOKUP($A110,'SegEnds_NonXtal_Prot#'!A:AL,10,FALSE),1)</f>
        <v>D</v>
      </c>
      <c r="V110" s="50" t="str">
        <f>MID(VLOOKUP($A110,Seqs!$A:$B,2,FALSE),VLOOKUP($A110,'SegEnds_NonXtal_Prot#'!A:AL,10,FALSE)+6,1)</f>
        <v>T</v>
      </c>
      <c r="W110" s="50" t="str">
        <f>MID(VLOOKUP($A110,Seqs!$A:$B,2,FALSE),VLOOKUP($A110,'SegEnds_NonXtal_Prot#'!A:AL,10,FALSE)+7,1)</f>
        <v>L</v>
      </c>
      <c r="X110" s="50" t="str">
        <f>MID(VLOOKUP($A110,Seqs!$A:$B,2,FALSE),VLOOKUP($A110,'SegEnds_NonXtal_Prot#'!A:AL,10,FALSE)+8,1)</f>
        <v>P</v>
      </c>
      <c r="Y110" s="50" t="str">
        <f>MID(VLOOKUP($A110,Seqs!$A:$B,2,FALSE),VLOOKUP($A110,'SegEnds_NonXtal_Prot#'!A:AL,10,FALSE)+9,1)</f>
        <v>F</v>
      </c>
      <c r="Z110" s="50" t="str">
        <f>MID(VLOOKUP($A110,Seqs!$A:$B,2,FALSE),VLOOKUP($A110,'SegEnds_NonXtal_Prot#'!A:AL,10,FALSE)+10,1)</f>
        <v>F</v>
      </c>
      <c r="AA110" s="28" t="str">
        <f>MID(VLOOKUP($A110,Seqs!$A:$B,2,FALSE),VLOOKUP($A110,'SegEnds_NonXtal_Prot#'!$A:$AL,22,FALSE)+6,1)</f>
        <v>L</v>
      </c>
      <c r="AB110" s="50" t="str">
        <f>MID(VLOOKUP($A110,Seqs!$A:$B,2,FALSE),VLOOKUP($A110,'SegEnds_NonXtal_Prot#'!$A:$AL,22,FALSE)+7,1)</f>
        <v>T</v>
      </c>
      <c r="AC110" s="50" t="str">
        <f>MID(VLOOKUP($A110,Seqs!$A:$B,2,FALSE),VLOOKUP($A110,'SegEnds_NonXtal_Prot#'!$A:$AL,22,FALSE)+8,1)</f>
        <v>L</v>
      </c>
      <c r="AD110" s="50" t="str">
        <f>MID(VLOOKUP($A110,Seqs!$A:$B,2,FALSE),VLOOKUP($A110,'SegEnds_NonXtal_Prot#'!$A:$AL,22,FALSE)+9,1)</f>
        <v>P</v>
      </c>
      <c r="AE110" s="50" t="str">
        <f>MID(VLOOKUP($A110,Seqs!$A:$B,2,FALSE),VLOOKUP($A110,'SegEnds_NonXtal_Prot#'!$A:$AL,22,FALSE)+10,1)</f>
        <v>V</v>
      </c>
      <c r="AF110" s="28" t="str">
        <f>MID(VLOOKUP($A110,Seqs!$A:$B,2,FALSE),VLOOKUP($A110,'SegEnds_NonXtal_Prot#'!$A:$AL,28,FALSE)-4,1)</f>
        <v>G</v>
      </c>
      <c r="AG110" s="50" t="str">
        <f>MID(VLOOKUP($A110,Seqs!$A:$B,2,FALSE),VLOOKUP($A110,'SegEnds_NonXtal_Prot#'!$A:$AL,28,FALSE),1)</f>
        <v>P</v>
      </c>
    </row>
    <row r="111" spans="1:33" s="2" customFormat="1" x14ac:dyDescent="0.2">
      <c r="A111" s="2" t="s">
        <v>202</v>
      </c>
      <c r="B111" s="2" t="str">
        <f>LOWER(VLOOKUP(A111,Xtal_Templ!A:B,2,FALSE))</f>
        <v>cxcr4_human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G111" s="4"/>
      <c r="M111" s="2" t="s">
        <v>14</v>
      </c>
      <c r="Q111" s="2" t="s">
        <v>9</v>
      </c>
      <c r="S111" s="4" t="s">
        <v>12</v>
      </c>
      <c r="U111" s="28" t="str">
        <f>MID(VLOOKUP($A111,Seqs!$A:$B,2,FALSE),VLOOKUP($A111,'SegEnds_NonXtal_Prot#'!A:AL,10,FALSE),1)</f>
        <v>D</v>
      </c>
      <c r="V111" s="50" t="str">
        <f>MID(VLOOKUP($A111,Seqs!$A:$B,2,FALSE),VLOOKUP($A111,'SegEnds_NonXtal_Prot#'!A:AL,10,FALSE)+6,1)</f>
        <v>T</v>
      </c>
      <c r="W111" s="50" t="str">
        <f>MID(VLOOKUP($A111,Seqs!$A:$B,2,FALSE),VLOOKUP($A111,'SegEnds_NonXtal_Prot#'!A:AL,10,FALSE)+7,1)</f>
        <v>L</v>
      </c>
      <c r="X111" s="50" t="str">
        <f>MID(VLOOKUP($A111,Seqs!$A:$B,2,FALSE),VLOOKUP($A111,'SegEnds_NonXtal_Prot#'!A:AL,10,FALSE)+8,1)</f>
        <v>P</v>
      </c>
      <c r="Y111" s="50" t="str">
        <f>MID(VLOOKUP($A111,Seqs!$A:$B,2,FALSE),VLOOKUP($A111,'SegEnds_NonXtal_Prot#'!A:AL,10,FALSE)+9,1)</f>
        <v>F</v>
      </c>
      <c r="Z111" s="50" t="str">
        <f>MID(VLOOKUP($A111,Seqs!$A:$B,2,FALSE),VLOOKUP($A111,'SegEnds_NonXtal_Prot#'!A:AL,10,FALSE)+10,1)</f>
        <v>L</v>
      </c>
      <c r="AA111" s="28" t="str">
        <f>MID(VLOOKUP($A111,Seqs!$A:$B,2,FALSE),VLOOKUP($A111,'SegEnds_NonXtal_Prot#'!$A:$AL,22,FALSE)+6,1)</f>
        <v>L</v>
      </c>
      <c r="AB111" s="50" t="str">
        <f>MID(VLOOKUP($A111,Seqs!$A:$B,2,FALSE),VLOOKUP($A111,'SegEnds_NonXtal_Prot#'!$A:$AL,22,FALSE)+7,1)</f>
        <v>T</v>
      </c>
      <c r="AC111" s="50" t="str">
        <f>MID(VLOOKUP($A111,Seqs!$A:$B,2,FALSE),VLOOKUP($A111,'SegEnds_NonXtal_Prot#'!$A:$AL,22,FALSE)+8,1)</f>
        <v>L</v>
      </c>
      <c r="AD111" s="50" t="str">
        <f>MID(VLOOKUP($A111,Seqs!$A:$B,2,FALSE),VLOOKUP($A111,'SegEnds_NonXtal_Prot#'!$A:$AL,22,FALSE)+9,1)</f>
        <v>P</v>
      </c>
      <c r="AE111" s="50" t="str">
        <f>MID(VLOOKUP($A111,Seqs!$A:$B,2,FALSE),VLOOKUP($A111,'SegEnds_NonXtal_Prot#'!$A:$AL,22,FALSE)+10,1)</f>
        <v>V</v>
      </c>
      <c r="AF111" s="28" t="str">
        <f>MID(VLOOKUP($A111,Seqs!$A:$B,2,FALSE),VLOOKUP($A111,'SegEnds_NonXtal_Prot#'!$A:$AL,28,FALSE)-4,1)</f>
        <v>G</v>
      </c>
      <c r="AG111" s="50" t="str">
        <f>MID(VLOOKUP($A111,Seqs!$A:$B,2,FALSE),VLOOKUP($A111,'SegEnds_NonXtal_Prot#'!$A:$AL,28,FALSE),1)</f>
        <v>P</v>
      </c>
    </row>
    <row r="112" spans="1:33" s="2" customFormat="1" x14ac:dyDescent="0.2">
      <c r="A112" s="2" t="s">
        <v>203</v>
      </c>
      <c r="B112" s="2" t="str">
        <f>LOWER(VLOOKUP(A112,Xtal_Templ!A:B,2,FALSE))</f>
        <v>cxcr4_human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G112" s="4"/>
      <c r="M112" s="2" t="s">
        <v>14</v>
      </c>
      <c r="Q112" s="2" t="s">
        <v>9</v>
      </c>
      <c r="S112" s="4" t="s">
        <v>12</v>
      </c>
      <c r="U112" s="28" t="str">
        <f>MID(VLOOKUP($A112,Seqs!$A:$B,2,FALSE),VLOOKUP($A112,'SegEnds_NonXtal_Prot#'!A:AL,10,FALSE),1)</f>
        <v>D</v>
      </c>
      <c r="V112" s="50" t="str">
        <f>MID(VLOOKUP($A112,Seqs!$A:$B,2,FALSE),VLOOKUP($A112,'SegEnds_NonXtal_Prot#'!A:AL,10,FALSE)+6,1)</f>
        <v>I</v>
      </c>
      <c r="W112" s="50" t="str">
        <f>MID(VLOOKUP($A112,Seqs!$A:$B,2,FALSE),VLOOKUP($A112,'SegEnds_NonXtal_Prot#'!A:AL,10,FALSE)+7,1)</f>
        <v>L</v>
      </c>
      <c r="X112" s="50" t="str">
        <f>MID(VLOOKUP($A112,Seqs!$A:$B,2,FALSE),VLOOKUP($A112,'SegEnds_NonXtal_Prot#'!A:AL,10,FALSE)+8,1)</f>
        <v>P</v>
      </c>
      <c r="Y112" s="50" t="str">
        <f>MID(VLOOKUP($A112,Seqs!$A:$B,2,FALSE),VLOOKUP($A112,'SegEnds_NonXtal_Prot#'!A:AL,10,FALSE)+9,1)</f>
        <v>F</v>
      </c>
      <c r="Z112" s="50" t="str">
        <f>MID(VLOOKUP($A112,Seqs!$A:$B,2,FALSE),VLOOKUP($A112,'SegEnds_NonXtal_Prot#'!A:AL,10,FALSE)+10,1)</f>
        <v>R</v>
      </c>
      <c r="AA112" s="28" t="str">
        <f>MID(VLOOKUP($A112,Seqs!$A:$B,2,FALSE),VLOOKUP($A112,'SegEnds_NonXtal_Prot#'!$A:$AL,22,FALSE)+6,1)</f>
        <v>L</v>
      </c>
      <c r="AB112" s="50" t="str">
        <f>MID(VLOOKUP($A112,Seqs!$A:$B,2,FALSE),VLOOKUP($A112,'SegEnds_NonXtal_Prot#'!$A:$AL,22,FALSE)+7,1)</f>
        <v>T</v>
      </c>
      <c r="AC112" s="50" t="str">
        <f>MID(VLOOKUP($A112,Seqs!$A:$B,2,FALSE),VLOOKUP($A112,'SegEnds_NonXtal_Prot#'!$A:$AL,22,FALSE)+8,1)</f>
        <v>L</v>
      </c>
      <c r="AD112" s="50" t="str">
        <f>MID(VLOOKUP($A112,Seqs!$A:$B,2,FALSE),VLOOKUP($A112,'SegEnds_NonXtal_Prot#'!$A:$AL,22,FALSE)+9,1)</f>
        <v>P</v>
      </c>
      <c r="AE112" s="50" t="str">
        <f>MID(VLOOKUP($A112,Seqs!$A:$B,2,FALSE),VLOOKUP($A112,'SegEnds_NonXtal_Prot#'!$A:$AL,22,FALSE)+10,1)</f>
        <v>N</v>
      </c>
      <c r="AF112" s="28" t="str">
        <f>MID(VLOOKUP($A112,Seqs!$A:$B,2,FALSE),VLOOKUP($A112,'SegEnds_NonXtal_Prot#'!$A:$AL,28,FALSE)-4,1)</f>
        <v>G</v>
      </c>
      <c r="AG112" s="50" t="str">
        <f>MID(VLOOKUP($A112,Seqs!$A:$B,2,FALSE),VLOOKUP($A112,'SegEnds_NonXtal_Prot#'!$A:$AL,28,FALSE),1)</f>
        <v>P</v>
      </c>
    </row>
    <row r="113" spans="1:33" s="2" customFormat="1" x14ac:dyDescent="0.2">
      <c r="A113" s="2" t="s">
        <v>293</v>
      </c>
      <c r="B113" s="2" t="str">
        <f>LOWER(VLOOKUP(A113,Xtal_Templ!A:B,2,FALSE))</f>
        <v>ntr1_rat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G113" s="4"/>
      <c r="M113" s="2" t="s">
        <v>14</v>
      </c>
      <c r="Q113" s="2" t="s">
        <v>9</v>
      </c>
      <c r="S113" s="4" t="s">
        <v>12</v>
      </c>
      <c r="U113" s="28" t="str">
        <f>MID(VLOOKUP($A113,Seqs!$A:$B,2,FALSE),VLOOKUP($A113,'SegEnds_NonXtal_Prot#'!A:AL,10,FALSE),1)</f>
        <v>D</v>
      </c>
      <c r="V113" s="50" t="str">
        <f>MID(VLOOKUP($A113,Seqs!$A:$B,2,FALSE),VLOOKUP($A113,'SegEnds_NonXtal_Prot#'!A:AL,10,FALSE)+6,1)</f>
        <v>L</v>
      </c>
      <c r="W113" s="50" t="str">
        <f>MID(VLOOKUP($A113,Seqs!$A:$B,2,FALSE),VLOOKUP($A113,'SegEnds_NonXtal_Prot#'!A:AL,10,FALSE)+7,1)</f>
        <v>T</v>
      </c>
      <c r="X113" s="50" t="str">
        <f>MID(VLOOKUP($A113,Seqs!$A:$B,2,FALSE),VLOOKUP($A113,'SegEnds_NonXtal_Prot#'!A:AL,10,FALSE)+8,1)</f>
        <v>P</v>
      </c>
      <c r="Y113" s="50" t="str">
        <f>MID(VLOOKUP($A113,Seqs!$A:$B,2,FALSE),VLOOKUP($A113,'SegEnds_NonXtal_Prot#'!A:AL,10,FALSE)+9,1)</f>
        <v>L</v>
      </c>
      <c r="Z113" s="50" t="str">
        <f>MID(VLOOKUP($A113,Seqs!$A:$B,2,FALSE),VLOOKUP($A113,'SegEnds_NonXtal_Prot#'!A:AL,10,FALSE)+10,1)</f>
        <v>F</v>
      </c>
      <c r="AA113" s="28" t="str">
        <f>MID(VLOOKUP($A113,Seqs!$A:$B,2,FALSE),VLOOKUP($A113,'SegEnds_NonXtal_Prot#'!$A:$AL,22,FALSE)+6,1)</f>
        <v>L</v>
      </c>
      <c r="AB113" s="50" t="str">
        <f>MID(VLOOKUP($A113,Seqs!$A:$B,2,FALSE),VLOOKUP($A113,'SegEnds_NonXtal_Prot#'!$A:$AL,22,FALSE)+7,1)</f>
        <v>A</v>
      </c>
      <c r="AC113" s="50" t="str">
        <f>MID(VLOOKUP($A113,Seqs!$A:$B,2,FALSE),VLOOKUP($A113,'SegEnds_NonXtal_Prot#'!$A:$AL,22,FALSE)+8,1)</f>
        <v>V</v>
      </c>
      <c r="AD113" s="50" t="str">
        <f>MID(VLOOKUP($A113,Seqs!$A:$B,2,FALSE),VLOOKUP($A113,'SegEnds_NonXtal_Prot#'!$A:$AL,22,FALSE)+9,1)</f>
        <v>P</v>
      </c>
      <c r="AE113" s="50" t="str">
        <f>MID(VLOOKUP($A113,Seqs!$A:$B,2,FALSE),VLOOKUP($A113,'SegEnds_NonXtal_Prot#'!$A:$AL,22,FALSE)+10,1)</f>
        <v>A</v>
      </c>
      <c r="AF113" s="28" t="str">
        <f>MID(VLOOKUP($A113,Seqs!$A:$B,2,FALSE),VLOOKUP($A113,'SegEnds_NonXtal_Prot#'!$A:$AL,28,FALSE)-4,1)</f>
        <v>A</v>
      </c>
      <c r="AG113" s="50" t="str">
        <f>MID(VLOOKUP($A113,Seqs!$A:$B,2,FALSE),VLOOKUP($A113,'SegEnds_NonXtal_Prot#'!$A:$AL,28,FALSE),1)</f>
        <v>P</v>
      </c>
    </row>
    <row r="114" spans="1:33" s="2" customFormat="1" x14ac:dyDescent="0.2">
      <c r="A114" s="2" t="s">
        <v>156</v>
      </c>
      <c r="B114" s="2" t="str">
        <f>LOWER(VLOOKUP(A114,Xtal_Templ!A:B,2,FALSE))</f>
        <v>drd3_human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F114" s="2" t="s">
        <v>5</v>
      </c>
      <c r="G114" s="4"/>
      <c r="Q114" s="2" t="s">
        <v>9</v>
      </c>
      <c r="S114" s="4" t="s">
        <v>12</v>
      </c>
      <c r="U114" s="28" t="str">
        <f>MID(VLOOKUP($A114,Seqs!$A:$B,2,FALSE),VLOOKUP($A114,'SegEnds_NonXtal_Prot#'!A:AL,10,FALSE),1)</f>
        <v>D</v>
      </c>
      <c r="V114" s="50" t="str">
        <f>MID(VLOOKUP($A114,Seqs!$A:$B,2,FALSE),VLOOKUP($A114,'SegEnds_NonXtal_Prot#'!A:AL,10,FALSE)+6,1)</f>
        <v>L</v>
      </c>
      <c r="W114" s="50" t="str">
        <f>MID(VLOOKUP($A114,Seqs!$A:$B,2,FALSE),VLOOKUP($A114,'SegEnds_NonXtal_Prot#'!A:AL,10,FALSE)+7,1)</f>
        <v>I</v>
      </c>
      <c r="X114" s="50" t="str">
        <f>MID(VLOOKUP($A114,Seqs!$A:$B,2,FALSE),VLOOKUP($A114,'SegEnds_NonXtal_Prot#'!A:AL,10,FALSE)+8,1)</f>
        <v>I</v>
      </c>
      <c r="Y114" s="50" t="str">
        <f>MID(VLOOKUP($A114,Seqs!$A:$B,2,FALSE),VLOOKUP($A114,'SegEnds_NonXtal_Prot#'!A:AL,10,FALSE)+9,1)</f>
        <v>P</v>
      </c>
      <c r="Z114" s="50" t="str">
        <f>MID(VLOOKUP($A114,Seqs!$A:$B,2,FALSE),VLOOKUP($A114,'SegEnds_NonXtal_Prot#'!A:AL,10,FALSE)+10,1)</f>
        <v>F</v>
      </c>
      <c r="AA114" s="28" t="str">
        <f>MID(VLOOKUP($A114,Seqs!$A:$B,2,FALSE),VLOOKUP($A114,'SegEnds_NonXtal_Prot#'!$A:$AL,22,FALSE)+6,1)</f>
        <v>I</v>
      </c>
      <c r="AB114" s="50" t="str">
        <f>MID(VLOOKUP($A114,Seqs!$A:$B,2,FALSE),VLOOKUP($A114,'SegEnds_NonXtal_Prot#'!$A:$AL,22,FALSE)+7,1)</f>
        <v>S</v>
      </c>
      <c r="AC114" s="50" t="str">
        <f>MID(VLOOKUP($A114,Seqs!$A:$B,2,FALSE),VLOOKUP($A114,'SegEnds_NonXtal_Prot#'!$A:$AL,22,FALSE)+8,1)</f>
        <v>L</v>
      </c>
      <c r="AD114" s="50" t="str">
        <f>MID(VLOOKUP($A114,Seqs!$A:$B,2,FALSE),VLOOKUP($A114,'SegEnds_NonXtal_Prot#'!$A:$AL,22,FALSE)+9,1)</f>
        <v>P</v>
      </c>
      <c r="AE114" s="50" t="str">
        <f>MID(VLOOKUP($A114,Seqs!$A:$B,2,FALSE),VLOOKUP($A114,'SegEnds_NonXtal_Prot#'!$A:$AL,22,FALSE)+10,1)</f>
        <v>P</v>
      </c>
      <c r="AF114" s="28" t="str">
        <f>MID(VLOOKUP($A114,Seqs!$A:$B,2,FALSE),VLOOKUP($A114,'SegEnds_NonXtal_Prot#'!$A:$AL,28,FALSE)-4,1)</f>
        <v>S</v>
      </c>
      <c r="AG114" s="50" t="str">
        <f>MID(VLOOKUP($A114,Seqs!$A:$B,2,FALSE),VLOOKUP($A114,'SegEnds_NonXtal_Prot#'!$A:$AL,28,FALSE),1)</f>
        <v>P</v>
      </c>
    </row>
    <row r="115" spans="1:33" s="2" customFormat="1" x14ac:dyDescent="0.2">
      <c r="A115" s="2" t="s">
        <v>191</v>
      </c>
      <c r="B115" s="2" t="str">
        <f>LOWER(VLOOKUP(A115,Xtal_Templ!A:B,2,FALSE))</f>
        <v>drd3_human</v>
      </c>
      <c r="C115" s="2" t="str">
        <f>VLOOKUP(A115,Classification!A:D,2,FALSE)</f>
        <v>A</v>
      </c>
      <c r="D115" s="2" t="str">
        <f>IF(ISERROR(MATCH(A115,'SegEnds_Xtal_Prot#'!B:B, 0)), "NoXtal", "Xtal")</f>
        <v>NoXtal</v>
      </c>
      <c r="F115" s="2" t="s">
        <v>5</v>
      </c>
      <c r="G115" s="4"/>
      <c r="M115" s="2" t="s">
        <v>14</v>
      </c>
      <c r="Q115" s="2" t="s">
        <v>9</v>
      </c>
      <c r="S115" s="4" t="s">
        <v>12</v>
      </c>
      <c r="U115" s="28" t="str">
        <f>MID(VLOOKUP($A115,Seqs!$A:$B,2,FALSE),VLOOKUP($A115,'SegEnds_NonXtal_Prot#'!A:AL,10,FALSE),1)</f>
        <v>D</v>
      </c>
      <c r="V115" s="50" t="str">
        <f>MID(VLOOKUP($A115,Seqs!$A:$B,2,FALSE),VLOOKUP($A115,'SegEnds_NonXtal_Prot#'!A:AL,10,FALSE)+6,1)</f>
        <v>L</v>
      </c>
      <c r="W115" s="50" t="str">
        <f>MID(VLOOKUP($A115,Seqs!$A:$B,2,FALSE),VLOOKUP($A115,'SegEnds_NonXtal_Prot#'!A:AL,10,FALSE)+7,1)</f>
        <v>V</v>
      </c>
      <c r="X115" s="50" t="str">
        <f>MID(VLOOKUP($A115,Seqs!$A:$B,2,FALSE),VLOOKUP($A115,'SegEnds_NonXtal_Prot#'!A:AL,10,FALSE)+8,1)</f>
        <v>M</v>
      </c>
      <c r="Y115" s="50" t="str">
        <f>MID(VLOOKUP($A115,Seqs!$A:$B,2,FALSE),VLOOKUP($A115,'SegEnds_NonXtal_Prot#'!A:AL,10,FALSE)+9,1)</f>
        <v>P</v>
      </c>
      <c r="Z115" s="50" t="str">
        <f>MID(VLOOKUP($A115,Seqs!$A:$B,2,FALSE),VLOOKUP($A115,'SegEnds_NonXtal_Prot#'!A:AL,10,FALSE)+10,1)</f>
        <v>W</v>
      </c>
      <c r="AA115" s="28" t="str">
        <f>MID(VLOOKUP($A115,Seqs!$A:$B,2,FALSE),VLOOKUP($A115,'SegEnds_NonXtal_Prot#'!$A:$AL,22,FALSE)+6,1)</f>
        <v>I</v>
      </c>
      <c r="AB115" s="50" t="str">
        <f>MID(VLOOKUP($A115,Seqs!$A:$B,2,FALSE),VLOOKUP($A115,'SegEnds_NonXtal_Prot#'!$A:$AL,22,FALSE)+7,1)</f>
        <v>S</v>
      </c>
      <c r="AC115" s="50" t="str">
        <f>MID(VLOOKUP($A115,Seqs!$A:$B,2,FALSE),VLOOKUP($A115,'SegEnds_NonXtal_Prot#'!$A:$AL,22,FALSE)+8,1)</f>
        <v>C</v>
      </c>
      <c r="AD115" s="50" t="str">
        <f>MID(VLOOKUP($A115,Seqs!$A:$B,2,FALSE),VLOOKUP($A115,'SegEnds_NonXtal_Prot#'!$A:$AL,22,FALSE)+9,1)</f>
        <v>P</v>
      </c>
      <c r="AE115" s="50" t="str">
        <f>MID(VLOOKUP($A115,Seqs!$A:$B,2,FALSE),VLOOKUP($A115,'SegEnds_NonXtal_Prot#'!$A:$AL,22,FALSE)+10,1)</f>
        <v>L</v>
      </c>
      <c r="AF115" s="28" t="str">
        <f>MID(VLOOKUP($A115,Seqs!$A:$B,2,FALSE),VLOOKUP($A115,'SegEnds_NonXtal_Prot#'!$A:$AL,28,FALSE)-4,1)</f>
        <v>S</v>
      </c>
      <c r="AG115" s="50" t="str">
        <f>MID(VLOOKUP($A115,Seqs!$A:$B,2,FALSE),VLOOKUP($A115,'SegEnds_NonXtal_Prot#'!$A:$AL,28,FALSE),1)</f>
        <v>P</v>
      </c>
    </row>
    <row r="116" spans="1:33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F116" s="2" t="s">
        <v>5</v>
      </c>
      <c r="G116" s="4"/>
      <c r="M116" s="2" t="s">
        <v>14</v>
      </c>
      <c r="Q116" s="2" t="s">
        <v>9</v>
      </c>
      <c r="S116" s="4" t="s">
        <v>12</v>
      </c>
      <c r="U116" s="28" t="str">
        <f>MID(VLOOKUP($A116,Seqs!$A:$B,2,FALSE),VLOOKUP($A116,'SegEnds_NonXtal_Prot#'!A:AL,10,FALSE),1)</f>
        <v>D</v>
      </c>
      <c r="V116" s="50" t="str">
        <f>MID(VLOOKUP($A116,Seqs!$A:$B,2,FALSE),VLOOKUP($A116,'SegEnds_NonXtal_Prot#'!A:AL,10,FALSE)+6,1)</f>
        <v>L</v>
      </c>
      <c r="W116" s="50" t="str">
        <f>MID(VLOOKUP($A116,Seqs!$A:$B,2,FALSE),VLOOKUP($A116,'SegEnds_NonXtal_Prot#'!A:AL,10,FALSE)+7,1)</f>
        <v>V</v>
      </c>
      <c r="X116" s="50" t="str">
        <f>MID(VLOOKUP($A116,Seqs!$A:$B,2,FALSE),VLOOKUP($A116,'SegEnds_NonXtal_Prot#'!A:AL,10,FALSE)+8,1)</f>
        <v>M</v>
      </c>
      <c r="Y116" s="50" t="str">
        <f>MID(VLOOKUP($A116,Seqs!$A:$B,2,FALSE),VLOOKUP($A116,'SegEnds_NonXtal_Prot#'!A:AL,10,FALSE)+9,1)</f>
        <v>P</v>
      </c>
      <c r="Z116" s="50" t="str">
        <f>MID(VLOOKUP($A116,Seqs!$A:$B,2,FALSE),VLOOKUP($A116,'SegEnds_NonXtal_Prot#'!A:AL,10,FALSE)+10,1)</f>
        <v>W</v>
      </c>
      <c r="AA116" s="28" t="str">
        <f>MID(VLOOKUP($A116,Seqs!$A:$B,2,FALSE),VLOOKUP($A116,'SegEnds_NonXtal_Prot#'!$A:$AL,22,FALSE)+6,1)</f>
        <v>V</v>
      </c>
      <c r="AB116" s="50" t="str">
        <f>MID(VLOOKUP($A116,Seqs!$A:$B,2,FALSE),VLOOKUP($A116,'SegEnds_NonXtal_Prot#'!$A:$AL,22,FALSE)+7,1)</f>
        <v>S</v>
      </c>
      <c r="AC116" s="50" t="str">
        <f>MID(VLOOKUP($A116,Seqs!$A:$B,2,FALSE),VLOOKUP($A116,'SegEnds_NonXtal_Prot#'!$A:$AL,22,FALSE)+8,1)</f>
        <v>C</v>
      </c>
      <c r="AD116" s="50" t="str">
        <f>MID(VLOOKUP($A116,Seqs!$A:$B,2,FALSE),VLOOKUP($A116,'SegEnds_NonXtal_Prot#'!$A:$AL,22,FALSE)+9,1)</f>
        <v>P</v>
      </c>
      <c r="AE116" s="50" t="str">
        <f>MID(VLOOKUP($A116,Seqs!$A:$B,2,FALSE),VLOOKUP($A116,'SegEnds_NonXtal_Prot#'!$A:$AL,22,FALSE)+10,1)</f>
        <v>L</v>
      </c>
      <c r="AF116" s="28" t="str">
        <f>MID(VLOOKUP($A116,Seqs!$A:$B,2,FALSE),VLOOKUP($A116,'SegEnds_NonXtal_Prot#'!$A:$AL,28,FALSE)-4,1)</f>
        <v>S</v>
      </c>
      <c r="AG116" s="50" t="str">
        <f>MID(VLOOKUP($A116,Seqs!$A:$B,2,FALSE),VLOOKUP($A116,'SegEnds_NonXtal_Prot#'!$A:$AL,28,FALSE),1)</f>
        <v>P</v>
      </c>
    </row>
    <row r="117" spans="1:33" s="2" customFormat="1" x14ac:dyDescent="0.2">
      <c r="A117" s="2" t="s">
        <v>193</v>
      </c>
      <c r="B117" s="2" t="str">
        <f>LOWER(VLOOKUP(A117,Xtal_Templ!A:B,2,FALSE))</f>
        <v>drd3_human</v>
      </c>
      <c r="C117" s="2" t="str">
        <f>VLOOKUP(A117,Classification!A:D,2,FALSE)</f>
        <v>A</v>
      </c>
      <c r="D117" s="2" t="str">
        <f>IF(ISERROR(MATCH(A117,'SegEnds_Xtal_Prot#'!B:B, 0)), "NoXtal", "Xtal")</f>
        <v>NoXtal</v>
      </c>
      <c r="F117" s="2" t="s">
        <v>5</v>
      </c>
      <c r="G117" s="4"/>
      <c r="M117" s="2" t="s">
        <v>14</v>
      </c>
      <c r="Q117" s="2" t="s">
        <v>9</v>
      </c>
      <c r="S117" s="4" t="s">
        <v>12</v>
      </c>
      <c r="U117" s="28" t="str">
        <f>MID(VLOOKUP($A117,Seqs!$A:$B,2,FALSE),VLOOKUP($A117,'SegEnds_NonXtal_Prot#'!A:AL,10,FALSE),1)</f>
        <v>D</v>
      </c>
      <c r="V117" s="50" t="str">
        <f>MID(VLOOKUP($A117,Seqs!$A:$B,2,FALSE),VLOOKUP($A117,'SegEnds_NonXtal_Prot#'!A:AL,10,FALSE)+6,1)</f>
        <v>L</v>
      </c>
      <c r="W117" s="50" t="str">
        <f>MID(VLOOKUP($A117,Seqs!$A:$B,2,FALSE),VLOOKUP($A117,'SegEnds_NonXtal_Prot#'!A:AL,10,FALSE)+7,1)</f>
        <v>V</v>
      </c>
      <c r="X117" s="50" t="str">
        <f>MID(VLOOKUP($A117,Seqs!$A:$B,2,FALSE),VLOOKUP($A117,'SegEnds_NonXtal_Prot#'!A:AL,10,FALSE)+8,1)</f>
        <v>L</v>
      </c>
      <c r="Y117" s="50" t="str">
        <f>MID(VLOOKUP($A117,Seqs!$A:$B,2,FALSE),VLOOKUP($A117,'SegEnds_NonXtal_Prot#'!A:AL,10,FALSE)+9,1)</f>
        <v>P</v>
      </c>
      <c r="Z117" s="50" t="str">
        <f>MID(VLOOKUP($A117,Seqs!$A:$B,2,FALSE),VLOOKUP($A117,'SegEnds_NonXtal_Prot#'!A:AL,10,FALSE)+10,1)</f>
        <v>L</v>
      </c>
      <c r="AA117" s="28" t="str">
        <f>MID(VLOOKUP($A117,Seqs!$A:$B,2,FALSE),VLOOKUP($A117,'SegEnds_NonXtal_Prot#'!$A:$AL,22,FALSE)+6,1)</f>
        <v>V</v>
      </c>
      <c r="AB117" s="50" t="str">
        <f>MID(VLOOKUP($A117,Seqs!$A:$B,2,FALSE),VLOOKUP($A117,'SegEnds_NonXtal_Prot#'!$A:$AL,22,FALSE)+7,1)</f>
        <v>A</v>
      </c>
      <c r="AC117" s="50" t="str">
        <f>MID(VLOOKUP($A117,Seqs!$A:$B,2,FALSE),VLOOKUP($A117,'SegEnds_NonXtal_Prot#'!$A:$AL,22,FALSE)+8,1)</f>
        <v>A</v>
      </c>
      <c r="AD117" s="50" t="str">
        <f>MID(VLOOKUP($A117,Seqs!$A:$B,2,FALSE),VLOOKUP($A117,'SegEnds_NonXtal_Prot#'!$A:$AL,22,FALSE)+9,1)</f>
        <v>P</v>
      </c>
      <c r="AE117" s="50" t="str">
        <f>MID(VLOOKUP($A117,Seqs!$A:$B,2,FALSE),VLOOKUP($A117,'SegEnds_NonXtal_Prot#'!$A:$AL,22,FALSE)+10,1)</f>
        <v>V</v>
      </c>
      <c r="AF117" s="28" t="str">
        <f>MID(VLOOKUP($A117,Seqs!$A:$B,2,FALSE),VLOOKUP($A117,'SegEnds_NonXtal_Prot#'!$A:$AL,28,FALSE)-4,1)</f>
        <v>S</v>
      </c>
      <c r="AG117" s="50" t="str">
        <f>MID(VLOOKUP($A117,Seqs!$A:$B,2,FALSE),VLOOKUP($A117,'SegEnds_NonXtal_Prot#'!$A:$AL,28,FALSE),1)</f>
        <v>P</v>
      </c>
    </row>
    <row r="118" spans="1:33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F118" s="2" t="s">
        <v>5</v>
      </c>
      <c r="G118" s="4"/>
      <c r="Q118" s="2" t="s">
        <v>9</v>
      </c>
      <c r="S118" s="4" t="s">
        <v>12</v>
      </c>
      <c r="U118" s="28" t="str">
        <f>MID(VLOOKUP($A118,Seqs!$A:$B,2,FALSE),VLOOKUP($A118,'SegEnds_NonXtal_Prot#'!A:AL,10,FALSE),1)</f>
        <v>D</v>
      </c>
      <c r="V118" s="50" t="str">
        <f>MID(VLOOKUP($A118,Seqs!$A:$B,2,FALSE),VLOOKUP($A118,'SegEnds_NonXtal_Prot#'!A:AL,10,FALSE)+6,1)</f>
        <v>T</v>
      </c>
      <c r="W118" s="50" t="str">
        <f>MID(VLOOKUP($A118,Seqs!$A:$B,2,FALSE),VLOOKUP($A118,'SegEnds_NonXtal_Prot#'!A:AL,10,FALSE)+7,1)</f>
        <v>L</v>
      </c>
      <c r="X118" s="50" t="str">
        <f>MID(VLOOKUP($A118,Seqs!$A:$B,2,FALSE),VLOOKUP($A118,'SegEnds_NonXtal_Prot#'!A:AL,10,FALSE)+8,1)</f>
        <v>M</v>
      </c>
      <c r="Y118" s="50" t="str">
        <f>MID(VLOOKUP($A118,Seqs!$A:$B,2,FALSE),VLOOKUP($A118,'SegEnds_NonXtal_Prot#'!A:AL,10,FALSE)+9,1)</f>
        <v>P</v>
      </c>
      <c r="Z118" s="50" t="str">
        <f>MID(VLOOKUP($A118,Seqs!$A:$B,2,FALSE),VLOOKUP($A118,'SegEnds_NonXtal_Prot#'!A:AL,10,FALSE)+10,1)</f>
        <v>L</v>
      </c>
      <c r="AA118" s="28" t="str">
        <f>MID(VLOOKUP($A118,Seqs!$A:$B,2,FALSE),VLOOKUP($A118,'SegEnds_NonXtal_Prot#'!$A:$AL,22,FALSE)+6,1)</f>
        <v>M</v>
      </c>
      <c r="AB118" s="50" t="str">
        <f>MID(VLOOKUP($A118,Seqs!$A:$B,2,FALSE),VLOOKUP($A118,'SegEnds_NonXtal_Prot#'!$A:$AL,22,FALSE)+7,1)</f>
        <v>A</v>
      </c>
      <c r="AC118" s="50" t="str">
        <f>MID(VLOOKUP($A118,Seqs!$A:$B,2,FALSE),VLOOKUP($A118,'SegEnds_NonXtal_Prot#'!$A:$AL,22,FALSE)+8,1)</f>
        <v>S</v>
      </c>
      <c r="AD118" s="50" t="str">
        <f>MID(VLOOKUP($A118,Seqs!$A:$B,2,FALSE),VLOOKUP($A118,'SegEnds_NonXtal_Prot#'!$A:$AL,22,FALSE)+9,1)</f>
        <v>V</v>
      </c>
      <c r="AE118" s="50" t="str">
        <f>MID(VLOOKUP($A118,Seqs!$A:$B,2,FALSE),VLOOKUP($A118,'SegEnds_NonXtal_Prot#'!$A:$AL,22,FALSE)+10,1)</f>
        <v>P</v>
      </c>
      <c r="AF118" s="28" t="str">
        <f>MID(VLOOKUP($A118,Seqs!$A:$B,2,FALSE),VLOOKUP($A118,'SegEnds_NonXtal_Prot#'!$A:$AL,28,FALSE)-4,1)</f>
        <v>Y</v>
      </c>
      <c r="AG118" s="50" t="str">
        <f>MID(VLOOKUP($A118,Seqs!$A:$B,2,FALSE),VLOOKUP($A118,'SegEnds_NonXtal_Prot#'!$A:$AL,28,FALSE),1)</f>
        <v>P</v>
      </c>
    </row>
    <row r="119" spans="1:33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F119" s="2" t="s">
        <v>5</v>
      </c>
      <c r="G119" s="4"/>
      <c r="Q119" s="2" t="s">
        <v>9</v>
      </c>
      <c r="S119" s="4" t="s">
        <v>12</v>
      </c>
      <c r="U119" s="28" t="str">
        <f>MID(VLOOKUP($A119,Seqs!$A:$B,2,FALSE),VLOOKUP($A119,'SegEnds_NonXtal_Prot#'!A:AL,10,FALSE),1)</f>
        <v>D</v>
      </c>
      <c r="V119" s="50" t="str">
        <f>MID(VLOOKUP($A119,Seqs!$A:$B,2,FALSE),VLOOKUP($A119,'SegEnds_NonXtal_Prot#'!A:AL,10,FALSE)+6,1)</f>
        <v>S</v>
      </c>
      <c r="W119" s="50" t="str">
        <f>MID(VLOOKUP($A119,Seqs!$A:$B,2,FALSE),VLOOKUP($A119,'SegEnds_NonXtal_Prot#'!A:AL,10,FALSE)+7,1)</f>
        <v>I</v>
      </c>
      <c r="X119" s="50" t="str">
        <f>MID(VLOOKUP($A119,Seqs!$A:$B,2,FALSE),VLOOKUP($A119,'SegEnds_NonXtal_Prot#'!A:AL,10,FALSE)+8,1)</f>
        <v>M</v>
      </c>
      <c r="Y119" s="50" t="str">
        <f>MID(VLOOKUP($A119,Seqs!$A:$B,2,FALSE),VLOOKUP($A119,'SegEnds_NonXtal_Prot#'!A:AL,10,FALSE)+9,1)</f>
        <v>P</v>
      </c>
      <c r="Z119" s="50" t="str">
        <f>MID(VLOOKUP($A119,Seqs!$A:$B,2,FALSE),VLOOKUP($A119,'SegEnds_NonXtal_Prot#'!A:AL,10,FALSE)+10,1)</f>
        <v>L</v>
      </c>
      <c r="AA119" s="28" t="str">
        <f>MID(VLOOKUP($A119,Seqs!$A:$B,2,FALSE),VLOOKUP($A119,'SegEnds_NonXtal_Prot#'!$A:$AL,22,FALSE)+6,1)</f>
        <v>L</v>
      </c>
      <c r="AB119" s="50" t="str">
        <f>MID(VLOOKUP($A119,Seqs!$A:$B,2,FALSE),VLOOKUP($A119,'SegEnds_NonXtal_Prot#'!$A:$AL,22,FALSE)+7,1)</f>
        <v>G</v>
      </c>
      <c r="AC119" s="50" t="str">
        <f>MID(VLOOKUP($A119,Seqs!$A:$B,2,FALSE),VLOOKUP($A119,'SegEnds_NonXtal_Prot#'!$A:$AL,22,FALSE)+8,1)</f>
        <v>A</v>
      </c>
      <c r="AD119" s="50" t="str">
        <f>MID(VLOOKUP($A119,Seqs!$A:$B,2,FALSE),VLOOKUP($A119,'SegEnds_NonXtal_Prot#'!$A:$AL,22,FALSE)+9,1)</f>
        <v>L</v>
      </c>
      <c r="AE119" s="50" t="str">
        <f>MID(VLOOKUP($A119,Seqs!$A:$B,2,FALSE),VLOOKUP($A119,'SegEnds_NonXtal_Prot#'!$A:$AL,22,FALSE)+10,1)</f>
        <v>S</v>
      </c>
      <c r="AF119" s="28" t="str">
        <f>MID(VLOOKUP($A119,Seqs!$A:$B,2,FALSE),VLOOKUP($A119,'SegEnds_NonXtal_Prot#'!$A:$AL,28,FALSE)-4,1)</f>
        <v>A</v>
      </c>
      <c r="AG119" s="50" t="str">
        <f>MID(VLOOKUP($A119,Seqs!$A:$B,2,FALSE),VLOOKUP($A119,'SegEnds_NonXtal_Prot#'!$A:$AL,28,FALSE),1)</f>
        <v>P</v>
      </c>
    </row>
    <row r="120" spans="1:33" s="2" customFormat="1" x14ac:dyDescent="0.2">
      <c r="A120" s="2" t="s">
        <v>266</v>
      </c>
      <c r="B120" s="2" t="str">
        <f>LOWER(VLOOKUP(A120,Xtal_Templ!A:B,2,FALSE))</f>
        <v>adrb2_human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F120" s="2" t="s">
        <v>5</v>
      </c>
      <c r="G120" s="4"/>
      <c r="S120" s="4" t="s">
        <v>12</v>
      </c>
      <c r="U120" s="28" t="str">
        <f>MID(VLOOKUP($A120,Seqs!$A:$B,2,FALSE),VLOOKUP($A120,'SegEnds_NonXtal_Prot#'!A:AL,10,FALSE),1)</f>
        <v>D</v>
      </c>
      <c r="V120" s="50" t="str">
        <f>MID(VLOOKUP($A120,Seqs!$A:$B,2,FALSE),VLOOKUP($A120,'SegEnds_NonXtal_Prot#'!A:AL,10,FALSE)+6,1)</f>
        <v>V</v>
      </c>
      <c r="W120" s="50" t="str">
        <f>MID(VLOOKUP($A120,Seqs!$A:$B,2,FALSE),VLOOKUP($A120,'SegEnds_NonXtal_Prot#'!A:AL,10,FALSE)+7,1)</f>
        <v>T</v>
      </c>
      <c r="X120" s="50" t="str">
        <f>MID(VLOOKUP($A120,Seqs!$A:$B,2,FALSE),VLOOKUP($A120,'SegEnds_NonXtal_Prot#'!A:AL,10,FALSE)+8,1)</f>
        <v>A</v>
      </c>
      <c r="Y120" s="50" t="str">
        <f>MID(VLOOKUP($A120,Seqs!$A:$B,2,FALSE),VLOOKUP($A120,'SegEnds_NonXtal_Prot#'!A:AL,10,FALSE)+9,1)</f>
        <v>P</v>
      </c>
      <c r="Z120" s="50" t="str">
        <f>MID(VLOOKUP($A120,Seqs!$A:$B,2,FALSE),VLOOKUP($A120,'SegEnds_NonXtal_Prot#'!A:AL,10,FALSE)+10,1)</f>
        <v>M</v>
      </c>
      <c r="AA120" s="28" t="str">
        <f>MID(VLOOKUP($A120,Seqs!$A:$B,2,FALSE),VLOOKUP($A120,'SegEnds_NonXtal_Prot#'!$A:$AL,22,FALSE)+6,1)</f>
        <v>L</v>
      </c>
      <c r="AB120" s="50" t="str">
        <f>MID(VLOOKUP($A120,Seqs!$A:$B,2,FALSE),VLOOKUP($A120,'SegEnds_NonXtal_Prot#'!$A:$AL,22,FALSE)+7,1)</f>
        <v>A</v>
      </c>
      <c r="AC120" s="50" t="str">
        <f>MID(VLOOKUP($A120,Seqs!$A:$B,2,FALSE),VLOOKUP($A120,'SegEnds_NonXtal_Prot#'!$A:$AL,22,FALSE)+8,1)</f>
        <v>T</v>
      </c>
      <c r="AD120" s="50" t="str">
        <f>MID(VLOOKUP($A120,Seqs!$A:$B,2,FALSE),VLOOKUP($A120,'SegEnds_NonXtal_Prot#'!$A:$AL,22,FALSE)+9,1)</f>
        <v>L</v>
      </c>
      <c r="AE120" s="50" t="str">
        <f>MID(VLOOKUP($A120,Seqs!$A:$B,2,FALSE),VLOOKUP($A120,'SegEnds_NonXtal_Prot#'!$A:$AL,22,FALSE)+10,1)</f>
        <v>A</v>
      </c>
      <c r="AF120" s="28" t="str">
        <f>MID(VLOOKUP($A120,Seqs!$A:$B,2,FALSE),VLOOKUP($A120,'SegEnds_NonXtal_Prot#'!$A:$AL,28,FALSE)-4,1)</f>
        <v>D</v>
      </c>
      <c r="AG120" s="50" t="str">
        <f>MID(VLOOKUP($A120,Seqs!$A:$B,2,FALSE),VLOOKUP($A120,'SegEnds_NonXtal_Prot#'!$A:$AL,28,FALSE),1)</f>
        <v>C</v>
      </c>
    </row>
    <row r="121" spans="1:33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F121" s="2" t="s">
        <v>5</v>
      </c>
      <c r="G121" s="4"/>
      <c r="Q121" s="2" t="s">
        <v>9</v>
      </c>
      <c r="S121" s="4" t="s">
        <v>12</v>
      </c>
      <c r="U121" s="28" t="str">
        <f>MID(VLOOKUP($A121,Seqs!$A:$B,2,FALSE),VLOOKUP($A121,'SegEnds_NonXtal_Prot#'!A:AL,10,FALSE),1)</f>
        <v>D</v>
      </c>
      <c r="V121" s="50" t="str">
        <f>MID(VLOOKUP($A121,Seqs!$A:$B,2,FALSE),VLOOKUP($A121,'SegEnds_NonXtal_Prot#'!A:AL,10,FALSE)+6,1)</f>
        <v>L</v>
      </c>
      <c r="W121" s="50" t="str">
        <f>MID(VLOOKUP($A121,Seqs!$A:$B,2,FALSE),VLOOKUP($A121,'SegEnds_NonXtal_Prot#'!A:AL,10,FALSE)+7,1)</f>
        <v>W</v>
      </c>
      <c r="X121" s="50" t="str">
        <f>MID(VLOOKUP($A121,Seqs!$A:$B,2,FALSE),VLOOKUP($A121,'SegEnds_NonXtal_Prot#'!A:AL,10,FALSE)+8,1)</f>
        <v>M</v>
      </c>
      <c r="Y121" s="50" t="str">
        <f>MID(VLOOKUP($A121,Seqs!$A:$B,2,FALSE),VLOOKUP($A121,'SegEnds_NonXtal_Prot#'!A:AL,10,FALSE)+9,1)</f>
        <v>P</v>
      </c>
      <c r="Z121" s="50" t="str">
        <f>MID(VLOOKUP($A121,Seqs!$A:$B,2,FALSE),VLOOKUP($A121,'SegEnds_NonXtal_Prot#'!A:AL,10,FALSE)+10,1)</f>
        <v>Q</v>
      </c>
      <c r="AA121" s="28" t="str">
        <f>MID(VLOOKUP($A121,Seqs!$A:$B,2,FALSE),VLOOKUP($A121,'SegEnds_NonXtal_Prot#'!$A:$AL,22,FALSE)+6,1)</f>
        <v>L</v>
      </c>
      <c r="AB121" s="50" t="str">
        <f>MID(VLOOKUP($A121,Seqs!$A:$B,2,FALSE),VLOOKUP($A121,'SegEnds_NonXtal_Prot#'!$A:$AL,22,FALSE)+7,1)</f>
        <v>V</v>
      </c>
      <c r="AC121" s="50" t="str">
        <f>MID(VLOOKUP($A121,Seqs!$A:$B,2,FALSE),VLOOKUP($A121,'SegEnds_NonXtal_Prot#'!$A:$AL,22,FALSE)+8,1)</f>
        <v>L</v>
      </c>
      <c r="AD121" s="50" t="str">
        <f>MID(VLOOKUP($A121,Seqs!$A:$B,2,FALSE),VLOOKUP($A121,'SegEnds_NonXtal_Prot#'!$A:$AL,22,FALSE)+9,1)</f>
        <v>L</v>
      </c>
      <c r="AE121" s="50" t="str">
        <f>MID(VLOOKUP($A121,Seqs!$A:$B,2,FALSE),VLOOKUP($A121,'SegEnds_NonXtal_Prot#'!$A:$AL,22,FALSE)+10,1)</f>
        <v>L</v>
      </c>
      <c r="AF121" s="28" t="str">
        <f>MID(VLOOKUP($A121,Seqs!$A:$B,2,FALSE),VLOOKUP($A121,'SegEnds_NonXtal_Prot#'!$A:$AL,28,FALSE)-4,1)</f>
        <v>L</v>
      </c>
      <c r="AG121" s="50" t="str">
        <f>MID(VLOOKUP($A121,Seqs!$A:$B,2,FALSE),VLOOKUP($A121,'SegEnds_NonXtal_Prot#'!$A:$AL,28,FALSE),1)</f>
        <v>P</v>
      </c>
    </row>
    <row r="122" spans="1:33" s="2" customFormat="1" x14ac:dyDescent="0.2">
      <c r="A122" s="2" t="s">
        <v>366</v>
      </c>
      <c r="B122" s="2" t="str">
        <f>LOWER(VLOOKUP(A122,Xtal_Templ!A:B,2,FALSE))</f>
        <v>agtr2_human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F122" s="2" t="s">
        <v>5</v>
      </c>
      <c r="G122" s="4"/>
      <c r="S122" s="4" t="s">
        <v>12</v>
      </c>
      <c r="U122" s="28" t="str">
        <f>MID(VLOOKUP($A122,Seqs!$A:$B,2,FALSE),VLOOKUP($A122,'SegEnds_NonXtal_Prot#'!A:AL,10,FALSE),1)</f>
        <v>D</v>
      </c>
      <c r="V122" s="50" t="str">
        <f>MID(VLOOKUP($A122,Seqs!$A:$B,2,FALSE),VLOOKUP($A122,'SegEnds_NonXtal_Prot#'!A:AL,10,FALSE)+6,1)</f>
        <v>F</v>
      </c>
      <c r="W122" s="50" t="str">
        <f>MID(VLOOKUP($A122,Seqs!$A:$B,2,FALSE),VLOOKUP($A122,'SegEnds_NonXtal_Prot#'!A:AL,10,FALSE)+7,1)</f>
        <v>L</v>
      </c>
      <c r="X122" s="50" t="str">
        <f>MID(VLOOKUP($A122,Seqs!$A:$B,2,FALSE),VLOOKUP($A122,'SegEnds_NonXtal_Prot#'!A:AL,10,FALSE)+8,1)</f>
        <v>S</v>
      </c>
      <c r="Y122" s="50" t="str">
        <f>MID(VLOOKUP($A122,Seqs!$A:$B,2,FALSE),VLOOKUP($A122,'SegEnds_NonXtal_Prot#'!A:AL,10,FALSE)+9,1)</f>
        <v>P</v>
      </c>
      <c r="Z122" s="50" t="str">
        <f>MID(VLOOKUP($A122,Seqs!$A:$B,2,FALSE),VLOOKUP($A122,'SegEnds_NonXtal_Prot#'!A:AL,10,FALSE)+10,1)</f>
        <v>A</v>
      </c>
      <c r="AA122" s="28" t="str">
        <f>MID(VLOOKUP($A122,Seqs!$A:$B,2,FALSE),VLOOKUP($A122,'SegEnds_NonXtal_Prot#'!$A:$AL,22,FALSE)+6,1)</f>
        <v>F</v>
      </c>
      <c r="AB122" s="50" t="str">
        <f>MID(VLOOKUP($A122,Seqs!$A:$B,2,FALSE),VLOOKUP($A122,'SegEnds_NonXtal_Prot#'!$A:$AL,22,FALSE)+7,1)</f>
        <v>C</v>
      </c>
      <c r="AC122" s="50" t="str">
        <f>MID(VLOOKUP($A122,Seqs!$A:$B,2,FALSE),VLOOKUP($A122,'SegEnds_NonXtal_Prot#'!$A:$AL,22,FALSE)+8,1)</f>
        <v>A</v>
      </c>
      <c r="AD122" s="50" t="str">
        <f>MID(VLOOKUP($A122,Seqs!$A:$B,2,FALSE),VLOOKUP($A122,'SegEnds_NonXtal_Prot#'!$A:$AL,22,FALSE)+9,1)</f>
        <v>L</v>
      </c>
      <c r="AE122" s="50" t="str">
        <f>MID(VLOOKUP($A122,Seqs!$A:$B,2,FALSE),VLOOKUP($A122,'SegEnds_NonXtal_Prot#'!$A:$AL,22,FALSE)+10,1)</f>
        <v>P</v>
      </c>
      <c r="AF122" s="28" t="str">
        <f>MID(VLOOKUP($A122,Seqs!$A:$B,2,FALSE),VLOOKUP($A122,'SegEnds_NonXtal_Prot#'!$A:$AL,28,FALSE)-4,1)</f>
        <v>A</v>
      </c>
      <c r="AG122" s="50" t="str">
        <f>MID(VLOOKUP($A122,Seqs!$A:$B,2,FALSE),VLOOKUP($A122,'SegEnds_NonXtal_Prot#'!$A:$AL,28,FALSE),1)</f>
        <v>A</v>
      </c>
    </row>
    <row r="123" spans="1:33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F123" s="2" t="s">
        <v>5</v>
      </c>
      <c r="G123" s="4"/>
      <c r="M123" s="2" t="s">
        <v>14</v>
      </c>
      <c r="Q123" s="2" t="s">
        <v>9</v>
      </c>
      <c r="S123" s="4" t="s">
        <v>12</v>
      </c>
      <c r="U123" s="28" t="str">
        <f>MID(VLOOKUP($A123,Seqs!$A:$B,2,FALSE),VLOOKUP($A123,'SegEnds_NonXtal_Prot#'!A:AL,10,FALSE),1)</f>
        <v>D</v>
      </c>
      <c r="V123" s="50" t="str">
        <f>MID(VLOOKUP($A123,Seqs!$A:$B,2,FALSE),VLOOKUP($A123,'SegEnds_NonXtal_Prot#'!A:AL,10,FALSE)+6,1)</f>
        <v>I</v>
      </c>
      <c r="W123" s="50" t="str">
        <f>MID(VLOOKUP($A123,Seqs!$A:$B,2,FALSE),VLOOKUP($A123,'SegEnds_NonXtal_Prot#'!A:AL,10,FALSE)+7,1)</f>
        <v>D</v>
      </c>
      <c r="X123" s="50" t="str">
        <f>MID(VLOOKUP($A123,Seqs!$A:$B,2,FALSE),VLOOKUP($A123,'SegEnds_NonXtal_Prot#'!A:AL,10,FALSE)+8,1)</f>
        <v>L</v>
      </c>
      <c r="Y123" s="50" t="str">
        <f>MID(VLOOKUP($A123,Seqs!$A:$B,2,FALSE),VLOOKUP($A123,'SegEnds_NonXtal_Prot#'!A:AL,10,FALSE)+9,1)</f>
        <v>P</v>
      </c>
      <c r="Z123" s="50" t="str">
        <f>MID(VLOOKUP($A123,Seqs!$A:$B,2,FALSE),VLOOKUP($A123,'SegEnds_NonXtal_Prot#'!A:AL,10,FALSE)+10,1)</f>
        <v>I</v>
      </c>
      <c r="AA123" s="28" t="str">
        <f>MID(VLOOKUP($A123,Seqs!$A:$B,2,FALSE),VLOOKUP($A123,'SegEnds_NonXtal_Prot#'!$A:$AL,22,FALSE)+6,1)</f>
        <v>L</v>
      </c>
      <c r="AB123" s="50" t="str">
        <f>MID(VLOOKUP($A123,Seqs!$A:$B,2,FALSE),VLOOKUP($A123,'SegEnds_NonXtal_Prot#'!$A:$AL,22,FALSE)+7,1)</f>
        <v>A</v>
      </c>
      <c r="AC123" s="50" t="str">
        <f>MID(VLOOKUP($A123,Seqs!$A:$B,2,FALSE),VLOOKUP($A123,'SegEnds_NonXtal_Prot#'!$A:$AL,22,FALSE)+8,1)</f>
        <v>I</v>
      </c>
      <c r="AD123" s="50" t="str">
        <f>MID(VLOOKUP($A123,Seqs!$A:$B,2,FALSE),VLOOKUP($A123,'SegEnds_NonXtal_Prot#'!$A:$AL,22,FALSE)+9,1)</f>
        <v>P</v>
      </c>
      <c r="AE123" s="50" t="str">
        <f>MID(VLOOKUP($A123,Seqs!$A:$B,2,FALSE),VLOOKUP($A123,'SegEnds_NonXtal_Prot#'!$A:$AL,22,FALSE)+10,1)</f>
        <v>E</v>
      </c>
      <c r="AF123" s="28" t="str">
        <f>MID(VLOOKUP($A123,Seqs!$A:$B,2,FALSE),VLOOKUP($A123,'SegEnds_NonXtal_Prot#'!$A:$AL,28,FALSE)-4,1)</f>
        <v>Y</v>
      </c>
      <c r="AG123" s="50" t="str">
        <f>MID(VLOOKUP($A123,Seqs!$A:$B,2,FALSE),VLOOKUP($A123,'SegEnds_NonXtal_Prot#'!$A:$AL,28,FALSE),1)</f>
        <v>P</v>
      </c>
    </row>
    <row r="124" spans="1:33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F124" s="2" t="s">
        <v>5</v>
      </c>
      <c r="G124" s="4"/>
      <c r="M124" s="2" t="s">
        <v>14</v>
      </c>
      <c r="Q124" s="2" t="s">
        <v>9</v>
      </c>
      <c r="S124" s="4" t="s">
        <v>12</v>
      </c>
      <c r="U124" s="28" t="str">
        <f>MID(VLOOKUP($A124,Seqs!$A:$B,2,FALSE),VLOOKUP($A124,'SegEnds_NonXtal_Prot#'!A:AL,10,FALSE),1)</f>
        <v>D</v>
      </c>
      <c r="V124" s="50" t="str">
        <f>MID(VLOOKUP($A124,Seqs!$A:$B,2,FALSE),VLOOKUP($A124,'SegEnds_NonXtal_Prot#'!A:AL,10,FALSE)+6,1)</f>
        <v>I</v>
      </c>
      <c r="W124" s="50" t="str">
        <f>MID(VLOOKUP($A124,Seqs!$A:$B,2,FALSE),VLOOKUP($A124,'SegEnds_NonXtal_Prot#'!A:AL,10,FALSE)+7,1)</f>
        <v>D</v>
      </c>
      <c r="X124" s="50" t="str">
        <f>MID(VLOOKUP($A124,Seqs!$A:$B,2,FALSE),VLOOKUP($A124,'SegEnds_NonXtal_Prot#'!A:AL,10,FALSE)+8,1)</f>
        <v>I</v>
      </c>
      <c r="Y124" s="50" t="str">
        <f>MID(VLOOKUP($A124,Seqs!$A:$B,2,FALSE),VLOOKUP($A124,'SegEnds_NonXtal_Prot#'!A:AL,10,FALSE)+9,1)</f>
        <v>P</v>
      </c>
      <c r="Z124" s="50" t="str">
        <f>MID(VLOOKUP($A124,Seqs!$A:$B,2,FALSE),VLOOKUP($A124,'SegEnds_NonXtal_Prot#'!A:AL,10,FALSE)+10,1)</f>
        <v>I</v>
      </c>
      <c r="AA124" s="28" t="str">
        <f>MID(VLOOKUP($A124,Seqs!$A:$B,2,FALSE),VLOOKUP($A124,'SegEnds_NonXtal_Prot#'!$A:$AL,22,FALSE)+6,1)</f>
        <v>L</v>
      </c>
      <c r="AB124" s="50" t="str">
        <f>MID(VLOOKUP($A124,Seqs!$A:$B,2,FALSE),VLOOKUP($A124,'SegEnds_NonXtal_Prot#'!$A:$AL,22,FALSE)+7,1)</f>
        <v>A</v>
      </c>
      <c r="AC124" s="50" t="str">
        <f>MID(VLOOKUP($A124,Seqs!$A:$B,2,FALSE),VLOOKUP($A124,'SegEnds_NonXtal_Prot#'!$A:$AL,22,FALSE)+8,1)</f>
        <v>V</v>
      </c>
      <c r="AD124" s="50" t="str">
        <f>MID(VLOOKUP($A124,Seqs!$A:$B,2,FALSE),VLOOKUP($A124,'SegEnds_NonXtal_Prot#'!$A:$AL,22,FALSE)+9,1)</f>
        <v>P</v>
      </c>
      <c r="AE124" s="50" t="str">
        <f>MID(VLOOKUP($A124,Seqs!$A:$B,2,FALSE),VLOOKUP($A124,'SegEnds_NonXtal_Prot#'!$A:$AL,22,FALSE)+10,1)</f>
        <v>E</v>
      </c>
      <c r="AF124" s="28" t="str">
        <f>MID(VLOOKUP($A124,Seqs!$A:$B,2,FALSE),VLOOKUP($A124,'SegEnds_NonXtal_Prot#'!$A:$AL,28,FALSE)-4,1)</f>
        <v>Y</v>
      </c>
      <c r="AG124" s="50" t="str">
        <f>MID(VLOOKUP($A124,Seqs!$A:$B,2,FALSE),VLOOKUP($A124,'SegEnds_NonXtal_Prot#'!$A:$AL,28,FALSE),1)</f>
        <v>P</v>
      </c>
    </row>
    <row r="125" spans="1:33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F125" s="2" t="s">
        <v>5</v>
      </c>
      <c r="G125" s="4"/>
      <c r="M125" s="2" t="s">
        <v>14</v>
      </c>
      <c r="Q125" s="2" t="s">
        <v>9</v>
      </c>
      <c r="S125" s="4" t="s">
        <v>12</v>
      </c>
      <c r="U125" s="28" t="str">
        <f>MID(VLOOKUP($A125,Seqs!$A:$B,2,FALSE),VLOOKUP($A125,'SegEnds_NonXtal_Prot#'!A:AL,10,FALSE),1)</f>
        <v>D</v>
      </c>
      <c r="V125" s="50" t="str">
        <f>MID(VLOOKUP($A125,Seqs!$A:$B,2,FALSE),VLOOKUP($A125,'SegEnds_NonXtal_Prot#'!A:AL,10,FALSE)+6,1)</f>
        <v>F</v>
      </c>
      <c r="W125" s="50" t="str">
        <f>MID(VLOOKUP($A125,Seqs!$A:$B,2,FALSE),VLOOKUP($A125,'SegEnds_NonXtal_Prot#'!A:AL,10,FALSE)+7,1)</f>
        <v>C</v>
      </c>
      <c r="X125" s="50" t="str">
        <f>MID(VLOOKUP($A125,Seqs!$A:$B,2,FALSE),VLOOKUP($A125,'SegEnds_NonXtal_Prot#'!A:AL,10,FALSE)+8,1)</f>
        <v>L</v>
      </c>
      <c r="Y125" s="50" t="str">
        <f>MID(VLOOKUP($A125,Seqs!$A:$B,2,FALSE),VLOOKUP($A125,'SegEnds_NonXtal_Prot#'!A:AL,10,FALSE)+9,1)</f>
        <v>P</v>
      </c>
      <c r="Z125" s="50" t="str">
        <f>MID(VLOOKUP($A125,Seqs!$A:$B,2,FALSE),VLOOKUP($A125,'SegEnds_NonXtal_Prot#'!A:AL,10,FALSE)+10,1)</f>
        <v>I</v>
      </c>
      <c r="AA125" s="28" t="str">
        <f>MID(VLOOKUP($A125,Seqs!$A:$B,2,FALSE),VLOOKUP($A125,'SegEnds_NonXtal_Prot#'!$A:$AL,22,FALSE)+6,1)</f>
        <v>L</v>
      </c>
      <c r="AB125" s="50" t="str">
        <f>MID(VLOOKUP($A125,Seqs!$A:$B,2,FALSE),VLOOKUP($A125,'SegEnds_NonXtal_Prot#'!$A:$AL,22,FALSE)+7,1)</f>
        <v>A</v>
      </c>
      <c r="AC125" s="50" t="str">
        <f>MID(VLOOKUP($A125,Seqs!$A:$B,2,FALSE),VLOOKUP($A125,'SegEnds_NonXtal_Prot#'!$A:$AL,22,FALSE)+8,1)</f>
        <v>V</v>
      </c>
      <c r="AD125" s="50" t="str">
        <f>MID(VLOOKUP($A125,Seqs!$A:$B,2,FALSE),VLOOKUP($A125,'SegEnds_NonXtal_Prot#'!$A:$AL,22,FALSE)+9,1)</f>
        <v>P</v>
      </c>
      <c r="AE125" s="50" t="str">
        <f>MID(VLOOKUP($A125,Seqs!$A:$B,2,FALSE),VLOOKUP($A125,'SegEnds_NonXtal_Prot#'!$A:$AL,22,FALSE)+10,1)</f>
        <v>E</v>
      </c>
      <c r="AF125" s="28" t="str">
        <f>MID(VLOOKUP($A125,Seqs!$A:$B,2,FALSE),VLOOKUP($A125,'SegEnds_NonXtal_Prot#'!$A:$AL,28,FALSE)-4,1)</f>
        <v>Y</v>
      </c>
      <c r="AG125" s="50" t="str">
        <f>MID(VLOOKUP($A125,Seqs!$A:$B,2,FALSE),VLOOKUP($A125,'SegEnds_NonXtal_Prot#'!$A:$AL,28,FALSE),1)</f>
        <v>P</v>
      </c>
    </row>
    <row r="126" spans="1:33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F126" s="2" t="s">
        <v>5</v>
      </c>
      <c r="G126" s="4"/>
      <c r="M126" s="2" t="s">
        <v>14</v>
      </c>
      <c r="Q126" s="2" t="s">
        <v>9</v>
      </c>
      <c r="S126" s="4" t="s">
        <v>12</v>
      </c>
      <c r="U126" s="28" t="str">
        <f>MID(VLOOKUP($A126,Seqs!$A:$B,2,FALSE),VLOOKUP($A126,'SegEnds_NonXtal_Prot#'!A:AL,10,FALSE),1)</f>
        <v>D</v>
      </c>
      <c r="V126" s="50" t="str">
        <f>MID(VLOOKUP($A126,Seqs!$A:$B,2,FALSE),VLOOKUP($A126,'SegEnds_NonXtal_Prot#'!A:AL,10,FALSE)+6,1)</f>
        <v>F</v>
      </c>
      <c r="W126" s="50" t="str">
        <f>MID(VLOOKUP($A126,Seqs!$A:$B,2,FALSE),VLOOKUP($A126,'SegEnds_NonXtal_Prot#'!A:AL,10,FALSE)+7,1)</f>
        <v>C</v>
      </c>
      <c r="X126" s="50" t="str">
        <f>MID(VLOOKUP($A126,Seqs!$A:$B,2,FALSE),VLOOKUP($A126,'SegEnds_NonXtal_Prot#'!A:AL,10,FALSE)+8,1)</f>
        <v>L</v>
      </c>
      <c r="Y126" s="50" t="str">
        <f>MID(VLOOKUP($A126,Seqs!$A:$B,2,FALSE),VLOOKUP($A126,'SegEnds_NonXtal_Prot#'!A:AL,10,FALSE)+9,1)</f>
        <v>P</v>
      </c>
      <c r="Z126" s="50" t="str">
        <f>MID(VLOOKUP($A126,Seqs!$A:$B,2,FALSE),VLOOKUP($A126,'SegEnds_NonXtal_Prot#'!A:AL,10,FALSE)+10,1)</f>
        <v>L</v>
      </c>
      <c r="AA126" s="28" t="str">
        <f>MID(VLOOKUP($A126,Seqs!$A:$B,2,FALSE),VLOOKUP($A126,'SegEnds_NonXtal_Prot#'!$A:$AL,22,FALSE)+6,1)</f>
        <v>L</v>
      </c>
      <c r="AB126" s="50" t="str">
        <f>MID(VLOOKUP($A126,Seqs!$A:$B,2,FALSE),VLOOKUP($A126,'SegEnds_NonXtal_Prot#'!$A:$AL,22,FALSE)+7,1)</f>
        <v>A</v>
      </c>
      <c r="AC126" s="50" t="str">
        <f>MID(VLOOKUP($A126,Seqs!$A:$B,2,FALSE),VLOOKUP($A126,'SegEnds_NonXtal_Prot#'!$A:$AL,22,FALSE)+8,1)</f>
        <v>L</v>
      </c>
      <c r="AD126" s="50" t="str">
        <f>MID(VLOOKUP($A126,Seqs!$A:$B,2,FALSE),VLOOKUP($A126,'SegEnds_NonXtal_Prot#'!$A:$AL,22,FALSE)+9,1)</f>
        <v>P</v>
      </c>
      <c r="AE126" s="50" t="str">
        <f>MID(VLOOKUP($A126,Seqs!$A:$B,2,FALSE),VLOOKUP($A126,'SegEnds_NonXtal_Prot#'!$A:$AL,22,FALSE)+10,1)</f>
        <v>E</v>
      </c>
      <c r="AF126" s="28" t="str">
        <f>MID(VLOOKUP($A126,Seqs!$A:$B,2,FALSE),VLOOKUP($A126,'SegEnds_NonXtal_Prot#'!$A:$AL,28,FALSE)-4,1)</f>
        <v>Y</v>
      </c>
      <c r="AG126" s="50" t="str">
        <f>MID(VLOOKUP($A126,Seqs!$A:$B,2,FALSE),VLOOKUP($A126,'SegEnds_NonXtal_Prot#'!$A:$AL,28,FALSE),1)</f>
        <v>P</v>
      </c>
    </row>
    <row r="127" spans="1:33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F127" s="2" t="s">
        <v>5</v>
      </c>
      <c r="G127" s="4"/>
      <c r="M127" s="2" t="s">
        <v>14</v>
      </c>
      <c r="S127" s="4" t="s">
        <v>12</v>
      </c>
      <c r="U127" s="28" t="str">
        <f>MID(VLOOKUP($A127,Seqs!$A:$B,2,FALSE),VLOOKUP($A127,'SegEnds_NonXtal_Prot#'!A:AL,10,FALSE),1)</f>
        <v>D</v>
      </c>
      <c r="V127" s="50" t="str">
        <f>MID(VLOOKUP($A127,Seqs!$A:$B,2,FALSE),VLOOKUP($A127,'SegEnds_NonXtal_Prot#'!A:AL,10,FALSE)+6,1)</f>
        <v>T</v>
      </c>
      <c r="W127" s="50" t="str">
        <f>MID(VLOOKUP($A127,Seqs!$A:$B,2,FALSE),VLOOKUP($A127,'SegEnds_NonXtal_Prot#'!A:AL,10,FALSE)+7,1)</f>
        <v>C</v>
      </c>
      <c r="X127" s="50" t="str">
        <f>MID(VLOOKUP($A127,Seqs!$A:$B,2,FALSE),VLOOKUP($A127,'SegEnds_NonXtal_Prot#'!A:AL,10,FALSE)+8,1)</f>
        <v>A</v>
      </c>
      <c r="Y127" s="50" t="str">
        <f>MID(VLOOKUP($A127,Seqs!$A:$B,2,FALSE),VLOOKUP($A127,'SegEnds_NonXtal_Prot#'!A:AL,10,FALSE)+9,1)</f>
        <v>P</v>
      </c>
      <c r="Z127" s="50" t="str">
        <f>MID(VLOOKUP($A127,Seqs!$A:$B,2,FALSE),VLOOKUP($A127,'SegEnds_NonXtal_Prot#'!A:AL,10,FALSE)+10,1)</f>
        <v>V</v>
      </c>
      <c r="AA127" s="28" t="str">
        <f>MID(VLOOKUP($A127,Seqs!$A:$B,2,FALSE),VLOOKUP($A127,'SegEnds_NonXtal_Prot#'!$A:$AL,22,FALSE)+6,1)</f>
        <v>L</v>
      </c>
      <c r="AB127" s="50" t="str">
        <f>MID(VLOOKUP($A127,Seqs!$A:$B,2,FALSE),VLOOKUP($A127,'SegEnds_NonXtal_Prot#'!$A:$AL,22,FALSE)+7,1)</f>
        <v>A</v>
      </c>
      <c r="AC127" s="50" t="str">
        <f>MID(VLOOKUP($A127,Seqs!$A:$B,2,FALSE),VLOOKUP($A127,'SegEnds_NonXtal_Prot#'!$A:$AL,22,FALSE)+8,1)</f>
        <v>I</v>
      </c>
      <c r="AD127" s="50" t="str">
        <f>MID(VLOOKUP($A127,Seqs!$A:$B,2,FALSE),VLOOKUP($A127,'SegEnds_NonXtal_Prot#'!$A:$AL,22,FALSE)+9,1)</f>
        <v>P</v>
      </c>
      <c r="AE127" s="50" t="str">
        <f>MID(VLOOKUP($A127,Seqs!$A:$B,2,FALSE),VLOOKUP($A127,'SegEnds_NonXtal_Prot#'!$A:$AL,22,FALSE)+10,1)</f>
        <v>E</v>
      </c>
      <c r="AF127" s="28" t="str">
        <f>MID(VLOOKUP($A127,Seqs!$A:$B,2,FALSE),VLOOKUP($A127,'SegEnds_NonXtal_Prot#'!$A:$AL,28,FALSE)-4,1)</f>
        <v>F</v>
      </c>
      <c r="AG127" s="50" t="str">
        <f>MID(VLOOKUP($A127,Seqs!$A:$B,2,FALSE),VLOOKUP($A127,'SegEnds_NonXtal_Prot#'!$A:$AL,28,FALSE),1)</f>
        <v>P</v>
      </c>
    </row>
    <row r="128" spans="1:33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F128" s="2" t="s">
        <v>5</v>
      </c>
      <c r="G128" s="4"/>
      <c r="M128" s="2" t="s">
        <v>14</v>
      </c>
      <c r="Q128" s="2" t="s">
        <v>9</v>
      </c>
      <c r="S128" s="4" t="s">
        <v>12</v>
      </c>
      <c r="U128" s="28" t="str">
        <f>MID(VLOOKUP($A128,Seqs!$A:$B,2,FALSE),VLOOKUP($A128,'SegEnds_NonXtal_Prot#'!A:AL,10,FALSE),1)</f>
        <v>D</v>
      </c>
      <c r="V128" s="50" t="str">
        <f>MID(VLOOKUP($A128,Seqs!$A:$B,2,FALSE),VLOOKUP($A128,'SegEnds_NonXtal_Prot#'!A:AL,10,FALSE)+6,1)</f>
        <v>T</v>
      </c>
      <c r="W128" s="50" t="str">
        <f>MID(VLOOKUP($A128,Seqs!$A:$B,2,FALSE),VLOOKUP($A128,'SegEnds_NonXtal_Prot#'!A:AL,10,FALSE)+7,1)</f>
        <v>C</v>
      </c>
      <c r="X128" s="50" t="str">
        <f>MID(VLOOKUP($A128,Seqs!$A:$B,2,FALSE),VLOOKUP($A128,'SegEnds_NonXtal_Prot#'!A:AL,10,FALSE)+8,1)</f>
        <v>V</v>
      </c>
      <c r="Y128" s="50" t="str">
        <f>MID(VLOOKUP($A128,Seqs!$A:$B,2,FALSE),VLOOKUP($A128,'SegEnds_NonXtal_Prot#'!A:AL,10,FALSE)+9,1)</f>
        <v>P</v>
      </c>
      <c r="Z128" s="50" t="str">
        <f>MID(VLOOKUP($A128,Seqs!$A:$B,2,FALSE),VLOOKUP($A128,'SegEnds_NonXtal_Prot#'!A:AL,10,FALSE)+10,1)</f>
        <v>V</v>
      </c>
      <c r="AA128" s="28" t="str">
        <f>MID(VLOOKUP($A128,Seqs!$A:$B,2,FALSE),VLOOKUP($A128,'SegEnds_NonXtal_Prot#'!$A:$AL,22,FALSE)+6,1)</f>
        <v>L</v>
      </c>
      <c r="AB128" s="50" t="str">
        <f>MID(VLOOKUP($A128,Seqs!$A:$B,2,FALSE),VLOOKUP($A128,'SegEnds_NonXtal_Prot#'!$A:$AL,22,FALSE)+7,1)</f>
        <v>A</v>
      </c>
      <c r="AC128" s="50" t="str">
        <f>MID(VLOOKUP($A128,Seqs!$A:$B,2,FALSE),VLOOKUP($A128,'SegEnds_NonXtal_Prot#'!$A:$AL,22,FALSE)+8,1)</f>
        <v>V</v>
      </c>
      <c r="AD128" s="50" t="str">
        <f>MID(VLOOKUP($A128,Seqs!$A:$B,2,FALSE),VLOOKUP($A128,'SegEnds_NonXtal_Prot#'!$A:$AL,22,FALSE)+9,1)</f>
        <v>P</v>
      </c>
      <c r="AE128" s="50" t="str">
        <f>MID(VLOOKUP($A128,Seqs!$A:$B,2,FALSE),VLOOKUP($A128,'SegEnds_NonXtal_Prot#'!$A:$AL,22,FALSE)+10,1)</f>
        <v>E</v>
      </c>
      <c r="AF128" s="28" t="str">
        <f>MID(VLOOKUP($A128,Seqs!$A:$B,2,FALSE),VLOOKUP($A128,'SegEnds_NonXtal_Prot#'!$A:$AL,28,FALSE)-4,1)</f>
        <v>Y</v>
      </c>
      <c r="AG128" s="50" t="str">
        <f>MID(VLOOKUP($A128,Seqs!$A:$B,2,FALSE),VLOOKUP($A128,'SegEnds_NonXtal_Prot#'!$A:$AL,28,FALSE),1)</f>
        <v>P</v>
      </c>
    </row>
    <row r="129" spans="1:33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G129" s="4"/>
      <c r="Q129" s="2" t="s">
        <v>9</v>
      </c>
      <c r="R129" s="2" t="s">
        <v>1328</v>
      </c>
      <c r="S129" s="4" t="s">
        <v>12</v>
      </c>
      <c r="U129" s="28" t="str">
        <f>MID(VLOOKUP($A129,Seqs!$A:$B,2,FALSE),VLOOKUP($A129,'SegEnds_NonXtal_Prot#'!A:AL,10,FALSE),1)</f>
        <v>D</v>
      </c>
      <c r="V129" s="50" t="str">
        <f>MID(VLOOKUP($A129,Seqs!$A:$B,2,FALSE),VLOOKUP($A129,'SegEnds_NonXtal_Prot#'!A:AL,10,FALSE)+6,1)</f>
        <v>S</v>
      </c>
      <c r="W129" s="50" t="str">
        <f>MID(VLOOKUP($A129,Seqs!$A:$B,2,FALSE),VLOOKUP($A129,'SegEnds_NonXtal_Prot#'!A:AL,10,FALSE)+7,1)</f>
        <v>L</v>
      </c>
      <c r="X129" s="50" t="str">
        <f>MID(VLOOKUP($A129,Seqs!$A:$B,2,FALSE),VLOOKUP($A129,'SegEnds_NonXtal_Prot#'!A:AL,10,FALSE)+8,1)</f>
        <v>P</v>
      </c>
      <c r="Y129" s="50" t="str">
        <f>MID(VLOOKUP($A129,Seqs!$A:$B,2,FALSE),VLOOKUP($A129,'SegEnds_NonXtal_Prot#'!A:AL,10,FALSE)+9,1)</f>
        <v>L</v>
      </c>
      <c r="Z129" s="50" t="str">
        <f>MID(VLOOKUP($A129,Seqs!$A:$B,2,FALSE),VLOOKUP($A129,'SegEnds_NonXtal_Prot#'!A:AL,10,FALSE)+10,1)</f>
        <v>K</v>
      </c>
      <c r="AA129" s="28" t="str">
        <f>MID(VLOOKUP($A129,Seqs!$A:$B,2,FALSE),VLOOKUP($A129,'SegEnds_NonXtal_Prot#'!$A:$AL,22,FALSE)+6,1)</f>
        <v>H</v>
      </c>
      <c r="AB129" s="50" t="str">
        <f>MID(VLOOKUP($A129,Seqs!$A:$B,2,FALSE),VLOOKUP($A129,'SegEnds_NonXtal_Prot#'!$A:$AL,22,FALSE)+7,1)</f>
        <v>L</v>
      </c>
      <c r="AC129" s="50" t="str">
        <f>MID(VLOOKUP($A129,Seqs!$A:$B,2,FALSE),VLOOKUP($A129,'SegEnds_NonXtal_Prot#'!$A:$AL,22,FALSE)+8,1)</f>
        <v>G</v>
      </c>
      <c r="AD129" s="50" t="str">
        <f>MID(VLOOKUP($A129,Seqs!$A:$B,2,FALSE),VLOOKUP($A129,'SegEnds_NonXtal_Prot#'!$A:$AL,22,FALSE)+9,1)</f>
        <v>L</v>
      </c>
      <c r="AE129" s="50" t="str">
        <f>MID(VLOOKUP($A129,Seqs!$A:$B,2,FALSE),VLOOKUP($A129,'SegEnds_NonXtal_Prot#'!$A:$AL,22,FALSE)+10,1)</f>
        <v>V</v>
      </c>
      <c r="AF129" s="28" t="str">
        <f>MID(VLOOKUP($A129,Seqs!$A:$B,2,FALSE),VLOOKUP($A129,'SegEnds_NonXtal_Prot#'!$A:$AL,28,FALSE)-4,1)</f>
        <v>L</v>
      </c>
      <c r="AG129" s="50" t="str">
        <f>MID(VLOOKUP($A129,Seqs!$A:$B,2,FALSE),VLOOKUP($A129,'SegEnds_NonXtal_Prot#'!$A:$AL,28,FALSE),1)</f>
        <v>P</v>
      </c>
    </row>
    <row r="130" spans="1:33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G130" s="4"/>
      <c r="Q130" s="2" t="s">
        <v>9</v>
      </c>
      <c r="R130" s="2" t="s">
        <v>1328</v>
      </c>
      <c r="S130" s="4" t="s">
        <v>12</v>
      </c>
      <c r="U130" s="28" t="str">
        <f>MID(VLOOKUP($A130,Seqs!$A:$B,2,FALSE),VLOOKUP($A130,'SegEnds_NonXtal_Prot#'!A:AL,10,FALSE),1)</f>
        <v>D</v>
      </c>
      <c r="V130" s="50" t="str">
        <f>MID(VLOOKUP($A130,Seqs!$A:$B,2,FALSE),VLOOKUP($A130,'SegEnds_NonXtal_Prot#'!A:AL,10,FALSE)+6,1)</f>
        <v>L</v>
      </c>
      <c r="W130" s="50" t="str">
        <f>MID(VLOOKUP($A130,Seqs!$A:$B,2,FALSE),VLOOKUP($A130,'SegEnds_NonXtal_Prot#'!A:AL,10,FALSE)+7,1)</f>
        <v>L</v>
      </c>
      <c r="X130" s="50" t="str">
        <f>MID(VLOOKUP($A130,Seqs!$A:$B,2,FALSE),VLOOKUP($A130,'SegEnds_NonXtal_Prot#'!A:AL,10,FALSE)+8,1)</f>
        <v>P</v>
      </c>
      <c r="Y130" s="50" t="str">
        <f>MID(VLOOKUP($A130,Seqs!$A:$B,2,FALSE),VLOOKUP($A130,'SegEnds_NonXtal_Prot#'!A:AL,10,FALSE)+9,1)</f>
        <v>F</v>
      </c>
      <c r="Z130" s="50" t="str">
        <f>MID(VLOOKUP($A130,Seqs!$A:$B,2,FALSE),VLOOKUP($A130,'SegEnds_NonXtal_Prot#'!A:AL,10,FALSE)+10,1)</f>
        <v>K</v>
      </c>
      <c r="AA130" s="28" t="str">
        <f>MID(VLOOKUP($A130,Seqs!$A:$B,2,FALSE),VLOOKUP($A130,'SegEnds_NonXtal_Prot#'!$A:$AL,22,FALSE)+6,1)</f>
        <v>H</v>
      </c>
      <c r="AB130" s="50" t="str">
        <f>MID(VLOOKUP($A130,Seqs!$A:$B,2,FALSE),VLOOKUP($A130,'SegEnds_NonXtal_Prot#'!$A:$AL,22,FALSE)+7,1)</f>
        <v>C</v>
      </c>
      <c r="AC130" s="50" t="str">
        <f>MID(VLOOKUP($A130,Seqs!$A:$B,2,FALSE),VLOOKUP($A130,'SegEnds_NonXtal_Prot#'!$A:$AL,22,FALSE)+8,1)</f>
        <v>T</v>
      </c>
      <c r="AD130" s="50" t="str">
        <f>MID(VLOOKUP($A130,Seqs!$A:$B,2,FALSE),VLOOKUP($A130,'SegEnds_NonXtal_Prot#'!$A:$AL,22,FALSE)+9,1)</f>
        <v>I</v>
      </c>
      <c r="AE130" s="50" t="str">
        <f>MID(VLOOKUP($A130,Seqs!$A:$B,2,FALSE),VLOOKUP($A130,'SegEnds_NonXtal_Prot#'!$A:$AL,22,FALSE)+10,1)</f>
        <v>V</v>
      </c>
      <c r="AF130" s="28" t="str">
        <f>MID(VLOOKUP($A130,Seqs!$A:$B,2,FALSE),VLOOKUP($A130,'SegEnds_NonXtal_Prot#'!$A:$AL,28,FALSE)-4,1)</f>
        <v>L</v>
      </c>
      <c r="AG130" s="50" t="str">
        <f>MID(VLOOKUP($A130,Seqs!$A:$B,2,FALSE),VLOOKUP($A130,'SegEnds_NonXtal_Prot#'!$A:$AL,28,FALSE),1)</f>
        <v>P</v>
      </c>
    </row>
    <row r="131" spans="1:33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F131" s="2" t="s">
        <v>5</v>
      </c>
      <c r="G131" s="4"/>
      <c r="Q131" s="2" t="s">
        <v>9</v>
      </c>
      <c r="S131" s="4" t="s">
        <v>12</v>
      </c>
      <c r="U131" s="28" t="str">
        <f>MID(VLOOKUP($A131,Seqs!$A:$B,2,FALSE),VLOOKUP($A131,'SegEnds_NonXtal_Prot#'!A:AL,10,FALSE),1)</f>
        <v>A</v>
      </c>
      <c r="V131" s="50" t="str">
        <f>MID(VLOOKUP($A131,Seqs!$A:$B,2,FALSE),VLOOKUP($A131,'SegEnds_NonXtal_Prot#'!A:AL,10,FALSE)+6,1)</f>
        <v>L</v>
      </c>
      <c r="W131" s="50" t="str">
        <f>MID(VLOOKUP($A131,Seqs!$A:$B,2,FALSE),VLOOKUP($A131,'SegEnds_NonXtal_Prot#'!A:AL,10,FALSE)+7,1)</f>
        <v>L</v>
      </c>
      <c r="X131" s="50" t="str">
        <f>MID(VLOOKUP($A131,Seqs!$A:$B,2,FALSE),VLOOKUP($A131,'SegEnds_NonXtal_Prot#'!A:AL,10,FALSE)+8,1)</f>
        <v>G</v>
      </c>
      <c r="Y131" s="50" t="str">
        <f>MID(VLOOKUP($A131,Seqs!$A:$B,2,FALSE),VLOOKUP($A131,'SegEnds_NonXtal_Prot#'!A:AL,10,FALSE)+9,1)</f>
        <v>P</v>
      </c>
      <c r="Z131" s="50" t="str">
        <f>MID(VLOOKUP($A131,Seqs!$A:$B,2,FALSE),VLOOKUP($A131,'SegEnds_NonXtal_Prot#'!A:AL,10,FALSE)+10,1)</f>
        <v>P</v>
      </c>
      <c r="AA131" s="28" t="str">
        <f>MID(VLOOKUP($A131,Seqs!$A:$B,2,FALSE),VLOOKUP($A131,'SegEnds_NonXtal_Prot#'!$A:$AL,22,FALSE)+6,1)</f>
        <v>T</v>
      </c>
      <c r="AB131" s="50" t="str">
        <f>MID(VLOOKUP($A131,Seqs!$A:$B,2,FALSE),VLOOKUP($A131,'SegEnds_NonXtal_Prot#'!$A:$AL,22,FALSE)+7,1)</f>
        <v>S</v>
      </c>
      <c r="AC131" s="50" t="str">
        <f>MID(VLOOKUP($A131,Seqs!$A:$B,2,FALSE),VLOOKUP($A131,'SegEnds_NonXtal_Prot#'!$A:$AL,22,FALSE)+8,1)</f>
        <v>F</v>
      </c>
      <c r="AD131" s="50" t="str">
        <f>MID(VLOOKUP($A131,Seqs!$A:$B,2,FALSE),VLOOKUP($A131,'SegEnds_NonXtal_Prot#'!$A:$AL,22,FALSE)+9,1)</f>
        <v>S</v>
      </c>
      <c r="AE131" s="50" t="str">
        <f>MID(VLOOKUP($A131,Seqs!$A:$B,2,FALSE),VLOOKUP($A131,'SegEnds_NonXtal_Prot#'!$A:$AL,22,FALSE)+10,1)</f>
        <v>S</v>
      </c>
      <c r="AF131" s="28" t="str">
        <f>MID(VLOOKUP($A131,Seqs!$A:$B,2,FALSE),VLOOKUP($A131,'SegEnds_NonXtal_Prot#'!$A:$AL,28,FALSE)-4,1)</f>
        <v>G</v>
      </c>
      <c r="AG131" s="50" t="str">
        <f>MID(VLOOKUP($A131,Seqs!$A:$B,2,FALSE),VLOOKUP($A131,'SegEnds_NonXtal_Prot#'!$A:$AL,28,FALSE),1)</f>
        <v>P</v>
      </c>
    </row>
    <row r="132" spans="1:33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G132" s="4"/>
      <c r="S132" s="4" t="s">
        <v>12</v>
      </c>
      <c r="U132" s="28" t="str">
        <f>MID(VLOOKUP($A132,Seqs!$A:$B,2,FALSE),VLOOKUP($A132,'SegEnds_NonXtal_Prot#'!A:AL,10,FALSE),1)</f>
        <v>D</v>
      </c>
      <c r="V132" s="50" t="str">
        <f>MID(VLOOKUP($A132,Seqs!$A:$B,2,FALSE),VLOOKUP($A132,'SegEnds_NonXtal_Prot#'!A:AL,10,FALSE)+6,1)</f>
        <v>N</v>
      </c>
      <c r="W132" s="50" t="str">
        <f>MID(VLOOKUP($A132,Seqs!$A:$B,2,FALSE),VLOOKUP($A132,'SegEnds_NonXtal_Prot#'!A:AL,10,FALSE)+7,1)</f>
        <v>I</v>
      </c>
      <c r="X132" s="50" t="str">
        <f>MID(VLOOKUP($A132,Seqs!$A:$B,2,FALSE),VLOOKUP($A132,'SegEnds_NonXtal_Prot#'!A:AL,10,FALSE)+8,1)</f>
        <v>S</v>
      </c>
      <c r="Y132" s="50" t="str">
        <f>MID(VLOOKUP($A132,Seqs!$A:$B,2,FALSE),VLOOKUP($A132,'SegEnds_NonXtal_Prot#'!A:AL,10,FALSE)+9,1)</f>
        <v>I</v>
      </c>
      <c r="Z132" s="50" t="str">
        <f>MID(VLOOKUP($A132,Seqs!$A:$B,2,FALSE),VLOOKUP($A132,'SegEnds_NonXtal_Prot#'!A:AL,10,FALSE)+10,1)</f>
        <v>I</v>
      </c>
      <c r="AA132" s="28" t="str">
        <f>MID(VLOOKUP($A132,Seqs!$A:$B,2,FALSE),VLOOKUP($A132,'SegEnds_NonXtal_Prot#'!$A:$AL,22,FALSE)+6,1)</f>
        <v>Y</v>
      </c>
      <c r="AB132" s="50" t="str">
        <f>MID(VLOOKUP($A132,Seqs!$A:$B,2,FALSE),VLOOKUP($A132,'SegEnds_NonXtal_Prot#'!$A:$AL,22,FALSE)+7,1)</f>
        <v>V</v>
      </c>
      <c r="AC132" s="50" t="str">
        <f>MID(VLOOKUP($A132,Seqs!$A:$B,2,FALSE),VLOOKUP($A132,'SegEnds_NonXtal_Prot#'!$A:$AL,22,FALSE)+8,1)</f>
        <v>L</v>
      </c>
      <c r="AD132" s="50" t="str">
        <f>MID(VLOOKUP($A132,Seqs!$A:$B,2,FALSE),VLOOKUP($A132,'SegEnds_NonXtal_Prot#'!$A:$AL,22,FALSE)+9,1)</f>
        <v>G</v>
      </c>
      <c r="AE132" s="50" t="str">
        <f>MID(VLOOKUP($A132,Seqs!$A:$B,2,FALSE),VLOOKUP($A132,'SegEnds_NonXtal_Prot#'!$A:$AL,22,FALSE)+10,1)</f>
        <v>D</v>
      </c>
      <c r="AF132" s="28" t="str">
        <f>MID(VLOOKUP($A132,Seqs!$A:$B,2,FALSE),VLOOKUP($A132,'SegEnds_NonXtal_Prot#'!$A:$AL,28,FALSE)-4,1)</f>
        <v>I</v>
      </c>
      <c r="AG132" s="50" t="str">
        <f>MID(VLOOKUP($A132,Seqs!$A:$B,2,FALSE),VLOOKUP($A132,'SegEnds_NonXtal_Prot#'!$A:$AL,28,FALSE),1)</f>
        <v>A</v>
      </c>
    </row>
    <row r="133" spans="1:33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F133" s="2" t="s">
        <v>5</v>
      </c>
      <c r="G133" s="4"/>
      <c r="S133" s="4" t="s">
        <v>12</v>
      </c>
      <c r="U133" s="28" t="str">
        <f>MID(VLOOKUP($A133,Seqs!$A:$B,2,FALSE),VLOOKUP($A133,'SegEnds_NonXtal_Prot#'!A:AL,10,FALSE),1)</f>
        <v>D</v>
      </c>
      <c r="V133" s="50" t="str">
        <f>MID(VLOOKUP($A133,Seqs!$A:$B,2,FALSE),VLOOKUP($A133,'SegEnds_NonXtal_Prot#'!A:AL,10,FALSE)+6,1)</f>
        <v>G</v>
      </c>
      <c r="W133" s="50" t="str">
        <f>MID(VLOOKUP($A133,Seqs!$A:$B,2,FALSE),VLOOKUP($A133,'SegEnds_NonXtal_Prot#'!A:AL,10,FALSE)+7,1)</f>
        <v>C</v>
      </c>
      <c r="X133" s="50" t="str">
        <f>MID(VLOOKUP($A133,Seqs!$A:$B,2,FALSE),VLOOKUP($A133,'SegEnds_NonXtal_Prot#'!A:AL,10,FALSE)+8,1)</f>
        <v>I</v>
      </c>
      <c r="Y133" s="50" t="str">
        <f>MID(VLOOKUP($A133,Seqs!$A:$B,2,FALSE),VLOOKUP($A133,'SegEnds_NonXtal_Prot#'!A:AL,10,FALSE)+9,1)</f>
        <v>P</v>
      </c>
      <c r="Z133" s="50" t="str">
        <f>MID(VLOOKUP($A133,Seqs!$A:$B,2,FALSE),VLOOKUP($A133,'SegEnds_NonXtal_Prot#'!A:AL,10,FALSE)+10,1)</f>
        <v>L</v>
      </c>
      <c r="AA133" s="28" t="str">
        <f>MID(VLOOKUP($A133,Seqs!$A:$B,2,FALSE),VLOOKUP($A133,'SegEnds_NonXtal_Prot#'!$A:$AL,22,FALSE)+6,1)</f>
        <v>S</v>
      </c>
      <c r="AB133" s="50" t="str">
        <f>MID(VLOOKUP($A133,Seqs!$A:$B,2,FALSE),VLOOKUP($A133,'SegEnds_NonXtal_Prot#'!$A:$AL,22,FALSE)+7,1)</f>
        <v>F</v>
      </c>
      <c r="AC133" s="50" t="str">
        <f>MID(VLOOKUP($A133,Seqs!$A:$B,2,FALSE),VLOOKUP($A133,'SegEnds_NonXtal_Prot#'!$A:$AL,22,FALSE)+8,1)</f>
        <v>L</v>
      </c>
      <c r="AD133" s="50" t="str">
        <f>MID(VLOOKUP($A133,Seqs!$A:$B,2,FALSE),VLOOKUP($A133,'SegEnds_NonXtal_Prot#'!$A:$AL,22,FALSE)+9,1)</f>
        <v>I</v>
      </c>
      <c r="AE133" s="50" t="str">
        <f>MID(VLOOKUP($A133,Seqs!$A:$B,2,FALSE),VLOOKUP($A133,'SegEnds_NonXtal_Prot#'!$A:$AL,22,FALSE)+10,1)</f>
        <v>P</v>
      </c>
      <c r="AF133" s="28" t="str">
        <f>MID(VLOOKUP($A133,Seqs!$A:$B,2,FALSE),VLOOKUP($A133,'SegEnds_NonXtal_Prot#'!$A:$AL,28,FALSE)-4,1)</f>
        <v>I</v>
      </c>
      <c r="AG133" s="50" t="str">
        <f>MID(VLOOKUP($A133,Seqs!$A:$B,2,FALSE),VLOOKUP($A133,'SegEnds_NonXtal_Prot#'!$A:$AL,28,FALSE),1)</f>
        <v>T</v>
      </c>
    </row>
    <row r="134" spans="1:33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F134" s="2" t="s">
        <v>5</v>
      </c>
      <c r="G134" s="4"/>
      <c r="K134" s="2" t="s">
        <v>20</v>
      </c>
      <c r="Q134" s="2" t="s">
        <v>9</v>
      </c>
      <c r="S134" s="4" t="s">
        <v>12</v>
      </c>
      <c r="U134" s="28" t="str">
        <f>MID(VLOOKUP($A134,Seqs!$A:$B,2,FALSE),VLOOKUP($A134,'SegEnds_NonXtal_Prot#'!A:AL,10,FALSE),1)</f>
        <v>D</v>
      </c>
      <c r="V134" s="50" t="str">
        <f>MID(VLOOKUP($A134,Seqs!$A:$B,2,FALSE),VLOOKUP($A134,'SegEnds_NonXtal_Prot#'!A:AL,10,FALSE)+6,1)</f>
        <v>V</v>
      </c>
      <c r="W134" s="50" t="str">
        <f>MID(VLOOKUP($A134,Seqs!$A:$B,2,FALSE),VLOOKUP($A134,'SegEnds_NonXtal_Prot#'!A:AL,10,FALSE)+7,1)</f>
        <v>V</v>
      </c>
      <c r="X134" s="50" t="str">
        <f>MID(VLOOKUP($A134,Seqs!$A:$B,2,FALSE),VLOOKUP($A134,'SegEnds_NonXtal_Prot#'!A:AL,10,FALSE)+8,1)</f>
        <v>M</v>
      </c>
      <c r="Y134" s="50" t="str">
        <f>MID(VLOOKUP($A134,Seqs!$A:$B,2,FALSE),VLOOKUP($A134,'SegEnds_NonXtal_Prot#'!A:AL,10,FALSE)+9,1)</f>
        <v>P</v>
      </c>
      <c r="Z134" s="50" t="str">
        <f>MID(VLOOKUP($A134,Seqs!$A:$B,2,FALSE),VLOOKUP($A134,'SegEnds_NonXtal_Prot#'!A:AL,10,FALSE)+10,1)</f>
        <v>M</v>
      </c>
      <c r="AA134" s="28" t="str">
        <f>MID(VLOOKUP($A134,Seqs!$A:$B,2,FALSE),VLOOKUP($A134,'SegEnds_NonXtal_Prot#'!$A:$AL,22,FALSE)+6,1)</f>
        <v>W</v>
      </c>
      <c r="AB134" s="50" t="str">
        <f>MID(VLOOKUP($A134,Seqs!$A:$B,2,FALSE),VLOOKUP($A134,'SegEnds_NonXtal_Prot#'!$A:$AL,22,FALSE)+7,1)</f>
        <v>V</v>
      </c>
      <c r="AC134" s="50" t="str">
        <f>MID(VLOOKUP($A134,Seqs!$A:$B,2,FALSE),VLOOKUP($A134,'SegEnds_NonXtal_Prot#'!$A:$AL,22,FALSE)+8,1)</f>
        <v>I</v>
      </c>
      <c r="AD134" s="50" t="str">
        <f>MID(VLOOKUP($A134,Seqs!$A:$B,2,FALSE),VLOOKUP($A134,'SegEnds_NonXtal_Prot#'!$A:$AL,22,FALSE)+9,1)</f>
        <v>P</v>
      </c>
      <c r="AE134" s="50" t="str">
        <f>MID(VLOOKUP($A134,Seqs!$A:$B,2,FALSE),VLOOKUP($A134,'SegEnds_NonXtal_Prot#'!$A:$AL,22,FALSE)+10,1)</f>
        <v>I</v>
      </c>
      <c r="AF134" s="28" t="str">
        <f>MID(VLOOKUP($A134,Seqs!$A:$B,2,FALSE),VLOOKUP($A134,'SegEnds_NonXtal_Prot#'!$A:$AL,28,FALSE)-4,1)</f>
        <v>N</v>
      </c>
      <c r="AG134" s="50" t="str">
        <f>MID(VLOOKUP($A134,Seqs!$A:$B,2,FALSE),VLOOKUP($A134,'SegEnds_NonXtal_Prot#'!$A:$AL,28,FALSE),1)</f>
        <v>P</v>
      </c>
    </row>
    <row r="135" spans="1:33" s="2" customFormat="1" x14ac:dyDescent="0.2">
      <c r="A135" s="2" t="s">
        <v>249</v>
      </c>
      <c r="B135" s="2" t="str">
        <f>LOWER(VLOOKUP(A135,Xtal_Templ!A:B,2,FALSE))</f>
        <v>s1pr1_human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G135" s="4"/>
      <c r="S135" s="4" t="s">
        <v>12</v>
      </c>
      <c r="U135" s="28" t="str">
        <f>MID(VLOOKUP($A135,Seqs!$A:$B,2,FALSE),VLOOKUP($A135,'SegEnds_NonXtal_Prot#'!A:AL,10,FALSE),1)</f>
        <v>D</v>
      </c>
      <c r="V135" s="50" t="str">
        <f>MID(VLOOKUP($A135,Seqs!$A:$B,2,FALSE),VLOOKUP($A135,'SegEnds_NonXtal_Prot#'!A:AL,10,FALSE)+6,1)</f>
        <v>G</v>
      </c>
      <c r="W135" s="50" t="str">
        <f>MID(VLOOKUP($A135,Seqs!$A:$B,2,FALSE),VLOOKUP($A135,'SegEnds_NonXtal_Prot#'!A:AL,10,FALSE)+7,1)</f>
        <v>L</v>
      </c>
      <c r="X135" s="50" t="str">
        <f>MID(VLOOKUP($A135,Seqs!$A:$B,2,FALSE),VLOOKUP($A135,'SegEnds_NonXtal_Prot#'!A:AL,10,FALSE)+8,1)</f>
        <v>V</v>
      </c>
      <c r="Y135" s="50" t="str">
        <f>MID(VLOOKUP($A135,Seqs!$A:$B,2,FALSE),VLOOKUP($A135,'SegEnds_NonXtal_Prot#'!A:AL,10,FALSE)+9,1)</f>
        <v>L</v>
      </c>
      <c r="Z135" s="50" t="str">
        <f>MID(VLOOKUP($A135,Seqs!$A:$B,2,FALSE),VLOOKUP($A135,'SegEnds_NonXtal_Prot#'!A:AL,10,FALSE)+10,1)</f>
        <v>H</v>
      </c>
      <c r="AA135" s="28" t="str">
        <f>MID(VLOOKUP($A135,Seqs!$A:$B,2,FALSE),VLOOKUP($A135,'SegEnds_NonXtal_Prot#'!$A:$AL,22,FALSE)+6,1)</f>
        <v>L</v>
      </c>
      <c r="AB135" s="50" t="str">
        <f>MID(VLOOKUP($A135,Seqs!$A:$B,2,FALSE),VLOOKUP($A135,'SegEnds_NonXtal_Prot#'!$A:$AL,22,FALSE)+7,1)</f>
        <v>G</v>
      </c>
      <c r="AC135" s="50" t="str">
        <f>MID(VLOOKUP($A135,Seqs!$A:$B,2,FALSE),VLOOKUP($A135,'SegEnds_NonXtal_Prot#'!$A:$AL,22,FALSE)+8,1)</f>
        <v>L</v>
      </c>
      <c r="AD135" s="50" t="str">
        <f>MID(VLOOKUP($A135,Seqs!$A:$B,2,FALSE),VLOOKUP($A135,'SegEnds_NonXtal_Prot#'!$A:$AL,22,FALSE)+9,1)</f>
        <v>L</v>
      </c>
      <c r="AE135" s="50" t="str">
        <f>MID(VLOOKUP($A135,Seqs!$A:$B,2,FALSE),VLOOKUP($A135,'SegEnds_NonXtal_Prot#'!$A:$AL,22,FALSE)+10,1)</f>
        <v>P</v>
      </c>
      <c r="AF135" s="28" t="str">
        <f>MID(VLOOKUP($A135,Seqs!$A:$B,2,FALSE),VLOOKUP($A135,'SegEnds_NonXtal_Prot#'!$A:$AL,28,FALSE)-4,1)</f>
        <v>A</v>
      </c>
      <c r="AG135" s="50" t="str">
        <f>MID(VLOOKUP($A135,Seqs!$A:$B,2,FALSE),VLOOKUP($A135,'SegEnds_NonXtal_Prot#'!$A:$AL,28,FALSE),1)</f>
        <v>V</v>
      </c>
    </row>
    <row r="136" spans="1:33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G136" s="4"/>
      <c r="H136" s="2" t="s">
        <v>21</v>
      </c>
      <c r="S136" s="4" t="s">
        <v>12</v>
      </c>
      <c r="U136" s="28" t="str">
        <f>MID(VLOOKUP($A136,Seqs!$A:$B,2,FALSE),VLOOKUP($A136,'SegEnds_NonXtal_Prot#'!A:AL,10,FALSE),1)</f>
        <v>D</v>
      </c>
      <c r="V136" s="50" t="str">
        <f>MID(VLOOKUP($A136,Seqs!$A:$B,2,FALSE),VLOOKUP($A136,'SegEnds_NonXtal_Prot#'!A:AL,10,FALSE)+6,1)</f>
        <v>A</v>
      </c>
      <c r="W136" s="50" t="str">
        <f>MID(VLOOKUP($A136,Seqs!$A:$B,2,FALSE),VLOOKUP($A136,'SegEnds_NonXtal_Prot#'!A:AL,10,FALSE)+7,1)</f>
        <v>Y</v>
      </c>
      <c r="X136" s="50" t="str">
        <f>MID(VLOOKUP($A136,Seqs!$A:$B,2,FALSE),VLOOKUP($A136,'SegEnds_NonXtal_Prot#'!A:AL,10,FALSE)+8,1)</f>
        <v>F</v>
      </c>
      <c r="Y136" s="50" t="str">
        <f>MID(VLOOKUP($A136,Seqs!$A:$B,2,FALSE),VLOOKUP($A136,'SegEnds_NonXtal_Prot#'!A:AL,10,FALSE)+9,1)</f>
        <v>Y</v>
      </c>
      <c r="Z136" s="50" t="str">
        <f>MID(VLOOKUP($A136,Seqs!$A:$B,2,FALSE),VLOOKUP($A136,'SegEnds_NonXtal_Prot#'!A:AL,10,FALSE)+10,1)</f>
        <v>L</v>
      </c>
      <c r="AA136" s="28" t="str">
        <f>MID(VLOOKUP($A136,Seqs!$A:$B,2,FALSE),VLOOKUP($A136,'SegEnds_NonXtal_Prot#'!$A:$AL,22,FALSE)+6,1)</f>
        <v>M</v>
      </c>
      <c r="AB136" s="50" t="str">
        <f>MID(VLOOKUP($A136,Seqs!$A:$B,2,FALSE),VLOOKUP($A136,'SegEnds_NonXtal_Prot#'!$A:$AL,22,FALSE)+7,1)</f>
        <v>G</v>
      </c>
      <c r="AC136" s="50" t="str">
        <f>MID(VLOOKUP($A136,Seqs!$A:$B,2,FALSE),VLOOKUP($A136,'SegEnds_NonXtal_Prot#'!$A:$AL,22,FALSE)+8,1)</f>
        <v>A</v>
      </c>
      <c r="AD136" s="50" t="str">
        <f>MID(VLOOKUP($A136,Seqs!$A:$B,2,FALSE),VLOOKUP($A136,'SegEnds_NonXtal_Prot#'!$A:$AL,22,FALSE)+9,1)</f>
        <v>I</v>
      </c>
      <c r="AE136" s="50" t="str">
        <f>MID(VLOOKUP($A136,Seqs!$A:$B,2,FALSE),VLOOKUP($A136,'SegEnds_NonXtal_Prot#'!$A:$AL,22,FALSE)+10,1)</f>
        <v>P</v>
      </c>
      <c r="AF136" s="28" t="str">
        <f>MID(VLOOKUP($A136,Seqs!$A:$B,2,FALSE),VLOOKUP($A136,'SegEnds_NonXtal_Prot#'!$A:$AL,28,FALSE)-4,1)</f>
        <v>F</v>
      </c>
      <c r="AG136" s="50" t="str">
        <f>MID(VLOOKUP($A136,Seqs!$A:$B,2,FALSE),VLOOKUP($A136,'SegEnds_NonXtal_Prot#'!$A:$AL,28,FALSE),1)</f>
        <v>T</v>
      </c>
    </row>
    <row r="137" spans="1:33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G137" s="4"/>
      <c r="H137" s="2" t="s">
        <v>21</v>
      </c>
      <c r="S137" s="4" t="s">
        <v>12</v>
      </c>
      <c r="U137" s="28" t="str">
        <f>MID(VLOOKUP($A137,Seqs!$A:$B,2,FALSE),VLOOKUP($A137,'SegEnds_NonXtal_Prot#'!A:AL,10,FALSE),1)</f>
        <v>D</v>
      </c>
      <c r="V137" s="50" t="str">
        <f>MID(VLOOKUP($A137,Seqs!$A:$B,2,FALSE),VLOOKUP($A137,'SegEnds_NonXtal_Prot#'!A:AL,10,FALSE)+6,1)</f>
        <v>A</v>
      </c>
      <c r="W137" s="50" t="str">
        <f>MID(VLOOKUP($A137,Seqs!$A:$B,2,FALSE),VLOOKUP($A137,'SegEnds_NonXtal_Prot#'!A:AL,10,FALSE)+7,1)</f>
        <v>Y</v>
      </c>
      <c r="X137" s="50" t="str">
        <f>MID(VLOOKUP($A137,Seqs!$A:$B,2,FALSE),VLOOKUP($A137,'SegEnds_NonXtal_Prot#'!A:AL,10,FALSE)+8,1)</f>
        <v>L</v>
      </c>
      <c r="Y137" s="50" t="str">
        <f>MID(VLOOKUP($A137,Seqs!$A:$B,2,FALSE),VLOOKUP($A137,'SegEnds_NonXtal_Prot#'!A:AL,10,FALSE)+9,1)</f>
        <v>F</v>
      </c>
      <c r="Z137" s="50" t="str">
        <f>MID(VLOOKUP($A137,Seqs!$A:$B,2,FALSE),VLOOKUP($A137,'SegEnds_NonXtal_Prot#'!A:AL,10,FALSE)+10,1)</f>
        <v>L</v>
      </c>
      <c r="AA137" s="28" t="str">
        <f>MID(VLOOKUP($A137,Seqs!$A:$B,2,FALSE),VLOOKUP($A137,'SegEnds_NonXtal_Prot#'!$A:$AL,22,FALSE)+6,1)</f>
        <v>L</v>
      </c>
      <c r="AB137" s="50" t="str">
        <f>MID(VLOOKUP($A137,Seqs!$A:$B,2,FALSE),VLOOKUP($A137,'SegEnds_NonXtal_Prot#'!$A:$AL,22,FALSE)+7,1)</f>
        <v>G</v>
      </c>
      <c r="AC137" s="50" t="str">
        <f>MID(VLOOKUP($A137,Seqs!$A:$B,2,FALSE),VLOOKUP($A137,'SegEnds_NonXtal_Prot#'!$A:$AL,22,FALSE)+8,1)</f>
        <v>L</v>
      </c>
      <c r="AD137" s="50" t="str">
        <f>MID(VLOOKUP($A137,Seqs!$A:$B,2,FALSE),VLOOKUP($A137,'SegEnds_NonXtal_Prot#'!$A:$AL,22,FALSE)+9,1)</f>
        <v>L</v>
      </c>
      <c r="AE137" s="50" t="str">
        <f>MID(VLOOKUP($A137,Seqs!$A:$B,2,FALSE),VLOOKUP($A137,'SegEnds_NonXtal_Prot#'!$A:$AL,22,FALSE)+10,1)</f>
        <v>P</v>
      </c>
      <c r="AF137" s="28" t="str">
        <f>MID(VLOOKUP($A137,Seqs!$A:$B,2,FALSE),VLOOKUP($A137,'SegEnds_NonXtal_Prot#'!$A:$AL,28,FALSE)-4,1)</f>
        <v>S</v>
      </c>
      <c r="AG137" s="50" t="str">
        <f>MID(VLOOKUP($A137,Seqs!$A:$B,2,FALSE),VLOOKUP($A137,'SegEnds_NonXtal_Prot#'!$A:$AL,28,FALSE),1)</f>
        <v>V</v>
      </c>
    </row>
    <row r="138" spans="1:33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G138" s="4"/>
      <c r="H138" s="2" t="s">
        <v>21</v>
      </c>
      <c r="S138" s="4" t="s">
        <v>12</v>
      </c>
      <c r="U138" s="28" t="str">
        <f>MID(VLOOKUP($A138,Seqs!$A:$B,2,FALSE),VLOOKUP($A138,'SegEnds_NonXtal_Prot#'!A:AL,10,FALSE),1)</f>
        <v>D</v>
      </c>
      <c r="V138" s="50" t="str">
        <f>MID(VLOOKUP($A138,Seqs!$A:$B,2,FALSE),VLOOKUP($A138,'SegEnds_NonXtal_Prot#'!A:AL,10,FALSE)+6,1)</f>
        <v>A</v>
      </c>
      <c r="W138" s="50" t="str">
        <f>MID(VLOOKUP($A138,Seqs!$A:$B,2,FALSE),VLOOKUP($A138,'SegEnds_NonXtal_Prot#'!A:AL,10,FALSE)+7,1)</f>
        <v>Y</v>
      </c>
      <c r="X138" s="50" t="str">
        <f>MID(VLOOKUP($A138,Seqs!$A:$B,2,FALSE),VLOOKUP($A138,'SegEnds_NonXtal_Prot#'!A:AL,10,FALSE)+8,1)</f>
        <v>V</v>
      </c>
      <c r="Y138" s="50" t="str">
        <f>MID(VLOOKUP($A138,Seqs!$A:$B,2,FALSE),VLOOKUP($A138,'SegEnds_NonXtal_Prot#'!A:AL,10,FALSE)+9,1)</f>
        <v>F</v>
      </c>
      <c r="Z138" s="50" t="str">
        <f>MID(VLOOKUP($A138,Seqs!$A:$B,2,FALSE),VLOOKUP($A138,'SegEnds_NonXtal_Prot#'!A:AL,10,FALSE)+10,1)</f>
        <v>L</v>
      </c>
      <c r="AA138" s="28" t="str">
        <f>MID(VLOOKUP($A138,Seqs!$A:$B,2,FALSE),VLOOKUP($A138,'SegEnds_NonXtal_Prot#'!$A:$AL,22,FALSE)+6,1)</f>
        <v>M</v>
      </c>
      <c r="AB138" s="50" t="str">
        <f>MID(VLOOKUP($A138,Seqs!$A:$B,2,FALSE),VLOOKUP($A138,'SegEnds_NonXtal_Prot#'!$A:$AL,22,FALSE)+7,1)</f>
        <v>G</v>
      </c>
      <c r="AC138" s="50" t="str">
        <f>MID(VLOOKUP($A138,Seqs!$A:$B,2,FALSE),VLOOKUP($A138,'SegEnds_NonXtal_Prot#'!$A:$AL,22,FALSE)+8,1)</f>
        <v>A</v>
      </c>
      <c r="AD138" s="50" t="str">
        <f>MID(VLOOKUP($A138,Seqs!$A:$B,2,FALSE),VLOOKUP($A138,'SegEnds_NonXtal_Prot#'!$A:$AL,22,FALSE)+9,1)</f>
        <v>V</v>
      </c>
      <c r="AE138" s="50" t="str">
        <f>MID(VLOOKUP($A138,Seqs!$A:$B,2,FALSE),VLOOKUP($A138,'SegEnds_NonXtal_Prot#'!$A:$AL,22,FALSE)+10,1)</f>
        <v>P</v>
      </c>
      <c r="AF138" s="28" t="str">
        <f>MID(VLOOKUP($A138,Seqs!$A:$B,2,FALSE),VLOOKUP($A138,'SegEnds_NonXtal_Prot#'!$A:$AL,28,FALSE)-4,1)</f>
        <v>S</v>
      </c>
      <c r="AG138" s="50" t="str">
        <f>MID(VLOOKUP($A138,Seqs!$A:$B,2,FALSE),VLOOKUP($A138,'SegEnds_NonXtal_Prot#'!$A:$AL,28,FALSE),1)</f>
        <v>A</v>
      </c>
    </row>
    <row r="139" spans="1:33" s="2" customFormat="1" x14ac:dyDescent="0.2">
      <c r="A139" s="2" t="s">
        <v>209</v>
      </c>
      <c r="B139" s="2" t="str">
        <f>LOWER(VLOOKUP(A139,Xtal_Templ!A:B,2,FALSE))</f>
        <v>ntr1_rat</v>
      </c>
      <c r="C139" s="2" t="str">
        <f>VLOOKUP(A139,Classification!A:D,2,FALSE)</f>
        <v>A</v>
      </c>
      <c r="D139" s="2" t="str">
        <f>IF(ISERROR(MATCH(A139,'SegEnds_Xtal_Prot#'!B:B, 0)), "NoXtal", "Xtal")</f>
        <v>NoXtal</v>
      </c>
      <c r="G139" s="4"/>
      <c r="M139" s="2" t="s">
        <v>14</v>
      </c>
      <c r="S139" s="4" t="s">
        <v>12</v>
      </c>
      <c r="U139" s="28" t="str">
        <f>MID(VLOOKUP($A139,Seqs!$A:$B,2,FALSE),VLOOKUP($A139,'SegEnds_NonXtal_Prot#'!A:AL,10,FALSE),1)</f>
        <v>D</v>
      </c>
      <c r="V139" s="50" t="str">
        <f>MID(VLOOKUP($A139,Seqs!$A:$B,2,FALSE),VLOOKUP($A139,'SegEnds_NonXtal_Prot#'!A:AL,10,FALSE)+6,1)</f>
        <v>C</v>
      </c>
      <c r="W139" s="50" t="str">
        <f>MID(VLOOKUP($A139,Seqs!$A:$B,2,FALSE),VLOOKUP($A139,'SegEnds_NonXtal_Prot#'!A:AL,10,FALSE)+7,1)</f>
        <v>M</v>
      </c>
      <c r="X139" s="50" t="str">
        <f>MID(VLOOKUP($A139,Seqs!$A:$B,2,FALSE),VLOOKUP($A139,'SegEnds_NonXtal_Prot#'!A:AL,10,FALSE)+8,1)</f>
        <v>P</v>
      </c>
      <c r="Y139" s="50" t="str">
        <f>MID(VLOOKUP($A139,Seqs!$A:$B,2,FALSE),VLOOKUP($A139,'SegEnds_NonXtal_Prot#'!A:AL,10,FALSE)+9,1)</f>
        <v>L</v>
      </c>
      <c r="Z139" s="50" t="str">
        <f>MID(VLOOKUP($A139,Seqs!$A:$B,2,FALSE),VLOOKUP($A139,'SegEnds_NonXtal_Prot#'!A:AL,10,FALSE)+10,1)</f>
        <v>D</v>
      </c>
      <c r="AA139" s="28" t="str">
        <f>MID(VLOOKUP($A139,Seqs!$A:$B,2,FALSE),VLOOKUP($A139,'SegEnds_NonXtal_Prot#'!$A:$AL,22,FALSE)+6,1)</f>
        <v>S</v>
      </c>
      <c r="AB139" s="50" t="str">
        <f>MID(VLOOKUP($A139,Seqs!$A:$B,2,FALSE),VLOOKUP($A139,'SegEnds_NonXtal_Prot#'!$A:$AL,22,FALSE)+7,1)</f>
        <v>A</v>
      </c>
      <c r="AC139" s="50" t="str">
        <f>MID(VLOOKUP($A139,Seqs!$A:$B,2,FALSE),VLOOKUP($A139,'SegEnds_NonXtal_Prot#'!$A:$AL,22,FALSE)+8,1)</f>
        <v>G</v>
      </c>
      <c r="AD139" s="50" t="str">
        <f>MID(VLOOKUP($A139,Seqs!$A:$B,2,FALSE),VLOOKUP($A139,'SegEnds_NonXtal_Prot#'!$A:$AL,22,FALSE)+9,1)</f>
        <v>P</v>
      </c>
      <c r="AE139" s="50" t="str">
        <f>MID(VLOOKUP($A139,Seqs!$A:$B,2,FALSE),VLOOKUP($A139,'SegEnds_NonXtal_Prot#'!$A:$AL,22,FALSE)+10,1)</f>
        <v>I</v>
      </c>
      <c r="AF139" s="28" t="str">
        <f>MID(VLOOKUP($A139,Seqs!$A:$B,2,FALSE),VLOOKUP($A139,'SegEnds_NonXtal_Prot#'!$A:$AL,28,FALSE)-4,1)</f>
        <v>F</v>
      </c>
      <c r="AG139" s="50" t="str">
        <f>MID(VLOOKUP($A139,Seqs!$A:$B,2,FALSE),VLOOKUP($A139,'SegEnds_NonXtal_Prot#'!$A:$AL,28,FALSE),1)</f>
        <v>P</v>
      </c>
    </row>
    <row r="140" spans="1:33" s="2" customFormat="1" x14ac:dyDescent="0.2">
      <c r="A140" s="2" t="s">
        <v>216</v>
      </c>
      <c r="B140" s="2" t="str">
        <f>LOWER(VLOOKUP(A140,Xtal_Templ!A:B,2,FALSE))</f>
        <v>ntr1_rat</v>
      </c>
      <c r="C140" s="2" t="str">
        <f>VLOOKUP(A140,Classification!A:D,2,FALSE)</f>
        <v>A</v>
      </c>
      <c r="D140" s="2" t="str">
        <f>IF(ISERROR(MATCH(A140,'SegEnds_Xtal_Prot#'!B:B, 0)), "NoXtal", "Xtal")</f>
        <v>NoXtal</v>
      </c>
      <c r="G140" s="4"/>
      <c r="Q140" s="2" t="s">
        <v>9</v>
      </c>
      <c r="S140" s="4" t="s">
        <v>12</v>
      </c>
      <c r="U140" s="28" t="str">
        <f>MID(VLOOKUP($A140,Seqs!$A:$B,2,FALSE),VLOOKUP($A140,'SegEnds_NonXtal_Prot#'!A:AL,10,FALSE),1)</f>
        <v>D</v>
      </c>
      <c r="V140" s="50" t="str">
        <f>MID(VLOOKUP($A140,Seqs!$A:$B,2,FALSE),VLOOKUP($A140,'SegEnds_NonXtal_Prot#'!A:AL,10,FALSE)+6,1)</f>
        <v>F</v>
      </c>
      <c r="W140" s="50" t="str">
        <f>MID(VLOOKUP($A140,Seqs!$A:$B,2,FALSE),VLOOKUP($A140,'SegEnds_NonXtal_Prot#'!A:AL,10,FALSE)+7,1)</f>
        <v>I</v>
      </c>
      <c r="X140" s="50" t="str">
        <f>MID(VLOOKUP($A140,Seqs!$A:$B,2,FALSE),VLOOKUP($A140,'SegEnds_NonXtal_Prot#'!A:AL,10,FALSE)+8,1)</f>
        <v>V</v>
      </c>
      <c r="Y140" s="50" t="str">
        <f>MID(VLOOKUP($A140,Seqs!$A:$B,2,FALSE),VLOOKUP($A140,'SegEnds_NonXtal_Prot#'!A:AL,10,FALSE)+9,1)</f>
        <v>F</v>
      </c>
      <c r="Z140" s="50" t="str">
        <f>MID(VLOOKUP($A140,Seqs!$A:$B,2,FALSE),VLOOKUP($A140,'SegEnds_NonXtal_Prot#'!A:AL,10,FALSE)+10,1)</f>
        <v>V</v>
      </c>
      <c r="AA140" s="28" t="str">
        <f>MID(VLOOKUP($A140,Seqs!$A:$B,2,FALSE),VLOOKUP($A140,'SegEnds_NonXtal_Prot#'!$A:$AL,22,FALSE)+6,1)</f>
        <v>L</v>
      </c>
      <c r="AB140" s="50" t="str">
        <f>MID(VLOOKUP($A140,Seqs!$A:$B,2,FALSE),VLOOKUP($A140,'SegEnds_NonXtal_Prot#'!$A:$AL,22,FALSE)+7,1)</f>
        <v>T</v>
      </c>
      <c r="AC140" s="50" t="str">
        <f>MID(VLOOKUP($A140,Seqs!$A:$B,2,FALSE),VLOOKUP($A140,'SegEnds_NonXtal_Prot#'!$A:$AL,22,FALSE)+8,1)</f>
        <v>S</v>
      </c>
      <c r="AD140" s="50" t="str">
        <f>MID(VLOOKUP($A140,Seqs!$A:$B,2,FALSE),VLOOKUP($A140,'SegEnds_NonXtal_Prot#'!$A:$AL,22,FALSE)+9,1)</f>
        <v>I</v>
      </c>
      <c r="AE140" s="50" t="str">
        <f>MID(VLOOKUP($A140,Seqs!$A:$B,2,FALSE),VLOOKUP($A140,'SegEnds_NonXtal_Prot#'!$A:$AL,22,FALSE)+10,1)</f>
        <v>P</v>
      </c>
      <c r="AF140" s="28" t="str">
        <f>MID(VLOOKUP($A140,Seqs!$A:$B,2,FALSE),VLOOKUP($A140,'SegEnds_NonXtal_Prot#'!$A:$AL,28,FALSE)-4,1)</f>
        <v>V</v>
      </c>
      <c r="AG140" s="50" t="str">
        <f>MID(VLOOKUP($A140,Seqs!$A:$B,2,FALSE),VLOOKUP($A140,'SegEnds_NonXtal_Prot#'!$A:$AL,28,FALSE),1)</f>
        <v>P</v>
      </c>
    </row>
    <row r="141" spans="1:33" s="2" customFormat="1" x14ac:dyDescent="0.2">
      <c r="A141" s="2" t="s">
        <v>224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G141" s="4"/>
      <c r="M141" s="2" t="s">
        <v>14</v>
      </c>
      <c r="Q141" s="2" t="s">
        <v>9</v>
      </c>
      <c r="S141" s="4" t="s">
        <v>12</v>
      </c>
      <c r="U141" s="28" t="str">
        <f>MID(VLOOKUP($A141,Seqs!$A:$B,2,FALSE),VLOOKUP($A141,'SegEnds_NonXtal_Prot#'!A:AL,10,FALSE),1)</f>
        <v>D</v>
      </c>
      <c r="V141" s="50" t="str">
        <f>MID(VLOOKUP($A141,Seqs!$A:$B,2,FALSE),VLOOKUP($A141,'SegEnds_NonXtal_Prot#'!A:AL,10,FALSE)+6,1)</f>
        <v>A</v>
      </c>
      <c r="W141" s="50" t="str">
        <f>MID(VLOOKUP($A141,Seqs!$A:$B,2,FALSE),VLOOKUP($A141,'SegEnds_NonXtal_Prot#'!A:AL,10,FALSE)+7,1)</f>
        <v>A</v>
      </c>
      <c r="X141" s="50" t="str">
        <f>MID(VLOOKUP($A141,Seqs!$A:$B,2,FALSE),VLOOKUP($A141,'SegEnds_NonXtal_Prot#'!A:AL,10,FALSE)+8,1)</f>
        <v>A</v>
      </c>
      <c r="Y141" s="50" t="str">
        <f>MID(VLOOKUP($A141,Seqs!$A:$B,2,FALSE),VLOOKUP($A141,'SegEnds_NonXtal_Prot#'!A:AL,10,FALSE)+9,1)</f>
        <v>F</v>
      </c>
      <c r="Z141" s="50" t="str">
        <f>MID(VLOOKUP($A141,Seqs!$A:$B,2,FALSE),VLOOKUP($A141,'SegEnds_NonXtal_Prot#'!A:AL,10,FALSE)+10,1)</f>
        <v>Q</v>
      </c>
      <c r="AA141" s="28" t="str">
        <f>MID(VLOOKUP($A141,Seqs!$A:$B,2,FALSE),VLOOKUP($A141,'SegEnds_NonXtal_Prot#'!$A:$AL,22,FALSE)+6,1)</f>
        <v>F</v>
      </c>
      <c r="AB141" s="50" t="str">
        <f>MID(VLOOKUP($A141,Seqs!$A:$B,2,FALSE),VLOOKUP($A141,'SegEnds_NonXtal_Prot#'!$A:$AL,22,FALSE)+7,1)</f>
        <v>S</v>
      </c>
      <c r="AC141" s="50" t="str">
        <f>MID(VLOOKUP($A141,Seqs!$A:$B,2,FALSE),VLOOKUP($A141,'SegEnds_NonXtal_Prot#'!$A:$AL,22,FALSE)+8,1)</f>
        <v>V</v>
      </c>
      <c r="AD141" s="50" t="str">
        <f>MID(VLOOKUP($A141,Seqs!$A:$B,2,FALSE),VLOOKUP($A141,'SegEnds_NonXtal_Prot#'!$A:$AL,22,FALSE)+9,1)</f>
        <v>P</v>
      </c>
      <c r="AE141" s="50" t="str">
        <f>MID(VLOOKUP($A141,Seqs!$A:$B,2,FALSE),VLOOKUP($A141,'SegEnds_NonXtal_Prot#'!$A:$AL,22,FALSE)+10,1)</f>
        <v>W</v>
      </c>
      <c r="AF141" s="28" t="str">
        <f>MID(VLOOKUP($A141,Seqs!$A:$B,2,FALSE),VLOOKUP($A141,'SegEnds_NonXtal_Prot#'!$A:$AL,28,FALSE)-4,1)</f>
        <v>G</v>
      </c>
      <c r="AG141" s="50" t="str">
        <f>MID(VLOOKUP($A141,Seqs!$A:$B,2,FALSE),VLOOKUP($A141,'SegEnds_NonXtal_Prot#'!$A:$AL,28,FALSE),1)</f>
        <v>P</v>
      </c>
    </row>
    <row r="142" spans="1:33" s="2" customFormat="1" x14ac:dyDescent="0.2">
      <c r="A142" s="2" t="s">
        <v>256</v>
      </c>
      <c r="B142" s="2" t="str">
        <f>LOWER(VLOOKUP(A142,Xtal_Templ!A:B,2,FALSE))</f>
        <v>ntr1_rat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F142" s="2" t="s">
        <v>5</v>
      </c>
      <c r="G142" s="4"/>
      <c r="M142" s="2" t="s">
        <v>14</v>
      </c>
      <c r="S142" s="4" t="s">
        <v>12</v>
      </c>
      <c r="U142" s="28" t="str">
        <f>MID(VLOOKUP($A142,Seqs!$A:$B,2,FALSE),VLOOKUP($A142,'SegEnds_NonXtal_Prot#'!A:AL,10,FALSE),1)</f>
        <v>D</v>
      </c>
      <c r="V142" s="50" t="str">
        <f>MID(VLOOKUP($A142,Seqs!$A:$B,2,FALSE),VLOOKUP($A142,'SegEnds_NonXtal_Prot#'!A:AL,10,FALSE)+6,1)</f>
        <v>I</v>
      </c>
      <c r="W142" s="50" t="str">
        <f>MID(VLOOKUP($A142,Seqs!$A:$B,2,FALSE),VLOOKUP($A142,'SegEnds_NonXtal_Prot#'!A:AL,10,FALSE)+7,1)</f>
        <v>G</v>
      </c>
      <c r="X142" s="50" t="str">
        <f>MID(VLOOKUP($A142,Seqs!$A:$B,2,FALSE),VLOOKUP($A142,'SegEnds_NonXtal_Prot#'!A:AL,10,FALSE)+8,1)</f>
        <v>M</v>
      </c>
      <c r="Y142" s="50" t="str">
        <f>MID(VLOOKUP($A142,Seqs!$A:$B,2,FALSE),VLOOKUP($A142,'SegEnds_NonXtal_Prot#'!A:AL,10,FALSE)+9,1)</f>
        <v>P</v>
      </c>
      <c r="Z142" s="50" t="str">
        <f>MID(VLOOKUP($A142,Seqs!$A:$B,2,FALSE),VLOOKUP($A142,'SegEnds_NonXtal_Prot#'!A:AL,10,FALSE)+10,1)</f>
        <v>M</v>
      </c>
      <c r="AA142" s="28" t="str">
        <f>MID(VLOOKUP($A142,Seqs!$A:$B,2,FALSE),VLOOKUP($A142,'SegEnds_NonXtal_Prot#'!$A:$AL,22,FALSE)+6,1)</f>
        <v>V</v>
      </c>
      <c r="AB142" s="50" t="str">
        <f>MID(VLOOKUP($A142,Seqs!$A:$B,2,FALSE),VLOOKUP($A142,'SegEnds_NonXtal_Prot#'!$A:$AL,22,FALSE)+7,1)</f>
        <v>A</v>
      </c>
      <c r="AC142" s="50" t="str">
        <f>MID(VLOOKUP($A142,Seqs!$A:$B,2,FALSE),VLOOKUP($A142,'SegEnds_NonXtal_Prot#'!$A:$AL,22,FALSE)+8,1)</f>
        <v>L</v>
      </c>
      <c r="AD142" s="50" t="str">
        <f>MID(VLOOKUP($A142,Seqs!$A:$B,2,FALSE),VLOOKUP($A142,'SegEnds_NonXtal_Prot#'!$A:$AL,22,FALSE)+9,1)</f>
        <v>P</v>
      </c>
      <c r="AE142" s="50" t="str">
        <f>MID(VLOOKUP($A142,Seqs!$A:$B,2,FALSE),VLOOKUP($A142,'SegEnds_NonXtal_Prot#'!$A:$AL,22,FALSE)+10,1)</f>
        <v>L</v>
      </c>
      <c r="AF142" s="28" t="str">
        <f>MID(VLOOKUP($A142,Seqs!$A:$B,2,FALSE),VLOOKUP($A142,'SegEnds_NonXtal_Prot#'!$A:$AL,28,FALSE)-4,1)</f>
        <v>A</v>
      </c>
      <c r="AG142" s="50" t="str">
        <f>MID(VLOOKUP($A142,Seqs!$A:$B,2,FALSE),VLOOKUP($A142,'SegEnds_NonXtal_Prot#'!$A:$AL,28,FALSE),1)</f>
        <v>Y</v>
      </c>
    </row>
    <row r="143" spans="1:33" s="2" customFormat="1" x14ac:dyDescent="0.2">
      <c r="A143" s="2" t="s">
        <v>310</v>
      </c>
      <c r="B143" s="2" t="str">
        <f>LOWER(VLOOKUP(A143,Xtal_Templ!A:B,2,FALSE))</f>
        <v>ntr1_rat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G143" s="4"/>
      <c r="M143" s="2" t="s">
        <v>14</v>
      </c>
      <c r="Q143" s="2" t="s">
        <v>9</v>
      </c>
      <c r="S143" s="4" t="s">
        <v>12</v>
      </c>
      <c r="U143" s="28" t="str">
        <f>MID(VLOOKUP($A143,Seqs!$A:$B,2,FALSE),VLOOKUP($A143,'SegEnds_NonXtal_Prot#'!A:AL,10,FALSE),1)</f>
        <v>D</v>
      </c>
      <c r="V143" s="50" t="str">
        <f>MID(VLOOKUP($A143,Seqs!$A:$B,2,FALSE),VLOOKUP($A143,'SegEnds_NonXtal_Prot#'!A:AL,10,FALSE)+6,1)</f>
        <v>G</v>
      </c>
      <c r="W143" s="50" t="str">
        <f>MID(VLOOKUP($A143,Seqs!$A:$B,2,FALSE),VLOOKUP($A143,'SegEnds_NonXtal_Prot#'!A:AL,10,FALSE)+7,1)</f>
        <v>L</v>
      </c>
      <c r="X143" s="50" t="str">
        <f>MID(VLOOKUP($A143,Seqs!$A:$B,2,FALSE),VLOOKUP($A143,'SegEnds_NonXtal_Prot#'!A:AL,10,FALSE)+8,1)</f>
        <v>P</v>
      </c>
      <c r="Y143" s="50" t="str">
        <f>MID(VLOOKUP($A143,Seqs!$A:$B,2,FALSE),VLOOKUP($A143,'SegEnds_NonXtal_Prot#'!A:AL,10,FALSE)+9,1)</f>
        <v>F</v>
      </c>
      <c r="Z143" s="50" t="str">
        <f>MID(VLOOKUP($A143,Seqs!$A:$B,2,FALSE),VLOOKUP($A143,'SegEnds_NonXtal_Prot#'!A:AL,10,FALSE)+10,1)</f>
        <v>D</v>
      </c>
      <c r="AA143" s="28" t="str">
        <f>MID(VLOOKUP($A143,Seqs!$A:$B,2,FALSE),VLOOKUP($A143,'SegEnds_NonXtal_Prot#'!$A:$AL,22,FALSE)+6,1)</f>
        <v>S</v>
      </c>
      <c r="AB143" s="50" t="str">
        <f>MID(VLOOKUP($A143,Seqs!$A:$B,2,FALSE),VLOOKUP($A143,'SegEnds_NonXtal_Prot#'!$A:$AL,22,FALSE)+7,1)</f>
        <v>A</v>
      </c>
      <c r="AC143" s="50" t="str">
        <f>MID(VLOOKUP($A143,Seqs!$A:$B,2,FALSE),VLOOKUP($A143,'SegEnds_NonXtal_Prot#'!$A:$AL,22,FALSE)+8,1)</f>
        <v>G</v>
      </c>
      <c r="AD143" s="50" t="str">
        <f>MID(VLOOKUP($A143,Seqs!$A:$B,2,FALSE),VLOOKUP($A143,'SegEnds_NonXtal_Prot#'!$A:$AL,22,FALSE)+9,1)</f>
        <v>P</v>
      </c>
      <c r="AE143" s="50" t="str">
        <f>MID(VLOOKUP($A143,Seqs!$A:$B,2,FALSE),VLOOKUP($A143,'SegEnds_NonXtal_Prot#'!$A:$AL,22,FALSE)+10,1)</f>
        <v>F</v>
      </c>
      <c r="AF143" s="28" t="str">
        <f>MID(VLOOKUP($A143,Seqs!$A:$B,2,FALSE),VLOOKUP($A143,'SegEnds_NonXtal_Prot#'!$A:$AL,28,FALSE)-4,1)</f>
        <v>Y</v>
      </c>
      <c r="AG143" s="50" t="str">
        <f>MID(VLOOKUP($A143,Seqs!$A:$B,2,FALSE),VLOOKUP($A143,'SegEnds_NonXtal_Prot#'!$A:$AL,28,FALSE),1)</f>
        <v>P</v>
      </c>
    </row>
    <row r="144" spans="1:33" s="2" customFormat="1" x14ac:dyDescent="0.2">
      <c r="A144" s="2" t="s">
        <v>318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F144" s="2" t="s">
        <v>5</v>
      </c>
      <c r="G144" s="4"/>
      <c r="M144" s="2" t="s">
        <v>14</v>
      </c>
      <c r="S144" s="4" t="s">
        <v>12</v>
      </c>
      <c r="U144" s="28" t="str">
        <f>MID(VLOOKUP($A144,Seqs!$A:$B,2,FALSE),VLOOKUP($A144,'SegEnds_NonXtal_Prot#'!A:AL,10,FALSE),1)</f>
        <v>D</v>
      </c>
      <c r="V144" s="50" t="str">
        <f>MID(VLOOKUP($A144,Seqs!$A:$B,2,FALSE),VLOOKUP($A144,'SegEnds_NonXtal_Prot#'!A:AL,10,FALSE)+6,1)</f>
        <v>V</v>
      </c>
      <c r="W144" s="50" t="str">
        <f>MID(VLOOKUP($A144,Seqs!$A:$B,2,FALSE),VLOOKUP($A144,'SegEnds_NonXtal_Prot#'!A:AL,10,FALSE)+7,1)</f>
        <v>G</v>
      </c>
      <c r="X144" s="50" t="str">
        <f>MID(VLOOKUP($A144,Seqs!$A:$B,2,FALSE),VLOOKUP($A144,'SegEnds_NonXtal_Prot#'!A:AL,10,FALSE)+8,1)</f>
        <v>L</v>
      </c>
      <c r="Y144" s="50" t="str">
        <f>MID(VLOOKUP($A144,Seqs!$A:$B,2,FALSE),VLOOKUP($A144,'SegEnds_NonXtal_Prot#'!A:AL,10,FALSE)+9,1)</f>
        <v>P</v>
      </c>
      <c r="Z144" s="50" t="str">
        <f>MID(VLOOKUP($A144,Seqs!$A:$B,2,FALSE),VLOOKUP($A144,'SegEnds_NonXtal_Prot#'!A:AL,10,FALSE)+10,1)</f>
        <v>L</v>
      </c>
      <c r="AA144" s="28" t="str">
        <f>MID(VLOOKUP($A144,Seqs!$A:$B,2,FALSE),VLOOKUP($A144,'SegEnds_NonXtal_Prot#'!$A:$AL,22,FALSE)+6,1)</f>
        <v>C</v>
      </c>
      <c r="AB144" s="50" t="str">
        <f>MID(VLOOKUP($A144,Seqs!$A:$B,2,FALSE),VLOOKUP($A144,'SegEnds_NonXtal_Prot#'!$A:$AL,22,FALSE)+7,1)</f>
        <v>S</v>
      </c>
      <c r="AC144" s="50" t="str">
        <f>MID(VLOOKUP($A144,Seqs!$A:$B,2,FALSE),VLOOKUP($A144,'SegEnds_NonXtal_Prot#'!$A:$AL,22,FALSE)+8,1)</f>
        <v>L</v>
      </c>
      <c r="AD144" s="50" t="str">
        <f>MID(VLOOKUP($A144,Seqs!$A:$B,2,FALSE),VLOOKUP($A144,'SegEnds_NonXtal_Prot#'!$A:$AL,22,FALSE)+9,1)</f>
        <v>P</v>
      </c>
      <c r="AE144" s="50" t="str">
        <f>MID(VLOOKUP($A144,Seqs!$A:$B,2,FALSE),VLOOKUP($A144,'SegEnds_NonXtal_Prot#'!$A:$AL,22,FALSE)+10,1)</f>
        <v>N</v>
      </c>
      <c r="AF144" s="28" t="str">
        <f>MID(VLOOKUP($A144,Seqs!$A:$B,2,FALSE),VLOOKUP($A144,'SegEnds_NonXtal_Prot#'!$A:$AL,28,FALSE)-4,1)</f>
        <v>F</v>
      </c>
      <c r="AG144" s="50" t="str">
        <f>MID(VLOOKUP($A144,Seqs!$A:$B,2,FALSE),VLOOKUP($A144,'SegEnds_NonXtal_Prot#'!$A:$AL,28,FALSE),1)</f>
        <v>P</v>
      </c>
    </row>
    <row r="145" spans="1:33" s="2" customFormat="1" x14ac:dyDescent="0.2">
      <c r="A145" s="2" t="s">
        <v>319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F145" s="2" t="s">
        <v>5</v>
      </c>
      <c r="G145" s="4"/>
      <c r="M145" s="2" t="s">
        <v>14</v>
      </c>
      <c r="S145" s="4" t="s">
        <v>12</v>
      </c>
      <c r="U145" s="28" t="str">
        <f>MID(VLOOKUP($A145,Seqs!$A:$B,2,FALSE),VLOOKUP($A145,'SegEnds_NonXtal_Prot#'!A:AL,10,FALSE),1)</f>
        <v>D</v>
      </c>
      <c r="V145" s="50" t="str">
        <f>MID(VLOOKUP($A145,Seqs!$A:$B,2,FALSE),VLOOKUP($A145,'SegEnds_NonXtal_Prot#'!A:AL,10,FALSE)+6,1)</f>
        <v>L</v>
      </c>
      <c r="W145" s="50" t="str">
        <f>MID(VLOOKUP($A145,Seqs!$A:$B,2,FALSE),VLOOKUP($A145,'SegEnds_NonXtal_Prot#'!A:AL,10,FALSE)+7,1)</f>
        <v>G</v>
      </c>
      <c r="X145" s="50" t="str">
        <f>MID(VLOOKUP($A145,Seqs!$A:$B,2,FALSE),VLOOKUP($A145,'SegEnds_NonXtal_Prot#'!A:AL,10,FALSE)+8,1)</f>
        <v>M</v>
      </c>
      <c r="Y145" s="50" t="str">
        <f>MID(VLOOKUP($A145,Seqs!$A:$B,2,FALSE),VLOOKUP($A145,'SegEnds_NonXtal_Prot#'!A:AL,10,FALSE)+9,1)</f>
        <v>P</v>
      </c>
      <c r="Z145" s="50" t="str">
        <f>MID(VLOOKUP($A145,Seqs!$A:$B,2,FALSE),VLOOKUP($A145,'SegEnds_NonXtal_Prot#'!A:AL,10,FALSE)+10,1)</f>
        <v>L</v>
      </c>
      <c r="AA145" s="28" t="str">
        <f>MID(VLOOKUP($A145,Seqs!$A:$B,2,FALSE),VLOOKUP($A145,'SegEnds_NonXtal_Prot#'!$A:$AL,22,FALSE)+6,1)</f>
        <v>F</v>
      </c>
      <c r="AB145" s="50" t="str">
        <f>MID(VLOOKUP($A145,Seqs!$A:$B,2,FALSE),VLOOKUP($A145,'SegEnds_NonXtal_Prot#'!$A:$AL,22,FALSE)+7,1)</f>
        <v>S</v>
      </c>
      <c r="AC145" s="50" t="str">
        <f>MID(VLOOKUP($A145,Seqs!$A:$B,2,FALSE),VLOOKUP($A145,'SegEnds_NonXtal_Prot#'!$A:$AL,22,FALSE)+8,1)</f>
        <v>L</v>
      </c>
      <c r="AD145" s="50" t="str">
        <f>MID(VLOOKUP($A145,Seqs!$A:$B,2,FALSE),VLOOKUP($A145,'SegEnds_NonXtal_Prot#'!$A:$AL,22,FALSE)+9,1)</f>
        <v>P</v>
      </c>
      <c r="AE145" s="50" t="str">
        <f>MID(VLOOKUP($A145,Seqs!$A:$B,2,FALSE),VLOOKUP($A145,'SegEnds_NonXtal_Prot#'!$A:$AL,22,FALSE)+10,1)</f>
        <v>N</v>
      </c>
      <c r="AF145" s="28" t="str">
        <f>MID(VLOOKUP($A145,Seqs!$A:$B,2,FALSE),VLOOKUP($A145,'SegEnds_NonXtal_Prot#'!$A:$AL,28,FALSE)-4,1)</f>
        <v>F</v>
      </c>
      <c r="AG145" s="50" t="str">
        <f>MID(VLOOKUP($A145,Seqs!$A:$B,2,FALSE),VLOOKUP($A145,'SegEnds_NonXtal_Prot#'!$A:$AL,28,FALSE),1)</f>
        <v>P</v>
      </c>
    </row>
    <row r="146" spans="1:33" s="2" customFormat="1" x14ac:dyDescent="0.2">
      <c r="A146" s="2" t="s">
        <v>127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F146" s="2" t="s">
        <v>5</v>
      </c>
      <c r="G146" s="4"/>
      <c r="M146" s="2" t="s">
        <v>14</v>
      </c>
      <c r="Q146" s="2" t="s">
        <v>9</v>
      </c>
      <c r="S146" s="4" t="s">
        <v>12</v>
      </c>
      <c r="U146" s="28" t="str">
        <f>MID(VLOOKUP($A146,Seqs!$A:$B,2,FALSE),VLOOKUP($A146,'SegEnds_NonXtal_Prot#'!A:AL,10,FALSE),1)</f>
        <v>D</v>
      </c>
      <c r="V146" s="50" t="str">
        <f>MID(VLOOKUP($A146,Seqs!$A:$B,2,FALSE),VLOOKUP($A146,'SegEnds_NonXtal_Prot#'!A:AL,10,FALSE)+6,1)</f>
        <v>L</v>
      </c>
      <c r="W146" s="50" t="str">
        <f>MID(VLOOKUP($A146,Seqs!$A:$B,2,FALSE),VLOOKUP($A146,'SegEnds_NonXtal_Prot#'!A:AL,10,FALSE)+7,1)</f>
        <v>A</v>
      </c>
      <c r="X146" s="50" t="str">
        <f>MID(VLOOKUP($A146,Seqs!$A:$B,2,FALSE),VLOOKUP($A146,'SegEnds_NonXtal_Prot#'!A:AL,10,FALSE)+8,1)</f>
        <v>M</v>
      </c>
      <c r="Y146" s="50" t="str">
        <f>MID(VLOOKUP($A146,Seqs!$A:$B,2,FALSE),VLOOKUP($A146,'SegEnds_NonXtal_Prot#'!A:AL,10,FALSE)+9,1)</f>
        <v>P</v>
      </c>
      <c r="Z146" s="50" t="str">
        <f>MID(VLOOKUP($A146,Seqs!$A:$B,2,FALSE),VLOOKUP($A146,'SegEnds_NonXtal_Prot#'!A:AL,10,FALSE)+10,1)</f>
        <v>V</v>
      </c>
      <c r="AA146" s="28" t="str">
        <f>MID(VLOOKUP($A146,Seqs!$A:$B,2,FALSE),VLOOKUP($A146,'SegEnds_NonXtal_Prot#'!$A:$AL,22,FALSE)+6,1)</f>
        <v>L</v>
      </c>
      <c r="AB146" s="50" t="str">
        <f>MID(VLOOKUP($A146,Seqs!$A:$B,2,FALSE),VLOOKUP($A146,'SegEnds_NonXtal_Prot#'!$A:$AL,22,FALSE)+7,1)</f>
        <v>A</v>
      </c>
      <c r="AC146" s="50" t="str">
        <f>MID(VLOOKUP($A146,Seqs!$A:$B,2,FALSE),VLOOKUP($A146,'SegEnds_NonXtal_Prot#'!$A:$AL,22,FALSE)+8,1)</f>
        <v>V</v>
      </c>
      <c r="AD146" s="50" t="str">
        <f>MID(VLOOKUP($A146,Seqs!$A:$B,2,FALSE),VLOOKUP($A146,'SegEnds_NonXtal_Prot#'!$A:$AL,22,FALSE)+9,1)</f>
        <v>P</v>
      </c>
      <c r="AE146" s="50" t="str">
        <f>MID(VLOOKUP($A146,Seqs!$A:$B,2,FALSE),VLOOKUP($A146,'SegEnds_NonXtal_Prot#'!$A:$AL,22,FALSE)+10,1)</f>
        <v>M</v>
      </c>
      <c r="AF146" s="28" t="str">
        <f>MID(VLOOKUP($A146,Seqs!$A:$B,2,FALSE),VLOOKUP($A146,'SegEnds_NonXtal_Prot#'!$A:$AL,28,FALSE)-4,1)</f>
        <v>S</v>
      </c>
      <c r="AG146" s="50" t="str">
        <f>MID(VLOOKUP($A146,Seqs!$A:$B,2,FALSE),VLOOKUP($A146,'SegEnds_NonXtal_Prot#'!$A:$AL,28,FALSE),1)</f>
        <v>P</v>
      </c>
    </row>
    <row r="147" spans="1:33" s="2" customFormat="1" x14ac:dyDescent="0.2">
      <c r="A147" s="2" t="s">
        <v>914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Xtal</v>
      </c>
      <c r="F147" s="2" t="s">
        <v>5</v>
      </c>
      <c r="G147" s="4"/>
      <c r="M147" s="2" t="s">
        <v>14</v>
      </c>
      <c r="Q147" s="2" t="s">
        <v>9</v>
      </c>
      <c r="S147" s="4" t="s">
        <v>12</v>
      </c>
      <c r="U147" s="28" t="str">
        <f>MID(VLOOKUP($A147,Seqs!$A:$B,2,FALSE),VLOOKUP($A147,'SegEnds_NonXtal_Prot#'!A:AL,10,FALSE),1)</f>
        <v>D</v>
      </c>
      <c r="V147" s="50" t="str">
        <f>MID(VLOOKUP($A147,Seqs!$A:$B,2,FALSE),VLOOKUP($A147,'SegEnds_NonXtal_Prot#'!A:AL,10,FALSE)+6,1)</f>
        <v>L</v>
      </c>
      <c r="W147" s="50" t="str">
        <f>MID(VLOOKUP($A147,Seqs!$A:$B,2,FALSE),VLOOKUP($A147,'SegEnds_NonXtal_Prot#'!A:AL,10,FALSE)+7,1)</f>
        <v>A</v>
      </c>
      <c r="X147" s="50" t="str">
        <f>MID(VLOOKUP($A147,Seqs!$A:$B,2,FALSE),VLOOKUP($A147,'SegEnds_NonXtal_Prot#'!A:AL,10,FALSE)+8,1)</f>
        <v>M</v>
      </c>
      <c r="Y147" s="50" t="str">
        <f>MID(VLOOKUP($A147,Seqs!$A:$B,2,FALSE),VLOOKUP($A147,'SegEnds_NonXtal_Prot#'!A:AL,10,FALSE)+9,1)</f>
        <v>P</v>
      </c>
      <c r="Z147" s="50" t="str">
        <f>MID(VLOOKUP($A147,Seqs!$A:$B,2,FALSE),VLOOKUP($A147,'SegEnds_NonXtal_Prot#'!A:AL,10,FALSE)+10,1)</f>
        <v>V</v>
      </c>
      <c r="AA147" s="28" t="str">
        <f>MID(VLOOKUP($A147,Seqs!$A:$B,2,FALSE),VLOOKUP($A147,'SegEnds_NonXtal_Prot#'!$A:$AL,22,FALSE)+6,1)</f>
        <v>L</v>
      </c>
      <c r="AB147" s="50" t="str">
        <f>MID(VLOOKUP($A147,Seqs!$A:$B,2,FALSE),VLOOKUP($A147,'SegEnds_NonXtal_Prot#'!$A:$AL,22,FALSE)+7,1)</f>
        <v>A</v>
      </c>
      <c r="AC147" s="50" t="str">
        <f>MID(VLOOKUP($A147,Seqs!$A:$B,2,FALSE),VLOOKUP($A147,'SegEnds_NonXtal_Prot#'!$A:$AL,22,FALSE)+8,1)</f>
        <v>I</v>
      </c>
      <c r="AD147" s="50" t="str">
        <f>MID(VLOOKUP($A147,Seqs!$A:$B,2,FALSE),VLOOKUP($A147,'SegEnds_NonXtal_Prot#'!$A:$AL,22,FALSE)+9,1)</f>
        <v>P</v>
      </c>
      <c r="AE147" s="50" t="str">
        <f>MID(VLOOKUP($A147,Seqs!$A:$B,2,FALSE),VLOOKUP($A147,'SegEnds_NonXtal_Prot#'!$A:$AL,22,FALSE)+10,1)</f>
        <v>M</v>
      </c>
      <c r="AF147" s="28" t="str">
        <f>MID(VLOOKUP($A147,Seqs!$A:$B,2,FALSE),VLOOKUP($A147,'SegEnds_NonXtal_Prot#'!$A:$AL,28,FALSE)-4,1)</f>
        <v>S</v>
      </c>
      <c r="AG147" s="50" t="str">
        <f>MID(VLOOKUP($A147,Seqs!$A:$B,2,FALSE),VLOOKUP($A147,'SegEnds_NonXtal_Prot#'!$A:$AL,28,FALSE),1)</f>
        <v>P</v>
      </c>
    </row>
    <row r="148" spans="1:33" s="2" customFormat="1" x14ac:dyDescent="0.2">
      <c r="A148" s="2" t="s">
        <v>330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F148" s="2" t="s">
        <v>5</v>
      </c>
      <c r="G148" s="4"/>
      <c r="M148" s="2" t="s">
        <v>14</v>
      </c>
      <c r="Q148" s="2" t="s">
        <v>9</v>
      </c>
      <c r="S148" s="4" t="s">
        <v>12</v>
      </c>
      <c r="U148" s="28" t="str">
        <f>MID(VLOOKUP($A148,Seqs!$A:$B,2,FALSE),VLOOKUP($A148,'SegEnds_NonXtal_Prot#'!A:AL,10,FALSE),1)</f>
        <v>G</v>
      </c>
      <c r="V148" s="50" t="str">
        <f>MID(VLOOKUP($A148,Seqs!$A:$B,2,FALSE),VLOOKUP($A148,'SegEnds_NonXtal_Prot#'!A:AL,10,FALSE)+6,1)</f>
        <v>V</v>
      </c>
      <c r="W148" s="50" t="str">
        <f>MID(VLOOKUP($A148,Seqs!$A:$B,2,FALSE),VLOOKUP($A148,'SegEnds_NonXtal_Prot#'!A:AL,10,FALSE)+7,1)</f>
        <v>G</v>
      </c>
      <c r="X148" s="50" t="str">
        <f>MID(VLOOKUP($A148,Seqs!$A:$B,2,FALSE),VLOOKUP($A148,'SegEnds_NonXtal_Prot#'!A:AL,10,FALSE)+8,1)</f>
        <v>V</v>
      </c>
      <c r="Y148" s="50" t="str">
        <f>MID(VLOOKUP($A148,Seqs!$A:$B,2,FALSE),VLOOKUP($A148,'SegEnds_NonXtal_Prot#'!A:AL,10,FALSE)+9,1)</f>
        <v>P</v>
      </c>
      <c r="Z148" s="50" t="str">
        <f>MID(VLOOKUP($A148,Seqs!$A:$B,2,FALSE),VLOOKUP($A148,'SegEnds_NonXtal_Prot#'!A:AL,10,FALSE)+10,1)</f>
        <v>V</v>
      </c>
      <c r="AA148" s="28" t="str">
        <f>MID(VLOOKUP($A148,Seqs!$A:$B,2,FALSE),VLOOKUP($A148,'SegEnds_NonXtal_Prot#'!$A:$AL,22,FALSE)+6,1)</f>
        <v>L</v>
      </c>
      <c r="AB148" s="50" t="str">
        <f>MID(VLOOKUP($A148,Seqs!$A:$B,2,FALSE),VLOOKUP($A148,'SegEnds_NonXtal_Prot#'!$A:$AL,22,FALSE)+7,1)</f>
        <v>A</v>
      </c>
      <c r="AC148" s="50" t="str">
        <f>MID(VLOOKUP($A148,Seqs!$A:$B,2,FALSE),VLOOKUP($A148,'SegEnds_NonXtal_Prot#'!$A:$AL,22,FALSE)+8,1)</f>
        <v>L</v>
      </c>
      <c r="AD148" s="50" t="str">
        <f>MID(VLOOKUP($A148,Seqs!$A:$B,2,FALSE),VLOOKUP($A148,'SegEnds_NonXtal_Prot#'!$A:$AL,22,FALSE)+9,1)</f>
        <v>P</v>
      </c>
      <c r="AE148" s="50" t="str">
        <f>MID(VLOOKUP($A148,Seqs!$A:$B,2,FALSE),VLOOKUP($A148,'SegEnds_NonXtal_Prot#'!$A:$AL,22,FALSE)+10,1)</f>
        <v>M</v>
      </c>
      <c r="AF148" s="28" t="str">
        <f>MID(VLOOKUP($A148,Seqs!$A:$B,2,FALSE),VLOOKUP($A148,'SegEnds_NonXtal_Prot#'!$A:$AL,28,FALSE)-4,1)</f>
        <v>S</v>
      </c>
      <c r="AG148" s="50" t="str">
        <f>MID(VLOOKUP($A148,Seqs!$A:$B,2,FALSE),VLOOKUP($A148,'SegEnds_NonXtal_Prot#'!$A:$AL,28,FALSE),1)</f>
        <v>P</v>
      </c>
    </row>
    <row r="149" spans="1:33" s="2" customFormat="1" x14ac:dyDescent="0.2">
      <c r="A149" s="2" t="s">
        <v>362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NoXtal</v>
      </c>
      <c r="F149" s="2" t="s">
        <v>5</v>
      </c>
      <c r="G149" s="4"/>
      <c r="S149" s="4" t="s">
        <v>12</v>
      </c>
      <c r="U149" s="28" t="str">
        <f>MID(VLOOKUP($A149,Seqs!$A:$B,2,FALSE),VLOOKUP($A149,'SegEnds_NonXtal_Prot#'!A:AL,10,FALSE),1)</f>
        <v>D</v>
      </c>
      <c r="V149" s="50" t="str">
        <f>MID(VLOOKUP($A149,Seqs!$A:$B,2,FALSE),VLOOKUP($A149,'SegEnds_NonXtal_Prot#'!A:AL,10,FALSE)+6,1)</f>
        <v>L</v>
      </c>
      <c r="W149" s="50" t="str">
        <f>MID(VLOOKUP($A149,Seqs!$A:$B,2,FALSE),VLOOKUP($A149,'SegEnds_NonXtal_Prot#'!A:AL,10,FALSE)+7,1)</f>
        <v>I</v>
      </c>
      <c r="X149" s="50" t="str">
        <f>MID(VLOOKUP($A149,Seqs!$A:$B,2,FALSE),VLOOKUP($A149,'SegEnds_NonXtal_Prot#'!A:AL,10,FALSE)+8,1)</f>
        <v>S</v>
      </c>
      <c r="Y149" s="50" t="str">
        <f>MID(VLOOKUP($A149,Seqs!$A:$B,2,FALSE),VLOOKUP($A149,'SegEnds_NonXtal_Prot#'!A:AL,10,FALSE)+9,1)</f>
        <v>P</v>
      </c>
      <c r="Z149" s="50" t="str">
        <f>MID(VLOOKUP($A149,Seqs!$A:$B,2,FALSE),VLOOKUP($A149,'SegEnds_NonXtal_Prot#'!A:AL,10,FALSE)+10,1)</f>
        <v>V</v>
      </c>
      <c r="AA149" s="28" t="str">
        <f>MID(VLOOKUP($A149,Seqs!$A:$B,2,FALSE),VLOOKUP($A149,'SegEnds_NonXtal_Prot#'!$A:$AL,22,FALSE)+6,1)</f>
        <v>F</v>
      </c>
      <c r="AB149" s="50" t="str">
        <f>MID(VLOOKUP($A149,Seqs!$A:$B,2,FALSE),VLOOKUP($A149,'SegEnds_NonXtal_Prot#'!$A:$AL,22,FALSE)+7,1)</f>
        <v>C</v>
      </c>
      <c r="AC149" s="50" t="str">
        <f>MID(VLOOKUP($A149,Seqs!$A:$B,2,FALSE),VLOOKUP($A149,'SegEnds_NonXtal_Prot#'!$A:$AL,22,FALSE)+8,1)</f>
        <v>S</v>
      </c>
      <c r="AD149" s="50" t="str">
        <f>MID(VLOOKUP($A149,Seqs!$A:$B,2,FALSE),VLOOKUP($A149,'SegEnds_NonXtal_Prot#'!$A:$AL,22,FALSE)+9,1)</f>
        <v>L</v>
      </c>
      <c r="AE149" s="50" t="str">
        <f>MID(VLOOKUP($A149,Seqs!$A:$B,2,FALSE),VLOOKUP($A149,'SegEnds_NonXtal_Prot#'!$A:$AL,22,FALSE)+10,1)</f>
        <v>P</v>
      </c>
      <c r="AF149" s="28" t="str">
        <f>MID(VLOOKUP($A149,Seqs!$A:$B,2,FALSE),VLOOKUP($A149,'SegEnds_NonXtal_Prot#'!$A:$AL,28,FALSE)-4,1)</f>
        <v>L</v>
      </c>
      <c r="AG149" s="50" t="str">
        <f>MID(VLOOKUP($A149,Seqs!$A:$B,2,FALSE),VLOOKUP($A149,'SegEnds_NonXtal_Prot#'!$A:$AL,28,FALSE),1)</f>
        <v>V</v>
      </c>
    </row>
    <row r="150" spans="1:33" s="2" customFormat="1" x14ac:dyDescent="0.2">
      <c r="A150" s="2" t="s">
        <v>335</v>
      </c>
      <c r="B150" s="2" t="str">
        <f>LOWER(VLOOKUP(A150,Xtal_Templ!A:B,2,FALSE))</f>
        <v>oprd_human</v>
      </c>
      <c r="C150" s="2" t="str">
        <f>VLOOKUP(A150,Classification!A:D,2,FALSE)</f>
        <v>A</v>
      </c>
      <c r="D150" s="2" t="str">
        <f>IF(ISERROR(MATCH(A150,'SegEnds_Xtal_Prot#'!B:B, 0)), "NoXtal", "Xtal")</f>
        <v>Xtal</v>
      </c>
      <c r="G150" s="4"/>
      <c r="Q150" s="2" t="s">
        <v>9</v>
      </c>
      <c r="S150" s="4" t="s">
        <v>12</v>
      </c>
      <c r="U150" s="28" t="str">
        <f>MID(VLOOKUP($A150,Seqs!$A:$B,2,FALSE),VLOOKUP($A150,'SegEnds_NonXtal_Prot#'!A:AL,10,FALSE),1)</f>
        <v>D</v>
      </c>
      <c r="V150" s="50" t="str">
        <f>MID(VLOOKUP($A150,Seqs!$A:$B,2,FALSE),VLOOKUP($A150,'SegEnds_NonXtal_Prot#'!A:AL,10,FALSE)+6,1)</f>
        <v>T</v>
      </c>
      <c r="W150" s="50" t="str">
        <f>MID(VLOOKUP($A150,Seqs!$A:$B,2,FALSE),VLOOKUP($A150,'SegEnds_NonXtal_Prot#'!A:AL,10,FALSE)+7,1)</f>
        <v>L</v>
      </c>
      <c r="X150" s="50" t="str">
        <f>MID(VLOOKUP($A150,Seqs!$A:$B,2,FALSE),VLOOKUP($A150,'SegEnds_NonXtal_Prot#'!A:AL,10,FALSE)+8,1)</f>
        <v>P</v>
      </c>
      <c r="Y150" s="50" t="str">
        <f>MID(VLOOKUP($A150,Seqs!$A:$B,2,FALSE),VLOOKUP($A150,'SegEnds_NonXtal_Prot#'!A:AL,10,FALSE)+9,1)</f>
        <v>F</v>
      </c>
      <c r="Z150" s="50" t="str">
        <f>MID(VLOOKUP($A150,Seqs!$A:$B,2,FALSE),VLOOKUP($A150,'SegEnds_NonXtal_Prot#'!A:AL,10,FALSE)+10,1)</f>
        <v>Q</v>
      </c>
      <c r="AA150" s="28" t="str">
        <f>MID(VLOOKUP($A150,Seqs!$A:$B,2,FALSE),VLOOKUP($A150,'SegEnds_NonXtal_Prot#'!$A:$AL,22,FALSE)+6,1)</f>
        <v>V</v>
      </c>
      <c r="AB150" s="50" t="str">
        <f>MID(VLOOKUP($A150,Seqs!$A:$B,2,FALSE),VLOOKUP($A150,'SegEnds_NonXtal_Prot#'!$A:$AL,22,FALSE)+7,1)</f>
        <v>G</v>
      </c>
      <c r="AC150" s="50" t="str">
        <f>MID(VLOOKUP($A150,Seqs!$A:$B,2,FALSE),VLOOKUP($A150,'SegEnds_NonXtal_Prot#'!$A:$AL,22,FALSE)+8,1)</f>
        <v>V</v>
      </c>
      <c r="AD150" s="50" t="str">
        <f>MID(VLOOKUP($A150,Seqs!$A:$B,2,FALSE),VLOOKUP($A150,'SegEnds_NonXtal_Prot#'!$A:$AL,22,FALSE)+9,1)</f>
        <v>P</v>
      </c>
      <c r="AE150" s="50" t="str">
        <f>MID(VLOOKUP($A150,Seqs!$A:$B,2,FALSE),VLOOKUP($A150,'SegEnds_NonXtal_Prot#'!$A:$AL,22,FALSE)+10,1)</f>
        <v>I</v>
      </c>
      <c r="AF150" s="28" t="str">
        <f>MID(VLOOKUP($A150,Seqs!$A:$B,2,FALSE),VLOOKUP($A150,'SegEnds_NonXtal_Prot#'!$A:$AL,28,FALSE)-4,1)</f>
        <v>A</v>
      </c>
      <c r="AG150" s="50" t="str">
        <f>MID(VLOOKUP($A150,Seqs!$A:$B,2,FALSE),VLOOKUP($A150,'SegEnds_NonXtal_Prot#'!$A:$AL,28,FALSE),1)</f>
        <v>P</v>
      </c>
    </row>
    <row r="151" spans="1:33" s="2" customFormat="1" x14ac:dyDescent="0.2">
      <c r="A151" s="2" t="s">
        <v>268</v>
      </c>
      <c r="B151" s="2" t="str">
        <f>LOWER(VLOOKUP(A151,Xtal_Templ!A:B,2,FALSE))</f>
        <v>oprm_mouse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4"/>
      <c r="M151" s="2" t="s">
        <v>14</v>
      </c>
      <c r="S151" s="4" t="s">
        <v>12</v>
      </c>
      <c r="U151" s="28" t="str">
        <f>MID(VLOOKUP($A151,Seqs!$A:$B,2,FALSE),VLOOKUP($A151,'SegEnds_NonXtal_Prot#'!A:AL,10,FALSE),1)</f>
        <v>N</v>
      </c>
      <c r="V151" s="50" t="str">
        <f>MID(VLOOKUP($A151,Seqs!$A:$B,2,FALSE),VLOOKUP($A151,'SegEnds_NonXtal_Prot#'!A:AL,10,FALSE)+6,1)</f>
        <v>A</v>
      </c>
      <c r="W151" s="50" t="str">
        <f>MID(VLOOKUP($A151,Seqs!$A:$B,2,FALSE),VLOOKUP($A151,'SegEnds_NonXtal_Prot#'!A:AL,10,FALSE)+7,1)</f>
        <v>M</v>
      </c>
      <c r="X151" s="50" t="str">
        <f>MID(VLOOKUP($A151,Seqs!$A:$B,2,FALSE),VLOOKUP($A151,'SegEnds_NonXtal_Prot#'!A:AL,10,FALSE)+8,1)</f>
        <v>P</v>
      </c>
      <c r="Y151" s="50" t="str">
        <f>MID(VLOOKUP($A151,Seqs!$A:$B,2,FALSE),VLOOKUP($A151,'SegEnds_NonXtal_Prot#'!A:AL,10,FALSE)+9,1)</f>
        <v>F</v>
      </c>
      <c r="Z151" s="50" t="str">
        <f>MID(VLOOKUP($A151,Seqs!$A:$B,2,FALSE),VLOOKUP($A151,'SegEnds_NonXtal_Prot#'!A:AL,10,FALSE)+10,1)</f>
        <v>M</v>
      </c>
      <c r="AA151" s="28" t="str">
        <f>MID(VLOOKUP($A151,Seqs!$A:$B,2,FALSE),VLOOKUP($A151,'SegEnds_NonXtal_Prot#'!$A:$AL,22,FALSE)+6,1)</f>
        <v>I</v>
      </c>
      <c r="AB151" s="50" t="str">
        <f>MID(VLOOKUP($A151,Seqs!$A:$B,2,FALSE),VLOOKUP($A151,'SegEnds_NonXtal_Prot#'!$A:$AL,22,FALSE)+7,1)</f>
        <v>I</v>
      </c>
      <c r="AC151" s="50" t="str">
        <f>MID(VLOOKUP($A151,Seqs!$A:$B,2,FALSE),VLOOKUP($A151,'SegEnds_NonXtal_Prot#'!$A:$AL,22,FALSE)+8,1)</f>
        <v>I</v>
      </c>
      <c r="AD151" s="50" t="str">
        <f>MID(VLOOKUP($A151,Seqs!$A:$B,2,FALSE),VLOOKUP($A151,'SegEnds_NonXtal_Prot#'!$A:$AL,22,FALSE)+9,1)</f>
        <v>P</v>
      </c>
      <c r="AE151" s="50" t="str">
        <f>MID(VLOOKUP($A151,Seqs!$A:$B,2,FALSE),VLOOKUP($A151,'SegEnds_NonXtal_Prot#'!$A:$AL,22,FALSE)+10,1)</f>
        <v>V</v>
      </c>
      <c r="AF151" s="28" t="str">
        <f>MID(VLOOKUP($A151,Seqs!$A:$B,2,FALSE),VLOOKUP($A151,'SegEnds_NonXtal_Prot#'!$A:$AL,28,FALSE)-4,1)</f>
        <v>F</v>
      </c>
      <c r="AG151" s="50" t="str">
        <f>MID(VLOOKUP($A151,Seqs!$A:$B,2,FALSE),VLOOKUP($A151,'SegEnds_NonXtal_Prot#'!$A:$AL,28,FALSE),1)</f>
        <v>S</v>
      </c>
    </row>
    <row r="152" spans="1:33" s="2" customFormat="1" x14ac:dyDescent="0.2">
      <c r="A152" s="2" t="s">
        <v>300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NoXtal</v>
      </c>
      <c r="G152" s="4"/>
      <c r="M152" s="2" t="s">
        <v>14</v>
      </c>
      <c r="Q152" s="2" t="s">
        <v>9</v>
      </c>
      <c r="S152" s="4" t="s">
        <v>12</v>
      </c>
      <c r="U152" s="28" t="str">
        <f>MID(VLOOKUP($A152,Seqs!$A:$B,2,FALSE),VLOOKUP($A152,'SegEnds_NonXtal_Prot#'!A:AL,10,FALSE),1)</f>
        <v>D</v>
      </c>
      <c r="V152" s="50" t="str">
        <f>MID(VLOOKUP($A152,Seqs!$A:$B,2,FALSE),VLOOKUP($A152,'SegEnds_NonXtal_Prot#'!A:AL,10,FALSE)+6,1)</f>
        <v>G</v>
      </c>
      <c r="W152" s="50" t="str">
        <f>MID(VLOOKUP($A152,Seqs!$A:$B,2,FALSE),VLOOKUP($A152,'SegEnds_NonXtal_Prot#'!A:AL,10,FALSE)+7,1)</f>
        <v>M</v>
      </c>
      <c r="X152" s="50" t="str">
        <f>MID(VLOOKUP($A152,Seqs!$A:$B,2,FALSE),VLOOKUP($A152,'SegEnds_NonXtal_Prot#'!A:AL,10,FALSE)+8,1)</f>
        <v>P</v>
      </c>
      <c r="Y152" s="50" t="str">
        <f>MID(VLOOKUP($A152,Seqs!$A:$B,2,FALSE),VLOOKUP($A152,'SegEnds_NonXtal_Prot#'!A:AL,10,FALSE)+9,1)</f>
        <v>F</v>
      </c>
      <c r="Z152" s="50" t="str">
        <f>MID(VLOOKUP($A152,Seqs!$A:$B,2,FALSE),VLOOKUP($A152,'SegEnds_NonXtal_Prot#'!A:AL,10,FALSE)+10,1)</f>
        <v>L</v>
      </c>
      <c r="AA152" s="28" t="str">
        <f>MID(VLOOKUP($A152,Seqs!$A:$B,2,FALSE),VLOOKUP($A152,'SegEnds_NonXtal_Prot#'!$A:$AL,22,FALSE)+6,1)</f>
        <v>L</v>
      </c>
      <c r="AB152" s="50" t="str">
        <f>MID(VLOOKUP($A152,Seqs!$A:$B,2,FALSE),VLOOKUP($A152,'SegEnds_NonXtal_Prot#'!$A:$AL,22,FALSE)+7,1)</f>
        <v>A</v>
      </c>
      <c r="AC152" s="50" t="str">
        <f>MID(VLOOKUP($A152,Seqs!$A:$B,2,FALSE),VLOOKUP($A152,'SegEnds_NonXtal_Prot#'!$A:$AL,22,FALSE)+8,1)</f>
        <v>L</v>
      </c>
      <c r="AD152" s="50" t="str">
        <f>MID(VLOOKUP($A152,Seqs!$A:$B,2,FALSE),VLOOKUP($A152,'SegEnds_NonXtal_Prot#'!$A:$AL,22,FALSE)+9,1)</f>
        <v>P</v>
      </c>
      <c r="AE152" s="50" t="str">
        <f>MID(VLOOKUP($A152,Seqs!$A:$B,2,FALSE),VLOOKUP($A152,'SegEnds_NonXtal_Prot#'!$A:$AL,22,FALSE)+10,1)</f>
        <v>V</v>
      </c>
      <c r="AF152" s="28" t="str">
        <f>MID(VLOOKUP($A152,Seqs!$A:$B,2,FALSE),VLOOKUP($A152,'SegEnds_NonXtal_Prot#'!$A:$AL,28,FALSE)-4,1)</f>
        <v>T</v>
      </c>
      <c r="AG152" s="50" t="str">
        <f>MID(VLOOKUP($A152,Seqs!$A:$B,2,FALSE),VLOOKUP($A152,'SegEnds_NonXtal_Prot#'!$A:$AL,28,FALSE),1)</f>
        <v>P</v>
      </c>
    </row>
    <row r="153" spans="1:33" s="2" customFormat="1" x14ac:dyDescent="0.2">
      <c r="A153" s="2" t="s">
        <v>321</v>
      </c>
      <c r="B153" s="2" t="str">
        <f>LOWER(VLOOKUP(A153,Xtal_Templ!A:B,2,FALSE))</f>
        <v>oprd_human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G153" s="4"/>
      <c r="M153" s="2" t="s">
        <v>14</v>
      </c>
      <c r="Q153" s="2" t="s">
        <v>9</v>
      </c>
      <c r="S153" s="4" t="s">
        <v>12</v>
      </c>
      <c r="U153" s="28" t="str">
        <f>MID(VLOOKUP($A153,Seqs!$A:$B,2,FALSE),VLOOKUP($A153,'SegEnds_NonXtal_Prot#'!A:AL,10,FALSE),1)</f>
        <v>D</v>
      </c>
      <c r="V153" s="50" t="str">
        <f>MID(VLOOKUP($A153,Seqs!$A:$B,2,FALSE),VLOOKUP($A153,'SegEnds_NonXtal_Prot#'!A:AL,10,FALSE)+6,1)</f>
        <v>V</v>
      </c>
      <c r="W153" s="50" t="str">
        <f>MID(VLOOKUP($A153,Seqs!$A:$B,2,FALSE),VLOOKUP($A153,'SegEnds_NonXtal_Prot#'!A:AL,10,FALSE)+7,1)</f>
        <v>L</v>
      </c>
      <c r="X153" s="50" t="str">
        <f>MID(VLOOKUP($A153,Seqs!$A:$B,2,FALSE),VLOOKUP($A153,'SegEnds_NonXtal_Prot#'!A:AL,10,FALSE)+8,1)</f>
        <v>P</v>
      </c>
      <c r="Y153" s="50" t="str">
        <f>MID(VLOOKUP($A153,Seqs!$A:$B,2,FALSE),VLOOKUP($A153,'SegEnds_NonXtal_Prot#'!A:AL,10,FALSE)+9,1)</f>
        <v>V</v>
      </c>
      <c r="Z153" s="50" t="str">
        <f>MID(VLOOKUP($A153,Seqs!$A:$B,2,FALSE),VLOOKUP($A153,'SegEnds_NonXtal_Prot#'!A:AL,10,FALSE)+10,1)</f>
        <v>N</v>
      </c>
      <c r="AA153" s="28" t="str">
        <f>MID(VLOOKUP($A153,Seqs!$A:$B,2,FALSE),VLOOKUP($A153,'SegEnds_NonXtal_Prot#'!$A:$AL,22,FALSE)+6,1)</f>
        <v>L</v>
      </c>
      <c r="AB153" s="50" t="str">
        <f>MID(VLOOKUP($A153,Seqs!$A:$B,2,FALSE),VLOOKUP($A153,'SegEnds_NonXtal_Prot#'!$A:$AL,22,FALSE)+7,1)</f>
        <v>V</v>
      </c>
      <c r="AC153" s="50" t="str">
        <f>MID(VLOOKUP($A153,Seqs!$A:$B,2,FALSE),VLOOKUP($A153,'SegEnds_NonXtal_Prot#'!$A:$AL,22,FALSE)+8,1)</f>
        <v>L</v>
      </c>
      <c r="AD153" s="50" t="str">
        <f>MID(VLOOKUP($A153,Seqs!$A:$B,2,FALSE),VLOOKUP($A153,'SegEnds_NonXtal_Prot#'!$A:$AL,22,FALSE)+9,1)</f>
        <v>P</v>
      </c>
      <c r="AE153" s="50" t="str">
        <f>MID(VLOOKUP($A153,Seqs!$A:$B,2,FALSE),VLOOKUP($A153,'SegEnds_NonXtal_Prot#'!$A:$AL,22,FALSE)+10,1)</f>
        <v>F</v>
      </c>
      <c r="AF153" s="28" t="str">
        <f>MID(VLOOKUP($A153,Seqs!$A:$B,2,FALSE),VLOOKUP($A153,'SegEnds_NonXtal_Prot#'!$A:$AL,28,FALSE)-4,1)</f>
        <v>G</v>
      </c>
      <c r="AG153" s="50" t="str">
        <f>MID(VLOOKUP($A153,Seqs!$A:$B,2,FALSE),VLOOKUP($A153,'SegEnds_NonXtal_Prot#'!$A:$AL,28,FALSE),1)</f>
        <v>P</v>
      </c>
    </row>
    <row r="154" spans="1:33" s="2" customFormat="1" x14ac:dyDescent="0.2">
      <c r="A154" s="2" t="s">
        <v>916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Xtal</v>
      </c>
      <c r="G154" s="4"/>
      <c r="Q154" s="2" t="s">
        <v>9</v>
      </c>
      <c r="S154" s="4" t="s">
        <v>12</v>
      </c>
      <c r="U154" s="28" t="str">
        <f>MID(VLOOKUP($A154,Seqs!$A:$B,2,FALSE),VLOOKUP($A154,'SegEnds_NonXtal_Prot#'!A:AL,10,FALSE),1)</f>
        <v>D</v>
      </c>
      <c r="V154" s="50" t="str">
        <f>MID(VLOOKUP($A154,Seqs!$A:$B,2,FALSE),VLOOKUP($A154,'SegEnds_NonXtal_Prot#'!A:AL,10,FALSE)+6,1)</f>
        <v>T</v>
      </c>
      <c r="W154" s="50" t="str">
        <f>MID(VLOOKUP($A154,Seqs!$A:$B,2,FALSE),VLOOKUP($A154,'SegEnds_NonXtal_Prot#'!A:AL,10,FALSE)+7,1)</f>
        <v>L</v>
      </c>
      <c r="X154" s="50" t="str">
        <f>MID(VLOOKUP($A154,Seqs!$A:$B,2,FALSE),VLOOKUP($A154,'SegEnds_NonXtal_Prot#'!A:AL,10,FALSE)+8,1)</f>
        <v>P</v>
      </c>
      <c r="Y154" s="50" t="str">
        <f>MID(VLOOKUP($A154,Seqs!$A:$B,2,FALSE),VLOOKUP($A154,'SegEnds_NonXtal_Prot#'!A:AL,10,FALSE)+9,1)</f>
        <v>F</v>
      </c>
      <c r="Z154" s="50" t="str">
        <f>MID(VLOOKUP($A154,Seqs!$A:$B,2,FALSE),VLOOKUP($A154,'SegEnds_NonXtal_Prot#'!A:AL,10,FALSE)+10,1)</f>
        <v>Q</v>
      </c>
      <c r="AA154" s="28" t="str">
        <f>MID(VLOOKUP($A154,Seqs!$A:$B,2,FALSE),VLOOKUP($A154,'SegEnds_NonXtal_Prot#'!$A:$AL,22,FALSE)+6,1)</f>
        <v>V</v>
      </c>
      <c r="AB154" s="50" t="str">
        <f>MID(VLOOKUP($A154,Seqs!$A:$B,2,FALSE),VLOOKUP($A154,'SegEnds_NonXtal_Prot#'!$A:$AL,22,FALSE)+7,1)</f>
        <v>G</v>
      </c>
      <c r="AC154" s="50" t="str">
        <f>MID(VLOOKUP($A154,Seqs!$A:$B,2,FALSE),VLOOKUP($A154,'SegEnds_NonXtal_Prot#'!$A:$AL,22,FALSE)+8,1)</f>
        <v>V</v>
      </c>
      <c r="AD154" s="50" t="str">
        <f>MID(VLOOKUP($A154,Seqs!$A:$B,2,FALSE),VLOOKUP($A154,'SegEnds_NonXtal_Prot#'!$A:$AL,22,FALSE)+9,1)</f>
        <v>P</v>
      </c>
      <c r="AE154" s="50" t="str">
        <f>MID(VLOOKUP($A154,Seqs!$A:$B,2,FALSE),VLOOKUP($A154,'SegEnds_NonXtal_Prot#'!$A:$AL,22,FALSE)+10,1)</f>
        <v>I</v>
      </c>
      <c r="AF154" s="28" t="str">
        <f>MID(VLOOKUP($A154,Seqs!$A:$B,2,FALSE),VLOOKUP($A154,'SegEnds_NonXtal_Prot#'!$A:$AL,28,FALSE)-4,1)</f>
        <v>A</v>
      </c>
      <c r="AG154" s="50" t="str">
        <f>MID(VLOOKUP($A154,Seqs!$A:$B,2,FALSE),VLOOKUP($A154,'SegEnds_NonXtal_Prot#'!$A:$AL,28,FALSE),1)</f>
        <v>P</v>
      </c>
    </row>
    <row r="155" spans="1:33" s="2" customFormat="1" x14ac:dyDescent="0.2">
      <c r="A155" s="2" t="s">
        <v>360</v>
      </c>
      <c r="B155" s="2" t="str">
        <f>LOWER(VLOOKUP(A155,Xtal_Templ!A:B,2,FALSE))</f>
        <v>agtr2_human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G155" s="4"/>
      <c r="M155" s="2" t="s">
        <v>14</v>
      </c>
      <c r="Q155" s="2" t="s">
        <v>9</v>
      </c>
      <c r="S155" s="4" t="s">
        <v>12</v>
      </c>
      <c r="U155" s="28" t="str">
        <f>MID(VLOOKUP($A155,Seqs!$A:$B,2,FALSE),VLOOKUP($A155,'SegEnds_NonXtal_Prot#'!A:AL,10,FALSE),1)</f>
        <v>D</v>
      </c>
      <c r="V155" s="50" t="str">
        <f>MID(VLOOKUP($A155,Seqs!$A:$B,2,FALSE),VLOOKUP($A155,'SegEnds_NonXtal_Prot#'!A:AL,10,FALSE)+6,1)</f>
        <v>S</v>
      </c>
      <c r="W155" s="50" t="str">
        <f>MID(VLOOKUP($A155,Seqs!$A:$B,2,FALSE),VLOOKUP($A155,'SegEnds_NonXtal_Prot#'!A:AL,10,FALSE)+7,1)</f>
        <v>L</v>
      </c>
      <c r="X155" s="50" t="str">
        <f>MID(VLOOKUP($A155,Seqs!$A:$B,2,FALSE),VLOOKUP($A155,'SegEnds_NonXtal_Prot#'!A:AL,10,FALSE)+8,1)</f>
        <v>P</v>
      </c>
      <c r="Y155" s="50" t="str">
        <f>MID(VLOOKUP($A155,Seqs!$A:$B,2,FALSE),VLOOKUP($A155,'SegEnds_NonXtal_Prot#'!A:AL,10,FALSE)+9,1)</f>
        <v>F</v>
      </c>
      <c r="Z155" s="50" t="str">
        <f>MID(VLOOKUP($A155,Seqs!$A:$B,2,FALSE),VLOOKUP($A155,'SegEnds_NonXtal_Prot#'!A:AL,10,FALSE)+10,1)</f>
        <v>F</v>
      </c>
      <c r="AA155" s="28" t="str">
        <f>MID(VLOOKUP($A155,Seqs!$A:$B,2,FALSE),VLOOKUP($A155,'SegEnds_NonXtal_Prot#'!$A:$AL,22,FALSE)+6,1)</f>
        <v>N</v>
      </c>
      <c r="AB155" s="50" t="str">
        <f>MID(VLOOKUP($A155,Seqs!$A:$B,2,FALSE),VLOOKUP($A155,'SegEnds_NonXtal_Prot#'!$A:$AL,22,FALSE)+7,1)</f>
        <v>T</v>
      </c>
      <c r="AC155" s="50" t="str">
        <f>MID(VLOOKUP($A155,Seqs!$A:$B,2,FALSE),VLOOKUP($A155,'SegEnds_NonXtal_Prot#'!$A:$AL,22,FALSE)+8,1)</f>
        <v>V</v>
      </c>
      <c r="AD155" s="50" t="str">
        <f>MID(VLOOKUP($A155,Seqs!$A:$B,2,FALSE),VLOOKUP($A155,'SegEnds_NonXtal_Prot#'!$A:$AL,22,FALSE)+9,1)</f>
        <v>P</v>
      </c>
      <c r="AE155" s="50" t="str">
        <f>MID(VLOOKUP($A155,Seqs!$A:$B,2,FALSE),VLOOKUP($A155,'SegEnds_NonXtal_Prot#'!$A:$AL,22,FALSE)+10,1)</f>
        <v>Y</v>
      </c>
      <c r="AF155" s="28" t="str">
        <f>MID(VLOOKUP($A155,Seqs!$A:$B,2,FALSE),VLOOKUP($A155,'SegEnds_NonXtal_Prot#'!$A:$AL,28,FALSE)-4,1)</f>
        <v>A</v>
      </c>
      <c r="AG155" s="50" t="str">
        <f>MID(VLOOKUP($A155,Seqs!$A:$B,2,FALSE),VLOOKUP($A155,'SegEnds_NonXtal_Prot#'!$A:$AL,28,FALSE),1)</f>
        <v>P</v>
      </c>
    </row>
    <row r="156" spans="1:33" s="2" customFormat="1" x14ac:dyDescent="0.2">
      <c r="A156" s="2" t="s">
        <v>384</v>
      </c>
      <c r="B156" s="2" t="str">
        <f>LOWER(VLOOKUP(A156,Xtal_Templ!A:B,2,FALSE))</f>
        <v>oprd_human</v>
      </c>
      <c r="C156" s="2" t="str">
        <f>VLOOKUP(A156,Classification!A:D,2,FALSE)</f>
        <v>A</v>
      </c>
      <c r="D156" s="2" t="str">
        <f>IF(ISERROR(MATCH(A156,'SegEnds_Xtal_Prot#'!B:B, 0)), "NoXtal", "Xtal")</f>
        <v>NoXtal</v>
      </c>
      <c r="G156" s="4"/>
      <c r="M156" s="2" t="s">
        <v>14</v>
      </c>
      <c r="Q156" s="2" t="s">
        <v>9</v>
      </c>
      <c r="S156" s="4" t="s">
        <v>12</v>
      </c>
      <c r="U156" s="28" t="str">
        <f>MID(VLOOKUP($A156,Seqs!$A:$B,2,FALSE),VLOOKUP($A156,'SegEnds_NonXtal_Prot#'!A:AL,10,FALSE),1)</f>
        <v>D</v>
      </c>
      <c r="V156" s="50" t="str">
        <f>MID(VLOOKUP($A156,Seqs!$A:$B,2,FALSE),VLOOKUP($A156,'SegEnds_NonXtal_Prot#'!A:AL,10,FALSE)+6,1)</f>
        <v>S</v>
      </c>
      <c r="W156" s="50" t="str">
        <f>MID(VLOOKUP($A156,Seqs!$A:$B,2,FALSE),VLOOKUP($A156,'SegEnds_NonXtal_Prot#'!A:AL,10,FALSE)+7,1)</f>
        <v>V</v>
      </c>
      <c r="X156" s="50" t="str">
        <f>MID(VLOOKUP($A156,Seqs!$A:$B,2,FALSE),VLOOKUP($A156,'SegEnds_NonXtal_Prot#'!A:AL,10,FALSE)+8,1)</f>
        <v>P</v>
      </c>
      <c r="Y156" s="50" t="str">
        <f>MID(VLOOKUP($A156,Seqs!$A:$B,2,FALSE),VLOOKUP($A156,'SegEnds_NonXtal_Prot#'!A:AL,10,FALSE)+9,1)</f>
        <v>F</v>
      </c>
      <c r="Z156" s="50" t="str">
        <f>MID(VLOOKUP($A156,Seqs!$A:$B,2,FALSE),VLOOKUP($A156,'SegEnds_NonXtal_Prot#'!A:AL,10,FALSE)+10,1)</f>
        <v>V</v>
      </c>
      <c r="AA156" s="28" t="str">
        <f>MID(VLOOKUP($A156,Seqs!$A:$B,2,FALSE),VLOOKUP($A156,'SegEnds_NonXtal_Prot#'!$A:$AL,22,FALSE)+6,1)</f>
        <v>V</v>
      </c>
      <c r="AB156" s="50" t="str">
        <f>MID(VLOOKUP($A156,Seqs!$A:$B,2,FALSE),VLOOKUP($A156,'SegEnds_NonXtal_Prot#'!$A:$AL,22,FALSE)+7,1)</f>
        <v>T</v>
      </c>
      <c r="AC156" s="50" t="str">
        <f>MID(VLOOKUP($A156,Seqs!$A:$B,2,FALSE),VLOOKUP($A156,'SegEnds_NonXtal_Prot#'!$A:$AL,22,FALSE)+8,1)</f>
        <v>L</v>
      </c>
      <c r="AD156" s="50" t="str">
        <f>MID(VLOOKUP($A156,Seqs!$A:$B,2,FALSE),VLOOKUP($A156,'SegEnds_NonXtal_Prot#'!$A:$AL,22,FALSE)+9,1)</f>
        <v>P</v>
      </c>
      <c r="AE156" s="50" t="str">
        <f>MID(VLOOKUP($A156,Seqs!$A:$B,2,FALSE),VLOOKUP($A156,'SegEnds_NonXtal_Prot#'!$A:$AL,22,FALSE)+10,1)</f>
        <v>I</v>
      </c>
      <c r="AF156" s="28" t="str">
        <f>MID(VLOOKUP($A156,Seqs!$A:$B,2,FALSE),VLOOKUP($A156,'SegEnds_NonXtal_Prot#'!$A:$AL,28,FALSE)-4,1)</f>
        <v>G</v>
      </c>
      <c r="AG156" s="50" t="str">
        <f>MID(VLOOKUP($A156,Seqs!$A:$B,2,FALSE),VLOOKUP($A156,'SegEnds_NonXtal_Prot#'!$A:$AL,28,FALSE),1)</f>
        <v>P</v>
      </c>
    </row>
    <row r="157" spans="1:33" s="2" customFormat="1" x14ac:dyDescent="0.2">
      <c r="A157" s="2" t="s">
        <v>164</v>
      </c>
      <c r="B157" s="2" t="str">
        <f>LOWER(VLOOKUP(A157,Xtal_Templ!A:B,2,FALSE))</f>
        <v>agtr1_human</v>
      </c>
      <c r="C157" s="2" t="str">
        <f>VLOOKUP(A157,Classification!A:D,2,FALSE)</f>
        <v>A</v>
      </c>
      <c r="D157" s="2" t="str">
        <f>IF(ISERROR(MATCH(A157,'SegEnds_Xtal_Prot#'!B:B, 0)), "NoXtal", "Xtal")</f>
        <v>NoXtal</v>
      </c>
      <c r="G157" s="4"/>
      <c r="M157" s="2" t="s">
        <v>14</v>
      </c>
      <c r="Q157" s="2" t="s">
        <v>9</v>
      </c>
      <c r="S157" s="4" t="s">
        <v>12</v>
      </c>
      <c r="U157" s="28" t="str">
        <f>MID(VLOOKUP($A157,Seqs!$A:$B,2,FALSE),VLOOKUP($A157,'SegEnds_NonXtal_Prot#'!A:AL,10,FALSE),1)</f>
        <v>D</v>
      </c>
      <c r="V157" s="50" t="str">
        <f>MID(VLOOKUP($A157,Seqs!$A:$B,2,FALSE),VLOOKUP($A157,'SegEnds_NonXtal_Prot#'!A:AL,10,FALSE)+6,1)</f>
        <v>S</v>
      </c>
      <c r="W157" s="50" t="str">
        <f>MID(VLOOKUP($A157,Seqs!$A:$B,2,FALSE),VLOOKUP($A157,'SegEnds_NonXtal_Prot#'!A:AL,10,FALSE)+7,1)</f>
        <v>L</v>
      </c>
      <c r="X157" s="50" t="str">
        <f>MID(VLOOKUP($A157,Seqs!$A:$B,2,FALSE),VLOOKUP($A157,'SegEnds_NonXtal_Prot#'!A:AL,10,FALSE)+8,1)</f>
        <v>P</v>
      </c>
      <c r="Y157" s="50" t="str">
        <f>MID(VLOOKUP($A157,Seqs!$A:$B,2,FALSE),VLOOKUP($A157,'SegEnds_NonXtal_Prot#'!A:AL,10,FALSE)+9,1)</f>
        <v>F</v>
      </c>
      <c r="Z157" s="50" t="str">
        <f>MID(VLOOKUP($A157,Seqs!$A:$B,2,FALSE),VLOOKUP($A157,'SegEnds_NonXtal_Prot#'!A:AL,10,FALSE)+10,1)</f>
        <v>S</v>
      </c>
      <c r="AA157" s="28" t="str">
        <f>MID(VLOOKUP($A157,Seqs!$A:$B,2,FALSE),VLOOKUP($A157,'SegEnds_NonXtal_Prot#'!$A:$AL,22,FALSE)+6,1)</f>
        <v>M</v>
      </c>
      <c r="AB157" s="50" t="str">
        <f>MID(VLOOKUP($A157,Seqs!$A:$B,2,FALSE),VLOOKUP($A157,'SegEnds_NonXtal_Prot#'!$A:$AL,22,FALSE)+7,1)</f>
        <v>C</v>
      </c>
      <c r="AC157" s="50" t="str">
        <f>MID(VLOOKUP($A157,Seqs!$A:$B,2,FALSE),VLOOKUP($A157,'SegEnds_NonXtal_Prot#'!$A:$AL,22,FALSE)+8,1)</f>
        <v>I</v>
      </c>
      <c r="AD157" s="50" t="str">
        <f>MID(VLOOKUP($A157,Seqs!$A:$B,2,FALSE),VLOOKUP($A157,'SegEnds_NonXtal_Prot#'!$A:$AL,22,FALSE)+9,1)</f>
        <v>P</v>
      </c>
      <c r="AE157" s="50" t="str">
        <f>MID(VLOOKUP($A157,Seqs!$A:$B,2,FALSE),VLOOKUP($A157,'SegEnds_NonXtal_Prot#'!$A:$AL,22,FALSE)+10,1)</f>
        <v>V</v>
      </c>
      <c r="AF157" s="28" t="str">
        <f>MID(VLOOKUP($A157,Seqs!$A:$B,2,FALSE),VLOOKUP($A157,'SegEnds_NonXtal_Prot#'!$A:$AL,28,FALSE)-4,1)</f>
        <v>G</v>
      </c>
      <c r="AG157" s="50" t="str">
        <f>MID(VLOOKUP($A157,Seqs!$A:$B,2,FALSE),VLOOKUP($A157,'SegEnds_NonXtal_Prot#'!$A:$AL,28,FALSE),1)</f>
        <v>P</v>
      </c>
    </row>
    <row r="158" spans="1:33" s="2" customFormat="1" x14ac:dyDescent="0.2">
      <c r="A158" s="2" t="s">
        <v>200</v>
      </c>
      <c r="B158" s="2" t="str">
        <f>LOWER(VLOOKUP(A158,Xtal_Templ!A:B,2,FALSE))</f>
        <v>ox2r_human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G158" s="4"/>
      <c r="M158" s="2" t="s">
        <v>14</v>
      </c>
      <c r="Q158" s="2" t="s">
        <v>9</v>
      </c>
      <c r="R158" s="2" t="s">
        <v>1328</v>
      </c>
      <c r="S158" s="4" t="s">
        <v>12</v>
      </c>
      <c r="U158" s="28" t="str">
        <f>MID(VLOOKUP($A158,Seqs!$A:$B,2,FALSE),VLOOKUP($A158,'SegEnds_NonXtal_Prot#'!A:AL,10,FALSE),1)</f>
        <v>D</v>
      </c>
      <c r="V158" s="50" t="str">
        <f>MID(VLOOKUP($A158,Seqs!$A:$B,2,FALSE),VLOOKUP($A158,'SegEnds_NonXtal_Prot#'!A:AL,10,FALSE)+6,1)</f>
        <v>A</v>
      </c>
      <c r="W158" s="50" t="str">
        <f>MID(VLOOKUP($A158,Seqs!$A:$B,2,FALSE),VLOOKUP($A158,'SegEnds_NonXtal_Prot#'!A:AL,10,FALSE)+7,1)</f>
        <v>I</v>
      </c>
      <c r="X158" s="50" t="str">
        <f>MID(VLOOKUP($A158,Seqs!$A:$B,2,FALSE),VLOOKUP($A158,'SegEnds_NonXtal_Prot#'!A:AL,10,FALSE)+8,1)</f>
        <v>P</v>
      </c>
      <c r="Y158" s="50" t="str">
        <f>MID(VLOOKUP($A158,Seqs!$A:$B,2,FALSE),VLOOKUP($A158,'SegEnds_NonXtal_Prot#'!A:AL,10,FALSE)+9,1)</f>
        <v>L</v>
      </c>
      <c r="Z158" s="50" t="str">
        <f>MID(VLOOKUP($A158,Seqs!$A:$B,2,FALSE),VLOOKUP($A158,'SegEnds_NonXtal_Prot#'!A:AL,10,FALSE)+10,1)</f>
        <v>V</v>
      </c>
      <c r="AA158" s="28" t="str">
        <f>MID(VLOOKUP($A158,Seqs!$A:$B,2,FALSE),VLOOKUP($A158,'SegEnds_NonXtal_Prot#'!$A:$AL,22,FALSE)+6,1)</f>
        <v>A</v>
      </c>
      <c r="AB158" s="50" t="str">
        <f>MID(VLOOKUP($A158,Seqs!$A:$B,2,FALSE),VLOOKUP($A158,'SegEnds_NonXtal_Prot#'!$A:$AL,22,FALSE)+7,1)</f>
        <v>A</v>
      </c>
      <c r="AC158" s="50" t="str">
        <f>MID(VLOOKUP($A158,Seqs!$A:$B,2,FALSE),VLOOKUP($A158,'SegEnds_NonXtal_Prot#'!$A:$AL,22,FALSE)+8,1)</f>
        <v>L</v>
      </c>
      <c r="AD158" s="50" t="str">
        <f>MID(VLOOKUP($A158,Seqs!$A:$B,2,FALSE),VLOOKUP($A158,'SegEnds_NonXtal_Prot#'!$A:$AL,22,FALSE)+9,1)</f>
        <v>P</v>
      </c>
      <c r="AE158" s="50" t="str">
        <f>MID(VLOOKUP($A158,Seqs!$A:$B,2,FALSE),VLOOKUP($A158,'SegEnds_NonXtal_Prot#'!$A:$AL,22,FALSE)+10,1)</f>
        <v>L</v>
      </c>
      <c r="AF158" s="28" t="str">
        <f>MID(VLOOKUP($A158,Seqs!$A:$B,2,FALSE),VLOOKUP($A158,'SegEnds_NonXtal_Prot#'!$A:$AL,28,FALSE)-4,1)</f>
        <v>N</v>
      </c>
      <c r="AG158" s="50" t="str">
        <f>MID(VLOOKUP($A158,Seqs!$A:$B,2,FALSE),VLOOKUP($A158,'SegEnds_NonXtal_Prot#'!$A:$AL,28,FALSE),1)</f>
        <v>P</v>
      </c>
    </row>
    <row r="159" spans="1:33" s="2" customFormat="1" x14ac:dyDescent="0.2">
      <c r="A159" s="2" t="s">
        <v>251</v>
      </c>
      <c r="B159" s="2" t="str">
        <f>LOWER(VLOOKUP(A159,Xtal_Templ!A:B,2,FALSE))</f>
        <v>oprk_human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G159" s="4"/>
      <c r="Q159" s="2" t="s">
        <v>9</v>
      </c>
      <c r="S159" s="4" t="s">
        <v>12</v>
      </c>
      <c r="U159" s="28" t="str">
        <f>MID(VLOOKUP($A159,Seqs!$A:$B,2,FALSE),VLOOKUP($A159,'SegEnds_NonXtal_Prot#'!A:AL,10,FALSE),1)</f>
        <v>D</v>
      </c>
      <c r="V159" s="50" t="str">
        <f>MID(VLOOKUP($A159,Seqs!$A:$B,2,FALSE),VLOOKUP($A159,'SegEnds_NonXtal_Prot#'!A:AL,10,FALSE)+6,1)</f>
        <v>S</v>
      </c>
      <c r="W159" s="50" t="str">
        <f>MID(VLOOKUP($A159,Seqs!$A:$B,2,FALSE),VLOOKUP($A159,'SegEnds_NonXtal_Prot#'!A:AL,10,FALSE)+7,1)</f>
        <v>L</v>
      </c>
      <c r="X159" s="50" t="str">
        <f>MID(VLOOKUP($A159,Seqs!$A:$B,2,FALSE),VLOOKUP($A159,'SegEnds_NonXtal_Prot#'!A:AL,10,FALSE)+8,1)</f>
        <v>P</v>
      </c>
      <c r="Y159" s="50" t="str">
        <f>MID(VLOOKUP($A159,Seqs!$A:$B,2,FALSE),VLOOKUP($A159,'SegEnds_NonXtal_Prot#'!A:AL,10,FALSE)+9,1)</f>
        <v>I</v>
      </c>
      <c r="Z159" s="50" t="str">
        <f>MID(VLOOKUP($A159,Seqs!$A:$B,2,FALSE),VLOOKUP($A159,'SegEnds_NonXtal_Prot#'!A:AL,10,FALSE)+10,1)</f>
        <v>A</v>
      </c>
      <c r="AA159" s="28" t="str">
        <f>MID(VLOOKUP($A159,Seqs!$A:$B,2,FALSE),VLOOKUP($A159,'SegEnds_NonXtal_Prot#'!$A:$AL,22,FALSE)+6,1)</f>
        <v>L</v>
      </c>
      <c r="AB159" s="50" t="str">
        <f>MID(VLOOKUP($A159,Seqs!$A:$B,2,FALSE),VLOOKUP($A159,'SegEnds_NonXtal_Prot#'!$A:$AL,22,FALSE)+7,1)</f>
        <v>C</v>
      </c>
      <c r="AC159" s="50" t="str">
        <f>MID(VLOOKUP($A159,Seqs!$A:$B,2,FALSE),VLOOKUP($A159,'SegEnds_NonXtal_Prot#'!$A:$AL,22,FALSE)+8,1)</f>
        <v>S</v>
      </c>
      <c r="AD159" s="50" t="str">
        <f>MID(VLOOKUP($A159,Seqs!$A:$B,2,FALSE),VLOOKUP($A159,'SegEnds_NonXtal_Prot#'!$A:$AL,22,FALSE)+9,1)</f>
        <v>A</v>
      </c>
      <c r="AE159" s="50" t="str">
        <f>MID(VLOOKUP($A159,Seqs!$A:$B,2,FALSE),VLOOKUP($A159,'SegEnds_NonXtal_Prot#'!$A:$AL,22,FALSE)+10,1)</f>
        <v>H</v>
      </c>
      <c r="AF159" s="28" t="str">
        <f>MID(VLOOKUP($A159,Seqs!$A:$B,2,FALSE),VLOOKUP($A159,'SegEnds_NonXtal_Prot#'!$A:$AL,28,FALSE)-4,1)</f>
        <v>G</v>
      </c>
      <c r="AG159" s="50" t="str">
        <f>MID(VLOOKUP($A159,Seqs!$A:$B,2,FALSE),VLOOKUP($A159,'SegEnds_NonXtal_Prot#'!$A:$AL,28,FALSE),1)</f>
        <v>P</v>
      </c>
    </row>
    <row r="160" spans="1:33" s="2" customFormat="1" x14ac:dyDescent="0.2">
      <c r="A160" s="2" t="s">
        <v>308</v>
      </c>
      <c r="B160" s="2" t="str">
        <f>LOWER(VLOOKUP(A160,Xtal_Templ!A:B,2,FALSE))</f>
        <v>oprm_mouse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G160" s="4"/>
      <c r="S160" s="4" t="s">
        <v>12</v>
      </c>
      <c r="U160" s="28" t="str">
        <f>MID(VLOOKUP($A160,Seqs!$A:$B,2,FALSE),VLOOKUP($A160,'SegEnds_NonXtal_Prot#'!A:AL,10,FALSE),1)</f>
        <v>D</v>
      </c>
      <c r="V160" s="50" t="str">
        <f>MID(VLOOKUP($A160,Seqs!$A:$B,2,FALSE),VLOOKUP($A160,'SegEnds_NonXtal_Prot#'!A:AL,10,FALSE)+6,1)</f>
        <v>F</v>
      </c>
      <c r="W160" s="50" t="str">
        <f>MID(VLOOKUP($A160,Seqs!$A:$B,2,FALSE),VLOOKUP($A160,'SegEnds_NonXtal_Prot#'!A:AL,10,FALSE)+7,1)</f>
        <v>Q</v>
      </c>
      <c r="X160" s="50" t="str">
        <f>MID(VLOOKUP($A160,Seqs!$A:$B,2,FALSE),VLOOKUP($A160,'SegEnds_NonXtal_Prot#'!A:AL,10,FALSE)+8,1)</f>
        <v>I</v>
      </c>
      <c r="Y160" s="50" t="str">
        <f>MID(VLOOKUP($A160,Seqs!$A:$B,2,FALSE),VLOOKUP($A160,'SegEnds_NonXtal_Prot#'!A:AL,10,FALSE)+9,1)</f>
        <v>I</v>
      </c>
      <c r="Z160" s="50" t="str">
        <f>MID(VLOOKUP($A160,Seqs!$A:$B,2,FALSE),VLOOKUP($A160,'SegEnds_NonXtal_Prot#'!A:AL,10,FALSE)+10,1)</f>
        <v>R</v>
      </c>
      <c r="AA160" s="28" t="str">
        <f>MID(VLOOKUP($A160,Seqs!$A:$B,2,FALSE),VLOOKUP($A160,'SegEnds_NonXtal_Prot#'!$A:$AL,22,FALSE)+6,1)</f>
        <v>F</v>
      </c>
      <c r="AB160" s="50" t="str">
        <f>MID(VLOOKUP($A160,Seqs!$A:$B,2,FALSE),VLOOKUP($A160,'SegEnds_NonXtal_Prot#'!$A:$AL,22,FALSE)+7,1)</f>
        <v>S</v>
      </c>
      <c r="AC160" s="50" t="str">
        <f>MID(VLOOKUP($A160,Seqs!$A:$B,2,FALSE),VLOOKUP($A160,'SegEnds_NonXtal_Prot#'!$A:$AL,22,FALSE)+8,1)</f>
        <v>M</v>
      </c>
      <c r="AD160" s="50" t="str">
        <f>MID(VLOOKUP($A160,Seqs!$A:$B,2,FALSE),VLOOKUP($A160,'SegEnds_NonXtal_Prot#'!$A:$AL,22,FALSE)+9,1)</f>
        <v>L</v>
      </c>
      <c r="AE160" s="50" t="str">
        <f>MID(VLOOKUP($A160,Seqs!$A:$B,2,FALSE),VLOOKUP($A160,'SegEnds_NonXtal_Prot#'!$A:$AL,22,FALSE)+10,1)</f>
        <v>E</v>
      </c>
      <c r="AF160" s="28" t="str">
        <f>MID(VLOOKUP($A160,Seqs!$A:$B,2,FALSE),VLOOKUP($A160,'SegEnds_NonXtal_Prot#'!$A:$AL,28,FALSE)-4,1)</f>
        <v>I</v>
      </c>
      <c r="AG160" s="50" t="str">
        <f>MID(VLOOKUP($A160,Seqs!$A:$B,2,FALSE),VLOOKUP($A160,'SegEnds_NonXtal_Prot#'!$A:$AL,28,FALSE),1)</f>
        <v>V</v>
      </c>
    </row>
    <row r="161" spans="1:33" s="2" customFormat="1" x14ac:dyDescent="0.2">
      <c r="A161" s="2" t="s">
        <v>336</v>
      </c>
      <c r="B161" s="2" t="str">
        <f>LOWER(VLOOKUP(A161,Xtal_Templ!A:B,2,FALSE))</f>
        <v>oprk_human</v>
      </c>
      <c r="C161" s="2" t="str">
        <f>VLOOKUP(A161,Classification!A:D,2,FALSE)</f>
        <v>A</v>
      </c>
      <c r="D161" s="2" t="str">
        <f>IF(ISERROR(MATCH(A161,'SegEnds_Xtal_Prot#'!B:B, 0)), "NoXtal", "Xtal")</f>
        <v>Xtal</v>
      </c>
      <c r="G161" s="4"/>
      <c r="Q161" s="2" t="s">
        <v>9</v>
      </c>
      <c r="S161" s="4" t="s">
        <v>12</v>
      </c>
      <c r="U161" s="28" t="str">
        <f>MID(VLOOKUP($A161,Seqs!$A:$B,2,FALSE),VLOOKUP($A161,'SegEnds_NonXtal_Prot#'!A:AL,10,FALSE),1)</f>
        <v>D</v>
      </c>
      <c r="V161" s="50" t="str">
        <f>MID(VLOOKUP($A161,Seqs!$A:$B,2,FALSE),VLOOKUP($A161,'SegEnds_NonXtal_Prot#'!A:AL,10,FALSE)+6,1)</f>
        <v>T</v>
      </c>
      <c r="W161" s="50" t="str">
        <f>MID(VLOOKUP($A161,Seqs!$A:$B,2,FALSE),VLOOKUP($A161,'SegEnds_NonXtal_Prot#'!A:AL,10,FALSE)+7,1)</f>
        <v>M</v>
      </c>
      <c r="X161" s="50" t="str">
        <f>MID(VLOOKUP($A161,Seqs!$A:$B,2,FALSE),VLOOKUP($A161,'SegEnds_NonXtal_Prot#'!A:AL,10,FALSE)+8,1)</f>
        <v>P</v>
      </c>
      <c r="Y161" s="50" t="str">
        <f>MID(VLOOKUP($A161,Seqs!$A:$B,2,FALSE),VLOOKUP($A161,'SegEnds_NonXtal_Prot#'!A:AL,10,FALSE)+9,1)</f>
        <v>F</v>
      </c>
      <c r="Z161" s="50" t="str">
        <f>MID(VLOOKUP($A161,Seqs!$A:$B,2,FALSE),VLOOKUP($A161,'SegEnds_NonXtal_Prot#'!A:AL,10,FALSE)+10,1)</f>
        <v>Q</v>
      </c>
      <c r="AA161" s="28" t="str">
        <f>MID(VLOOKUP($A161,Seqs!$A:$B,2,FALSE),VLOOKUP($A161,'SegEnds_NonXtal_Prot#'!$A:$AL,22,FALSE)+6,1)</f>
        <v>V</v>
      </c>
      <c r="AB161" s="50" t="str">
        <f>MID(VLOOKUP($A161,Seqs!$A:$B,2,FALSE),VLOOKUP($A161,'SegEnds_NonXtal_Prot#'!$A:$AL,22,FALSE)+7,1)</f>
        <v>G</v>
      </c>
      <c r="AC161" s="50" t="str">
        <f>MID(VLOOKUP($A161,Seqs!$A:$B,2,FALSE),VLOOKUP($A161,'SegEnds_NonXtal_Prot#'!$A:$AL,22,FALSE)+8,1)</f>
        <v>I</v>
      </c>
      <c r="AD161" s="50" t="str">
        <f>MID(VLOOKUP($A161,Seqs!$A:$B,2,FALSE),VLOOKUP($A161,'SegEnds_NonXtal_Prot#'!$A:$AL,22,FALSE)+9,1)</f>
        <v>S</v>
      </c>
      <c r="AE161" s="50" t="str">
        <f>MID(VLOOKUP($A161,Seqs!$A:$B,2,FALSE),VLOOKUP($A161,'SegEnds_NonXtal_Prot#'!$A:$AL,22,FALSE)+10,1)</f>
        <v>A</v>
      </c>
      <c r="AF161" s="28" t="str">
        <f>MID(VLOOKUP($A161,Seqs!$A:$B,2,FALSE),VLOOKUP($A161,'SegEnds_NonXtal_Prot#'!$A:$AL,28,FALSE)-4,1)</f>
        <v>A</v>
      </c>
      <c r="AG161" s="50" t="str">
        <f>MID(VLOOKUP($A161,Seqs!$A:$B,2,FALSE),VLOOKUP($A161,'SegEnds_NonXtal_Prot#'!$A:$AL,28,FALSE),1)</f>
        <v>P</v>
      </c>
    </row>
    <row r="162" spans="1:33" s="2" customFormat="1" x14ac:dyDescent="0.2">
      <c r="A162" s="2" t="s">
        <v>342</v>
      </c>
      <c r="B162" s="2" t="str">
        <f>LOWER(VLOOKUP(A162,Xtal_Templ!A:B,2,FALSE))</f>
        <v>oprk_human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G162" s="4"/>
      <c r="Q162" s="2" t="s">
        <v>9</v>
      </c>
      <c r="S162" s="4" t="s">
        <v>12</v>
      </c>
      <c r="U162" s="28" t="str">
        <f>MID(VLOOKUP($A162,Seqs!$A:$B,2,FALSE),VLOOKUP($A162,'SegEnds_NonXtal_Prot#'!A:AL,10,FALSE),1)</f>
        <v>D</v>
      </c>
      <c r="V162" s="50" t="str">
        <f>MID(VLOOKUP($A162,Seqs!$A:$B,2,FALSE),VLOOKUP($A162,'SegEnds_NonXtal_Prot#'!A:AL,10,FALSE)+6,1)</f>
        <v>N</v>
      </c>
      <c r="W162" s="50" t="str">
        <f>MID(VLOOKUP($A162,Seqs!$A:$B,2,FALSE),VLOOKUP($A162,'SegEnds_NonXtal_Prot#'!A:AL,10,FALSE)+7,1)</f>
        <v>L</v>
      </c>
      <c r="X162" s="50" t="str">
        <f>MID(VLOOKUP($A162,Seqs!$A:$B,2,FALSE),VLOOKUP($A162,'SegEnds_NonXtal_Prot#'!A:AL,10,FALSE)+8,1)</f>
        <v>P</v>
      </c>
      <c r="Y162" s="50" t="str">
        <f>MID(VLOOKUP($A162,Seqs!$A:$B,2,FALSE),VLOOKUP($A162,'SegEnds_NonXtal_Prot#'!A:AL,10,FALSE)+9,1)</f>
        <v>L</v>
      </c>
      <c r="Z162" s="50" t="str">
        <f>MID(VLOOKUP($A162,Seqs!$A:$B,2,FALSE),VLOOKUP($A162,'SegEnds_NonXtal_Prot#'!A:AL,10,FALSE)+10,1)</f>
        <v>R</v>
      </c>
      <c r="AA162" s="28" t="str">
        <f>MID(VLOOKUP($A162,Seqs!$A:$B,2,FALSE),VLOOKUP($A162,'SegEnds_NonXtal_Prot#'!$A:$AL,22,FALSE)+6,1)</f>
        <v>L</v>
      </c>
      <c r="AB162" s="50" t="str">
        <f>MID(VLOOKUP($A162,Seqs!$A:$B,2,FALSE),VLOOKUP($A162,'SegEnds_NonXtal_Prot#'!$A:$AL,22,FALSE)+7,1)</f>
        <v>N</v>
      </c>
      <c r="AC162" s="50" t="str">
        <f>MID(VLOOKUP($A162,Seqs!$A:$B,2,FALSE),VLOOKUP($A162,'SegEnds_NonXtal_Prot#'!$A:$AL,22,FALSE)+8,1)</f>
        <v>G</v>
      </c>
      <c r="AD162" s="50" t="str">
        <f>MID(VLOOKUP($A162,Seqs!$A:$B,2,FALSE),VLOOKUP($A162,'SegEnds_NonXtal_Prot#'!$A:$AL,22,FALSE)+9,1)</f>
        <v>H</v>
      </c>
      <c r="AE162" s="50" t="str">
        <f>MID(VLOOKUP($A162,Seqs!$A:$B,2,FALSE),VLOOKUP($A162,'SegEnds_NonXtal_Prot#'!$A:$AL,22,FALSE)+10,1)</f>
        <v>L</v>
      </c>
      <c r="AF162" s="28" t="str">
        <f>MID(VLOOKUP($A162,Seqs!$A:$B,2,FALSE),VLOOKUP($A162,'SegEnds_NonXtal_Prot#'!$A:$AL,28,FALSE)-4,1)</f>
        <v>E</v>
      </c>
      <c r="AG162" s="50" t="str">
        <f>MID(VLOOKUP($A162,Seqs!$A:$B,2,FALSE),VLOOKUP($A162,'SegEnds_NonXtal_Prot#'!$A:$AL,28,FALSE),1)</f>
        <v>P</v>
      </c>
    </row>
    <row r="163" spans="1:33" s="2" customFormat="1" x14ac:dyDescent="0.2">
      <c r="A163" s="2" t="s">
        <v>205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NoXtal</v>
      </c>
      <c r="F163" s="2" t="s">
        <v>5</v>
      </c>
      <c r="G163" s="4"/>
      <c r="M163" s="2" t="s">
        <v>14</v>
      </c>
      <c r="Q163" s="2" t="s">
        <v>9</v>
      </c>
      <c r="S163" s="4" t="s">
        <v>12</v>
      </c>
      <c r="U163" s="28" t="str">
        <f>MID(VLOOKUP($A163,Seqs!$A:$B,2,FALSE),VLOOKUP($A163,'SegEnds_NonXtal_Prot#'!A:AL,10,FALSE),1)</f>
        <v>D</v>
      </c>
      <c r="V163" s="50" t="str">
        <f>MID(VLOOKUP($A163,Seqs!$A:$B,2,FALSE),VLOOKUP($A163,'SegEnds_NonXtal_Prot#'!A:AL,10,FALSE)+6,1)</f>
        <v>F</v>
      </c>
      <c r="W163" s="50" t="str">
        <f>MID(VLOOKUP($A163,Seqs!$A:$B,2,FALSE),VLOOKUP($A163,'SegEnds_NonXtal_Prot#'!A:AL,10,FALSE)+7,1)</f>
        <v>C</v>
      </c>
      <c r="X163" s="50" t="str">
        <f>MID(VLOOKUP($A163,Seqs!$A:$B,2,FALSE),VLOOKUP($A163,'SegEnds_NonXtal_Prot#'!A:AL,10,FALSE)+8,1)</f>
        <v>I</v>
      </c>
      <c r="Y163" s="50" t="str">
        <f>MID(VLOOKUP($A163,Seqs!$A:$B,2,FALSE),VLOOKUP($A163,'SegEnds_NonXtal_Prot#'!A:AL,10,FALSE)+9,1)</f>
        <v>P</v>
      </c>
      <c r="Z163" s="50" t="str">
        <f>MID(VLOOKUP($A163,Seqs!$A:$B,2,FALSE),VLOOKUP($A163,'SegEnds_NonXtal_Prot#'!A:AL,10,FALSE)+10,1)</f>
        <v>F</v>
      </c>
      <c r="AA163" s="28" t="str">
        <f>MID(VLOOKUP($A163,Seqs!$A:$B,2,FALSE),VLOOKUP($A163,'SegEnds_NonXtal_Prot#'!$A:$AL,22,FALSE)+6,1)</f>
        <v>M</v>
      </c>
      <c r="AB163" s="50" t="str">
        <f>MID(VLOOKUP($A163,Seqs!$A:$B,2,FALSE),VLOOKUP($A163,'SegEnds_NonXtal_Prot#'!$A:$AL,22,FALSE)+7,1)</f>
        <v>A</v>
      </c>
      <c r="AC163" s="50" t="str">
        <f>MID(VLOOKUP($A163,Seqs!$A:$B,2,FALSE),VLOOKUP($A163,'SegEnds_NonXtal_Prot#'!$A:$AL,22,FALSE)+8,1)</f>
        <v>S</v>
      </c>
      <c r="AD163" s="50" t="str">
        <f>MID(VLOOKUP($A163,Seqs!$A:$B,2,FALSE),VLOOKUP($A163,'SegEnds_NonXtal_Prot#'!$A:$AL,22,FALSE)+9,1)</f>
        <v>P</v>
      </c>
      <c r="AE163" s="50" t="str">
        <f>MID(VLOOKUP($A163,Seqs!$A:$B,2,FALSE),VLOOKUP($A163,'SegEnds_NonXtal_Prot#'!$A:$AL,22,FALSE)+10,1)</f>
        <v>V</v>
      </c>
      <c r="AF163" s="28" t="str">
        <f>MID(VLOOKUP($A163,Seqs!$A:$B,2,FALSE),VLOOKUP($A163,'SegEnds_NonXtal_Prot#'!$A:$AL,28,FALSE)-4,1)</f>
        <v>G</v>
      </c>
      <c r="AG163" s="50" t="str">
        <f>MID(VLOOKUP($A163,Seqs!$A:$B,2,FALSE),VLOOKUP($A163,'SegEnds_NonXtal_Prot#'!$A:$AL,28,FALSE),1)</f>
        <v>P</v>
      </c>
    </row>
    <row r="164" spans="1:33" s="2" customFormat="1" x14ac:dyDescent="0.2">
      <c r="A164" s="2" t="s">
        <v>206</v>
      </c>
      <c r="B164" s="2" t="str">
        <f>LOWER(VLOOKUP(A164,Xtal_Templ!A:B,2,FALSE))</f>
        <v>oprk_human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F164" s="2" t="s">
        <v>5</v>
      </c>
      <c r="G164" s="4"/>
      <c r="M164" s="2" t="s">
        <v>14</v>
      </c>
      <c r="Q164" s="2" t="s">
        <v>9</v>
      </c>
      <c r="S164" s="4" t="s">
        <v>12</v>
      </c>
      <c r="U164" s="28" t="str">
        <f>MID(VLOOKUP($A164,Seqs!$A:$B,2,FALSE),VLOOKUP($A164,'SegEnds_NonXtal_Prot#'!A:AL,10,FALSE),1)</f>
        <v>D</v>
      </c>
      <c r="V164" s="50" t="str">
        <f>MID(VLOOKUP($A164,Seqs!$A:$B,2,FALSE),VLOOKUP($A164,'SegEnds_NonXtal_Prot#'!A:AL,10,FALSE)+6,1)</f>
        <v>C</v>
      </c>
      <c r="W164" s="50" t="str">
        <f>MID(VLOOKUP($A164,Seqs!$A:$B,2,FALSE),VLOOKUP($A164,'SegEnds_NonXtal_Prot#'!A:AL,10,FALSE)+7,1)</f>
        <v>C</v>
      </c>
      <c r="X164" s="50" t="str">
        <f>MID(VLOOKUP($A164,Seqs!$A:$B,2,FALSE),VLOOKUP($A164,'SegEnds_NonXtal_Prot#'!A:AL,10,FALSE)+8,1)</f>
        <v>V</v>
      </c>
      <c r="Y164" s="50" t="str">
        <f>MID(VLOOKUP($A164,Seqs!$A:$B,2,FALSE),VLOOKUP($A164,'SegEnds_NonXtal_Prot#'!A:AL,10,FALSE)+9,1)</f>
        <v>P</v>
      </c>
      <c r="Z164" s="50" t="str">
        <f>MID(VLOOKUP($A164,Seqs!$A:$B,2,FALSE),VLOOKUP($A164,'SegEnds_NonXtal_Prot#'!A:AL,10,FALSE)+10,1)</f>
        <v>F</v>
      </c>
      <c r="AA164" s="28" t="str">
        <f>MID(VLOOKUP($A164,Seqs!$A:$B,2,FALSE),VLOOKUP($A164,'SegEnds_NonXtal_Prot#'!$A:$AL,22,FALSE)+6,1)</f>
        <v>F</v>
      </c>
      <c r="AB164" s="50" t="str">
        <f>MID(VLOOKUP($A164,Seqs!$A:$B,2,FALSE),VLOOKUP($A164,'SegEnds_NonXtal_Prot#'!$A:$AL,22,FALSE)+7,1)</f>
        <v>S</v>
      </c>
      <c r="AC164" s="50" t="str">
        <f>MID(VLOOKUP($A164,Seqs!$A:$B,2,FALSE),VLOOKUP($A164,'SegEnds_NonXtal_Prot#'!$A:$AL,22,FALSE)+8,1)</f>
        <v>G</v>
      </c>
      <c r="AD164" s="50" t="str">
        <f>MID(VLOOKUP($A164,Seqs!$A:$B,2,FALSE),VLOOKUP($A164,'SegEnds_NonXtal_Prot#'!$A:$AL,22,FALSE)+9,1)</f>
        <v>P</v>
      </c>
      <c r="AE164" s="50" t="str">
        <f>MID(VLOOKUP($A164,Seqs!$A:$B,2,FALSE),VLOOKUP($A164,'SegEnds_NonXtal_Prot#'!$A:$AL,22,FALSE)+10,1)</f>
        <v>Y</v>
      </c>
      <c r="AF164" s="28" t="str">
        <f>MID(VLOOKUP($A164,Seqs!$A:$B,2,FALSE),VLOOKUP($A164,'SegEnds_NonXtal_Prot#'!$A:$AL,28,FALSE)-4,1)</f>
        <v>S</v>
      </c>
      <c r="AG164" s="50" t="str">
        <f>MID(VLOOKUP($A164,Seqs!$A:$B,2,FALSE),VLOOKUP($A164,'SegEnds_NonXtal_Prot#'!$A:$AL,28,FALSE),1)</f>
        <v>P</v>
      </c>
    </row>
    <row r="165" spans="1:33" s="2" customFormat="1" x14ac:dyDescent="0.2">
      <c r="A165" s="2" t="s">
        <v>207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F165" s="2" t="s">
        <v>5</v>
      </c>
      <c r="G165" s="4"/>
      <c r="M165" s="2" t="s">
        <v>14</v>
      </c>
      <c r="Q165" s="2" t="s">
        <v>9</v>
      </c>
      <c r="S165" s="4" t="s">
        <v>12</v>
      </c>
      <c r="U165" s="28" t="str">
        <f>MID(VLOOKUP($A165,Seqs!$A:$B,2,FALSE),VLOOKUP($A165,'SegEnds_NonXtal_Prot#'!A:AL,10,FALSE),1)</f>
        <v>D</v>
      </c>
      <c r="V165" s="50" t="str">
        <f>MID(VLOOKUP($A165,Seqs!$A:$B,2,FALSE),VLOOKUP($A165,'SegEnds_NonXtal_Prot#'!A:AL,10,FALSE)+6,1)</f>
        <v>C</v>
      </c>
      <c r="W165" s="50" t="str">
        <f>MID(VLOOKUP($A165,Seqs!$A:$B,2,FALSE),VLOOKUP($A165,'SegEnds_NonXtal_Prot#'!A:AL,10,FALSE)+7,1)</f>
        <v>C</v>
      </c>
      <c r="X165" s="50" t="str">
        <f>MID(VLOOKUP($A165,Seqs!$A:$B,2,FALSE),VLOOKUP($A165,'SegEnds_NonXtal_Prot#'!A:AL,10,FALSE)+8,1)</f>
        <v>V</v>
      </c>
      <c r="Y165" s="50" t="str">
        <f>MID(VLOOKUP($A165,Seqs!$A:$B,2,FALSE),VLOOKUP($A165,'SegEnds_NonXtal_Prot#'!A:AL,10,FALSE)+9,1)</f>
        <v>P</v>
      </c>
      <c r="Z165" s="50" t="str">
        <f>MID(VLOOKUP($A165,Seqs!$A:$B,2,FALSE),VLOOKUP($A165,'SegEnds_NonXtal_Prot#'!A:AL,10,FALSE)+10,1)</f>
        <v>F</v>
      </c>
      <c r="AA165" s="28" t="str">
        <f>MID(VLOOKUP($A165,Seqs!$A:$B,2,FALSE),VLOOKUP($A165,'SegEnds_NonXtal_Prot#'!$A:$AL,22,FALSE)+6,1)</f>
        <v>F</v>
      </c>
      <c r="AB165" s="50" t="str">
        <f>MID(VLOOKUP($A165,Seqs!$A:$B,2,FALSE),VLOOKUP($A165,'SegEnds_NonXtal_Prot#'!$A:$AL,22,FALSE)+7,1)</f>
        <v>S</v>
      </c>
      <c r="AC165" s="50" t="str">
        <f>MID(VLOOKUP($A165,Seqs!$A:$B,2,FALSE),VLOOKUP($A165,'SegEnds_NonXtal_Prot#'!$A:$AL,22,FALSE)+8,1)</f>
        <v>A</v>
      </c>
      <c r="AD165" s="50" t="str">
        <f>MID(VLOOKUP($A165,Seqs!$A:$B,2,FALSE),VLOOKUP($A165,'SegEnds_NonXtal_Prot#'!$A:$AL,22,FALSE)+9,1)</f>
        <v>P</v>
      </c>
      <c r="AE165" s="50" t="str">
        <f>MID(VLOOKUP($A165,Seqs!$A:$B,2,FALSE),VLOOKUP($A165,'SegEnds_NonXtal_Prot#'!$A:$AL,22,FALSE)+10,1)</f>
        <v>Y</v>
      </c>
      <c r="AF165" s="28" t="str">
        <f>MID(VLOOKUP($A165,Seqs!$A:$B,2,FALSE),VLOOKUP($A165,'SegEnds_NonXtal_Prot#'!$A:$AL,28,FALSE)-4,1)</f>
        <v>G</v>
      </c>
      <c r="AG165" s="50" t="str">
        <f>MID(VLOOKUP($A165,Seqs!$A:$B,2,FALSE),VLOOKUP($A165,'SegEnds_NonXtal_Prot#'!$A:$AL,28,FALSE),1)</f>
        <v>P</v>
      </c>
    </row>
    <row r="166" spans="1:33" s="2" customFormat="1" x14ac:dyDescent="0.2">
      <c r="A166" s="2" t="s">
        <v>210</v>
      </c>
      <c r="B166" s="2" t="str">
        <f>LOWER(VLOOKUP(A166,Xtal_Templ!A:B,2,FALSE))</f>
        <v>apj_human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F166" s="109" t="s">
        <v>5</v>
      </c>
      <c r="M166" s="2" t="s">
        <v>14</v>
      </c>
      <c r="Q166" s="2" t="s">
        <v>9</v>
      </c>
      <c r="S166" s="4" t="s">
        <v>12</v>
      </c>
      <c r="U166" s="28" t="str">
        <f>MID(VLOOKUP($A166,Seqs!$A:$B,2,FALSE),VLOOKUP($A166,'SegEnds_NonXtal_Prot#'!A:AL,10,FALSE),1)</f>
        <v>N</v>
      </c>
      <c r="V166" s="50" t="str">
        <f>MID(VLOOKUP($A166,Seqs!$A:$B,2,FALSE),VLOOKUP($A166,'SegEnds_NonXtal_Prot#'!A:AL,10,FALSE)+6,1)</f>
        <v>I</v>
      </c>
      <c r="W166" s="50" t="str">
        <f>MID(VLOOKUP($A166,Seqs!$A:$B,2,FALSE),VLOOKUP($A166,'SegEnds_NonXtal_Prot#'!A:AL,10,FALSE)+7,1)</f>
        <v>V</v>
      </c>
      <c r="X166" s="50" t="str">
        <f>MID(VLOOKUP($A166,Seqs!$A:$B,2,FALSE),VLOOKUP($A166,'SegEnds_NonXtal_Prot#'!A:AL,10,FALSE)+8,1)</f>
        <v>M</v>
      </c>
      <c r="Y166" s="50" t="str">
        <f>MID(VLOOKUP($A166,Seqs!$A:$B,2,FALSE),VLOOKUP($A166,'SegEnds_NonXtal_Prot#'!A:AL,10,FALSE)+9,1)</f>
        <v>P</v>
      </c>
      <c r="Z166" s="50" t="str">
        <f>MID(VLOOKUP($A166,Seqs!$A:$B,2,FALSE),VLOOKUP($A166,'SegEnds_NonXtal_Prot#'!A:AL,10,FALSE)+10,1)</f>
        <v>L</v>
      </c>
      <c r="AA166" s="28" t="str">
        <f>MID(VLOOKUP($A166,Seqs!$A:$B,2,FALSE),VLOOKUP($A166,'SegEnds_NonXtal_Prot#'!$A:$AL,22,FALSE)+6,1)</f>
        <v>F</v>
      </c>
      <c r="AB166" s="50" t="str">
        <f>MID(VLOOKUP($A166,Seqs!$A:$B,2,FALSE),VLOOKUP($A166,'SegEnds_NonXtal_Prot#'!$A:$AL,22,FALSE)+7,1)</f>
        <v>A</v>
      </c>
      <c r="AC166" s="50" t="str">
        <f>MID(VLOOKUP($A166,Seqs!$A:$B,2,FALSE),VLOOKUP($A166,'SegEnds_NonXtal_Prot#'!$A:$AL,22,FALSE)+8,1)</f>
        <v>G</v>
      </c>
      <c r="AD166" s="50" t="str">
        <f>MID(VLOOKUP($A166,Seqs!$A:$B,2,FALSE),VLOOKUP($A166,'SegEnds_NonXtal_Prot#'!$A:$AL,22,FALSE)+9,1)</f>
        <v>P</v>
      </c>
      <c r="AE166" s="50" t="str">
        <f>MID(VLOOKUP($A166,Seqs!$A:$B,2,FALSE),VLOOKUP($A166,'SegEnds_NonXtal_Prot#'!$A:$AL,22,FALSE)+10,1)</f>
        <v>Q</v>
      </c>
      <c r="AF166" s="28" t="str">
        <f>MID(VLOOKUP($A166,Seqs!$A:$B,2,FALSE),VLOOKUP($A166,'SegEnds_NonXtal_Prot#'!$A:$AL,28,FALSE)-4,1)</f>
        <v>L</v>
      </c>
      <c r="AG166" s="50" t="str">
        <f>MID(VLOOKUP($A166,Seqs!$A:$B,2,FALSE),VLOOKUP($A166,'SegEnds_NonXtal_Prot#'!$A:$AL,28,FALSE),1)</f>
        <v>P</v>
      </c>
    </row>
    <row r="167" spans="1:33" s="2" customFormat="1" x14ac:dyDescent="0.2">
      <c r="A167" s="2" t="s">
        <v>337</v>
      </c>
      <c r="B167" s="2" t="str">
        <f>LOWER(VLOOKUP(A167,Xtal_Templ!A:B,2,FALSE))</f>
        <v>oprm_mouse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4"/>
      <c r="Q167" s="2" t="s">
        <v>9</v>
      </c>
      <c r="S167" s="4" t="s">
        <v>12</v>
      </c>
      <c r="U167" s="28" t="str">
        <f>MID(VLOOKUP($A167,Seqs!$A:$B,2,FALSE),VLOOKUP($A167,'SegEnds_NonXtal_Prot#'!A:AL,10,FALSE),1)</f>
        <v>D</v>
      </c>
      <c r="V167" s="50" t="str">
        <f>MID(VLOOKUP($A167,Seqs!$A:$B,2,FALSE),VLOOKUP($A167,'SegEnds_NonXtal_Prot#'!A:AL,10,FALSE)+6,1)</f>
        <v>T</v>
      </c>
      <c r="W167" s="50" t="str">
        <f>MID(VLOOKUP($A167,Seqs!$A:$B,2,FALSE),VLOOKUP($A167,'SegEnds_NonXtal_Prot#'!A:AL,10,FALSE)+7,1)</f>
        <v>L</v>
      </c>
      <c r="X167" s="50" t="str">
        <f>MID(VLOOKUP($A167,Seqs!$A:$B,2,FALSE),VLOOKUP($A167,'SegEnds_NonXtal_Prot#'!A:AL,10,FALSE)+8,1)</f>
        <v>P</v>
      </c>
      <c r="Y167" s="50" t="str">
        <f>MID(VLOOKUP($A167,Seqs!$A:$B,2,FALSE),VLOOKUP($A167,'SegEnds_NonXtal_Prot#'!A:AL,10,FALSE)+9,1)</f>
        <v>F</v>
      </c>
      <c r="Z167" s="50" t="str">
        <f>MID(VLOOKUP($A167,Seqs!$A:$B,2,FALSE),VLOOKUP($A167,'SegEnds_NonXtal_Prot#'!A:AL,10,FALSE)+10,1)</f>
        <v>Q</v>
      </c>
      <c r="AA167" s="28" t="str">
        <f>MID(VLOOKUP($A167,Seqs!$A:$B,2,FALSE),VLOOKUP($A167,'SegEnds_NonXtal_Prot#'!$A:$AL,22,FALSE)+6,1)</f>
        <v>I</v>
      </c>
      <c r="AB167" s="50" t="str">
        <f>MID(VLOOKUP($A167,Seqs!$A:$B,2,FALSE),VLOOKUP($A167,'SegEnds_NonXtal_Prot#'!$A:$AL,22,FALSE)+7,1)</f>
        <v>G</v>
      </c>
      <c r="AC167" s="50" t="str">
        <f>MID(VLOOKUP($A167,Seqs!$A:$B,2,FALSE),VLOOKUP($A167,'SegEnds_NonXtal_Prot#'!$A:$AL,22,FALSE)+8,1)</f>
        <v>L</v>
      </c>
      <c r="AD167" s="50" t="str">
        <f>MID(VLOOKUP($A167,Seqs!$A:$B,2,FALSE),VLOOKUP($A167,'SegEnds_NonXtal_Prot#'!$A:$AL,22,FALSE)+9,1)</f>
        <v>P</v>
      </c>
      <c r="AE167" s="50" t="str">
        <f>MID(VLOOKUP($A167,Seqs!$A:$B,2,FALSE),VLOOKUP($A167,'SegEnds_NonXtal_Prot#'!$A:$AL,22,FALSE)+10,1)</f>
        <v>V</v>
      </c>
      <c r="AF167" s="28" t="str">
        <f>MID(VLOOKUP($A167,Seqs!$A:$B,2,FALSE),VLOOKUP($A167,'SegEnds_NonXtal_Prot#'!$A:$AL,28,FALSE)-4,1)</f>
        <v>A</v>
      </c>
      <c r="AG167" s="50" t="str">
        <f>MID(VLOOKUP($A167,Seqs!$A:$B,2,FALSE),VLOOKUP($A167,'SegEnds_NonXtal_Prot#'!$A:$AL,28,FALSE),1)</f>
        <v>P</v>
      </c>
    </row>
    <row r="168" spans="1:33" s="2" customFormat="1" x14ac:dyDescent="0.2">
      <c r="A168" s="2" t="s">
        <v>918</v>
      </c>
      <c r="B168" s="2" t="str">
        <f>LOWER(VLOOKUP(A168,Xtal_Templ!A:B,2,FALSE))</f>
        <v>oprm_mouse</v>
      </c>
      <c r="C168" s="2" t="str">
        <f>VLOOKUP(A168,Classification!A:D,2,FALSE)</f>
        <v>A</v>
      </c>
      <c r="D168" s="2" t="str">
        <f>IF(ISERROR(MATCH(A168,'SegEnds_Xtal_Prot#'!B:B, 0)), "NoXtal", "Xtal")</f>
        <v>Xtal</v>
      </c>
      <c r="G168" s="4"/>
      <c r="Q168" s="2" t="s">
        <v>9</v>
      </c>
      <c r="S168" s="4" t="s">
        <v>12</v>
      </c>
      <c r="U168" s="28" t="str">
        <f>MID(VLOOKUP($A168,Seqs!$A:$B,2,FALSE),VLOOKUP($A168,'SegEnds_NonXtal_Prot#'!A:AL,10,FALSE),1)</f>
        <v>D</v>
      </c>
      <c r="V168" s="50" t="str">
        <f>MID(VLOOKUP($A168,Seqs!$A:$B,2,FALSE),VLOOKUP($A168,'SegEnds_NonXtal_Prot#'!A:AL,10,FALSE)+6,1)</f>
        <v>T</v>
      </c>
      <c r="W168" s="50" t="str">
        <f>MID(VLOOKUP($A168,Seqs!$A:$B,2,FALSE),VLOOKUP($A168,'SegEnds_NonXtal_Prot#'!A:AL,10,FALSE)+7,1)</f>
        <v>L</v>
      </c>
      <c r="X168" s="50" t="str">
        <f>MID(VLOOKUP($A168,Seqs!$A:$B,2,FALSE),VLOOKUP($A168,'SegEnds_NonXtal_Prot#'!A:AL,10,FALSE)+8,1)</f>
        <v>P</v>
      </c>
      <c r="Y168" s="50" t="str">
        <f>MID(VLOOKUP($A168,Seqs!$A:$B,2,FALSE),VLOOKUP($A168,'SegEnds_NonXtal_Prot#'!A:AL,10,FALSE)+9,1)</f>
        <v>F</v>
      </c>
      <c r="Z168" s="50" t="str">
        <f>MID(VLOOKUP($A168,Seqs!$A:$B,2,FALSE),VLOOKUP($A168,'SegEnds_NonXtal_Prot#'!A:AL,10,FALSE)+10,1)</f>
        <v>Q</v>
      </c>
      <c r="AA168" s="28" t="str">
        <f>MID(VLOOKUP($A168,Seqs!$A:$B,2,FALSE),VLOOKUP($A168,'SegEnds_NonXtal_Prot#'!$A:$AL,22,FALSE)+6,1)</f>
        <v>I</v>
      </c>
      <c r="AB168" s="50" t="str">
        <f>MID(VLOOKUP($A168,Seqs!$A:$B,2,FALSE),VLOOKUP($A168,'SegEnds_NonXtal_Prot#'!$A:$AL,22,FALSE)+7,1)</f>
        <v>G</v>
      </c>
      <c r="AC168" s="50" t="str">
        <f>MID(VLOOKUP($A168,Seqs!$A:$B,2,FALSE),VLOOKUP($A168,'SegEnds_NonXtal_Prot#'!$A:$AL,22,FALSE)+8,1)</f>
        <v>L</v>
      </c>
      <c r="AD168" s="50" t="str">
        <f>MID(VLOOKUP($A168,Seqs!$A:$B,2,FALSE),VLOOKUP($A168,'SegEnds_NonXtal_Prot#'!$A:$AL,22,FALSE)+9,1)</f>
        <v>P</v>
      </c>
      <c r="AE168" s="50" t="str">
        <f>MID(VLOOKUP($A168,Seqs!$A:$B,2,FALSE),VLOOKUP($A168,'SegEnds_NonXtal_Prot#'!$A:$AL,22,FALSE)+10,1)</f>
        <v>V</v>
      </c>
      <c r="AF168" s="28" t="str">
        <f>MID(VLOOKUP($A168,Seqs!$A:$B,2,FALSE),VLOOKUP($A168,'SegEnds_NonXtal_Prot#'!$A:$AL,28,FALSE)-4,1)</f>
        <v>A</v>
      </c>
      <c r="AG168" s="50" t="str">
        <f>MID(VLOOKUP($A168,Seqs!$A:$B,2,FALSE),VLOOKUP($A168,'SegEnds_NonXtal_Prot#'!$A:$AL,28,FALSE),1)</f>
        <v>P</v>
      </c>
    </row>
    <row r="169" spans="1:33" s="2" customFormat="1" x14ac:dyDescent="0.2">
      <c r="A169" s="2" t="s">
        <v>381</v>
      </c>
      <c r="B169" s="2" t="str">
        <f>LOWER(VLOOKUP(A169,Xtal_Templ!A:B,2,FALSE))</f>
        <v>oprk_human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G169" s="4"/>
      <c r="M169" s="2" t="s">
        <v>14</v>
      </c>
      <c r="Q169" s="2" t="s">
        <v>9</v>
      </c>
      <c r="S169" s="4" t="s">
        <v>12</v>
      </c>
      <c r="U169" s="28" t="str">
        <f>MID(VLOOKUP($A169,Seqs!$A:$B,2,FALSE),VLOOKUP($A169,'SegEnds_NonXtal_Prot#'!A:AL,10,FALSE),1)</f>
        <v>D</v>
      </c>
      <c r="V169" s="50" t="str">
        <f>MID(VLOOKUP($A169,Seqs!$A:$B,2,FALSE),VLOOKUP($A169,'SegEnds_NonXtal_Prot#'!A:AL,10,FALSE)+6,1)</f>
        <v>S</v>
      </c>
      <c r="W169" s="50" t="str">
        <f>MID(VLOOKUP($A169,Seqs!$A:$B,2,FALSE),VLOOKUP($A169,'SegEnds_NonXtal_Prot#'!A:AL,10,FALSE)+7,1)</f>
        <v>V</v>
      </c>
      <c r="X169" s="50" t="str">
        <f>MID(VLOOKUP($A169,Seqs!$A:$B,2,FALSE),VLOOKUP($A169,'SegEnds_NonXtal_Prot#'!A:AL,10,FALSE)+8,1)</f>
        <v>P</v>
      </c>
      <c r="Y169" s="50" t="str">
        <f>MID(VLOOKUP($A169,Seqs!$A:$B,2,FALSE),VLOOKUP($A169,'SegEnds_NonXtal_Prot#'!A:AL,10,FALSE)+9,1)</f>
        <v>F</v>
      </c>
      <c r="Z169" s="50" t="str">
        <f>MID(VLOOKUP($A169,Seqs!$A:$B,2,FALSE),VLOOKUP($A169,'SegEnds_NonXtal_Prot#'!A:AL,10,FALSE)+10,1)</f>
        <v>L</v>
      </c>
      <c r="AA169" s="28" t="str">
        <f>MID(VLOOKUP($A169,Seqs!$A:$B,2,FALSE),VLOOKUP($A169,'SegEnds_NonXtal_Prot#'!$A:$AL,22,FALSE)+6,1)</f>
        <v>V</v>
      </c>
      <c r="AB169" s="50" t="str">
        <f>MID(VLOOKUP($A169,Seqs!$A:$B,2,FALSE),VLOOKUP($A169,'SegEnds_NonXtal_Prot#'!$A:$AL,22,FALSE)+7,1)</f>
        <v>I</v>
      </c>
      <c r="AC169" s="50" t="str">
        <f>MID(VLOOKUP($A169,Seqs!$A:$B,2,FALSE),VLOOKUP($A169,'SegEnds_NonXtal_Prot#'!$A:$AL,22,FALSE)+8,1)</f>
        <v>L</v>
      </c>
      <c r="AD169" s="50" t="str">
        <f>MID(VLOOKUP($A169,Seqs!$A:$B,2,FALSE),VLOOKUP($A169,'SegEnds_NonXtal_Prot#'!$A:$AL,22,FALSE)+9,1)</f>
        <v>P</v>
      </c>
      <c r="AE169" s="50" t="str">
        <f>MID(VLOOKUP($A169,Seqs!$A:$B,2,FALSE),VLOOKUP($A169,'SegEnds_NonXtal_Prot#'!$A:$AL,22,FALSE)+10,1)</f>
        <v>I</v>
      </c>
      <c r="AF169" s="28" t="str">
        <f>MID(VLOOKUP($A169,Seqs!$A:$B,2,FALSE),VLOOKUP($A169,'SegEnds_NonXtal_Prot#'!$A:$AL,28,FALSE)-4,1)</f>
        <v>G</v>
      </c>
      <c r="AG169" s="50" t="str">
        <f>MID(VLOOKUP($A169,Seqs!$A:$B,2,FALSE),VLOOKUP($A169,'SegEnds_NonXtal_Prot#'!$A:$AL,28,FALSE),1)</f>
        <v>P</v>
      </c>
    </row>
    <row r="170" spans="1:33" s="2" customFormat="1" x14ac:dyDescent="0.2">
      <c r="A170" s="2" t="s">
        <v>382</v>
      </c>
      <c r="B170" s="2" t="str">
        <f>LOWER(VLOOKUP(A170,Xtal_Templ!A:B,2,FALSE))</f>
        <v>oprk_human</v>
      </c>
      <c r="C170" s="2" t="str">
        <f>VLOOKUP(A170,Classification!A:D,2,FALSE)</f>
        <v>A</v>
      </c>
      <c r="D170" s="2" t="str">
        <f>IF(ISERROR(MATCH(A170,'SegEnds_Xtal_Prot#'!B:B, 0)), "NoXtal", "Xtal")</f>
        <v>NoXtal</v>
      </c>
      <c r="G170" s="4"/>
      <c r="M170" s="2" t="s">
        <v>14</v>
      </c>
      <c r="Q170" s="2" t="s">
        <v>9</v>
      </c>
      <c r="S170" s="4" t="s">
        <v>12</v>
      </c>
      <c r="U170" s="28" t="str">
        <f>MID(VLOOKUP($A170,Seqs!$A:$B,2,FALSE),VLOOKUP($A170,'SegEnds_NonXtal_Prot#'!A:AL,10,FALSE),1)</f>
        <v>D</v>
      </c>
      <c r="V170" s="50" t="str">
        <f>MID(VLOOKUP($A170,Seqs!$A:$B,2,FALSE),VLOOKUP($A170,'SegEnds_NonXtal_Prot#'!A:AL,10,FALSE)+6,1)</f>
        <v>G</v>
      </c>
      <c r="W170" s="50" t="str">
        <f>MID(VLOOKUP($A170,Seqs!$A:$B,2,FALSE),VLOOKUP($A170,'SegEnds_NonXtal_Prot#'!A:AL,10,FALSE)+7,1)</f>
        <v>L</v>
      </c>
      <c r="X170" s="50" t="str">
        <f>MID(VLOOKUP($A170,Seqs!$A:$B,2,FALSE),VLOOKUP($A170,'SegEnds_NonXtal_Prot#'!A:AL,10,FALSE)+8,1)</f>
        <v>P</v>
      </c>
      <c r="Y170" s="50" t="str">
        <f>MID(VLOOKUP($A170,Seqs!$A:$B,2,FALSE),VLOOKUP($A170,'SegEnds_NonXtal_Prot#'!A:AL,10,FALSE)+9,1)</f>
        <v>F</v>
      </c>
      <c r="Z170" s="50" t="str">
        <f>MID(VLOOKUP($A170,Seqs!$A:$B,2,FALSE),VLOOKUP($A170,'SegEnds_NonXtal_Prot#'!A:AL,10,FALSE)+10,1)</f>
        <v>L</v>
      </c>
      <c r="AA170" s="28" t="str">
        <f>MID(VLOOKUP($A170,Seqs!$A:$B,2,FALSE),VLOOKUP($A170,'SegEnds_NonXtal_Prot#'!$A:$AL,22,FALSE)+6,1)</f>
        <v>V</v>
      </c>
      <c r="AB170" s="50" t="str">
        <f>MID(VLOOKUP($A170,Seqs!$A:$B,2,FALSE),VLOOKUP($A170,'SegEnds_NonXtal_Prot#'!$A:$AL,22,FALSE)+7,1)</f>
        <v>I</v>
      </c>
      <c r="AC170" s="50" t="str">
        <f>MID(VLOOKUP($A170,Seqs!$A:$B,2,FALSE),VLOOKUP($A170,'SegEnds_NonXtal_Prot#'!$A:$AL,22,FALSE)+8,1)</f>
        <v>L</v>
      </c>
      <c r="AD170" s="50" t="str">
        <f>MID(VLOOKUP($A170,Seqs!$A:$B,2,FALSE),VLOOKUP($A170,'SegEnds_NonXtal_Prot#'!$A:$AL,22,FALSE)+9,1)</f>
        <v>P</v>
      </c>
      <c r="AE170" s="50" t="str">
        <f>MID(VLOOKUP($A170,Seqs!$A:$B,2,FALSE),VLOOKUP($A170,'SegEnds_NonXtal_Prot#'!$A:$AL,22,FALSE)+10,1)</f>
        <v>I</v>
      </c>
      <c r="AF170" s="28" t="str">
        <f>MID(VLOOKUP($A170,Seqs!$A:$B,2,FALSE),VLOOKUP($A170,'SegEnds_NonXtal_Prot#'!$A:$AL,28,FALSE)-4,1)</f>
        <v>G</v>
      </c>
      <c r="AG170" s="50" t="str">
        <f>MID(VLOOKUP($A170,Seqs!$A:$B,2,FALSE),VLOOKUP($A170,'SegEnds_NonXtal_Prot#'!$A:$AL,28,FALSE),1)</f>
        <v>P</v>
      </c>
    </row>
    <row r="171" spans="1:33" s="2" customFormat="1" x14ac:dyDescent="0.2">
      <c r="A171" s="2" t="s">
        <v>385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G171" s="4"/>
      <c r="M171" s="2" t="s">
        <v>14</v>
      </c>
      <c r="Q171" s="2" t="s">
        <v>9</v>
      </c>
      <c r="S171" s="4" t="s">
        <v>12</v>
      </c>
      <c r="U171" s="28" t="str">
        <f>MID(VLOOKUP($A171,Seqs!$A:$B,2,FALSE),VLOOKUP($A171,'SegEnds_NonXtal_Prot#'!A:AL,10,FALSE),1)</f>
        <v>D</v>
      </c>
      <c r="V171" s="50" t="str">
        <f>MID(VLOOKUP($A171,Seqs!$A:$B,2,FALSE),VLOOKUP($A171,'SegEnds_NonXtal_Prot#'!A:AL,10,FALSE)+6,1)</f>
        <v>G</v>
      </c>
      <c r="W171" s="50" t="str">
        <f>MID(VLOOKUP($A171,Seqs!$A:$B,2,FALSE),VLOOKUP($A171,'SegEnds_NonXtal_Prot#'!A:AL,10,FALSE)+7,1)</f>
        <v>L</v>
      </c>
      <c r="X171" s="50" t="str">
        <f>MID(VLOOKUP($A171,Seqs!$A:$B,2,FALSE),VLOOKUP($A171,'SegEnds_NonXtal_Prot#'!A:AL,10,FALSE)+8,1)</f>
        <v>P</v>
      </c>
      <c r="Y171" s="50" t="str">
        <f>MID(VLOOKUP($A171,Seqs!$A:$B,2,FALSE),VLOOKUP($A171,'SegEnds_NonXtal_Prot#'!A:AL,10,FALSE)+9,1)</f>
        <v>F</v>
      </c>
      <c r="Z171" s="50" t="str">
        <f>MID(VLOOKUP($A171,Seqs!$A:$B,2,FALSE),VLOOKUP($A171,'SegEnds_NonXtal_Prot#'!A:AL,10,FALSE)+10,1)</f>
        <v>L</v>
      </c>
      <c r="AA171" s="28" t="str">
        <f>MID(VLOOKUP($A171,Seqs!$A:$B,2,FALSE),VLOOKUP($A171,'SegEnds_NonXtal_Prot#'!$A:$AL,22,FALSE)+6,1)</f>
        <v>M</v>
      </c>
      <c r="AB171" s="50" t="str">
        <f>MID(VLOOKUP($A171,Seqs!$A:$B,2,FALSE),VLOOKUP($A171,'SegEnds_NonXtal_Prot#'!$A:$AL,22,FALSE)+7,1)</f>
        <v>S</v>
      </c>
      <c r="AC171" s="50" t="str">
        <f>MID(VLOOKUP($A171,Seqs!$A:$B,2,FALSE),VLOOKUP($A171,'SegEnds_NonXtal_Prot#'!$A:$AL,22,FALSE)+8,1)</f>
        <v>L</v>
      </c>
      <c r="AD171" s="50" t="str">
        <f>MID(VLOOKUP($A171,Seqs!$A:$B,2,FALSE),VLOOKUP($A171,'SegEnds_NonXtal_Prot#'!$A:$AL,22,FALSE)+9,1)</f>
        <v>P</v>
      </c>
      <c r="AE171" s="50" t="str">
        <f>MID(VLOOKUP($A171,Seqs!$A:$B,2,FALSE),VLOOKUP($A171,'SegEnds_NonXtal_Prot#'!$A:$AL,22,FALSE)+10,1)</f>
        <v>L</v>
      </c>
      <c r="AF171" s="28" t="str">
        <f>MID(VLOOKUP($A171,Seqs!$A:$B,2,FALSE),VLOOKUP($A171,'SegEnds_NonXtal_Prot#'!$A:$AL,28,FALSE)-4,1)</f>
        <v>G</v>
      </c>
      <c r="AG171" s="50" t="str">
        <f>MID(VLOOKUP($A171,Seqs!$A:$B,2,FALSE),VLOOKUP($A171,'SegEnds_NonXtal_Prot#'!$A:$AL,28,FALSE),1)</f>
        <v>P</v>
      </c>
    </row>
    <row r="172" spans="1:33" s="2" customFormat="1" x14ac:dyDescent="0.2">
      <c r="A172" s="2" t="s">
        <v>397</v>
      </c>
      <c r="B172" s="2" t="str">
        <f>LOWER(VLOOKUP(A172,Xtal_Templ!A:B,2,FALSE))</f>
        <v>ox2r_human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G172" s="4"/>
      <c r="M172" s="2" t="s">
        <v>14</v>
      </c>
      <c r="Q172" s="2" t="s">
        <v>9</v>
      </c>
      <c r="S172" s="4" t="s">
        <v>12</v>
      </c>
      <c r="U172" s="28" t="str">
        <f>MID(VLOOKUP($A172,Seqs!$A:$B,2,FALSE),VLOOKUP($A172,'SegEnds_NonXtal_Prot#'!A:AL,10,FALSE),1)</f>
        <v>D</v>
      </c>
      <c r="V172" s="50" t="str">
        <f>MID(VLOOKUP($A172,Seqs!$A:$B,2,FALSE),VLOOKUP($A172,'SegEnds_NonXtal_Prot#'!A:AL,10,FALSE)+6,1)</f>
        <v>F</v>
      </c>
      <c r="W172" s="50" t="str">
        <f>MID(VLOOKUP($A172,Seqs!$A:$B,2,FALSE),VLOOKUP($A172,'SegEnds_NonXtal_Prot#'!A:AL,10,FALSE)+7,1)</f>
        <v>Q</v>
      </c>
      <c r="X172" s="50" t="str">
        <f>MID(VLOOKUP($A172,Seqs!$A:$B,2,FALSE),VLOOKUP($A172,'SegEnds_NonXtal_Prot#'!A:AL,10,FALSE)+8,1)</f>
        <v>V</v>
      </c>
      <c r="Y172" s="50" t="str">
        <f>MID(VLOOKUP($A172,Seqs!$A:$B,2,FALSE),VLOOKUP($A172,'SegEnds_NonXtal_Prot#'!A:AL,10,FALSE)+9,1)</f>
        <v>L</v>
      </c>
      <c r="Z172" s="50" t="str">
        <f>MID(VLOOKUP($A172,Seqs!$A:$B,2,FALSE),VLOOKUP($A172,'SegEnds_NonXtal_Prot#'!A:AL,10,FALSE)+10,1)</f>
        <v>P</v>
      </c>
      <c r="AA172" s="28" t="str">
        <f>MID(VLOOKUP($A172,Seqs!$A:$B,2,FALSE),VLOOKUP($A172,'SegEnds_NonXtal_Prot#'!$A:$AL,22,FALSE)+6,1)</f>
        <v>L</v>
      </c>
      <c r="AB172" s="50" t="str">
        <f>MID(VLOOKUP($A172,Seqs!$A:$B,2,FALSE),VLOOKUP($A172,'SegEnds_NonXtal_Prot#'!$A:$AL,22,FALSE)+7,1)</f>
        <v>S</v>
      </c>
      <c r="AC172" s="50" t="str">
        <f>MID(VLOOKUP($A172,Seqs!$A:$B,2,FALSE),VLOOKUP($A172,'SegEnds_NonXtal_Prot#'!$A:$AL,22,FALSE)+8,1)</f>
        <v>T</v>
      </c>
      <c r="AD172" s="50" t="str">
        <f>MID(VLOOKUP($A172,Seqs!$A:$B,2,FALSE),VLOOKUP($A172,'SegEnds_NonXtal_Prot#'!$A:$AL,22,FALSE)+9,1)</f>
        <v>P</v>
      </c>
      <c r="AE172" s="50" t="str">
        <f>MID(VLOOKUP($A172,Seqs!$A:$B,2,FALSE),VLOOKUP($A172,'SegEnds_NonXtal_Prot#'!$A:$AL,22,FALSE)+10,1)</f>
        <v>Q</v>
      </c>
      <c r="AF172" s="28" t="str">
        <f>MID(VLOOKUP($A172,Seqs!$A:$B,2,FALSE),VLOOKUP($A172,'SegEnds_NonXtal_Prot#'!$A:$AL,28,FALSE)-4,1)</f>
        <v>I</v>
      </c>
      <c r="AG172" s="50" t="str">
        <f>MID(VLOOKUP($A172,Seqs!$A:$B,2,FALSE),VLOOKUP($A172,'SegEnds_NonXtal_Prot#'!$A:$AL,28,FALSE),1)</f>
        <v>P</v>
      </c>
    </row>
    <row r="173" spans="1:33" s="2" customFormat="1" x14ac:dyDescent="0.2">
      <c r="A173" s="2" t="s">
        <v>217</v>
      </c>
      <c r="B173" s="2" t="str">
        <f>LOWER(VLOOKUP(A173,Xtal_Templ!A:B,2,FALSE))</f>
        <v>hrh1_human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G173" s="4"/>
      <c r="M173" s="2" t="s">
        <v>14</v>
      </c>
      <c r="S173" s="4" t="s">
        <v>12</v>
      </c>
      <c r="U173" s="28" t="str">
        <f>MID(VLOOKUP($A173,Seqs!$A:$B,2,FALSE),VLOOKUP($A173,'SegEnds_NonXtal_Prot#'!A:AL,10,FALSE),1)</f>
        <v>H</v>
      </c>
      <c r="V173" s="50" t="str">
        <f>MID(VLOOKUP($A173,Seqs!$A:$B,2,FALSE),VLOOKUP($A173,'SegEnds_NonXtal_Prot#'!A:AL,10,FALSE)+6,1)</f>
        <v>T</v>
      </c>
      <c r="W173" s="50" t="str">
        <f>MID(VLOOKUP($A173,Seqs!$A:$B,2,FALSE),VLOOKUP($A173,'SegEnds_NonXtal_Prot#'!A:AL,10,FALSE)+7,1)</f>
        <v>V</v>
      </c>
      <c r="X173" s="50" t="str">
        <f>MID(VLOOKUP($A173,Seqs!$A:$B,2,FALSE),VLOOKUP($A173,'SegEnds_NonXtal_Prot#'!A:AL,10,FALSE)+8,1)</f>
        <v>P</v>
      </c>
      <c r="Y173" s="50" t="str">
        <f>MID(VLOOKUP($A173,Seqs!$A:$B,2,FALSE),VLOOKUP($A173,'SegEnds_NonXtal_Prot#'!A:AL,10,FALSE)+9,1)</f>
        <v>F</v>
      </c>
      <c r="Z173" s="50" t="str">
        <f>MID(VLOOKUP($A173,Seqs!$A:$B,2,FALSE),VLOOKUP($A173,'SegEnds_NonXtal_Prot#'!A:AL,10,FALSE)+10,1)</f>
        <v>R</v>
      </c>
      <c r="AA173" s="28" t="str">
        <f>MID(VLOOKUP($A173,Seqs!$A:$B,2,FALSE),VLOOKUP($A173,'SegEnds_NonXtal_Prot#'!$A:$AL,22,FALSE)+6,1)</f>
        <v>I</v>
      </c>
      <c r="AB173" s="50" t="str">
        <f>MID(VLOOKUP($A173,Seqs!$A:$B,2,FALSE),VLOOKUP($A173,'SegEnds_NonXtal_Prot#'!$A:$AL,22,FALSE)+7,1)</f>
        <v>V</v>
      </c>
      <c r="AC173" s="50" t="str">
        <f>MID(VLOOKUP($A173,Seqs!$A:$B,2,FALSE),VLOOKUP($A173,'SegEnds_NonXtal_Prot#'!$A:$AL,22,FALSE)+8,1)</f>
        <v>V</v>
      </c>
      <c r="AD173" s="50" t="str">
        <f>MID(VLOOKUP($A173,Seqs!$A:$B,2,FALSE),VLOOKUP($A173,'SegEnds_NonXtal_Prot#'!$A:$AL,22,FALSE)+9,1)</f>
        <v>P</v>
      </c>
      <c r="AE173" s="50" t="str">
        <f>MID(VLOOKUP($A173,Seqs!$A:$B,2,FALSE),VLOOKUP($A173,'SegEnds_NonXtal_Prot#'!$A:$AL,22,FALSE)+10,1)</f>
        <v>L</v>
      </c>
      <c r="AF173" s="28" t="str">
        <f>MID(VLOOKUP($A173,Seqs!$A:$B,2,FALSE),VLOOKUP($A173,'SegEnds_NonXtal_Prot#'!$A:$AL,28,FALSE)-4,1)</f>
        <v>V</v>
      </c>
      <c r="AG173" s="50" t="str">
        <f>MID(VLOOKUP($A173,Seqs!$A:$B,2,FALSE),VLOOKUP($A173,'SegEnds_NonXtal_Prot#'!$A:$AL,28,FALSE),1)</f>
        <v>L</v>
      </c>
    </row>
    <row r="174" spans="1:33" s="2" customFormat="1" x14ac:dyDescent="0.2">
      <c r="A174" s="2" t="s">
        <v>218</v>
      </c>
      <c r="B174" s="2" t="str">
        <f>LOWER(VLOOKUP(A174,Xtal_Templ!A:B,2,FALSE))</f>
        <v>5ht2b_human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G174" s="4"/>
      <c r="Q174" s="2" t="s">
        <v>9</v>
      </c>
      <c r="S174" s="4" t="s">
        <v>12</v>
      </c>
      <c r="U174" s="28" t="str">
        <f>MID(VLOOKUP($A174,Seqs!$A:$B,2,FALSE),VLOOKUP($A174,'SegEnds_NonXtal_Prot#'!A:AL,10,FALSE),1)</f>
        <v>D</v>
      </c>
      <c r="V174" s="50" t="str">
        <f>MID(VLOOKUP($A174,Seqs!$A:$B,2,FALSE),VLOOKUP($A174,'SegEnds_NonXtal_Prot#'!A:AL,10,FALSE)+6,1)</f>
        <v>V</v>
      </c>
      <c r="W174" s="50" t="str">
        <f>MID(VLOOKUP($A174,Seqs!$A:$B,2,FALSE),VLOOKUP($A174,'SegEnds_NonXtal_Prot#'!A:AL,10,FALSE)+7,1)</f>
        <v>I</v>
      </c>
      <c r="X174" s="50" t="str">
        <f>MID(VLOOKUP($A174,Seqs!$A:$B,2,FALSE),VLOOKUP($A174,'SegEnds_NonXtal_Prot#'!A:AL,10,FALSE)+8,1)</f>
        <v>V</v>
      </c>
      <c r="Y174" s="50" t="str">
        <f>MID(VLOOKUP($A174,Seqs!$A:$B,2,FALSE),VLOOKUP($A174,'SegEnds_NonXtal_Prot#'!A:AL,10,FALSE)+9,1)</f>
        <v>F</v>
      </c>
      <c r="Z174" s="50" t="str">
        <f>MID(VLOOKUP($A174,Seqs!$A:$B,2,FALSE),VLOOKUP($A174,'SegEnds_NonXtal_Prot#'!A:AL,10,FALSE)+10,1)</f>
        <v>A</v>
      </c>
      <c r="AA174" s="28" t="str">
        <f>MID(VLOOKUP($A174,Seqs!$A:$B,2,FALSE),VLOOKUP($A174,'SegEnds_NonXtal_Prot#'!$A:$AL,22,FALSE)+6,1)</f>
        <v>L</v>
      </c>
      <c r="AB174" s="50" t="str">
        <f>MID(VLOOKUP($A174,Seqs!$A:$B,2,FALSE),VLOOKUP($A174,'SegEnds_NonXtal_Prot#'!$A:$AL,22,FALSE)+7,1)</f>
        <v>T</v>
      </c>
      <c r="AC174" s="50" t="str">
        <f>MID(VLOOKUP($A174,Seqs!$A:$B,2,FALSE),VLOOKUP($A174,'SegEnds_NonXtal_Prot#'!$A:$AL,22,FALSE)+8,1)</f>
        <v>G</v>
      </c>
      <c r="AD174" s="50" t="str">
        <f>MID(VLOOKUP($A174,Seqs!$A:$B,2,FALSE),VLOOKUP($A174,'SegEnds_NonXtal_Prot#'!$A:$AL,22,FALSE)+9,1)</f>
        <v>I</v>
      </c>
      <c r="AE174" s="50" t="str">
        <f>MID(VLOOKUP($A174,Seqs!$A:$B,2,FALSE),VLOOKUP($A174,'SegEnds_NonXtal_Prot#'!$A:$AL,22,FALSE)+10,1)</f>
        <v>P</v>
      </c>
      <c r="AF174" s="28" t="str">
        <f>MID(VLOOKUP($A174,Seqs!$A:$B,2,FALSE),VLOOKUP($A174,'SegEnds_NonXtal_Prot#'!$A:$AL,28,FALSE)-4,1)</f>
        <v>V</v>
      </c>
      <c r="AG174" s="50" t="str">
        <f>MID(VLOOKUP($A174,Seqs!$A:$B,2,FALSE),VLOOKUP($A174,'SegEnds_NonXtal_Prot#'!$A:$AL,28,FALSE),1)</f>
        <v>P</v>
      </c>
    </row>
    <row r="175" spans="1:33" s="2" customFormat="1" x14ac:dyDescent="0.2">
      <c r="A175" s="2" t="s">
        <v>282</v>
      </c>
      <c r="B175" s="2" t="str">
        <f>LOWER(VLOOKUP(A175,Xtal_Templ!A:B,2,FALSE))</f>
        <v>oprk_human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F175" s="2" t="s">
        <v>5</v>
      </c>
      <c r="G175" s="4"/>
      <c r="M175" s="2" t="s">
        <v>14</v>
      </c>
      <c r="Q175" s="2" t="s">
        <v>9</v>
      </c>
      <c r="S175" s="4" t="s">
        <v>12</v>
      </c>
      <c r="U175" s="28" t="str">
        <f>MID(VLOOKUP($A175,Seqs!$A:$B,2,FALSE),VLOOKUP($A175,'SegEnds_NonXtal_Prot#'!A:AL,10,FALSE),1)</f>
        <v>D</v>
      </c>
      <c r="V175" s="50" t="str">
        <f>MID(VLOOKUP($A175,Seqs!$A:$B,2,FALSE),VLOOKUP($A175,'SegEnds_NonXtal_Prot#'!A:AL,10,FALSE)+6,1)</f>
        <v>C</v>
      </c>
      <c r="W175" s="50" t="str">
        <f>MID(VLOOKUP($A175,Seqs!$A:$B,2,FALSE),VLOOKUP($A175,'SegEnds_NonXtal_Prot#'!A:AL,10,FALSE)+7,1)</f>
        <v>C</v>
      </c>
      <c r="X175" s="50" t="str">
        <f>MID(VLOOKUP($A175,Seqs!$A:$B,2,FALSE),VLOOKUP($A175,'SegEnds_NonXtal_Prot#'!A:AL,10,FALSE)+8,1)</f>
        <v>V</v>
      </c>
      <c r="Y175" s="50" t="str">
        <f>MID(VLOOKUP($A175,Seqs!$A:$B,2,FALSE),VLOOKUP($A175,'SegEnds_NonXtal_Prot#'!A:AL,10,FALSE)+9,1)</f>
        <v>P</v>
      </c>
      <c r="Z175" s="50" t="str">
        <f>MID(VLOOKUP($A175,Seqs!$A:$B,2,FALSE),VLOOKUP($A175,'SegEnds_NonXtal_Prot#'!A:AL,10,FALSE)+10,1)</f>
        <v>F</v>
      </c>
      <c r="AA175" s="28" t="str">
        <f>MID(VLOOKUP($A175,Seqs!$A:$B,2,FALSE),VLOOKUP($A175,'SegEnds_NonXtal_Prot#'!$A:$AL,22,FALSE)+6,1)</f>
        <v>V</v>
      </c>
      <c r="AB175" s="50" t="str">
        <f>MID(VLOOKUP($A175,Seqs!$A:$B,2,FALSE),VLOOKUP($A175,'SegEnds_NonXtal_Prot#'!$A:$AL,22,FALSE)+7,1)</f>
        <v>S</v>
      </c>
      <c r="AC175" s="50" t="str">
        <f>MID(VLOOKUP($A175,Seqs!$A:$B,2,FALSE),VLOOKUP($A175,'SegEnds_NonXtal_Prot#'!$A:$AL,22,FALSE)+8,1)</f>
        <v>A</v>
      </c>
      <c r="AD175" s="50" t="str">
        <f>MID(VLOOKUP($A175,Seqs!$A:$B,2,FALSE),VLOOKUP($A175,'SegEnds_NonXtal_Prot#'!$A:$AL,22,FALSE)+9,1)</f>
        <v>P</v>
      </c>
      <c r="AE175" s="50" t="str">
        <f>MID(VLOOKUP($A175,Seqs!$A:$B,2,FALSE),VLOOKUP($A175,'SegEnds_NonXtal_Prot#'!$A:$AL,22,FALSE)+10,1)</f>
        <v>V</v>
      </c>
      <c r="AF175" s="28" t="str">
        <f>MID(VLOOKUP($A175,Seqs!$A:$B,2,FALSE),VLOOKUP($A175,'SegEnds_NonXtal_Prot#'!$A:$AL,28,FALSE)-4,1)</f>
        <v>L</v>
      </c>
      <c r="AG175" s="50" t="str">
        <f>MID(VLOOKUP($A175,Seqs!$A:$B,2,FALSE),VLOOKUP($A175,'SegEnds_NonXtal_Prot#'!$A:$AL,28,FALSE),1)</f>
        <v>P</v>
      </c>
    </row>
    <row r="176" spans="1:33" s="2" customFormat="1" x14ac:dyDescent="0.2">
      <c r="A176" s="2" t="s">
        <v>299</v>
      </c>
      <c r="B176" s="2" t="str">
        <f>LOWER(VLOOKUP(A176,Xtal_Templ!A:B,2,FALSE))</f>
        <v>oprk_human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G176" s="4"/>
      <c r="M176" s="2" t="s">
        <v>14</v>
      </c>
      <c r="Q176" s="2" t="s">
        <v>9</v>
      </c>
      <c r="S176" s="4" t="s">
        <v>12</v>
      </c>
      <c r="U176" s="28" t="str">
        <f>MID(VLOOKUP($A176,Seqs!$A:$B,2,FALSE),VLOOKUP($A176,'SegEnds_NonXtal_Prot#'!A:AL,10,FALSE),1)</f>
        <v>D</v>
      </c>
      <c r="V176" s="50" t="str">
        <f>MID(VLOOKUP($A176,Seqs!$A:$B,2,FALSE),VLOOKUP($A176,'SegEnds_NonXtal_Prot#'!A:AL,10,FALSE)+6,1)</f>
        <v>G</v>
      </c>
      <c r="W176" s="50" t="str">
        <f>MID(VLOOKUP($A176,Seqs!$A:$B,2,FALSE),VLOOKUP($A176,'SegEnds_NonXtal_Prot#'!A:AL,10,FALSE)+7,1)</f>
        <v>M</v>
      </c>
      <c r="X176" s="50" t="str">
        <f>MID(VLOOKUP($A176,Seqs!$A:$B,2,FALSE),VLOOKUP($A176,'SegEnds_NonXtal_Prot#'!A:AL,10,FALSE)+8,1)</f>
        <v>P</v>
      </c>
      <c r="Y176" s="50" t="str">
        <f>MID(VLOOKUP($A176,Seqs!$A:$B,2,FALSE),VLOOKUP($A176,'SegEnds_NonXtal_Prot#'!A:AL,10,FALSE)+9,1)</f>
        <v>F</v>
      </c>
      <c r="Z176" s="50" t="str">
        <f>MID(VLOOKUP($A176,Seqs!$A:$B,2,FALSE),VLOOKUP($A176,'SegEnds_NonXtal_Prot#'!A:AL,10,FALSE)+10,1)</f>
        <v>M</v>
      </c>
      <c r="AA176" s="28" t="str">
        <f>MID(VLOOKUP($A176,Seqs!$A:$B,2,FALSE),VLOOKUP($A176,'SegEnds_NonXtal_Prot#'!$A:$AL,22,FALSE)+6,1)</f>
        <v>S</v>
      </c>
      <c r="AB176" s="50" t="str">
        <f>MID(VLOOKUP($A176,Seqs!$A:$B,2,FALSE),VLOOKUP($A176,'SegEnds_NonXtal_Prot#'!$A:$AL,22,FALSE)+7,1)</f>
        <v>I</v>
      </c>
      <c r="AC176" s="50" t="str">
        <f>MID(VLOOKUP($A176,Seqs!$A:$B,2,FALSE),VLOOKUP($A176,'SegEnds_NonXtal_Prot#'!$A:$AL,22,FALSE)+8,1)</f>
        <v>T</v>
      </c>
      <c r="AD176" s="50" t="str">
        <f>MID(VLOOKUP($A176,Seqs!$A:$B,2,FALSE),VLOOKUP($A176,'SegEnds_NonXtal_Prot#'!$A:$AL,22,FALSE)+9,1)</f>
        <v>P</v>
      </c>
      <c r="AE176" s="50" t="str">
        <f>MID(VLOOKUP($A176,Seqs!$A:$B,2,FALSE),VLOOKUP($A176,'SegEnds_NonXtal_Prot#'!$A:$AL,22,FALSE)+10,1)</f>
        <v>V</v>
      </c>
      <c r="AF176" s="28" t="str">
        <f>MID(VLOOKUP($A176,Seqs!$A:$B,2,FALSE),VLOOKUP($A176,'SegEnds_NonXtal_Prot#'!$A:$AL,28,FALSE)-4,1)</f>
        <v>A</v>
      </c>
      <c r="AG176" s="50" t="str">
        <f>MID(VLOOKUP($A176,Seqs!$A:$B,2,FALSE),VLOOKUP($A176,'SegEnds_NonXtal_Prot#'!$A:$AL,28,FALSE),1)</f>
        <v>P</v>
      </c>
    </row>
    <row r="177" spans="1:33" s="2" customFormat="1" x14ac:dyDescent="0.2">
      <c r="A177" s="2" t="s">
        <v>320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4"/>
      <c r="M177" s="2" t="s">
        <v>14</v>
      </c>
      <c r="Q177" s="2" t="s">
        <v>9</v>
      </c>
      <c r="S177" s="4" t="s">
        <v>12</v>
      </c>
      <c r="U177" s="28" t="str">
        <f>MID(VLOOKUP($A177,Seqs!$A:$B,2,FALSE),VLOOKUP($A177,'SegEnds_NonXtal_Prot#'!A:AL,10,FALSE),1)</f>
        <v>D</v>
      </c>
      <c r="V177" s="50" t="str">
        <f>MID(VLOOKUP($A177,Seqs!$A:$B,2,FALSE),VLOOKUP($A177,'SegEnds_NonXtal_Prot#'!A:AL,10,FALSE)+6,1)</f>
        <v>V</v>
      </c>
      <c r="W177" s="50" t="str">
        <f>MID(VLOOKUP($A177,Seqs!$A:$B,2,FALSE),VLOOKUP($A177,'SegEnds_NonXtal_Prot#'!A:AL,10,FALSE)+7,1)</f>
        <v>L</v>
      </c>
      <c r="X177" s="50" t="str">
        <f>MID(VLOOKUP($A177,Seqs!$A:$B,2,FALSE),VLOOKUP($A177,'SegEnds_NonXtal_Prot#'!A:AL,10,FALSE)+8,1)</f>
        <v>P</v>
      </c>
      <c r="Y177" s="50" t="str">
        <f>MID(VLOOKUP($A177,Seqs!$A:$B,2,FALSE),VLOOKUP($A177,'SegEnds_NonXtal_Prot#'!A:AL,10,FALSE)+9,1)</f>
        <v>I</v>
      </c>
      <c r="Z177" s="50" t="str">
        <f>MID(VLOOKUP($A177,Seqs!$A:$B,2,FALSE),VLOOKUP($A177,'SegEnds_NonXtal_Prot#'!A:AL,10,FALSE)+10,1)</f>
        <v>N</v>
      </c>
      <c r="AA177" s="28" t="str">
        <f>MID(VLOOKUP($A177,Seqs!$A:$B,2,FALSE),VLOOKUP($A177,'SegEnds_NonXtal_Prot#'!$A:$AL,22,FALSE)+6,1)</f>
        <v>V</v>
      </c>
      <c r="AB177" s="50" t="str">
        <f>MID(VLOOKUP($A177,Seqs!$A:$B,2,FALSE),VLOOKUP($A177,'SegEnds_NonXtal_Prot#'!$A:$AL,22,FALSE)+7,1)</f>
        <v>V</v>
      </c>
      <c r="AC177" s="50" t="str">
        <f>MID(VLOOKUP($A177,Seqs!$A:$B,2,FALSE),VLOOKUP($A177,'SegEnds_NonXtal_Prot#'!$A:$AL,22,FALSE)+8,1)</f>
        <v>L</v>
      </c>
      <c r="AD177" s="50" t="str">
        <f>MID(VLOOKUP($A177,Seqs!$A:$B,2,FALSE),VLOOKUP($A177,'SegEnds_NonXtal_Prot#'!$A:$AL,22,FALSE)+9,1)</f>
        <v>P</v>
      </c>
      <c r="AE177" s="50" t="str">
        <f>MID(VLOOKUP($A177,Seqs!$A:$B,2,FALSE),VLOOKUP($A177,'SegEnds_NonXtal_Prot#'!$A:$AL,22,FALSE)+10,1)</f>
        <v>F</v>
      </c>
      <c r="AF177" s="28" t="str">
        <f>MID(VLOOKUP($A177,Seqs!$A:$B,2,FALSE),VLOOKUP($A177,'SegEnds_NonXtal_Prot#'!$A:$AL,28,FALSE)-4,1)</f>
        <v>G</v>
      </c>
      <c r="AG177" s="50" t="str">
        <f>MID(VLOOKUP($A177,Seqs!$A:$B,2,FALSE),VLOOKUP($A177,'SegEnds_NonXtal_Prot#'!$A:$AL,28,FALSE),1)</f>
        <v>P</v>
      </c>
    </row>
    <row r="178" spans="1:33" s="2" customFormat="1" x14ac:dyDescent="0.2">
      <c r="A178" s="2" t="s">
        <v>1174</v>
      </c>
      <c r="B178" s="2" t="str">
        <f>LOWER(VLOOKUP(A178,Xtal_Templ!A:B,2,FALSE))</f>
        <v>oprx_human</v>
      </c>
      <c r="C178" s="2" t="str">
        <f>VLOOKUP(A178,Classification!A:D,2,FALSE)</f>
        <v>A</v>
      </c>
      <c r="D178" s="2" t="str">
        <f>IF(ISERROR(MATCH(A178,'SegEnds_Xtal_Prot#'!B:B, 0)), "NoXtal", "Xtal")</f>
        <v>Xtal</v>
      </c>
      <c r="G178" s="4"/>
      <c r="Q178" s="2" t="s">
        <v>9</v>
      </c>
      <c r="S178" s="4" t="s">
        <v>12</v>
      </c>
      <c r="U178" s="28" t="str">
        <f>MID(VLOOKUP($A178,Seqs!$A:$B,2,FALSE),VLOOKUP($A178,'SegEnds_NonXtal_Prot#'!A:AL,10,FALSE),1)</f>
        <v>D</v>
      </c>
      <c r="V178" s="50" t="str">
        <f>MID(VLOOKUP($A178,Seqs!$A:$B,2,FALSE),VLOOKUP($A178,'SegEnds_NonXtal_Prot#'!A:AL,10,FALSE)+6,1)</f>
        <v>T</v>
      </c>
      <c r="W178" s="50" t="str">
        <f>MID(VLOOKUP($A178,Seqs!$A:$B,2,FALSE),VLOOKUP($A178,'SegEnds_NonXtal_Prot#'!A:AL,10,FALSE)+7,1)</f>
        <v>L</v>
      </c>
      <c r="X178" s="50" t="str">
        <f>MID(VLOOKUP($A178,Seqs!$A:$B,2,FALSE),VLOOKUP($A178,'SegEnds_NonXtal_Prot#'!A:AL,10,FALSE)+8,1)</f>
        <v>P</v>
      </c>
      <c r="Y178" s="50" t="str">
        <f>MID(VLOOKUP($A178,Seqs!$A:$B,2,FALSE),VLOOKUP($A178,'SegEnds_NonXtal_Prot#'!A:AL,10,FALSE)+9,1)</f>
        <v>F</v>
      </c>
      <c r="Z178" s="50" t="str">
        <f>MID(VLOOKUP($A178,Seqs!$A:$B,2,FALSE),VLOOKUP($A178,'SegEnds_NonXtal_Prot#'!A:AL,10,FALSE)+10,1)</f>
        <v>Q</v>
      </c>
      <c r="AA178" s="28" t="str">
        <f>MID(VLOOKUP($A178,Seqs!$A:$B,2,FALSE),VLOOKUP($A178,'SegEnds_NonXtal_Prot#'!$A:$AL,22,FALSE)+6,1)</f>
        <v>V</v>
      </c>
      <c r="AB178" s="50" t="str">
        <f>MID(VLOOKUP($A178,Seqs!$A:$B,2,FALSE),VLOOKUP($A178,'SegEnds_NonXtal_Prot#'!$A:$AL,22,FALSE)+7,1)</f>
        <v>G</v>
      </c>
      <c r="AC178" s="50" t="str">
        <f>MID(VLOOKUP($A178,Seqs!$A:$B,2,FALSE),VLOOKUP($A178,'SegEnds_NonXtal_Prot#'!$A:$AL,22,FALSE)+8,1)</f>
        <v>V</v>
      </c>
      <c r="AD178" s="50" t="str">
        <f>MID(VLOOKUP($A178,Seqs!$A:$B,2,FALSE),VLOOKUP($A178,'SegEnds_NonXtal_Prot#'!$A:$AL,22,FALSE)+9,1)</f>
        <v>P</v>
      </c>
      <c r="AE178" s="50" t="str">
        <f>MID(VLOOKUP($A178,Seqs!$A:$B,2,FALSE),VLOOKUP($A178,'SegEnds_NonXtal_Prot#'!$A:$AL,22,FALSE)+10,1)</f>
        <v>V</v>
      </c>
      <c r="AF178" s="28" t="str">
        <f>MID(VLOOKUP($A178,Seqs!$A:$B,2,FALSE),VLOOKUP($A178,'SegEnds_NonXtal_Prot#'!$A:$AL,28,FALSE)-4,1)</f>
        <v>S</v>
      </c>
      <c r="AG178" s="50" t="str">
        <f>MID(VLOOKUP($A178,Seqs!$A:$B,2,FALSE),VLOOKUP($A178,'SegEnds_NonXtal_Prot#'!$A:$AL,28,FALSE),1)</f>
        <v>P</v>
      </c>
    </row>
    <row r="179" spans="1:33" s="2" customFormat="1" x14ac:dyDescent="0.2">
      <c r="A179" s="2" t="s">
        <v>383</v>
      </c>
      <c r="B179" s="2" t="str">
        <f>LOWER(VLOOKUP(A179,Xtal_Templ!A:B,2,FALSE))</f>
        <v>oprk_human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G179" s="4"/>
      <c r="M179" s="2" t="s">
        <v>14</v>
      </c>
      <c r="Q179" s="2" t="s">
        <v>9</v>
      </c>
      <c r="S179" s="4" t="s">
        <v>12</v>
      </c>
      <c r="U179" s="28" t="str">
        <f>MID(VLOOKUP($A179,Seqs!$A:$B,2,FALSE),VLOOKUP($A179,'SegEnds_NonXtal_Prot#'!A:AL,10,FALSE),1)</f>
        <v>D</v>
      </c>
      <c r="V179" s="50" t="str">
        <f>MID(VLOOKUP($A179,Seqs!$A:$B,2,FALSE),VLOOKUP($A179,'SegEnds_NonXtal_Prot#'!A:AL,10,FALSE)+6,1)</f>
        <v>G</v>
      </c>
      <c r="W179" s="50" t="str">
        <f>MID(VLOOKUP($A179,Seqs!$A:$B,2,FALSE),VLOOKUP($A179,'SegEnds_NonXtal_Prot#'!A:AL,10,FALSE)+7,1)</f>
        <v>L</v>
      </c>
      <c r="X179" s="50" t="str">
        <f>MID(VLOOKUP($A179,Seqs!$A:$B,2,FALSE),VLOOKUP($A179,'SegEnds_NonXtal_Prot#'!A:AL,10,FALSE)+8,1)</f>
        <v>P</v>
      </c>
      <c r="Y179" s="50" t="str">
        <f>MID(VLOOKUP($A179,Seqs!$A:$B,2,FALSE),VLOOKUP($A179,'SegEnds_NonXtal_Prot#'!A:AL,10,FALSE)+9,1)</f>
        <v>F</v>
      </c>
      <c r="Z179" s="50" t="str">
        <f>MID(VLOOKUP($A179,Seqs!$A:$B,2,FALSE),VLOOKUP($A179,'SegEnds_NonXtal_Prot#'!A:AL,10,FALSE)+10,1)</f>
        <v>L</v>
      </c>
      <c r="AA179" s="28" t="str">
        <f>MID(VLOOKUP($A179,Seqs!$A:$B,2,FALSE),VLOOKUP($A179,'SegEnds_NonXtal_Prot#'!$A:$AL,22,FALSE)+6,1)</f>
        <v>V</v>
      </c>
      <c r="AB179" s="50" t="str">
        <f>MID(VLOOKUP($A179,Seqs!$A:$B,2,FALSE),VLOOKUP($A179,'SegEnds_NonXtal_Prot#'!$A:$AL,22,FALSE)+7,1)</f>
        <v>V</v>
      </c>
      <c r="AC179" s="50" t="str">
        <f>MID(VLOOKUP($A179,Seqs!$A:$B,2,FALSE),VLOOKUP($A179,'SegEnds_NonXtal_Prot#'!$A:$AL,22,FALSE)+8,1)</f>
        <v>L</v>
      </c>
      <c r="AD179" s="50" t="str">
        <f>MID(VLOOKUP($A179,Seqs!$A:$B,2,FALSE),VLOOKUP($A179,'SegEnds_NonXtal_Prot#'!$A:$AL,22,FALSE)+9,1)</f>
        <v>P</v>
      </c>
      <c r="AE179" s="50" t="str">
        <f>MID(VLOOKUP($A179,Seqs!$A:$B,2,FALSE),VLOOKUP($A179,'SegEnds_NonXtal_Prot#'!$A:$AL,22,FALSE)+10,1)</f>
        <v>V</v>
      </c>
      <c r="AF179" s="28" t="str">
        <f>MID(VLOOKUP($A179,Seqs!$A:$B,2,FALSE),VLOOKUP($A179,'SegEnds_NonXtal_Prot#'!$A:$AL,28,FALSE)-4,1)</f>
        <v>G</v>
      </c>
      <c r="AG179" s="50" t="str">
        <f>MID(VLOOKUP($A179,Seqs!$A:$B,2,FALSE),VLOOKUP($A179,'SegEnds_NonXtal_Prot#'!$A:$AL,28,FALSE),1)</f>
        <v>P</v>
      </c>
    </row>
    <row r="180" spans="1:33" s="2" customFormat="1" x14ac:dyDescent="0.2">
      <c r="A180" s="2" t="s">
        <v>394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NoXtal</v>
      </c>
      <c r="G180" s="4"/>
      <c r="S180" s="4" t="s">
        <v>12</v>
      </c>
      <c r="U180" s="28" t="str">
        <f>MID(VLOOKUP($A180,Seqs!$A:$B,2,FALSE),VLOOKUP($A180,'SegEnds_NonXtal_Prot#'!A:AL,10,FALSE),1)</f>
        <v>D</v>
      </c>
      <c r="V180" s="50" t="str">
        <f>MID(VLOOKUP($A180,Seqs!$A:$B,2,FALSE),VLOOKUP($A180,'SegEnds_NonXtal_Prot#'!A:AL,10,FALSE)+6,1)</f>
        <v>A</v>
      </c>
      <c r="W180" s="50" t="str">
        <f>MID(VLOOKUP($A180,Seqs!$A:$B,2,FALSE),VLOOKUP($A180,'SegEnds_NonXtal_Prot#'!A:AL,10,FALSE)+7,1)</f>
        <v>A</v>
      </c>
      <c r="X180" s="50" t="str">
        <f>MID(VLOOKUP($A180,Seqs!$A:$B,2,FALSE),VLOOKUP($A180,'SegEnds_NonXtal_Prot#'!A:AL,10,FALSE)+8,1)</f>
        <v>G</v>
      </c>
      <c r="Y180" s="50" t="str">
        <f>MID(VLOOKUP($A180,Seqs!$A:$B,2,FALSE),VLOOKUP($A180,'SegEnds_NonXtal_Prot#'!A:AL,10,FALSE)+9,1)</f>
        <v>L</v>
      </c>
      <c r="Z180" s="50" t="str">
        <f>MID(VLOOKUP($A180,Seqs!$A:$B,2,FALSE),VLOOKUP($A180,'SegEnds_NonXtal_Prot#'!A:AL,10,FALSE)+10,1)</f>
        <v>P</v>
      </c>
      <c r="AA180" s="28" t="str">
        <f>MID(VLOOKUP($A180,Seqs!$A:$B,2,FALSE),VLOOKUP($A180,'SegEnds_NonXtal_Prot#'!$A:$AL,22,FALSE)+6,1)</f>
        <v>Y</v>
      </c>
      <c r="AB180" s="50" t="str">
        <f>MID(VLOOKUP($A180,Seqs!$A:$B,2,FALSE),VLOOKUP($A180,'SegEnds_NonXtal_Prot#'!$A:$AL,22,FALSE)+7,1)</f>
        <v>C</v>
      </c>
      <c r="AC180" s="50" t="str">
        <f>MID(VLOOKUP($A180,Seqs!$A:$B,2,FALSE),VLOOKUP($A180,'SegEnds_NonXtal_Prot#'!$A:$AL,22,FALSE)+8,1)</f>
        <v>M</v>
      </c>
      <c r="AD180" s="50" t="str">
        <f>MID(VLOOKUP($A180,Seqs!$A:$B,2,FALSE),VLOOKUP($A180,'SegEnds_NonXtal_Prot#'!$A:$AL,22,FALSE)+9,1)</f>
        <v>L</v>
      </c>
      <c r="AE180" s="50" t="str">
        <f>MID(VLOOKUP($A180,Seqs!$A:$B,2,FALSE),VLOOKUP($A180,'SegEnds_NonXtal_Prot#'!$A:$AL,22,FALSE)+10,1)</f>
        <v>W</v>
      </c>
      <c r="AF180" s="28" t="str">
        <f>MID(VLOOKUP($A180,Seqs!$A:$B,2,FALSE),VLOOKUP($A180,'SegEnds_NonXtal_Prot#'!$A:$AL,28,FALSE)-4,1)</f>
        <v>F</v>
      </c>
      <c r="AG180" s="50" t="str">
        <f>MID(VLOOKUP($A180,Seqs!$A:$B,2,FALSE),VLOOKUP($A180,'SegEnds_NonXtal_Prot#'!$A:$AL,28,FALSE),1)</f>
        <v>P</v>
      </c>
    </row>
    <row r="181" spans="1:33" s="2" customFormat="1" x14ac:dyDescent="0.2">
      <c r="A181" s="2" t="s">
        <v>396</v>
      </c>
      <c r="B181" s="2" t="str">
        <f>LOWER(VLOOKUP(A181,Xtal_Templ!A:B,2,FALSE))</f>
        <v>adrb2_human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G181" s="4"/>
      <c r="M181" s="2" t="s">
        <v>14</v>
      </c>
      <c r="Q181" s="2" t="s">
        <v>9</v>
      </c>
      <c r="S181" s="4" t="s">
        <v>12</v>
      </c>
      <c r="U181" s="28" t="str">
        <f>MID(VLOOKUP($A181,Seqs!$A:$B,2,FALSE),VLOOKUP($A181,'SegEnds_NonXtal_Prot#'!A:AL,10,FALSE),1)</f>
        <v>D</v>
      </c>
      <c r="V181" s="50" t="str">
        <f>MID(VLOOKUP($A181,Seqs!$A:$B,2,FALSE),VLOOKUP($A181,'SegEnds_NonXtal_Prot#'!A:AL,10,FALSE)+6,1)</f>
        <v>S</v>
      </c>
      <c r="W181" s="50" t="str">
        <f>MID(VLOOKUP($A181,Seqs!$A:$B,2,FALSE),VLOOKUP($A181,'SegEnds_NonXtal_Prot#'!A:AL,10,FALSE)+7,1)</f>
        <v>I</v>
      </c>
      <c r="X181" s="50" t="str">
        <f>MID(VLOOKUP($A181,Seqs!$A:$B,2,FALSE),VLOOKUP($A181,'SegEnds_NonXtal_Prot#'!A:AL,10,FALSE)+8,1)</f>
        <v>P</v>
      </c>
      <c r="Y181" s="50" t="str">
        <f>MID(VLOOKUP($A181,Seqs!$A:$B,2,FALSE),VLOOKUP($A181,'SegEnds_NonXtal_Prot#'!A:AL,10,FALSE)+9,1)</f>
        <v>F</v>
      </c>
      <c r="Z181" s="50" t="str">
        <f>MID(VLOOKUP($A181,Seqs!$A:$B,2,FALSE),VLOOKUP($A181,'SegEnds_NonXtal_Prot#'!A:AL,10,FALSE)+10,1)</f>
        <v>I</v>
      </c>
      <c r="AA181" s="28" t="str">
        <f>MID(VLOOKUP($A181,Seqs!$A:$B,2,FALSE),VLOOKUP($A181,'SegEnds_NonXtal_Prot#'!$A:$AL,22,FALSE)+6,1)</f>
        <v>L</v>
      </c>
      <c r="AB181" s="50" t="str">
        <f>MID(VLOOKUP($A181,Seqs!$A:$B,2,FALSE),VLOOKUP($A181,'SegEnds_NonXtal_Prot#'!$A:$AL,22,FALSE)+7,1)</f>
        <v>T</v>
      </c>
      <c r="AC181" s="50" t="str">
        <f>MID(VLOOKUP($A181,Seqs!$A:$B,2,FALSE),VLOOKUP($A181,'SegEnds_NonXtal_Prot#'!$A:$AL,22,FALSE)+8,1)</f>
        <v>L</v>
      </c>
      <c r="AD181" s="50" t="str">
        <f>MID(VLOOKUP($A181,Seqs!$A:$B,2,FALSE),VLOOKUP($A181,'SegEnds_NonXtal_Prot#'!$A:$AL,22,FALSE)+9,1)</f>
        <v>P</v>
      </c>
      <c r="AE181" s="50" t="str">
        <f>MID(VLOOKUP($A181,Seqs!$A:$B,2,FALSE),VLOOKUP($A181,'SegEnds_NonXtal_Prot#'!$A:$AL,22,FALSE)+10,1)</f>
        <v>V</v>
      </c>
      <c r="AF181" s="28" t="str">
        <f>MID(VLOOKUP($A181,Seqs!$A:$B,2,FALSE),VLOOKUP($A181,'SegEnds_NonXtal_Prot#'!$A:$AL,28,FALSE)-4,1)</f>
        <v>S</v>
      </c>
      <c r="AG181" s="50" t="str">
        <f>MID(VLOOKUP($A181,Seqs!$A:$B,2,FALSE),VLOOKUP($A181,'SegEnds_NonXtal_Prot#'!$A:$AL,28,FALSE),1)</f>
        <v>P</v>
      </c>
    </row>
    <row r="182" spans="1:33" s="2" customFormat="1" x14ac:dyDescent="0.2">
      <c r="A182" s="2" t="s">
        <v>398</v>
      </c>
      <c r="B182" s="2" t="str">
        <f>LOWER(VLOOKUP(A182,Xtal_Templ!A:B,2,FALSE))</f>
        <v>s1pr1_human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G182" s="4"/>
      <c r="M182" s="2" t="s">
        <v>14</v>
      </c>
      <c r="Q182" s="2" t="s">
        <v>9</v>
      </c>
      <c r="S182" s="4" t="s">
        <v>12</v>
      </c>
      <c r="U182" s="28" t="str">
        <f>MID(VLOOKUP($A182,Seqs!$A:$B,2,FALSE),VLOOKUP($A182,'SegEnds_NonXtal_Prot#'!A:AL,10,FALSE),1)</f>
        <v>D</v>
      </c>
      <c r="V182" s="50" t="str">
        <f>MID(VLOOKUP($A182,Seqs!$A:$B,2,FALSE),VLOOKUP($A182,'SegEnds_NonXtal_Prot#'!A:AL,10,FALSE)+6,1)</f>
        <v>F</v>
      </c>
      <c r="W182" s="50" t="str">
        <f>MID(VLOOKUP($A182,Seqs!$A:$B,2,FALSE),VLOOKUP($A182,'SegEnds_NonXtal_Prot#'!A:AL,10,FALSE)+7,1)</f>
        <v>Q</v>
      </c>
      <c r="X182" s="50" t="str">
        <f>MID(VLOOKUP($A182,Seqs!$A:$B,2,FALSE),VLOOKUP($A182,'SegEnds_NonXtal_Prot#'!A:AL,10,FALSE)+8,1)</f>
        <v>V</v>
      </c>
      <c r="Y182" s="50" t="str">
        <f>MID(VLOOKUP($A182,Seqs!$A:$B,2,FALSE),VLOOKUP($A182,'SegEnds_NonXtal_Prot#'!A:AL,10,FALSE)+9,1)</f>
        <v>L</v>
      </c>
      <c r="Z182" s="50" t="str">
        <f>MID(VLOOKUP($A182,Seqs!$A:$B,2,FALSE),VLOOKUP($A182,'SegEnds_NonXtal_Prot#'!A:AL,10,FALSE)+10,1)</f>
        <v>P</v>
      </c>
      <c r="AA182" s="28" t="str">
        <f>MID(VLOOKUP($A182,Seqs!$A:$B,2,FALSE),VLOOKUP($A182,'SegEnds_NonXtal_Prot#'!$A:$AL,22,FALSE)+6,1)</f>
        <v>F</v>
      </c>
      <c r="AB182" s="50" t="str">
        <f>MID(VLOOKUP($A182,Seqs!$A:$B,2,FALSE),VLOOKUP($A182,'SegEnds_NonXtal_Prot#'!$A:$AL,22,FALSE)+7,1)</f>
        <v>S</v>
      </c>
      <c r="AC182" s="50" t="str">
        <f>MID(VLOOKUP($A182,Seqs!$A:$B,2,FALSE),VLOOKUP($A182,'SegEnds_NonXtal_Prot#'!$A:$AL,22,FALSE)+8,1)</f>
        <v>L</v>
      </c>
      <c r="AD182" s="50" t="str">
        <f>MID(VLOOKUP($A182,Seqs!$A:$B,2,FALSE),VLOOKUP($A182,'SegEnds_NonXtal_Prot#'!$A:$AL,22,FALSE)+9,1)</f>
        <v>P</v>
      </c>
      <c r="AE182" s="50" t="str">
        <f>MID(VLOOKUP($A182,Seqs!$A:$B,2,FALSE),VLOOKUP($A182,'SegEnds_NonXtal_Prot#'!$A:$AL,22,FALSE)+10,1)</f>
        <v>Q</v>
      </c>
      <c r="AF182" s="28" t="str">
        <f>MID(VLOOKUP($A182,Seqs!$A:$B,2,FALSE),VLOOKUP($A182,'SegEnds_NonXtal_Prot#'!$A:$AL,28,FALSE)-4,1)</f>
        <v>I</v>
      </c>
      <c r="AG182" s="50" t="str">
        <f>MID(VLOOKUP($A182,Seqs!$A:$B,2,FALSE),VLOOKUP($A182,'SegEnds_NonXtal_Prot#'!$A:$AL,28,FALSE),1)</f>
        <v>P</v>
      </c>
    </row>
    <row r="183" spans="1:33" s="2" customFormat="1" x14ac:dyDescent="0.2">
      <c r="A183" s="2" t="s">
        <v>399</v>
      </c>
      <c r="B183" s="2" t="str">
        <f>LOWER(VLOOKUP(A183,Xtal_Templ!A:B,2,FALSE))</f>
        <v>ntr1_rat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G183" s="4"/>
      <c r="M183" s="2" t="s">
        <v>14</v>
      </c>
      <c r="Q183" s="2" t="s">
        <v>9</v>
      </c>
      <c r="S183" s="4" t="s">
        <v>12</v>
      </c>
      <c r="U183" s="28" t="str">
        <f>MID(VLOOKUP($A183,Seqs!$A:$B,2,FALSE),VLOOKUP($A183,'SegEnds_NonXtal_Prot#'!A:AL,10,FALSE),1)</f>
        <v>D</v>
      </c>
      <c r="V183" s="50" t="str">
        <f>MID(VLOOKUP($A183,Seqs!$A:$B,2,FALSE),VLOOKUP($A183,'SegEnds_NonXtal_Prot#'!A:AL,10,FALSE)+6,1)</f>
        <v>F</v>
      </c>
      <c r="W183" s="50" t="str">
        <f>MID(VLOOKUP($A183,Seqs!$A:$B,2,FALSE),VLOOKUP($A183,'SegEnds_NonXtal_Prot#'!A:AL,10,FALSE)+7,1)</f>
        <v>Q</v>
      </c>
      <c r="X183" s="50" t="str">
        <f>MID(VLOOKUP($A183,Seqs!$A:$B,2,FALSE),VLOOKUP($A183,'SegEnds_NonXtal_Prot#'!A:AL,10,FALSE)+8,1)</f>
        <v>V</v>
      </c>
      <c r="Y183" s="50" t="str">
        <f>MID(VLOOKUP($A183,Seqs!$A:$B,2,FALSE),VLOOKUP($A183,'SegEnds_NonXtal_Prot#'!A:AL,10,FALSE)+9,1)</f>
        <v>L</v>
      </c>
      <c r="Z183" s="50" t="str">
        <f>MID(VLOOKUP($A183,Seqs!$A:$B,2,FALSE),VLOOKUP($A183,'SegEnds_NonXtal_Prot#'!A:AL,10,FALSE)+10,1)</f>
        <v>P</v>
      </c>
      <c r="AA183" s="28" t="str">
        <f>MID(VLOOKUP($A183,Seqs!$A:$B,2,FALSE),VLOOKUP($A183,'SegEnds_NonXtal_Prot#'!$A:$AL,22,FALSE)+6,1)</f>
        <v>L</v>
      </c>
      <c r="AB183" s="50" t="str">
        <f>MID(VLOOKUP($A183,Seqs!$A:$B,2,FALSE),VLOOKUP($A183,'SegEnds_NonXtal_Prot#'!$A:$AL,22,FALSE)+7,1)</f>
        <v>S</v>
      </c>
      <c r="AC183" s="50" t="str">
        <f>MID(VLOOKUP($A183,Seqs!$A:$B,2,FALSE),VLOOKUP($A183,'SegEnds_NonXtal_Prot#'!$A:$AL,22,FALSE)+8,1)</f>
        <v>L</v>
      </c>
      <c r="AD183" s="50" t="str">
        <f>MID(VLOOKUP($A183,Seqs!$A:$B,2,FALSE),VLOOKUP($A183,'SegEnds_NonXtal_Prot#'!$A:$AL,22,FALSE)+9,1)</f>
        <v>P</v>
      </c>
      <c r="AE183" s="50" t="str">
        <f>MID(VLOOKUP($A183,Seqs!$A:$B,2,FALSE),VLOOKUP($A183,'SegEnds_NonXtal_Prot#'!$A:$AL,22,FALSE)+10,1)</f>
        <v>Q</v>
      </c>
      <c r="AF183" s="28" t="str">
        <f>MID(VLOOKUP($A183,Seqs!$A:$B,2,FALSE),VLOOKUP($A183,'SegEnds_NonXtal_Prot#'!$A:$AL,28,FALSE)-4,1)</f>
        <v>V</v>
      </c>
      <c r="AG183" s="50" t="str">
        <f>MID(VLOOKUP($A183,Seqs!$A:$B,2,FALSE),VLOOKUP($A183,'SegEnds_NonXtal_Prot#'!$A:$AL,28,FALSE),1)</f>
        <v>P</v>
      </c>
    </row>
    <row r="184" spans="1:33" s="2" customFormat="1" x14ac:dyDescent="0.2">
      <c r="A184" s="2" t="s">
        <v>332</v>
      </c>
      <c r="B184" s="2" t="str">
        <f>LOWER(VLOOKUP(A184,Xtal_Templ!A:B,2,FALSE))</f>
        <v>opsd_bovin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F184" s="2" t="s">
        <v>5</v>
      </c>
      <c r="G184" s="4"/>
      <c r="Q184" s="2" t="s">
        <v>9</v>
      </c>
      <c r="S184" s="4" t="s">
        <v>12</v>
      </c>
      <c r="U184" s="28" t="str">
        <f>MID(VLOOKUP($A184,Seqs!$A:$B,2,FALSE),VLOOKUP($A184,'SegEnds_NonXtal_Prot#'!A:AL,10,FALSE),1)</f>
        <v>D</v>
      </c>
      <c r="V184" s="50" t="str">
        <f>MID(VLOOKUP($A184,Seqs!$A:$B,2,FALSE),VLOOKUP($A184,'SegEnds_NonXtal_Prot#'!A:AL,10,FALSE)+6,1)</f>
        <v>F</v>
      </c>
      <c r="W184" s="50" t="str">
        <f>MID(VLOOKUP($A184,Seqs!$A:$B,2,FALSE),VLOOKUP($A184,'SegEnds_NonXtal_Prot#'!A:AL,10,FALSE)+7,1)</f>
        <v>G</v>
      </c>
      <c r="X184" s="50" t="str">
        <f>MID(VLOOKUP($A184,Seqs!$A:$B,2,FALSE),VLOOKUP($A184,'SegEnds_NonXtal_Prot#'!A:AL,10,FALSE)+8,1)</f>
        <v>V</v>
      </c>
      <c r="Y184" s="50" t="str">
        <f>MID(VLOOKUP($A184,Seqs!$A:$B,2,FALSE),VLOOKUP($A184,'SegEnds_NonXtal_Prot#'!A:AL,10,FALSE)+9,1)</f>
        <v>T</v>
      </c>
      <c r="Z184" s="50" t="str">
        <f>MID(VLOOKUP($A184,Seqs!$A:$B,2,FALSE),VLOOKUP($A184,'SegEnds_NonXtal_Prot#'!A:AL,10,FALSE)+10,1)</f>
        <v>F</v>
      </c>
      <c r="AA184" s="28" t="str">
        <f>MID(VLOOKUP($A184,Seqs!$A:$B,2,FALSE),VLOOKUP($A184,'SegEnds_NonXtal_Prot#'!$A:$AL,22,FALSE)+6,1)</f>
        <v>W</v>
      </c>
      <c r="AB184" s="50" t="str">
        <f>MID(VLOOKUP($A184,Seqs!$A:$B,2,FALSE),VLOOKUP($A184,'SegEnds_NonXtal_Prot#'!$A:$AL,22,FALSE)+7,1)</f>
        <v>A</v>
      </c>
      <c r="AC184" s="50" t="str">
        <f>MID(VLOOKUP($A184,Seqs!$A:$B,2,FALSE),VLOOKUP($A184,'SegEnds_NonXtal_Prot#'!$A:$AL,22,FALSE)+8,1)</f>
        <v>G</v>
      </c>
      <c r="AD184" s="50" t="str">
        <f>MID(VLOOKUP($A184,Seqs!$A:$B,2,FALSE),VLOOKUP($A184,'SegEnds_NonXtal_Prot#'!$A:$AL,22,FALSE)+9,1)</f>
        <v>A</v>
      </c>
      <c r="AE184" s="50" t="str">
        <f>MID(VLOOKUP($A184,Seqs!$A:$B,2,FALSE),VLOOKUP($A184,'SegEnds_NonXtal_Prot#'!$A:$AL,22,FALSE)+10,1)</f>
        <v>P</v>
      </c>
      <c r="AF184" s="28" t="str">
        <f>MID(VLOOKUP($A184,Seqs!$A:$B,2,FALSE),VLOOKUP($A184,'SegEnds_NonXtal_Prot#'!$A:$AL,28,FALSE)-4,1)</f>
        <v>C</v>
      </c>
      <c r="AG184" s="50" t="str">
        <f>MID(VLOOKUP($A184,Seqs!$A:$B,2,FALSE),VLOOKUP($A184,'SegEnds_NonXtal_Prot#'!$A:$AL,28,FALSE),1)</f>
        <v>P</v>
      </c>
    </row>
    <row r="185" spans="1:33" s="2" customFormat="1" x14ac:dyDescent="0.2">
      <c r="A185" s="2" t="s">
        <v>333</v>
      </c>
      <c r="B185" s="2" t="s">
        <v>920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F185" s="2" t="s">
        <v>5</v>
      </c>
      <c r="G185" s="4"/>
      <c r="Q185" s="2" t="s">
        <v>9</v>
      </c>
      <c r="S185" s="4" t="s">
        <v>12</v>
      </c>
      <c r="U185" s="28" t="str">
        <f>MID(VLOOKUP($A185,Seqs!$A:$B,2,FALSE),VLOOKUP($A185,'SegEnds_NonXtal_Prot#'!A:AL,10,FALSE),1)</f>
        <v>D</v>
      </c>
      <c r="V185" s="50" t="str">
        <f>MID(VLOOKUP($A185,Seqs!$A:$B,2,FALSE),VLOOKUP($A185,'SegEnds_NonXtal_Prot#'!A:AL,10,FALSE)+6,1)</f>
        <v>T</v>
      </c>
      <c r="W185" s="50" t="str">
        <f>MID(VLOOKUP($A185,Seqs!$A:$B,2,FALSE),VLOOKUP($A185,'SegEnds_NonXtal_Prot#'!A:AL,10,FALSE)+7,1)</f>
        <v>Q</v>
      </c>
      <c r="X185" s="50" t="str">
        <f>MID(VLOOKUP($A185,Seqs!$A:$B,2,FALSE),VLOOKUP($A185,'SegEnds_NonXtal_Prot#'!A:AL,10,FALSE)+8,1)</f>
        <v>A</v>
      </c>
      <c r="Y185" s="50" t="str">
        <f>MID(VLOOKUP($A185,Seqs!$A:$B,2,FALSE),VLOOKUP($A185,'SegEnds_NonXtal_Prot#'!A:AL,10,FALSE)+9,1)</f>
        <v>P</v>
      </c>
      <c r="Z185" s="50" t="str">
        <f>MID(VLOOKUP($A185,Seqs!$A:$B,2,FALSE),VLOOKUP($A185,'SegEnds_NonXtal_Prot#'!A:AL,10,FALSE)+10,1)</f>
        <v>V</v>
      </c>
      <c r="AA185" s="28" t="str">
        <f>MID(VLOOKUP($A185,Seqs!$A:$B,2,FALSE),VLOOKUP($A185,'SegEnds_NonXtal_Prot#'!$A:$AL,22,FALSE)+6,1)</f>
        <v>W</v>
      </c>
      <c r="AB185" s="50" t="str">
        <f>MID(VLOOKUP($A185,Seqs!$A:$B,2,FALSE),VLOOKUP($A185,'SegEnds_NonXtal_Prot#'!$A:$AL,22,FALSE)+7,1)</f>
        <v>S</v>
      </c>
      <c r="AC185" s="50" t="str">
        <f>MID(VLOOKUP($A185,Seqs!$A:$B,2,FALSE),VLOOKUP($A185,'SegEnds_NonXtal_Prot#'!$A:$AL,22,FALSE)+8,1)</f>
        <v>L</v>
      </c>
      <c r="AD185" s="50" t="str">
        <f>MID(VLOOKUP($A185,Seqs!$A:$B,2,FALSE),VLOOKUP($A185,'SegEnds_NonXtal_Prot#'!$A:$AL,22,FALSE)+9,1)</f>
        <v>P</v>
      </c>
      <c r="AE185" s="50" t="str">
        <f>MID(VLOOKUP($A185,Seqs!$A:$B,2,FALSE),VLOOKUP($A185,'SegEnds_NonXtal_Prot#'!$A:$AL,22,FALSE)+10,1)</f>
        <v>P</v>
      </c>
      <c r="AF185" s="28" t="str">
        <f>MID(VLOOKUP($A185,Seqs!$A:$B,2,FALSE),VLOOKUP($A185,'SegEnds_NonXtal_Prot#'!$A:$AL,28,FALSE)-4,1)</f>
        <v>V</v>
      </c>
      <c r="AG185" s="50" t="str">
        <f>MID(VLOOKUP($A185,Seqs!$A:$B,2,FALSE),VLOOKUP($A185,'SegEnds_NonXtal_Prot#'!$A:$AL,28,FALSE),1)</f>
        <v>P</v>
      </c>
    </row>
    <row r="186" spans="1:33" s="2" customFormat="1" x14ac:dyDescent="0.2">
      <c r="A186" s="2" t="s">
        <v>334</v>
      </c>
      <c r="B186" s="2" t="s">
        <v>920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F186" s="2" t="s">
        <v>5</v>
      </c>
      <c r="G186" s="4"/>
      <c r="Q186" s="2" t="s">
        <v>9</v>
      </c>
      <c r="S186" s="4" t="s">
        <v>12</v>
      </c>
      <c r="U186" s="28" t="str">
        <f>MID(VLOOKUP($A186,Seqs!$A:$B,2,FALSE),VLOOKUP($A186,'SegEnds_NonXtal_Prot#'!A:AL,10,FALSE),1)</f>
        <v>D</v>
      </c>
      <c r="V186" s="50" t="str">
        <f>MID(VLOOKUP($A186,Seqs!$A:$B,2,FALSE),VLOOKUP($A186,'SegEnds_NonXtal_Prot#'!A:AL,10,FALSE)+6,1)</f>
        <v>V</v>
      </c>
      <c r="W186" s="50" t="str">
        <f>MID(VLOOKUP($A186,Seqs!$A:$B,2,FALSE),VLOOKUP($A186,'SegEnds_NonXtal_Prot#'!A:AL,10,FALSE)+7,1)</f>
        <v>G</v>
      </c>
      <c r="X186" s="50" t="str">
        <f>MID(VLOOKUP($A186,Seqs!$A:$B,2,FALSE),VLOOKUP($A186,'SegEnds_NonXtal_Prot#'!A:AL,10,FALSE)+8,1)</f>
        <v>K</v>
      </c>
      <c r="Y186" s="50" t="str">
        <f>MID(VLOOKUP($A186,Seqs!$A:$B,2,FALSE),VLOOKUP($A186,'SegEnds_NonXtal_Prot#'!A:AL,10,FALSE)+9,1)</f>
        <v>P</v>
      </c>
      <c r="Z186" s="50" t="str">
        <f>MID(VLOOKUP($A186,Seqs!$A:$B,2,FALSE),VLOOKUP($A186,'SegEnds_NonXtal_Prot#'!A:AL,10,FALSE)+10,1)</f>
        <v>F</v>
      </c>
      <c r="AA186" s="28" t="str">
        <f>MID(VLOOKUP($A186,Seqs!$A:$B,2,FALSE),VLOOKUP($A186,'SegEnds_NonXtal_Prot#'!$A:$AL,22,FALSE)+6,1)</f>
        <v>W</v>
      </c>
      <c r="AB186" s="50" t="str">
        <f>MID(VLOOKUP($A186,Seqs!$A:$B,2,FALSE),VLOOKUP($A186,'SegEnds_NonXtal_Prot#'!$A:$AL,22,FALSE)+7,1)</f>
        <v>T</v>
      </c>
      <c r="AC186" s="50" t="str">
        <f>MID(VLOOKUP($A186,Seqs!$A:$B,2,FALSE),VLOOKUP($A186,'SegEnds_NonXtal_Prot#'!$A:$AL,22,FALSE)+8,1)</f>
        <v>T</v>
      </c>
      <c r="AD186" s="50" t="str">
        <f>MID(VLOOKUP($A186,Seqs!$A:$B,2,FALSE),VLOOKUP($A186,'SegEnds_NonXtal_Prot#'!$A:$AL,22,FALSE)+9,1)</f>
        <v>M</v>
      </c>
      <c r="AE186" s="50" t="str">
        <f>MID(VLOOKUP($A186,Seqs!$A:$B,2,FALSE),VLOOKUP($A186,'SegEnds_NonXtal_Prot#'!$A:$AL,22,FALSE)+10,1)</f>
        <v>P</v>
      </c>
      <c r="AF186" s="28" t="str">
        <f>MID(VLOOKUP($A186,Seqs!$A:$B,2,FALSE),VLOOKUP($A186,'SegEnds_NonXtal_Prot#'!$A:$AL,28,FALSE)-4,1)</f>
        <v>C</v>
      </c>
      <c r="AG186" s="50" t="str">
        <f>MID(VLOOKUP($A186,Seqs!$A:$B,2,FALSE),VLOOKUP($A186,'SegEnds_NonXtal_Prot#'!$A:$AL,28,FALSE),1)</f>
        <v>P</v>
      </c>
    </row>
    <row r="187" spans="1:33" s="2" customFormat="1" x14ac:dyDescent="0.2">
      <c r="A187" s="2" t="s">
        <v>920</v>
      </c>
      <c r="B187" s="2" t="str">
        <f>LOWER(VLOOKUP(A187,Xtal_Templ!A:B,2,FALSE))</f>
        <v>opsd_bovin</v>
      </c>
      <c r="C187" s="2" t="str">
        <f>VLOOKUP(A187,Classification!A:D,2,FALSE)</f>
        <v>A</v>
      </c>
      <c r="D187" s="2" t="str">
        <f>IF(ISERROR(MATCH(A187,'SegEnds_Xtal_Prot#'!B:B, 0)), "NoXtal", "Xtal")</f>
        <v>Xtal</v>
      </c>
      <c r="F187" s="2" t="s">
        <v>5</v>
      </c>
      <c r="G187" s="4"/>
      <c r="Q187" s="2" t="s">
        <v>9</v>
      </c>
      <c r="S187" s="4" t="s">
        <v>12</v>
      </c>
      <c r="U187" s="28" t="str">
        <f>MID(VLOOKUP($A187,Seqs!$A:$B,2,FALSE),VLOOKUP($A187,'SegEnds_NonXtal_Prot#'!A:AL,10,FALSE),1)</f>
        <v>D</v>
      </c>
      <c r="V187" s="50" t="str">
        <f>MID(VLOOKUP($A187,Seqs!$A:$B,2,FALSE),VLOOKUP($A187,'SegEnds_NonXtal_Prot#'!A:AL,10,FALSE)+6,1)</f>
        <v>G</v>
      </c>
      <c r="W187" s="50" t="str">
        <f>MID(VLOOKUP($A187,Seqs!$A:$B,2,FALSE),VLOOKUP($A187,'SegEnds_NonXtal_Prot#'!A:AL,10,FALSE)+7,1)</f>
        <v>G</v>
      </c>
      <c r="X187" s="50" t="str">
        <f>MID(VLOOKUP($A187,Seqs!$A:$B,2,FALSE),VLOOKUP($A187,'SegEnds_NonXtal_Prot#'!A:AL,10,FALSE)+8,1)</f>
        <v>F</v>
      </c>
      <c r="Y187" s="50" t="str">
        <f>MID(VLOOKUP($A187,Seqs!$A:$B,2,FALSE),VLOOKUP($A187,'SegEnds_NonXtal_Prot#'!A:AL,10,FALSE)+9,1)</f>
        <v>T</v>
      </c>
      <c r="Z187" s="50" t="str">
        <f>MID(VLOOKUP($A187,Seqs!$A:$B,2,FALSE),VLOOKUP($A187,'SegEnds_NonXtal_Prot#'!A:AL,10,FALSE)+10,1)</f>
        <v>T</v>
      </c>
      <c r="AA187" s="28" t="str">
        <f>MID(VLOOKUP($A187,Seqs!$A:$B,2,FALSE),VLOOKUP($A187,'SegEnds_NonXtal_Prot#'!$A:$AL,22,FALSE)+6,1)</f>
        <v>C</v>
      </c>
      <c r="AB187" s="50" t="str">
        <f>MID(VLOOKUP($A187,Seqs!$A:$B,2,FALSE),VLOOKUP($A187,'SegEnds_NonXtal_Prot#'!$A:$AL,22,FALSE)+7,1)</f>
        <v>A</v>
      </c>
      <c r="AC187" s="50" t="str">
        <f>MID(VLOOKUP($A187,Seqs!$A:$B,2,FALSE),VLOOKUP($A187,'SegEnds_NonXtal_Prot#'!$A:$AL,22,FALSE)+8,1)</f>
        <v>A</v>
      </c>
      <c r="AD187" s="50" t="str">
        <f>MID(VLOOKUP($A187,Seqs!$A:$B,2,FALSE),VLOOKUP($A187,'SegEnds_NonXtal_Prot#'!$A:$AL,22,FALSE)+9,1)</f>
        <v>P</v>
      </c>
      <c r="AE187" s="50" t="str">
        <f>MID(VLOOKUP($A187,Seqs!$A:$B,2,FALSE),VLOOKUP($A187,'SegEnds_NonXtal_Prot#'!$A:$AL,22,FALSE)+10,1)</f>
        <v>P</v>
      </c>
      <c r="AF187" s="28" t="str">
        <f>MID(VLOOKUP($A187,Seqs!$A:$B,2,FALSE),VLOOKUP($A187,'SegEnds_NonXtal_Prot#'!$A:$AL,28,FALSE)-4,1)</f>
        <v>H</v>
      </c>
      <c r="AG187" s="50" t="str">
        <f>MID(VLOOKUP($A187,Seqs!$A:$B,2,FALSE),VLOOKUP($A187,'SegEnds_NonXtal_Prot#'!$A:$AL,28,FALSE),1)</f>
        <v>P</v>
      </c>
    </row>
    <row r="188" spans="1:33" s="2" customFormat="1" x14ac:dyDescent="0.2">
      <c r="A188" s="2" t="s">
        <v>285</v>
      </c>
      <c r="B188" s="2" t="str">
        <f>LOWER(VLOOKUP(A188,Xtal_Templ!A:B,2,FALSE))</f>
        <v>adrb2_human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4"/>
      <c r="S188" s="4" t="s">
        <v>12</v>
      </c>
      <c r="U188" s="28" t="str">
        <f>MID(VLOOKUP($A188,Seqs!$A:$B,2,FALSE),VLOOKUP($A188,'SegEnds_NonXtal_Prot#'!A:AL,10,FALSE),1)</f>
        <v>N</v>
      </c>
      <c r="V188" s="50" t="str">
        <f>MID(VLOOKUP($A188,Seqs!$A:$B,2,FALSE),VLOOKUP($A188,'SegEnds_NonXtal_Prot#'!A:AL,10,FALSE)+6,1)</f>
        <v>S</v>
      </c>
      <c r="W188" s="50" t="str">
        <f>MID(VLOOKUP($A188,Seqs!$A:$B,2,FALSE),VLOOKUP($A188,'SegEnds_NonXtal_Prot#'!A:AL,10,FALSE)+7,1)</f>
        <v>C</v>
      </c>
      <c r="X188" s="50" t="str">
        <f>MID(VLOOKUP($A188,Seqs!$A:$B,2,FALSE),VLOOKUP($A188,'SegEnds_NonXtal_Prot#'!A:AL,10,FALSE)+8,1)</f>
        <v>G</v>
      </c>
      <c r="Y188" s="50" t="str">
        <f>MID(VLOOKUP($A188,Seqs!$A:$B,2,FALSE),VLOOKUP($A188,'SegEnds_NonXtal_Prot#'!A:AL,10,FALSE)+9,1)</f>
        <v>L</v>
      </c>
      <c r="Z188" s="50" t="str">
        <f>MID(VLOOKUP($A188,Seqs!$A:$B,2,FALSE),VLOOKUP($A188,'SegEnds_NonXtal_Prot#'!A:AL,10,FALSE)+10,1)</f>
        <v>L</v>
      </c>
      <c r="AA188" s="28" t="str">
        <f>MID(VLOOKUP($A188,Seqs!$A:$B,2,FALSE),VLOOKUP($A188,'SegEnds_NonXtal_Prot#'!$A:$AL,22,FALSE)+6,1)</f>
        <v>A</v>
      </c>
      <c r="AB188" s="50" t="str">
        <f>MID(VLOOKUP($A188,Seqs!$A:$B,2,FALSE),VLOOKUP($A188,'SegEnds_NonXtal_Prot#'!$A:$AL,22,FALSE)+7,1)</f>
        <v>A</v>
      </c>
      <c r="AC188" s="50" t="str">
        <f>MID(VLOOKUP($A188,Seqs!$A:$B,2,FALSE),VLOOKUP($A188,'SegEnds_NonXtal_Prot#'!$A:$AL,22,FALSE)+8,1)</f>
        <v>A</v>
      </c>
      <c r="AD188" s="50" t="str">
        <f>MID(VLOOKUP($A188,Seqs!$A:$B,2,FALSE),VLOOKUP($A188,'SegEnds_NonXtal_Prot#'!$A:$AL,22,FALSE)+9,1)</f>
        <v>L</v>
      </c>
      <c r="AE188" s="50" t="str">
        <f>MID(VLOOKUP($A188,Seqs!$A:$B,2,FALSE),VLOOKUP($A188,'SegEnds_NonXtal_Prot#'!$A:$AL,22,FALSE)+10,1)</f>
        <v>P</v>
      </c>
      <c r="AF188" s="28" t="str">
        <f>MID(VLOOKUP($A188,Seqs!$A:$B,2,FALSE),VLOOKUP($A188,'SegEnds_NonXtal_Prot#'!$A:$AL,28,FALSE)-4,1)</f>
        <v>M</v>
      </c>
      <c r="AG188" s="50" t="str">
        <f>MID(VLOOKUP($A188,Seqs!$A:$B,2,FALSE),VLOOKUP($A188,'SegEnds_NonXtal_Prot#'!$A:$AL,28,FALSE),1)</f>
        <v>C</v>
      </c>
    </row>
    <row r="189" spans="1:33" s="2" customFormat="1" x14ac:dyDescent="0.2">
      <c r="A189" s="2" t="s">
        <v>338</v>
      </c>
      <c r="B189" s="2" t="str">
        <f>LOWER(VLOOKUP(A189,Xtal_Templ!A:B,2,FALSE))</f>
        <v>opsd_human</v>
      </c>
      <c r="C189" s="2" t="str">
        <f>VLOOKUP(A189,Classification!A:D,2,FALSE)</f>
        <v>A</v>
      </c>
      <c r="D189" s="2" t="str">
        <f>IF(ISERROR(MATCH(A189,'SegEnds_Xtal_Prot#'!B:B, 0)), "NoXtal", "Xtal")</f>
        <v>NoXtal</v>
      </c>
      <c r="G189" s="4"/>
      <c r="Q189" s="2" t="s">
        <v>9</v>
      </c>
      <c r="S189" s="4" t="s">
        <v>12</v>
      </c>
      <c r="U189" s="28" t="str">
        <f>MID(VLOOKUP($A189,Seqs!$A:$B,2,FALSE),VLOOKUP($A189,'SegEnds_NonXtal_Prot#'!A:AL,10,FALSE),1)</f>
        <v>G</v>
      </c>
      <c r="V189" s="50" t="str">
        <f>MID(VLOOKUP($A189,Seqs!$A:$B,2,FALSE),VLOOKUP($A189,'SegEnds_NonXtal_Prot#'!A:AL,10,FALSE)+6,1)</f>
        <v>F</v>
      </c>
      <c r="W189" s="50" t="str">
        <f>MID(VLOOKUP($A189,Seqs!$A:$B,2,FALSE),VLOOKUP($A189,'SegEnds_NonXtal_Prot#'!A:AL,10,FALSE)+7,1)</f>
        <v>S</v>
      </c>
      <c r="X189" s="50" t="str">
        <f>MID(VLOOKUP($A189,Seqs!$A:$B,2,FALSE),VLOOKUP($A189,'SegEnds_NonXtal_Prot#'!A:AL,10,FALSE)+8,1)</f>
        <v>V</v>
      </c>
      <c r="Y189" s="50" t="str">
        <f>MID(VLOOKUP($A189,Seqs!$A:$B,2,FALSE),VLOOKUP($A189,'SegEnds_NonXtal_Prot#'!A:AL,10,FALSE)+9,1)</f>
        <v>F</v>
      </c>
      <c r="Z189" s="50" t="str">
        <f>MID(VLOOKUP($A189,Seqs!$A:$B,2,FALSE),VLOOKUP($A189,'SegEnds_NonXtal_Prot#'!A:AL,10,FALSE)+10,1)</f>
        <v>P</v>
      </c>
      <c r="AA189" s="28" t="str">
        <f>MID(VLOOKUP($A189,Seqs!$A:$B,2,FALSE),VLOOKUP($A189,'SegEnds_NonXtal_Prot#'!$A:$AL,22,FALSE)+6,1)</f>
        <v>V</v>
      </c>
      <c r="AB189" s="50" t="str">
        <f>MID(VLOOKUP($A189,Seqs!$A:$B,2,FALSE),VLOOKUP($A189,'SegEnds_NonXtal_Prot#'!$A:$AL,22,FALSE)+7,1)</f>
        <v>S</v>
      </c>
      <c r="AC189" s="50" t="str">
        <f>MID(VLOOKUP($A189,Seqs!$A:$B,2,FALSE),VLOOKUP($A189,'SegEnds_NonXtal_Prot#'!$A:$AL,22,FALSE)+8,1)</f>
        <v>I</v>
      </c>
      <c r="AD189" s="50" t="str">
        <f>MID(VLOOKUP($A189,Seqs!$A:$B,2,FALSE),VLOOKUP($A189,'SegEnds_NonXtal_Prot#'!$A:$AL,22,FALSE)+9,1)</f>
        <v>P</v>
      </c>
      <c r="AE189" s="50" t="str">
        <f>MID(VLOOKUP($A189,Seqs!$A:$B,2,FALSE),VLOOKUP($A189,'SegEnds_NonXtal_Prot#'!$A:$AL,22,FALSE)+10,1)</f>
        <v>P</v>
      </c>
      <c r="AF189" s="28" t="str">
        <f>MID(VLOOKUP($A189,Seqs!$A:$B,2,FALSE),VLOOKUP($A189,'SegEnds_NonXtal_Prot#'!$A:$AL,28,FALSE)-4,1)</f>
        <v>C</v>
      </c>
      <c r="AG189" s="50" t="str">
        <f>MID(VLOOKUP($A189,Seqs!$A:$B,2,FALSE),VLOOKUP($A189,'SegEnds_NonXtal_Prot#'!$A:$AL,28,FALSE),1)</f>
        <v>P</v>
      </c>
    </row>
    <row r="190" spans="1:33" s="2" customFormat="1" x14ac:dyDescent="0.2">
      <c r="A190" s="2" t="s">
        <v>339</v>
      </c>
      <c r="B190" s="2" t="str">
        <f>LOWER(VLOOKUP(A190,Xtal_Templ!A:B,2,FALSE))</f>
        <v>opsd_human</v>
      </c>
      <c r="C190" s="2" t="str">
        <f>VLOOKUP(A190,Classification!A:D,2,FALSE)</f>
        <v>A</v>
      </c>
      <c r="D190" s="2" t="str">
        <f>IF(ISERROR(MATCH(A190,'SegEnds_Xtal_Prot#'!B:B, 0)), "NoXtal", "Xtal")</f>
        <v>Xtal</v>
      </c>
      <c r="F190" s="2" t="s">
        <v>5</v>
      </c>
      <c r="G190" s="4"/>
      <c r="Q190" s="2" t="s">
        <v>9</v>
      </c>
      <c r="S190" s="4" t="s">
        <v>12</v>
      </c>
      <c r="U190" s="28" t="str">
        <f>MID(VLOOKUP($A190,Seqs!$A:$B,2,FALSE),VLOOKUP($A190,'SegEnds_NonXtal_Prot#'!A:AL,10,FALSE),1)</f>
        <v>D</v>
      </c>
      <c r="V190" s="50" t="str">
        <f>MID(VLOOKUP($A190,Seqs!$A:$B,2,FALSE),VLOOKUP($A190,'SegEnds_NonXtal_Prot#'!A:AL,10,FALSE)+6,1)</f>
        <v>G</v>
      </c>
      <c r="W190" s="50" t="str">
        <f>MID(VLOOKUP($A190,Seqs!$A:$B,2,FALSE),VLOOKUP($A190,'SegEnds_NonXtal_Prot#'!A:AL,10,FALSE)+7,1)</f>
        <v>G</v>
      </c>
      <c r="X190" s="50" t="str">
        <f>MID(VLOOKUP($A190,Seqs!$A:$B,2,FALSE),VLOOKUP($A190,'SegEnds_NonXtal_Prot#'!A:AL,10,FALSE)+8,1)</f>
        <v>F</v>
      </c>
      <c r="Y190" s="50" t="str">
        <f>MID(VLOOKUP($A190,Seqs!$A:$B,2,FALSE),VLOOKUP($A190,'SegEnds_NonXtal_Prot#'!A:AL,10,FALSE)+9,1)</f>
        <v>T</v>
      </c>
      <c r="Z190" s="50" t="str">
        <f>MID(VLOOKUP($A190,Seqs!$A:$B,2,FALSE),VLOOKUP($A190,'SegEnds_NonXtal_Prot#'!A:AL,10,FALSE)+10,1)</f>
        <v>S</v>
      </c>
      <c r="AA190" s="28" t="str">
        <f>MID(VLOOKUP($A190,Seqs!$A:$B,2,FALSE),VLOOKUP($A190,'SegEnds_NonXtal_Prot#'!$A:$AL,22,FALSE)+6,1)</f>
        <v>C</v>
      </c>
      <c r="AB190" s="50" t="str">
        <f>MID(VLOOKUP($A190,Seqs!$A:$B,2,FALSE),VLOOKUP($A190,'SegEnds_NonXtal_Prot#'!$A:$AL,22,FALSE)+7,1)</f>
        <v>A</v>
      </c>
      <c r="AC190" s="50" t="str">
        <f>MID(VLOOKUP($A190,Seqs!$A:$B,2,FALSE),VLOOKUP($A190,'SegEnds_NonXtal_Prot#'!$A:$AL,22,FALSE)+8,1)</f>
        <v>A</v>
      </c>
      <c r="AD190" s="50" t="str">
        <f>MID(VLOOKUP($A190,Seqs!$A:$B,2,FALSE),VLOOKUP($A190,'SegEnds_NonXtal_Prot#'!$A:$AL,22,FALSE)+9,1)</f>
        <v>P</v>
      </c>
      <c r="AE190" s="50" t="str">
        <f>MID(VLOOKUP($A190,Seqs!$A:$B,2,FALSE),VLOOKUP($A190,'SegEnds_NonXtal_Prot#'!$A:$AL,22,FALSE)+10,1)</f>
        <v>P</v>
      </c>
      <c r="AF190" s="28" t="str">
        <f>MID(VLOOKUP($A190,Seqs!$A:$B,2,FALSE),VLOOKUP($A190,'SegEnds_NonXtal_Prot#'!$A:$AL,28,FALSE)-4,1)</f>
        <v>H</v>
      </c>
      <c r="AG190" s="50" t="str">
        <f>MID(VLOOKUP($A190,Seqs!$A:$B,2,FALSE),VLOOKUP($A190,'SegEnds_NonXtal_Prot#'!$A:$AL,28,FALSE),1)</f>
        <v>P</v>
      </c>
    </row>
    <row r="191" spans="1:33" s="2" customFormat="1" x14ac:dyDescent="0.2">
      <c r="A191" s="2" t="s">
        <v>340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G191" s="4"/>
      <c r="Q191" s="2" t="s">
        <v>9</v>
      </c>
      <c r="S191" s="4" t="s">
        <v>12</v>
      </c>
      <c r="U191" s="28" t="str">
        <f>MID(VLOOKUP($A191,Seqs!$A:$B,2,FALSE),VLOOKUP($A191,'SegEnds_NonXtal_Prot#'!A:AL,10,FALSE),1)</f>
        <v>D</v>
      </c>
      <c r="V191" s="50" t="str">
        <f>MID(VLOOKUP($A191,Seqs!$A:$B,2,FALSE),VLOOKUP($A191,'SegEnds_NonXtal_Prot#'!A:AL,10,FALSE)+6,1)</f>
        <v>I</v>
      </c>
      <c r="W191" s="50" t="str">
        <f>MID(VLOOKUP($A191,Seqs!$A:$B,2,FALSE),VLOOKUP($A191,'SegEnds_NonXtal_Prot#'!A:AL,10,FALSE)+7,1)</f>
        <v>A</v>
      </c>
      <c r="X191" s="50" t="str">
        <f>MID(VLOOKUP($A191,Seqs!$A:$B,2,FALSE),VLOOKUP($A191,'SegEnds_NonXtal_Prot#'!A:AL,10,FALSE)+8,1)</f>
        <v>S</v>
      </c>
      <c r="Y191" s="50" t="str">
        <f>MID(VLOOKUP($A191,Seqs!$A:$B,2,FALSE),VLOOKUP($A191,'SegEnds_NonXtal_Prot#'!A:AL,10,FALSE)+9,1)</f>
        <v>T</v>
      </c>
      <c r="Z191" s="50" t="str">
        <f>MID(VLOOKUP($A191,Seqs!$A:$B,2,FALSE),VLOOKUP($A191,'SegEnds_NonXtal_Prot#'!A:AL,10,FALSE)+10,1)</f>
        <v>I</v>
      </c>
      <c r="AA191" s="28" t="str">
        <f>MID(VLOOKUP($A191,Seqs!$A:$B,2,FALSE),VLOOKUP($A191,'SegEnds_NonXtal_Prot#'!$A:$AL,22,FALSE)+6,1)</f>
        <v>W</v>
      </c>
      <c r="AB191" s="50" t="str">
        <f>MID(VLOOKUP($A191,Seqs!$A:$B,2,FALSE),VLOOKUP($A191,'SegEnds_NonXtal_Prot#'!$A:$AL,22,FALSE)+7,1)</f>
        <v>T</v>
      </c>
      <c r="AC191" s="50" t="str">
        <f>MID(VLOOKUP($A191,Seqs!$A:$B,2,FALSE),VLOOKUP($A191,'SegEnds_NonXtal_Prot#'!$A:$AL,22,FALSE)+8,1)</f>
        <v>A</v>
      </c>
      <c r="AD191" s="50" t="str">
        <f>MID(VLOOKUP($A191,Seqs!$A:$B,2,FALSE),VLOOKUP($A191,'SegEnds_NonXtal_Prot#'!$A:$AL,22,FALSE)+9,1)</f>
        <v>P</v>
      </c>
      <c r="AE191" s="50" t="str">
        <f>MID(VLOOKUP($A191,Seqs!$A:$B,2,FALSE),VLOOKUP($A191,'SegEnds_NonXtal_Prot#'!$A:$AL,22,FALSE)+10,1)</f>
        <v>P</v>
      </c>
      <c r="AF191" s="28" t="str">
        <f>MID(VLOOKUP($A191,Seqs!$A:$B,2,FALSE),VLOOKUP($A191,'SegEnds_NonXtal_Prot#'!$A:$AL,28,FALSE)-4,1)</f>
        <v>C</v>
      </c>
      <c r="AG191" s="50" t="str">
        <f>MID(VLOOKUP($A191,Seqs!$A:$B,2,FALSE),VLOOKUP($A191,'SegEnds_NonXtal_Prot#'!$A:$AL,28,FALSE),1)</f>
        <v>P</v>
      </c>
    </row>
    <row r="192" spans="1:33" s="2" customFormat="1" x14ac:dyDescent="0.2">
      <c r="A192" s="2" t="s">
        <v>341</v>
      </c>
      <c r="B192" s="2" t="str">
        <f>LOWER(VLOOKUP(A192,Xtal_Templ!A:B,2,FALSE))</f>
        <v>opsd_bovin</v>
      </c>
      <c r="C192" s="2" t="str">
        <f>VLOOKUP(A192,Classification!A:D,2,FALSE)</f>
        <v>A</v>
      </c>
      <c r="D192" s="2" t="str">
        <f>IF(ISERROR(MATCH(A192,'SegEnds_Xtal_Prot#'!B:B, 0)), "NoXtal", "Xtal")</f>
        <v>NoXtal</v>
      </c>
      <c r="G192" s="4"/>
      <c r="Q192" s="2" t="s">
        <v>9</v>
      </c>
      <c r="S192" s="4" t="s">
        <v>12</v>
      </c>
      <c r="U192" s="28" t="str">
        <f>MID(VLOOKUP($A192,Seqs!$A:$B,2,FALSE),VLOOKUP($A192,'SegEnds_NonXtal_Prot#'!A:AL,10,FALSE),1)</f>
        <v>D</v>
      </c>
      <c r="V192" s="50" t="str">
        <f>MID(VLOOKUP($A192,Seqs!$A:$B,2,FALSE),VLOOKUP($A192,'SegEnds_NonXtal_Prot#'!A:AL,10,FALSE)+6,1)</f>
        <v>I</v>
      </c>
      <c r="W192" s="50" t="str">
        <f>MID(VLOOKUP($A192,Seqs!$A:$B,2,FALSE),VLOOKUP($A192,'SegEnds_NonXtal_Prot#'!A:AL,10,FALSE)+7,1)</f>
        <v>A</v>
      </c>
      <c r="X192" s="50" t="str">
        <f>MID(VLOOKUP($A192,Seqs!$A:$B,2,FALSE),VLOOKUP($A192,'SegEnds_NonXtal_Prot#'!A:AL,10,FALSE)+8,1)</f>
        <v>S</v>
      </c>
      <c r="Y192" s="50" t="str">
        <f>MID(VLOOKUP($A192,Seqs!$A:$B,2,FALSE),VLOOKUP($A192,'SegEnds_NonXtal_Prot#'!A:AL,10,FALSE)+9,1)</f>
        <v>T</v>
      </c>
      <c r="Z192" s="50" t="str">
        <f>MID(VLOOKUP($A192,Seqs!$A:$B,2,FALSE),VLOOKUP($A192,'SegEnds_NonXtal_Prot#'!A:AL,10,FALSE)+10,1)</f>
        <v>I</v>
      </c>
      <c r="AA192" s="28" t="str">
        <f>MID(VLOOKUP($A192,Seqs!$A:$B,2,FALSE),VLOOKUP($A192,'SegEnds_NonXtal_Prot#'!$A:$AL,22,FALSE)+6,1)</f>
        <v>W</v>
      </c>
      <c r="AB192" s="50" t="str">
        <f>MID(VLOOKUP($A192,Seqs!$A:$B,2,FALSE),VLOOKUP($A192,'SegEnds_NonXtal_Prot#'!$A:$AL,22,FALSE)+7,1)</f>
        <v>T</v>
      </c>
      <c r="AC192" s="50" t="str">
        <f>MID(VLOOKUP($A192,Seqs!$A:$B,2,FALSE),VLOOKUP($A192,'SegEnds_NonXtal_Prot#'!$A:$AL,22,FALSE)+8,1)</f>
        <v>A</v>
      </c>
      <c r="AD192" s="50" t="str">
        <f>MID(VLOOKUP($A192,Seqs!$A:$B,2,FALSE),VLOOKUP($A192,'SegEnds_NonXtal_Prot#'!$A:$AL,22,FALSE)+9,1)</f>
        <v>P</v>
      </c>
      <c r="AE192" s="50" t="str">
        <f>MID(VLOOKUP($A192,Seqs!$A:$B,2,FALSE),VLOOKUP($A192,'SegEnds_NonXtal_Prot#'!$A:$AL,22,FALSE)+10,1)</f>
        <v>P</v>
      </c>
      <c r="AF192" s="28" t="str">
        <f>MID(VLOOKUP($A192,Seqs!$A:$B,2,FALSE),VLOOKUP($A192,'SegEnds_NonXtal_Prot#'!$A:$AL,28,FALSE)-4,1)</f>
        <v>C</v>
      </c>
      <c r="AG192" s="50" t="str">
        <f>MID(VLOOKUP($A192,Seqs!$A:$B,2,FALSE),VLOOKUP($A192,'SegEnds_NonXtal_Prot#'!$A:$AL,28,FALSE),1)</f>
        <v>P</v>
      </c>
    </row>
    <row r="193" spans="1:33" s="2" customFormat="1" x14ac:dyDescent="0.2">
      <c r="A193" s="2" t="s">
        <v>922</v>
      </c>
      <c r="B193" s="2" t="str">
        <f>LOWER(VLOOKUP(A193,Xtal_Templ!A:B,2,FALSE))</f>
        <v>opsd_todpa</v>
      </c>
      <c r="C193" s="2" t="str">
        <f>VLOOKUP(A193,Classification!A:D,2,FALSE)</f>
        <v>A</v>
      </c>
      <c r="D193" s="2" t="str">
        <f>IF(ISERROR(MATCH(A193,'SegEnds_Xtal_Prot#'!B:B, 0)), "NoXtal", "Xtal")</f>
        <v>Xtal</v>
      </c>
      <c r="G193" s="4" t="s">
        <v>1370</v>
      </c>
      <c r="Q193" s="2" t="s">
        <v>9</v>
      </c>
      <c r="S193" s="4" t="s">
        <v>12</v>
      </c>
      <c r="U193" s="28" t="str">
        <f>MID(VLOOKUP($A193,Seqs!$A:$B,2,FALSE),VLOOKUP($A193,'SegEnds_NonXtal_Prot#'!A:AL,10,FALSE),1)</f>
        <v>D</v>
      </c>
      <c r="V193" s="50" t="str">
        <f>MID(VLOOKUP($A193,Seqs!$A:$B,2,FALSE),VLOOKUP($A193,'SegEnds_NonXtal_Prot#'!A:AL,10,FALSE)+6,1)</f>
        <v>V</v>
      </c>
      <c r="W193" s="50" t="str">
        <f>MID(VLOOKUP($A193,Seqs!$A:$B,2,FALSE),VLOOKUP($A193,'SegEnds_NonXtal_Prot#'!A:AL,10,FALSE)+7,1)</f>
        <v>N</v>
      </c>
      <c r="X193" s="50" t="str">
        <f>MID(VLOOKUP($A193,Seqs!$A:$B,2,FALSE),VLOOKUP($A193,'SegEnds_NonXtal_Prot#'!A:AL,10,FALSE)+8,1)</f>
        <v>G</v>
      </c>
      <c r="Y193" s="50" t="str">
        <f>MID(VLOOKUP($A193,Seqs!$A:$B,2,FALSE),VLOOKUP($A193,'SegEnds_NonXtal_Prot#'!A:AL,10,FALSE)+9,1)</f>
        <v>F</v>
      </c>
      <c r="Z193" s="50" t="str">
        <f>MID(VLOOKUP($A193,Seqs!$A:$B,2,FALSE),VLOOKUP($A193,'SegEnds_NonXtal_Prot#'!A:AL,10,FALSE)+10,1)</f>
        <v>P</v>
      </c>
      <c r="AA193" s="28" t="str">
        <f>MID(VLOOKUP($A193,Seqs!$A:$B,2,FALSE),VLOOKUP($A193,'SegEnds_NonXtal_Prot#'!$A:$AL,22,FALSE)+6,1)</f>
        <v>W</v>
      </c>
      <c r="AB193" s="50" t="str">
        <f>MID(VLOOKUP($A193,Seqs!$A:$B,2,FALSE),VLOOKUP($A193,'SegEnds_NonXtal_Prot#'!$A:$AL,22,FALSE)+7,1)</f>
        <v>A</v>
      </c>
      <c r="AC193" s="50" t="str">
        <f>MID(VLOOKUP($A193,Seqs!$A:$B,2,FALSE),VLOOKUP($A193,'SegEnds_NonXtal_Prot#'!$A:$AL,22,FALSE)+8,1)</f>
        <v>I</v>
      </c>
      <c r="AD193" s="50" t="str">
        <f>MID(VLOOKUP($A193,Seqs!$A:$B,2,FALSE),VLOOKUP($A193,'SegEnds_NonXtal_Prot#'!$A:$AL,22,FALSE)+9,1)</f>
        <v>G</v>
      </c>
      <c r="AE193" s="50" t="str">
        <f>MID(VLOOKUP($A193,Seqs!$A:$B,2,FALSE),VLOOKUP($A193,'SegEnds_NonXtal_Prot#'!$A:$AL,22,FALSE)+10,1)</f>
        <v>P</v>
      </c>
      <c r="AF193" s="28" t="str">
        <f>MID(VLOOKUP($A193,Seqs!$A:$B,2,FALSE),VLOOKUP($A193,'SegEnds_NonXtal_Prot#'!$A:$AL,28,FALSE)-4,1)</f>
        <v>G</v>
      </c>
      <c r="AG193" s="50" t="str">
        <f>MID(VLOOKUP($A193,Seqs!$A:$B,2,FALSE),VLOOKUP($A193,'SegEnds_NonXtal_Prot#'!$A:$AL,28,FALSE),1)</f>
        <v>P</v>
      </c>
    </row>
    <row r="194" spans="1:33" s="2" customFormat="1" x14ac:dyDescent="0.2">
      <c r="A194" s="2" t="s">
        <v>215</v>
      </c>
      <c r="B194" s="2" t="str">
        <f>LOWER(VLOOKUP(A194,Xtal_Templ!A:B,2,FALSE))</f>
        <v>ox1r_human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F194" s="2" t="s">
        <v>5</v>
      </c>
      <c r="G194" s="4"/>
      <c r="M194" s="2" t="s">
        <v>14</v>
      </c>
      <c r="Q194" s="2" t="s">
        <v>9</v>
      </c>
      <c r="S194" s="4" t="s">
        <v>12</v>
      </c>
      <c r="U194" s="28" t="str">
        <f>MID(VLOOKUP($A194,Seqs!$A:$B,2,FALSE),VLOOKUP($A194,'SegEnds_NonXtal_Prot#'!A:AL,10,FALSE),1)</f>
        <v>D</v>
      </c>
      <c r="V194" s="50" t="str">
        <f>MID(VLOOKUP($A194,Seqs!$A:$B,2,FALSE),VLOOKUP($A194,'SegEnds_NonXtal_Prot#'!A:AL,10,FALSE)+6,1)</f>
        <v>L</v>
      </c>
      <c r="W194" s="50" t="str">
        <f>MID(VLOOKUP($A194,Seqs!$A:$B,2,FALSE),VLOOKUP($A194,'SegEnds_NonXtal_Prot#'!A:AL,10,FALSE)+7,1)</f>
        <v>C</v>
      </c>
      <c r="X194" s="50" t="str">
        <f>MID(VLOOKUP($A194,Seqs!$A:$B,2,FALSE),VLOOKUP($A194,'SegEnds_NonXtal_Prot#'!A:AL,10,FALSE)+8,1)</f>
        <v>L</v>
      </c>
      <c r="Y194" s="50" t="str">
        <f>MID(VLOOKUP($A194,Seqs!$A:$B,2,FALSE),VLOOKUP($A194,'SegEnds_NonXtal_Prot#'!A:AL,10,FALSE)+9,1)</f>
        <v>P</v>
      </c>
      <c r="Z194" s="50" t="str">
        <f>MID(VLOOKUP($A194,Seqs!$A:$B,2,FALSE),VLOOKUP($A194,'SegEnds_NonXtal_Prot#'!A:AL,10,FALSE)+10,1)</f>
        <v>A</v>
      </c>
      <c r="AA194" s="28" t="str">
        <f>MID(VLOOKUP($A194,Seqs!$A:$B,2,FALSE),VLOOKUP($A194,'SegEnds_NonXtal_Prot#'!$A:$AL,22,FALSE)+6,1)</f>
        <v>F</v>
      </c>
      <c r="AB194" s="50" t="str">
        <f>MID(VLOOKUP($A194,Seqs!$A:$B,2,FALSE),VLOOKUP($A194,'SegEnds_NonXtal_Prot#'!$A:$AL,22,FALSE)+7,1)</f>
        <v>S</v>
      </c>
      <c r="AC194" s="50" t="str">
        <f>MID(VLOOKUP($A194,Seqs!$A:$B,2,FALSE),VLOOKUP($A194,'SegEnds_NonXtal_Prot#'!$A:$AL,22,FALSE)+8,1)</f>
        <v>L</v>
      </c>
      <c r="AD194" s="50" t="str">
        <f>MID(VLOOKUP($A194,Seqs!$A:$B,2,FALSE),VLOOKUP($A194,'SegEnds_NonXtal_Prot#'!$A:$AL,22,FALSE)+9,1)</f>
        <v>P</v>
      </c>
      <c r="AE194" s="50" t="str">
        <f>MID(VLOOKUP($A194,Seqs!$A:$B,2,FALSE),VLOOKUP($A194,'SegEnds_NonXtal_Prot#'!$A:$AL,22,FALSE)+10,1)</f>
        <v>W</v>
      </c>
      <c r="AF194" s="28" t="str">
        <f>MID(VLOOKUP($A194,Seqs!$A:$B,2,FALSE),VLOOKUP($A194,'SegEnds_NonXtal_Prot#'!$A:$AL,28,FALSE)-4,1)</f>
        <v>C</v>
      </c>
      <c r="AG194" s="50" t="str">
        <f>MID(VLOOKUP($A194,Seqs!$A:$B,2,FALSE),VLOOKUP($A194,'SegEnds_NonXtal_Prot#'!$A:$AL,28,FALSE),1)</f>
        <v>P</v>
      </c>
    </row>
    <row r="195" spans="1:33" s="2" customFormat="1" x14ac:dyDescent="0.2">
      <c r="A195" s="2" t="s">
        <v>222</v>
      </c>
      <c r="B195" s="2" t="str">
        <f>LOWER(VLOOKUP(A195,Xtal_Templ!A:B,2,FALSE))</f>
        <v>ox2r_human</v>
      </c>
      <c r="C195" s="2" t="str">
        <f>VLOOKUP(A195,Classification!A:D,2,FALSE)</f>
        <v>A</v>
      </c>
      <c r="D195" s="2" t="str">
        <f>IF(ISERROR(MATCH(A195,'SegEnds_Xtal_Prot#'!B:B, 0)), "NoXtal", "Xtal")</f>
        <v>NoXtal</v>
      </c>
      <c r="G195" s="4"/>
      <c r="Q195" s="2" t="s">
        <v>9</v>
      </c>
      <c r="S195" s="4" t="s">
        <v>12</v>
      </c>
      <c r="U195" s="28" t="str">
        <f>MID(VLOOKUP($A195,Seqs!$A:$B,2,FALSE),VLOOKUP($A195,'SegEnds_NonXtal_Prot#'!A:AL,10,FALSE),1)</f>
        <v>D</v>
      </c>
      <c r="V195" s="50" t="str">
        <f>MID(VLOOKUP($A195,Seqs!$A:$B,2,FALSE),VLOOKUP($A195,'SegEnds_NonXtal_Prot#'!A:AL,10,FALSE)+6,1)</f>
        <v>G</v>
      </c>
      <c r="W195" s="50" t="str">
        <f>MID(VLOOKUP($A195,Seqs!$A:$B,2,FALSE),VLOOKUP($A195,'SegEnds_NonXtal_Prot#'!A:AL,10,FALSE)+7,1)</f>
        <v>T</v>
      </c>
      <c r="X195" s="50" t="str">
        <f>MID(VLOOKUP($A195,Seqs!$A:$B,2,FALSE),VLOOKUP($A195,'SegEnds_NonXtal_Prot#'!A:AL,10,FALSE)+8,1)</f>
        <v>A</v>
      </c>
      <c r="Y195" s="50" t="str">
        <f>MID(VLOOKUP($A195,Seqs!$A:$B,2,FALSE),VLOOKUP($A195,'SegEnds_NonXtal_Prot#'!A:AL,10,FALSE)+9,1)</f>
        <v>L</v>
      </c>
      <c r="Z195" s="50" t="str">
        <f>MID(VLOOKUP($A195,Seqs!$A:$B,2,FALSE),VLOOKUP($A195,'SegEnds_NonXtal_Prot#'!A:AL,10,FALSE)+10,1)</f>
        <v>S</v>
      </c>
      <c r="AA195" s="28" t="str">
        <f>MID(VLOOKUP($A195,Seqs!$A:$B,2,FALSE),VLOOKUP($A195,'SegEnds_NonXtal_Prot#'!$A:$AL,22,FALSE)+6,1)</f>
        <v>L</v>
      </c>
      <c r="AB195" s="50" t="str">
        <f>MID(VLOOKUP($A195,Seqs!$A:$B,2,FALSE),VLOOKUP($A195,'SegEnds_NonXtal_Prot#'!$A:$AL,22,FALSE)+7,1)</f>
        <v>A</v>
      </c>
      <c r="AC195" s="50" t="str">
        <f>MID(VLOOKUP($A195,Seqs!$A:$B,2,FALSE),VLOOKUP($A195,'SegEnds_NonXtal_Prot#'!$A:$AL,22,FALSE)+8,1)</f>
        <v>L</v>
      </c>
      <c r="AD195" s="50" t="str">
        <f>MID(VLOOKUP($A195,Seqs!$A:$B,2,FALSE),VLOOKUP($A195,'SegEnds_NonXtal_Prot#'!$A:$AL,22,FALSE)+9,1)</f>
        <v>P</v>
      </c>
      <c r="AE195" s="50" t="str">
        <f>MID(VLOOKUP($A195,Seqs!$A:$B,2,FALSE),VLOOKUP($A195,'SegEnds_NonXtal_Prot#'!$A:$AL,22,FALSE)+10,1)</f>
        <v>P</v>
      </c>
      <c r="AF195" s="28" t="str">
        <f>MID(VLOOKUP($A195,Seqs!$A:$B,2,FALSE),VLOOKUP($A195,'SegEnds_NonXtal_Prot#'!$A:$AL,28,FALSE)-4,1)</f>
        <v>G</v>
      </c>
      <c r="AG195" s="50" t="str">
        <f>MID(VLOOKUP($A195,Seqs!$A:$B,2,FALSE),VLOOKUP($A195,'SegEnds_NonXtal_Prot#'!$A:$AL,28,FALSE),1)</f>
        <v>P</v>
      </c>
    </row>
    <row r="196" spans="1:33" s="2" customFormat="1" x14ac:dyDescent="0.2">
      <c r="A196" s="2" t="s">
        <v>232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F196" s="2" t="s">
        <v>5</v>
      </c>
      <c r="G196" s="4"/>
      <c r="M196" s="2" t="s">
        <v>14</v>
      </c>
      <c r="Q196" s="2" t="s">
        <v>9</v>
      </c>
      <c r="S196" s="4" t="s">
        <v>12</v>
      </c>
      <c r="U196" s="28" t="str">
        <f>MID(VLOOKUP($A196,Seqs!$A:$B,2,FALSE),VLOOKUP($A196,'SegEnds_NonXtal_Prot#'!A:AL,10,FALSE),1)</f>
        <v>G</v>
      </c>
      <c r="V196" s="50" t="str">
        <f>MID(VLOOKUP($A196,Seqs!$A:$B,2,FALSE),VLOOKUP($A196,'SegEnds_NonXtal_Prot#'!A:AL,10,FALSE)+6,1)</f>
        <v>V</v>
      </c>
      <c r="W196" s="50" t="str">
        <f>MID(VLOOKUP($A196,Seqs!$A:$B,2,FALSE),VLOOKUP($A196,'SegEnds_NonXtal_Prot#'!A:AL,10,FALSE)+7,1)</f>
        <v>C</v>
      </c>
      <c r="X196" s="50" t="str">
        <f>MID(VLOOKUP($A196,Seqs!$A:$B,2,FALSE),VLOOKUP($A196,'SegEnds_NonXtal_Prot#'!A:AL,10,FALSE)+8,1)</f>
        <v>V</v>
      </c>
      <c r="Y196" s="50" t="str">
        <f>MID(VLOOKUP($A196,Seqs!$A:$B,2,FALSE),VLOOKUP($A196,'SegEnds_NonXtal_Prot#'!A:AL,10,FALSE)+9,1)</f>
        <v>P</v>
      </c>
      <c r="Z196" s="50" t="str">
        <f>MID(VLOOKUP($A196,Seqs!$A:$B,2,FALSE),VLOOKUP($A196,'SegEnds_NonXtal_Prot#'!A:AL,10,FALSE)+10,1)</f>
        <v>F</v>
      </c>
      <c r="AA196" s="28" t="str">
        <f>MID(VLOOKUP($A196,Seqs!$A:$B,2,FALSE),VLOOKUP($A196,'SegEnds_NonXtal_Prot#'!$A:$AL,22,FALSE)+6,1)</f>
        <v>A</v>
      </c>
      <c r="AB196" s="50" t="str">
        <f>MID(VLOOKUP($A196,Seqs!$A:$B,2,FALSE),VLOOKUP($A196,'SegEnds_NonXtal_Prot#'!$A:$AL,22,FALSE)+7,1)</f>
        <v>S</v>
      </c>
      <c r="AC196" s="50" t="str">
        <f>MID(VLOOKUP($A196,Seqs!$A:$B,2,FALSE),VLOOKUP($A196,'SegEnds_NonXtal_Prot#'!$A:$AL,22,FALSE)+8,1)</f>
        <v>V</v>
      </c>
      <c r="AD196" s="50" t="str">
        <f>MID(VLOOKUP($A196,Seqs!$A:$B,2,FALSE),VLOOKUP($A196,'SegEnds_NonXtal_Prot#'!$A:$AL,22,FALSE)+9,1)</f>
        <v>P</v>
      </c>
      <c r="AE196" s="50" t="str">
        <f>MID(VLOOKUP($A196,Seqs!$A:$B,2,FALSE),VLOOKUP($A196,'SegEnds_NonXtal_Prot#'!$A:$AL,22,FALSE)+10,1)</f>
        <v>V</v>
      </c>
      <c r="AF196" s="28" t="str">
        <f>MID(VLOOKUP($A196,Seqs!$A:$B,2,FALSE),VLOOKUP($A196,'SegEnds_NonXtal_Prot#'!$A:$AL,28,FALSE)-4,1)</f>
        <v>T</v>
      </c>
      <c r="AG196" s="50" t="str">
        <f>MID(VLOOKUP($A196,Seqs!$A:$B,2,FALSE),VLOOKUP($A196,'SegEnds_NonXtal_Prot#'!$A:$AL,28,FALSE),1)</f>
        <v>P</v>
      </c>
    </row>
    <row r="197" spans="1:33" s="2" customFormat="1" x14ac:dyDescent="0.2">
      <c r="A197" s="2" t="s">
        <v>267</v>
      </c>
      <c r="B197" s="2" t="str">
        <f>LOWER(VLOOKUP(A197,Xtal_Templ!A:B,2,FALSE))</f>
        <v>ox1r_human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F197" s="2" t="s">
        <v>5</v>
      </c>
      <c r="G197" s="4"/>
      <c r="Q197" s="2" t="s">
        <v>9</v>
      </c>
      <c r="S197" s="4" t="s">
        <v>12</v>
      </c>
      <c r="U197" s="28" t="str">
        <f>MID(VLOOKUP($A197,Seqs!$A:$B,2,FALSE),VLOOKUP($A197,'SegEnds_NonXtal_Prot#'!A:AL,10,FALSE),1)</f>
        <v>H</v>
      </c>
      <c r="V197" s="50" t="str">
        <f>MID(VLOOKUP($A197,Seqs!$A:$B,2,FALSE),VLOOKUP($A197,'SegEnds_NonXtal_Prot#'!A:AL,10,FALSE)+6,1)</f>
        <v>L</v>
      </c>
      <c r="W197" s="50" t="str">
        <f>MID(VLOOKUP($A197,Seqs!$A:$B,2,FALSE),VLOOKUP($A197,'SegEnds_NonXtal_Prot#'!A:AL,10,FALSE)+7,1)</f>
        <v>D</v>
      </c>
      <c r="X197" s="50" t="str">
        <f>MID(VLOOKUP($A197,Seqs!$A:$B,2,FALSE),VLOOKUP($A197,'SegEnds_NonXtal_Prot#'!A:AL,10,FALSE)+8,1)</f>
        <v>M</v>
      </c>
      <c r="Y197" s="50" t="str">
        <f>MID(VLOOKUP($A197,Seqs!$A:$B,2,FALSE),VLOOKUP($A197,'SegEnds_NonXtal_Prot#'!A:AL,10,FALSE)+9,1)</f>
        <v>P</v>
      </c>
      <c r="Z197" s="50" t="str">
        <f>MID(VLOOKUP($A197,Seqs!$A:$B,2,FALSE),VLOOKUP($A197,'SegEnds_NonXtal_Prot#'!A:AL,10,FALSE)+10,1)</f>
        <v>F</v>
      </c>
      <c r="AA197" s="28" t="str">
        <f>MID(VLOOKUP($A197,Seqs!$A:$B,2,FALSE),VLOOKUP($A197,'SegEnds_NonXtal_Prot#'!$A:$AL,22,FALSE)+6,1)</f>
        <v>F</v>
      </c>
      <c r="AB197" s="50" t="str">
        <f>MID(VLOOKUP($A197,Seqs!$A:$B,2,FALSE),VLOOKUP($A197,'SegEnds_NonXtal_Prot#'!$A:$AL,22,FALSE)+7,1)</f>
        <v>S</v>
      </c>
      <c r="AC197" s="50" t="str">
        <f>MID(VLOOKUP($A197,Seqs!$A:$B,2,FALSE),VLOOKUP($A197,'SegEnds_NonXtal_Prot#'!$A:$AL,22,FALSE)+8,1)</f>
        <v>G</v>
      </c>
      <c r="AD197" s="50" t="str">
        <f>MID(VLOOKUP($A197,Seqs!$A:$B,2,FALSE),VLOOKUP($A197,'SegEnds_NonXtal_Prot#'!$A:$AL,22,FALSE)+9,1)</f>
        <v>A</v>
      </c>
      <c r="AE197" s="50" t="str">
        <f>MID(VLOOKUP($A197,Seqs!$A:$B,2,FALSE),VLOOKUP($A197,'SegEnds_NonXtal_Prot#'!$A:$AL,22,FALSE)+10,1)</f>
        <v>A</v>
      </c>
      <c r="AF197" s="28" t="str">
        <f>MID(VLOOKUP($A197,Seqs!$A:$B,2,FALSE),VLOOKUP($A197,'SegEnds_NonXtal_Prot#'!$A:$AL,28,FALSE)-4,1)</f>
        <v>G</v>
      </c>
      <c r="AG197" s="50" t="str">
        <f>MID(VLOOKUP($A197,Seqs!$A:$B,2,FALSE),VLOOKUP($A197,'SegEnds_NonXtal_Prot#'!$A:$AL,28,FALSE),1)</f>
        <v>P</v>
      </c>
    </row>
    <row r="198" spans="1:33" s="2" customFormat="1" x14ac:dyDescent="0.2">
      <c r="A198" s="2" t="s">
        <v>270</v>
      </c>
      <c r="B198" s="2" t="str">
        <f>LOWER(VLOOKUP(A198,Xtal_Templ!A:B,2,FALSE))</f>
        <v>ednrb_human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F198" s="2" t="s">
        <v>5</v>
      </c>
      <c r="G198" s="4"/>
      <c r="M198" s="2" t="s">
        <v>14</v>
      </c>
      <c r="Q198" s="2" t="s">
        <v>9</v>
      </c>
      <c r="S198" s="4" t="s">
        <v>12</v>
      </c>
      <c r="U198" s="28" t="str">
        <f>MID(VLOOKUP($A198,Seqs!$A:$B,2,FALSE),VLOOKUP($A198,'SegEnds_NonXtal_Prot#'!A:AL,10,FALSE),1)</f>
        <v>D</v>
      </c>
      <c r="V198" s="50" t="str">
        <f>MID(VLOOKUP($A198,Seqs!$A:$B,2,FALSE),VLOOKUP($A198,'SegEnds_NonXtal_Prot#'!A:AL,10,FALSE)+6,1)</f>
        <v>L</v>
      </c>
      <c r="W198" s="50" t="str">
        <f>MID(VLOOKUP($A198,Seqs!$A:$B,2,FALSE),VLOOKUP($A198,'SegEnds_NonXtal_Prot#'!A:AL,10,FALSE)+7,1)</f>
        <v>L</v>
      </c>
      <c r="X198" s="50" t="str">
        <f>MID(VLOOKUP($A198,Seqs!$A:$B,2,FALSE),VLOOKUP($A198,'SegEnds_NonXtal_Prot#'!A:AL,10,FALSE)+8,1)</f>
        <v>Q</v>
      </c>
      <c r="Y198" s="50" t="str">
        <f>MID(VLOOKUP($A198,Seqs!$A:$B,2,FALSE),VLOOKUP($A198,'SegEnds_NonXtal_Prot#'!A:AL,10,FALSE)+9,1)</f>
        <v>P</v>
      </c>
      <c r="Z198" s="50" t="str">
        <f>MID(VLOOKUP($A198,Seqs!$A:$B,2,FALSE),VLOOKUP($A198,'SegEnds_NonXtal_Prot#'!A:AL,10,FALSE)+10,1)</f>
        <v>F</v>
      </c>
      <c r="AA198" s="28" t="str">
        <f>MID(VLOOKUP($A198,Seqs!$A:$B,2,FALSE),VLOOKUP($A198,'SegEnds_NonXtal_Prot#'!$A:$AL,22,FALSE)+6,1)</f>
        <v>S</v>
      </c>
      <c r="AB198" s="50" t="str">
        <f>MID(VLOOKUP($A198,Seqs!$A:$B,2,FALSE),VLOOKUP($A198,'SegEnds_NonXtal_Prot#'!$A:$AL,22,FALSE)+7,1)</f>
        <v>F</v>
      </c>
      <c r="AC198" s="50" t="str">
        <f>MID(VLOOKUP($A198,Seqs!$A:$B,2,FALSE),VLOOKUP($A198,'SegEnds_NonXtal_Prot#'!$A:$AL,22,FALSE)+8,1)</f>
        <v>A</v>
      </c>
      <c r="AD198" s="50" t="str">
        <f>MID(VLOOKUP($A198,Seqs!$A:$B,2,FALSE),VLOOKUP($A198,'SegEnds_NonXtal_Prot#'!$A:$AL,22,FALSE)+9,1)</f>
        <v>P</v>
      </c>
      <c r="AE198" s="50" t="str">
        <f>MID(VLOOKUP($A198,Seqs!$A:$B,2,FALSE),VLOOKUP($A198,'SegEnds_NonXtal_Prot#'!$A:$AL,22,FALSE)+10,1)</f>
        <v>L</v>
      </c>
      <c r="AF198" s="28" t="str">
        <f>MID(VLOOKUP($A198,Seqs!$A:$B,2,FALSE),VLOOKUP($A198,'SegEnds_NonXtal_Prot#'!$A:$AL,28,FALSE)-4,1)</f>
        <v>D</v>
      </c>
      <c r="AG198" s="50" t="str">
        <f>MID(VLOOKUP($A198,Seqs!$A:$B,2,FALSE),VLOOKUP($A198,'SegEnds_NonXtal_Prot#'!$A:$AL,28,FALSE),1)</f>
        <v>P</v>
      </c>
    </row>
    <row r="199" spans="1:33" s="2" customFormat="1" x14ac:dyDescent="0.2">
      <c r="A199" s="2" t="s">
        <v>315</v>
      </c>
      <c r="B199" s="2" t="str">
        <f>LOWER(VLOOKUP(A199,Xtal_Templ!A:B,2,FALSE))</f>
        <v>ox1r_human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4"/>
      <c r="M199" s="2" t="s">
        <v>14</v>
      </c>
      <c r="Q199" s="2" t="s">
        <v>9</v>
      </c>
      <c r="S199" s="4" t="s">
        <v>12</v>
      </c>
      <c r="U199" s="28" t="str">
        <f>MID(VLOOKUP($A199,Seqs!$A:$B,2,FALSE),VLOOKUP($A199,'SegEnds_NonXtal_Prot#'!A:AL,10,FALSE),1)</f>
        <v>D</v>
      </c>
      <c r="V199" s="50" t="str">
        <f>MID(VLOOKUP($A199,Seqs!$A:$B,2,FALSE),VLOOKUP($A199,'SegEnds_NonXtal_Prot#'!A:AL,10,FALSE)+6,1)</f>
        <v>F</v>
      </c>
      <c r="W199" s="50" t="str">
        <f>MID(VLOOKUP($A199,Seqs!$A:$B,2,FALSE),VLOOKUP($A199,'SegEnds_NonXtal_Prot#'!A:AL,10,FALSE)+7,1)</f>
        <v>N</v>
      </c>
      <c r="X199" s="50" t="str">
        <f>MID(VLOOKUP($A199,Seqs!$A:$B,2,FALSE),VLOOKUP($A199,'SegEnds_NonXtal_Prot#'!A:AL,10,FALSE)+8,1)</f>
        <v>A</v>
      </c>
      <c r="Y199" s="50" t="str">
        <f>MID(VLOOKUP($A199,Seqs!$A:$B,2,FALSE),VLOOKUP($A199,'SegEnds_NonXtal_Prot#'!A:AL,10,FALSE)+9,1)</f>
        <v>A</v>
      </c>
      <c r="Z199" s="50" t="str">
        <f>MID(VLOOKUP($A199,Seqs!$A:$B,2,FALSE),VLOOKUP($A199,'SegEnds_NonXtal_Prot#'!A:AL,10,FALSE)+10,1)</f>
        <v>F</v>
      </c>
      <c r="AA199" s="28" t="str">
        <f>MID(VLOOKUP($A199,Seqs!$A:$B,2,FALSE),VLOOKUP($A199,'SegEnds_NonXtal_Prot#'!$A:$AL,22,FALSE)+6,1)</f>
        <v>L</v>
      </c>
      <c r="AB199" s="50" t="str">
        <f>MID(VLOOKUP($A199,Seqs!$A:$B,2,FALSE),VLOOKUP($A199,'SegEnds_NonXtal_Prot#'!$A:$AL,22,FALSE)+7,1)</f>
        <v>A</v>
      </c>
      <c r="AC199" s="50" t="str">
        <f>MID(VLOOKUP($A199,Seqs!$A:$B,2,FALSE),VLOOKUP($A199,'SegEnds_NonXtal_Prot#'!$A:$AL,22,FALSE)+8,1)</f>
        <v>S</v>
      </c>
      <c r="AD199" s="50" t="str">
        <f>MID(VLOOKUP($A199,Seqs!$A:$B,2,FALSE),VLOOKUP($A199,'SegEnds_NonXtal_Prot#'!$A:$AL,22,FALSE)+9,1)</f>
        <v>P</v>
      </c>
      <c r="AE199" s="50" t="str">
        <f>MID(VLOOKUP($A199,Seqs!$A:$B,2,FALSE),VLOOKUP($A199,'SegEnds_NonXtal_Prot#'!$A:$AL,22,FALSE)+10,1)</f>
        <v>Q</v>
      </c>
      <c r="AF199" s="28" t="str">
        <f>MID(VLOOKUP($A199,Seqs!$A:$B,2,FALSE),VLOOKUP($A199,'SegEnds_NonXtal_Prot#'!$A:$AL,28,FALSE)-4,1)</f>
        <v>I</v>
      </c>
      <c r="AG199" s="50" t="str">
        <f>MID(VLOOKUP($A199,Seqs!$A:$B,2,FALSE),VLOOKUP($A199,'SegEnds_NonXtal_Prot#'!$A:$AL,28,FALSE),1)</f>
        <v>P</v>
      </c>
    </row>
    <row r="200" spans="1:33" s="2" customFormat="1" x14ac:dyDescent="0.2">
      <c r="A200" s="2" t="s">
        <v>323</v>
      </c>
      <c r="B200" s="2" t="str">
        <f>LOWER(VLOOKUP(A200,Xtal_Templ!A:B,2,FALSE))</f>
        <v>ox2r_human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F200" s="2" t="s">
        <v>5</v>
      </c>
      <c r="G200" s="4"/>
      <c r="M200" s="2" t="s">
        <v>14</v>
      </c>
      <c r="Q200" s="2" t="s">
        <v>9</v>
      </c>
      <c r="S200" s="4" t="s">
        <v>12</v>
      </c>
      <c r="U200" s="28" t="str">
        <f>MID(VLOOKUP($A200,Seqs!$A:$B,2,FALSE),VLOOKUP($A200,'SegEnds_NonXtal_Prot#'!A:AL,10,FALSE),1)</f>
        <v>D</v>
      </c>
      <c r="V200" s="50" t="str">
        <f>MID(VLOOKUP($A200,Seqs!$A:$B,2,FALSE),VLOOKUP($A200,'SegEnds_NonXtal_Prot#'!A:AL,10,FALSE)+6,1)</f>
        <v>F</v>
      </c>
      <c r="W200" s="50" t="str">
        <f>MID(VLOOKUP($A200,Seqs!$A:$B,2,FALSE),VLOOKUP($A200,'SegEnds_NonXtal_Prot#'!A:AL,10,FALSE)+7,1)</f>
        <v>C</v>
      </c>
      <c r="X200" s="50" t="str">
        <f>MID(VLOOKUP($A200,Seqs!$A:$B,2,FALSE),VLOOKUP($A200,'SegEnds_NonXtal_Prot#'!A:AL,10,FALSE)+8,1)</f>
        <v>M</v>
      </c>
      <c r="Y200" s="50" t="str">
        <f>MID(VLOOKUP($A200,Seqs!$A:$B,2,FALSE),VLOOKUP($A200,'SegEnds_NonXtal_Prot#'!A:AL,10,FALSE)+9,1)</f>
        <v>P</v>
      </c>
      <c r="Z200" s="50" t="str">
        <f>MID(VLOOKUP($A200,Seqs!$A:$B,2,FALSE),VLOOKUP($A200,'SegEnds_NonXtal_Prot#'!A:AL,10,FALSE)+10,1)</f>
        <v>I</v>
      </c>
      <c r="AA200" s="28" t="str">
        <f>MID(VLOOKUP($A200,Seqs!$A:$B,2,FALSE),VLOOKUP($A200,'SegEnds_NonXtal_Prot#'!$A:$AL,22,FALSE)+6,1)</f>
        <v>I</v>
      </c>
      <c r="AB200" s="50" t="str">
        <f>MID(VLOOKUP($A200,Seqs!$A:$B,2,FALSE),VLOOKUP($A200,'SegEnds_NonXtal_Prot#'!$A:$AL,22,FALSE)+7,1)</f>
        <v>M</v>
      </c>
      <c r="AC200" s="50" t="str">
        <f>MID(VLOOKUP($A200,Seqs!$A:$B,2,FALSE),VLOOKUP($A200,'SegEnds_NonXtal_Prot#'!$A:$AL,22,FALSE)+8,1)</f>
        <v>S</v>
      </c>
      <c r="AD200" s="50" t="str">
        <f>MID(VLOOKUP($A200,Seqs!$A:$B,2,FALSE),VLOOKUP($A200,'SegEnds_NonXtal_Prot#'!$A:$AL,22,FALSE)+9,1)</f>
        <v>P</v>
      </c>
      <c r="AE200" s="50" t="str">
        <f>MID(VLOOKUP($A200,Seqs!$A:$B,2,FALSE),VLOOKUP($A200,'SegEnds_NonXtal_Prot#'!$A:$AL,22,FALSE)+10,1)</f>
        <v>S</v>
      </c>
      <c r="AF200" s="28" t="str">
        <f>MID(VLOOKUP($A200,Seqs!$A:$B,2,FALSE),VLOOKUP($A200,'SegEnds_NonXtal_Prot#'!$A:$AL,28,FALSE)-4,1)</f>
        <v>I</v>
      </c>
      <c r="AG200" s="50" t="str">
        <f>MID(VLOOKUP($A200,Seqs!$A:$B,2,FALSE),VLOOKUP($A200,'SegEnds_NonXtal_Prot#'!$A:$AL,28,FALSE),1)</f>
        <v>P</v>
      </c>
    </row>
    <row r="201" spans="1:33" s="2" customFormat="1" x14ac:dyDescent="0.2">
      <c r="A201" s="2" t="s">
        <v>326</v>
      </c>
      <c r="B201" s="2" t="str">
        <f>LOWER(VLOOKUP(A201,Xtal_Templ!A:B,2,FALSE))</f>
        <v>ox1r_human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F201" s="2" t="s">
        <v>5</v>
      </c>
      <c r="G201" s="4"/>
      <c r="M201" s="2" t="s">
        <v>14</v>
      </c>
      <c r="Q201" s="2" t="s">
        <v>9</v>
      </c>
      <c r="S201" s="4" t="s">
        <v>12</v>
      </c>
      <c r="U201" s="28" t="str">
        <f>MID(VLOOKUP($A201,Seqs!$A:$B,2,FALSE),VLOOKUP($A201,'SegEnds_NonXtal_Prot#'!A:AL,10,FALSE),1)</f>
        <v>D</v>
      </c>
      <c r="V201" s="50" t="str">
        <f>MID(VLOOKUP($A201,Seqs!$A:$B,2,FALSE),VLOOKUP($A201,'SegEnds_NonXtal_Prot#'!A:AL,10,FALSE)+6,1)</f>
        <v>L</v>
      </c>
      <c r="W201" s="50" t="str">
        <f>MID(VLOOKUP($A201,Seqs!$A:$B,2,FALSE),VLOOKUP($A201,'SegEnds_NonXtal_Prot#'!A:AL,10,FALSE)+7,1)</f>
        <v>C</v>
      </c>
      <c r="X201" s="50" t="str">
        <f>MID(VLOOKUP($A201,Seqs!$A:$B,2,FALSE),VLOOKUP($A201,'SegEnds_NonXtal_Prot#'!A:AL,10,FALSE)+8,1)</f>
        <v>L</v>
      </c>
      <c r="Y201" s="50" t="str">
        <f>MID(VLOOKUP($A201,Seqs!$A:$B,2,FALSE),VLOOKUP($A201,'SegEnds_NonXtal_Prot#'!A:AL,10,FALSE)+9,1)</f>
        <v>P</v>
      </c>
      <c r="Z201" s="50" t="str">
        <f>MID(VLOOKUP($A201,Seqs!$A:$B,2,FALSE),VLOOKUP($A201,'SegEnds_NonXtal_Prot#'!A:AL,10,FALSE)+10,1)</f>
        <v>F</v>
      </c>
      <c r="AA201" s="28" t="str">
        <f>MID(VLOOKUP($A201,Seqs!$A:$B,2,FALSE),VLOOKUP($A201,'SegEnds_NonXtal_Prot#'!$A:$AL,22,FALSE)+6,1)</f>
        <v>L</v>
      </c>
      <c r="AB201" s="50" t="str">
        <f>MID(VLOOKUP($A201,Seqs!$A:$B,2,FALSE),VLOOKUP($A201,'SegEnds_NonXtal_Prot#'!$A:$AL,22,FALSE)+7,1)</f>
        <v>A</v>
      </c>
      <c r="AC201" s="50" t="str">
        <f>MID(VLOOKUP($A201,Seqs!$A:$B,2,FALSE),VLOOKUP($A201,'SegEnds_NonXtal_Prot#'!$A:$AL,22,FALSE)+8,1)</f>
        <v>S</v>
      </c>
      <c r="AD201" s="50" t="str">
        <f>MID(VLOOKUP($A201,Seqs!$A:$B,2,FALSE),VLOOKUP($A201,'SegEnds_NonXtal_Prot#'!$A:$AL,22,FALSE)+9,1)</f>
        <v>P</v>
      </c>
      <c r="AE201" s="50" t="str">
        <f>MID(VLOOKUP($A201,Seqs!$A:$B,2,FALSE),VLOOKUP($A201,'SegEnds_NonXtal_Prot#'!$A:$AL,22,FALSE)+10,1)</f>
        <v>L</v>
      </c>
      <c r="AF201" s="28" t="str">
        <f>MID(VLOOKUP($A201,Seqs!$A:$B,2,FALSE),VLOOKUP($A201,'SegEnds_NonXtal_Prot#'!$A:$AL,28,FALSE)-4,1)</f>
        <v>L</v>
      </c>
      <c r="AG201" s="50" t="str">
        <f>MID(VLOOKUP($A201,Seqs!$A:$B,2,FALSE),VLOOKUP($A201,'SegEnds_NonXtal_Prot#'!$A:$AL,28,FALSE),1)</f>
        <v>P</v>
      </c>
    </row>
    <row r="202" spans="1:33" s="2" customFormat="1" x14ac:dyDescent="0.2">
      <c r="A202" s="2" t="s">
        <v>1175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Xtal</v>
      </c>
      <c r="F202" s="2" t="s">
        <v>5</v>
      </c>
      <c r="G202" s="4"/>
      <c r="M202" s="2" t="s">
        <v>14</v>
      </c>
      <c r="Q202" s="2" t="s">
        <v>9</v>
      </c>
      <c r="S202" s="4" t="s">
        <v>12</v>
      </c>
      <c r="U202" s="28" t="str">
        <f>MID(VLOOKUP($A202,Seqs!$A:$B,2,FALSE),VLOOKUP($A202,'SegEnds_NonXtal_Prot#'!A:AL,10,FALSE),1)</f>
        <v>D</v>
      </c>
      <c r="V202" s="50" t="str">
        <f>MID(VLOOKUP($A202,Seqs!$A:$B,2,FALSE),VLOOKUP($A202,'SegEnds_NonXtal_Prot#'!A:AL,10,FALSE)+6,1)</f>
        <v>I</v>
      </c>
      <c r="W202" s="50" t="str">
        <f>MID(VLOOKUP($A202,Seqs!$A:$B,2,FALSE),VLOOKUP($A202,'SegEnds_NonXtal_Prot#'!A:AL,10,FALSE)+7,1)</f>
        <v>C</v>
      </c>
      <c r="X202" s="50" t="str">
        <f>MID(VLOOKUP($A202,Seqs!$A:$B,2,FALSE),VLOOKUP($A202,'SegEnds_NonXtal_Prot#'!A:AL,10,FALSE)+8,1)</f>
        <v>L</v>
      </c>
      <c r="Y202" s="50" t="str">
        <f>MID(VLOOKUP($A202,Seqs!$A:$B,2,FALSE),VLOOKUP($A202,'SegEnds_NonXtal_Prot#'!A:AL,10,FALSE)+9,1)</f>
        <v>P</v>
      </c>
      <c r="Z202" s="50" t="str">
        <f>MID(VLOOKUP($A202,Seqs!$A:$B,2,FALSE),VLOOKUP($A202,'SegEnds_NonXtal_Prot#'!A:AL,10,FALSE)+10,1)</f>
        <v>A</v>
      </c>
      <c r="AA202" s="28" t="str">
        <f>MID(VLOOKUP($A202,Seqs!$A:$B,2,FALSE),VLOOKUP($A202,'SegEnds_NonXtal_Prot#'!$A:$AL,22,FALSE)+6,1)</f>
        <v>I</v>
      </c>
      <c r="AB202" s="50" t="str">
        <f>MID(VLOOKUP($A202,Seqs!$A:$B,2,FALSE),VLOOKUP($A202,'SegEnds_NonXtal_Prot#'!$A:$AL,22,FALSE)+7,1)</f>
        <v>M</v>
      </c>
      <c r="AC202" s="50" t="str">
        <f>MID(VLOOKUP($A202,Seqs!$A:$B,2,FALSE),VLOOKUP($A202,'SegEnds_NonXtal_Prot#'!$A:$AL,22,FALSE)+8,1)</f>
        <v>V</v>
      </c>
      <c r="AD202" s="50" t="str">
        <f>MID(VLOOKUP($A202,Seqs!$A:$B,2,FALSE),VLOOKUP($A202,'SegEnds_NonXtal_Prot#'!$A:$AL,22,FALSE)+9,1)</f>
        <v>P</v>
      </c>
      <c r="AE202" s="50" t="str">
        <f>MID(VLOOKUP($A202,Seqs!$A:$B,2,FALSE),VLOOKUP($A202,'SegEnds_NonXtal_Prot#'!$A:$AL,22,FALSE)+10,1)</f>
        <v>Q</v>
      </c>
      <c r="AF202" s="28" t="str">
        <f>MID(VLOOKUP($A202,Seqs!$A:$B,2,FALSE),VLOOKUP($A202,'SegEnds_NonXtal_Prot#'!$A:$AL,28,FALSE)-4,1)</f>
        <v>T</v>
      </c>
      <c r="AG202" s="50" t="str">
        <f>MID(VLOOKUP($A202,Seqs!$A:$B,2,FALSE),VLOOKUP($A202,'SegEnds_NonXtal_Prot#'!$A:$AL,28,FALSE),1)</f>
        <v>P</v>
      </c>
    </row>
    <row r="203" spans="1:33" s="2" customFormat="1" x14ac:dyDescent="0.2">
      <c r="A203" s="2" t="s">
        <v>344</v>
      </c>
      <c r="B203" s="2" t="str">
        <f>LOWER(VLOOKUP(A203,Xtal_Templ!A:B,2,FALSE))</f>
        <v>ox1r_human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4"/>
      <c r="M203" s="2" t="s">
        <v>14</v>
      </c>
      <c r="Q203" s="2" t="s">
        <v>9</v>
      </c>
      <c r="S203" s="4" t="s">
        <v>12</v>
      </c>
      <c r="U203" s="28" t="str">
        <f>MID(VLOOKUP($A203,Seqs!$A:$B,2,FALSE),VLOOKUP($A203,'SegEnds_NonXtal_Prot#'!A:AL,10,FALSE),1)</f>
        <v>D</v>
      </c>
      <c r="V203" s="50" t="str">
        <f>MID(VLOOKUP($A203,Seqs!$A:$B,2,FALSE),VLOOKUP($A203,'SegEnds_NonXtal_Prot#'!A:AL,10,FALSE)+6,1)</f>
        <v>F</v>
      </c>
      <c r="W203" s="50" t="str">
        <f>MID(VLOOKUP($A203,Seqs!$A:$B,2,FALSE),VLOOKUP($A203,'SegEnds_NonXtal_Prot#'!A:AL,10,FALSE)+7,1)</f>
        <v>Q</v>
      </c>
      <c r="X203" s="50" t="str">
        <f>MID(VLOOKUP($A203,Seqs!$A:$B,2,FALSE),VLOOKUP($A203,'SegEnds_NonXtal_Prot#'!A:AL,10,FALSE)+8,1)</f>
        <v>V</v>
      </c>
      <c r="Y203" s="50" t="str">
        <f>MID(VLOOKUP($A203,Seqs!$A:$B,2,FALSE),VLOOKUP($A203,'SegEnds_NonXtal_Prot#'!A:AL,10,FALSE)+9,1)</f>
        <v>L</v>
      </c>
      <c r="Z203" s="50" t="str">
        <f>MID(VLOOKUP($A203,Seqs!$A:$B,2,FALSE),VLOOKUP($A203,'SegEnds_NonXtal_Prot#'!A:AL,10,FALSE)+10,1)</f>
        <v>P</v>
      </c>
      <c r="AA203" s="28" t="str">
        <f>MID(VLOOKUP($A203,Seqs!$A:$B,2,FALSE),VLOOKUP($A203,'SegEnds_NonXtal_Prot#'!$A:$AL,22,FALSE)+6,1)</f>
        <v>A</v>
      </c>
      <c r="AB203" s="50" t="str">
        <f>MID(VLOOKUP($A203,Seqs!$A:$B,2,FALSE),VLOOKUP($A203,'SegEnds_NonXtal_Prot#'!$A:$AL,22,FALSE)+7,1)</f>
        <v>S</v>
      </c>
      <c r="AC203" s="50" t="str">
        <f>MID(VLOOKUP($A203,Seqs!$A:$B,2,FALSE),VLOOKUP($A203,'SegEnds_NonXtal_Prot#'!$A:$AL,22,FALSE)+8,1)</f>
        <v>A</v>
      </c>
      <c r="AD203" s="50" t="str">
        <f>MID(VLOOKUP($A203,Seqs!$A:$B,2,FALSE),VLOOKUP($A203,'SegEnds_NonXtal_Prot#'!$A:$AL,22,FALSE)+9,1)</f>
        <v>P</v>
      </c>
      <c r="AE203" s="50" t="str">
        <f>MID(VLOOKUP($A203,Seqs!$A:$B,2,FALSE),VLOOKUP($A203,'SegEnds_NonXtal_Prot#'!$A:$AL,22,FALSE)+10,1)</f>
        <v>Q</v>
      </c>
      <c r="AF203" s="28" t="str">
        <f>MID(VLOOKUP($A203,Seqs!$A:$B,2,FALSE),VLOOKUP($A203,'SegEnds_NonXtal_Prot#'!$A:$AL,28,FALSE)-4,1)</f>
        <v>V</v>
      </c>
      <c r="AG203" s="50" t="str">
        <f>MID(VLOOKUP($A203,Seqs!$A:$B,2,FALSE),VLOOKUP($A203,'SegEnds_NonXtal_Prot#'!$A:$AL,28,FALSE),1)</f>
        <v>P</v>
      </c>
    </row>
    <row r="204" spans="1:33" s="2" customFormat="1" x14ac:dyDescent="0.2">
      <c r="A204" s="2" t="s">
        <v>163</v>
      </c>
      <c r="B204" s="2" t="str">
        <f>LOWER(VLOOKUP(A204,Xtal_Templ!A:B,2,FALSE))</f>
        <v>ednrb_human</v>
      </c>
      <c r="C204" s="2" t="str">
        <f>VLOOKUP(A204,Classification!A:D,2,FALSE)</f>
        <v>A</v>
      </c>
      <c r="D204" s="2" t="str">
        <f>IF(ISERROR(MATCH(A204,'SegEnds_Xtal_Prot#'!B:B, 0)), "NoXtal", "Xtal")</f>
        <v>NoXtal</v>
      </c>
      <c r="F204" s="2" t="s">
        <v>5</v>
      </c>
      <c r="G204" s="4"/>
      <c r="M204" s="2" t="s">
        <v>14</v>
      </c>
      <c r="S204" s="4" t="s">
        <v>12</v>
      </c>
      <c r="U204" s="28" t="str">
        <f>MID(VLOOKUP($A204,Seqs!$A:$B,2,FALSE),VLOOKUP($A204,'SegEnds_NonXtal_Prot#'!A:AL,10,FALSE),1)</f>
        <v>D</v>
      </c>
      <c r="V204" s="50" t="str">
        <f>MID(VLOOKUP($A204,Seqs!$A:$B,2,FALSE),VLOOKUP($A204,'SegEnds_NonXtal_Prot#'!A:AL,10,FALSE)+6,1)</f>
        <v>T</v>
      </c>
      <c r="W204" s="50" t="str">
        <f>MID(VLOOKUP($A204,Seqs!$A:$B,2,FALSE),VLOOKUP($A204,'SegEnds_NonXtal_Prot#'!A:AL,10,FALSE)+7,1)</f>
        <v>C</v>
      </c>
      <c r="X204" s="50" t="str">
        <f>MID(VLOOKUP($A204,Seqs!$A:$B,2,FALSE),VLOOKUP($A204,'SegEnds_NonXtal_Prot#'!A:AL,10,FALSE)+8,1)</f>
        <v>V</v>
      </c>
      <c r="Y204" s="50" t="str">
        <f>MID(VLOOKUP($A204,Seqs!$A:$B,2,FALSE),VLOOKUP($A204,'SegEnds_NonXtal_Prot#'!A:AL,10,FALSE)+9,1)</f>
        <v>P</v>
      </c>
      <c r="Z204" s="50" t="str">
        <f>MID(VLOOKUP($A204,Seqs!$A:$B,2,FALSE),VLOOKUP($A204,'SegEnds_NonXtal_Prot#'!A:AL,10,FALSE)+10,1)</f>
        <v>V</v>
      </c>
      <c r="AA204" s="28" t="str">
        <f>MID(VLOOKUP($A204,Seqs!$A:$B,2,FALSE),VLOOKUP($A204,'SegEnds_NonXtal_Prot#'!$A:$AL,22,FALSE)+6,1)</f>
        <v>F</v>
      </c>
      <c r="AB204" s="50" t="str">
        <f>MID(VLOOKUP($A204,Seqs!$A:$B,2,FALSE),VLOOKUP($A204,'SegEnds_NonXtal_Prot#'!$A:$AL,22,FALSE)+7,1)</f>
        <v>A</v>
      </c>
      <c r="AC204" s="50" t="str">
        <f>MID(VLOOKUP($A204,Seqs!$A:$B,2,FALSE),VLOOKUP($A204,'SegEnds_NonXtal_Prot#'!$A:$AL,22,FALSE)+8,1)</f>
        <v>L</v>
      </c>
      <c r="AD204" s="50" t="str">
        <f>MID(VLOOKUP($A204,Seqs!$A:$B,2,FALSE),VLOOKUP($A204,'SegEnds_NonXtal_Prot#'!$A:$AL,22,FALSE)+9,1)</f>
        <v>P</v>
      </c>
      <c r="AE204" s="50" t="str">
        <f>MID(VLOOKUP($A204,Seqs!$A:$B,2,FALSE),VLOOKUP($A204,'SegEnds_NonXtal_Prot#'!$A:$AL,22,FALSE)+10,1)</f>
        <v>E</v>
      </c>
      <c r="AF204" s="28" t="str">
        <f>MID(VLOOKUP($A204,Seqs!$A:$B,2,FALSE),VLOOKUP($A204,'SegEnds_NonXtal_Prot#'!$A:$AL,28,FALSE)-4,1)</f>
        <v>F</v>
      </c>
      <c r="AG204" s="50" t="str">
        <f>MID(VLOOKUP($A204,Seqs!$A:$B,2,FALSE),VLOOKUP($A204,'SegEnds_NonXtal_Prot#'!$A:$AL,28,FALSE),1)</f>
        <v>P</v>
      </c>
    </row>
    <row r="205" spans="1:33" s="2" customFormat="1" x14ac:dyDescent="0.2">
      <c r="A205" s="2" t="s">
        <v>167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F205" s="2" t="s">
        <v>5</v>
      </c>
      <c r="G205" s="4"/>
      <c r="M205" s="2" t="s">
        <v>14</v>
      </c>
      <c r="Q205" s="2" t="s">
        <v>9</v>
      </c>
      <c r="S205" s="4" t="s">
        <v>12</v>
      </c>
      <c r="U205" s="28" t="str">
        <f>MID(VLOOKUP($A205,Seqs!$A:$B,2,FALSE),VLOOKUP($A205,'SegEnds_NonXtal_Prot#'!A:AL,10,FALSE),1)</f>
        <v>D</v>
      </c>
      <c r="V205" s="50" t="str">
        <f>MID(VLOOKUP($A205,Seqs!$A:$B,2,FALSE),VLOOKUP($A205,'SegEnds_NonXtal_Prot#'!A:AL,10,FALSE)+6,1)</f>
        <v>F</v>
      </c>
      <c r="W205" s="50" t="str">
        <f>MID(VLOOKUP($A205,Seqs!$A:$B,2,FALSE),VLOOKUP($A205,'SegEnds_NonXtal_Prot#'!A:AL,10,FALSE)+7,1)</f>
        <v>C</v>
      </c>
      <c r="X205" s="50" t="str">
        <f>MID(VLOOKUP($A205,Seqs!$A:$B,2,FALSE),VLOOKUP($A205,'SegEnds_NonXtal_Prot#'!A:AL,10,FALSE)+8,1)</f>
        <v>M</v>
      </c>
      <c r="Y205" s="50" t="str">
        <f>MID(VLOOKUP($A205,Seqs!$A:$B,2,FALSE),VLOOKUP($A205,'SegEnds_NonXtal_Prot#'!A:AL,10,FALSE)+9,1)</f>
        <v>P</v>
      </c>
      <c r="Z205" s="50" t="str">
        <f>MID(VLOOKUP($A205,Seqs!$A:$B,2,FALSE),VLOOKUP($A205,'SegEnds_NonXtal_Prot#'!A:AL,10,FALSE)+10,1)</f>
        <v>F</v>
      </c>
      <c r="AA205" s="28" t="str">
        <f>MID(VLOOKUP($A205,Seqs!$A:$B,2,FALSE),VLOOKUP($A205,'SegEnds_NonXtal_Prot#'!$A:$AL,22,FALSE)+6,1)</f>
        <v>I</v>
      </c>
      <c r="AB205" s="50" t="str">
        <f>MID(VLOOKUP($A205,Seqs!$A:$B,2,FALSE),VLOOKUP($A205,'SegEnds_NonXtal_Prot#'!$A:$AL,22,FALSE)+7,1)</f>
        <v>M</v>
      </c>
      <c r="AC205" s="50" t="str">
        <f>MID(VLOOKUP($A205,Seqs!$A:$B,2,FALSE),VLOOKUP($A205,'SegEnds_NonXtal_Prot#'!$A:$AL,22,FALSE)+8,1)</f>
        <v>T</v>
      </c>
      <c r="AD205" s="50" t="str">
        <f>MID(VLOOKUP($A205,Seqs!$A:$B,2,FALSE),VLOOKUP($A205,'SegEnds_NonXtal_Prot#'!$A:$AL,22,FALSE)+9,1)</f>
        <v>P</v>
      </c>
      <c r="AE205" s="50" t="str">
        <f>MID(VLOOKUP($A205,Seqs!$A:$B,2,FALSE),VLOOKUP($A205,'SegEnds_NonXtal_Prot#'!$A:$AL,22,FALSE)+10,1)</f>
        <v>Y</v>
      </c>
      <c r="AF205" s="28" t="str">
        <f>MID(VLOOKUP($A205,Seqs!$A:$B,2,FALSE),VLOOKUP($A205,'SegEnds_NonXtal_Prot#'!$A:$AL,28,FALSE)-4,1)</f>
        <v>L</v>
      </c>
      <c r="AG205" s="50" t="str">
        <f>MID(VLOOKUP($A205,Seqs!$A:$B,2,FALSE),VLOOKUP($A205,'SegEnds_NonXtal_Prot#'!$A:$AL,28,FALSE),1)</f>
        <v>P</v>
      </c>
    </row>
    <row r="206" spans="1:33" s="2" customFormat="1" x14ac:dyDescent="0.2">
      <c r="A206" s="2" t="s">
        <v>208</v>
      </c>
      <c r="B206" s="2" t="str">
        <f>LOWER(VLOOKUP(A206,Xtal_Templ!A:B,2,FALSE))</f>
        <v>ox2r_human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F206" s="2" t="s">
        <v>5</v>
      </c>
      <c r="G206" s="4"/>
      <c r="M206" s="2" t="s">
        <v>14</v>
      </c>
      <c r="Q206" s="2" t="s">
        <v>9</v>
      </c>
      <c r="S206" s="4" t="s">
        <v>12</v>
      </c>
      <c r="U206" s="28" t="str">
        <f>MID(VLOOKUP($A206,Seqs!$A:$B,2,FALSE),VLOOKUP($A206,'SegEnds_NonXtal_Prot#'!A:AL,10,FALSE),1)</f>
        <v>D</v>
      </c>
      <c r="V206" s="50" t="str">
        <f>MID(VLOOKUP($A206,Seqs!$A:$B,2,FALSE),VLOOKUP($A206,'SegEnds_NonXtal_Prot#'!A:AL,10,FALSE)+6,1)</f>
        <v>A</v>
      </c>
      <c r="W206" s="50" t="str">
        <f>MID(VLOOKUP($A206,Seqs!$A:$B,2,FALSE),VLOOKUP($A206,'SegEnds_NonXtal_Prot#'!A:AL,10,FALSE)+7,1)</f>
        <v>C</v>
      </c>
      <c r="X206" s="50" t="str">
        <f>MID(VLOOKUP($A206,Seqs!$A:$B,2,FALSE),VLOOKUP($A206,'SegEnds_NonXtal_Prot#'!A:AL,10,FALSE)+8,1)</f>
        <v>M</v>
      </c>
      <c r="Y206" s="50" t="str">
        <f>MID(VLOOKUP($A206,Seqs!$A:$B,2,FALSE),VLOOKUP($A206,'SegEnds_NonXtal_Prot#'!A:AL,10,FALSE)+9,1)</f>
        <v>P</v>
      </c>
      <c r="Z206" s="50" t="str">
        <f>MID(VLOOKUP($A206,Seqs!$A:$B,2,FALSE),VLOOKUP($A206,'SegEnds_NonXtal_Prot#'!A:AL,10,FALSE)+10,1)</f>
        <v>F</v>
      </c>
      <c r="AA206" s="28" t="str">
        <f>MID(VLOOKUP($A206,Seqs!$A:$B,2,FALSE),VLOOKUP($A206,'SegEnds_NonXtal_Prot#'!$A:$AL,22,FALSE)+6,1)</f>
        <v>L</v>
      </c>
      <c r="AB206" s="50" t="str">
        <f>MID(VLOOKUP($A206,Seqs!$A:$B,2,FALSE),VLOOKUP($A206,'SegEnds_NonXtal_Prot#'!$A:$AL,22,FALSE)+7,1)</f>
        <v>M</v>
      </c>
      <c r="AC206" s="50" t="str">
        <f>MID(VLOOKUP($A206,Seqs!$A:$B,2,FALSE),VLOOKUP($A206,'SegEnds_NonXtal_Prot#'!$A:$AL,22,FALSE)+8,1)</f>
        <v>V</v>
      </c>
      <c r="AD206" s="50" t="str">
        <f>MID(VLOOKUP($A206,Seqs!$A:$B,2,FALSE),VLOOKUP($A206,'SegEnds_NonXtal_Prot#'!$A:$AL,22,FALSE)+9,1)</f>
        <v>P</v>
      </c>
      <c r="AE206" s="50" t="str">
        <f>MID(VLOOKUP($A206,Seqs!$A:$B,2,FALSE),VLOOKUP($A206,'SegEnds_NonXtal_Prot#'!$A:$AL,22,FALSE)+10,1)</f>
        <v>Y</v>
      </c>
      <c r="AF206" s="28" t="str">
        <f>MID(VLOOKUP($A206,Seqs!$A:$B,2,FALSE),VLOOKUP($A206,'SegEnds_NonXtal_Prot#'!$A:$AL,28,FALSE)-4,1)</f>
        <v>L</v>
      </c>
      <c r="AG206" s="50" t="str">
        <f>MID(VLOOKUP($A206,Seqs!$A:$B,2,FALSE),VLOOKUP($A206,'SegEnds_NonXtal_Prot#'!$A:$AL,28,FALSE),1)</f>
        <v>P</v>
      </c>
    </row>
    <row r="207" spans="1:33" s="2" customFormat="1" x14ac:dyDescent="0.2">
      <c r="A207" s="2" t="s">
        <v>223</v>
      </c>
      <c r="B207" s="2" t="str">
        <f>LOWER(VLOOKUP(A207,Xtal_Templ!A:B,2,FALSE))</f>
        <v>agtr2_human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F207" s="2" t="s">
        <v>5</v>
      </c>
      <c r="G207" s="4"/>
      <c r="M207" s="2" t="s">
        <v>14</v>
      </c>
      <c r="Q207" s="2" t="s">
        <v>9</v>
      </c>
      <c r="S207" s="4" t="s">
        <v>12</v>
      </c>
      <c r="U207" s="28" t="str">
        <f>MID(VLOOKUP($A207,Seqs!$A:$B,2,FALSE),VLOOKUP($A207,'SegEnds_NonXtal_Prot#'!A:AL,10,FALSE),1)</f>
        <v>D</v>
      </c>
      <c r="V207" s="50" t="str">
        <f>MID(VLOOKUP($A207,Seqs!$A:$B,2,FALSE),VLOOKUP($A207,'SegEnds_NonXtal_Prot#'!A:AL,10,FALSE)+6,1)</f>
        <v>F</v>
      </c>
      <c r="W207" s="50" t="str">
        <f>MID(VLOOKUP($A207,Seqs!$A:$B,2,FALSE),VLOOKUP($A207,'SegEnds_NonXtal_Prot#'!A:AL,10,FALSE)+7,1)</f>
        <v>S</v>
      </c>
      <c r="X207" s="50" t="str">
        <f>MID(VLOOKUP($A207,Seqs!$A:$B,2,FALSE),VLOOKUP($A207,'SegEnds_NonXtal_Prot#'!A:AL,10,FALSE)+8,1)</f>
        <v>A</v>
      </c>
      <c r="Y207" s="50" t="str">
        <f>MID(VLOOKUP($A207,Seqs!$A:$B,2,FALSE),VLOOKUP($A207,'SegEnds_NonXtal_Prot#'!A:AL,10,FALSE)+9,1)</f>
        <v>P</v>
      </c>
      <c r="Z207" s="50" t="str">
        <f>MID(VLOOKUP($A207,Seqs!$A:$B,2,FALSE),VLOOKUP($A207,'SegEnds_NonXtal_Prot#'!A:AL,10,FALSE)+10,1)</f>
        <v>I</v>
      </c>
      <c r="AA207" s="28" t="str">
        <f>MID(VLOOKUP($A207,Seqs!$A:$B,2,FALSE),VLOOKUP($A207,'SegEnds_NonXtal_Prot#'!$A:$AL,22,FALSE)+6,1)</f>
        <v>L</v>
      </c>
      <c r="AB207" s="50" t="str">
        <f>MID(VLOOKUP($A207,Seqs!$A:$B,2,FALSE),VLOOKUP($A207,'SegEnds_NonXtal_Prot#'!$A:$AL,22,FALSE)+7,1)</f>
        <v>P</v>
      </c>
      <c r="AC207" s="50" t="str">
        <f>MID(VLOOKUP($A207,Seqs!$A:$B,2,FALSE),VLOOKUP($A207,'SegEnds_NonXtal_Prot#'!$A:$AL,22,FALSE)+8,1)</f>
        <v>L</v>
      </c>
      <c r="AD207" s="50" t="str">
        <f>MID(VLOOKUP($A207,Seqs!$A:$B,2,FALSE),VLOOKUP($A207,'SegEnds_NonXtal_Prot#'!$A:$AL,22,FALSE)+9,1)</f>
        <v>P</v>
      </c>
      <c r="AE207" s="50" t="str">
        <f>MID(VLOOKUP($A207,Seqs!$A:$B,2,FALSE),VLOOKUP($A207,'SegEnds_NonXtal_Prot#'!$A:$AL,22,FALSE)+10,1)</f>
        <v>E</v>
      </c>
      <c r="AF207" s="28" t="str">
        <f>MID(VLOOKUP($A207,Seqs!$A:$B,2,FALSE),VLOOKUP($A207,'SegEnds_NonXtal_Prot#'!$A:$AL,28,FALSE)-4,1)</f>
        <v>A</v>
      </c>
      <c r="AG207" s="50" t="str">
        <f>MID(VLOOKUP($A207,Seqs!$A:$B,2,FALSE),VLOOKUP($A207,'SegEnds_NonXtal_Prot#'!$A:$AL,28,FALSE),1)</f>
        <v>P</v>
      </c>
    </row>
    <row r="208" spans="1:33" s="2" customFormat="1" x14ac:dyDescent="0.2">
      <c r="A208" s="2" t="s">
        <v>225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4"/>
      <c r="S208" s="4" t="s">
        <v>12</v>
      </c>
      <c r="U208" s="28" t="str">
        <f>MID(VLOOKUP($A208,Seqs!$A:$B,2,FALSE),VLOOKUP($A208,'SegEnds_NonXtal_Prot#'!A:AL,10,FALSE),1)</f>
        <v>T</v>
      </c>
      <c r="V208" s="50" t="str">
        <f>MID(VLOOKUP($A208,Seqs!$A:$B,2,FALSE),VLOOKUP($A208,'SegEnds_NonXtal_Prot#'!A:AL,10,FALSE)+6,1)</f>
        <v>A</v>
      </c>
      <c r="W208" s="50" t="str">
        <f>MID(VLOOKUP($A208,Seqs!$A:$B,2,FALSE),VLOOKUP($A208,'SegEnds_NonXtal_Prot#'!A:AL,10,FALSE)+7,1)</f>
        <v>V</v>
      </c>
      <c r="X208" s="50" t="str">
        <f>MID(VLOOKUP($A208,Seqs!$A:$B,2,FALSE),VLOOKUP($A208,'SegEnds_NonXtal_Prot#'!A:AL,10,FALSE)+8,1)</f>
        <v>P</v>
      </c>
      <c r="Y208" s="50" t="str">
        <f>MID(VLOOKUP($A208,Seqs!$A:$B,2,FALSE),VLOOKUP($A208,'SegEnds_NonXtal_Prot#'!A:AL,10,FALSE)+9,1)</f>
        <v>I</v>
      </c>
      <c r="Z208" s="50" t="str">
        <f>MID(VLOOKUP($A208,Seqs!$A:$B,2,FALSE),VLOOKUP($A208,'SegEnds_NonXtal_Prot#'!A:AL,10,FALSE)+10,1)</f>
        <v>A</v>
      </c>
      <c r="AA208" s="28" t="str">
        <f>MID(VLOOKUP($A208,Seqs!$A:$B,2,FALSE),VLOOKUP($A208,'SegEnds_NonXtal_Prot#'!$A:$AL,22,FALSE)+6,1)</f>
        <v>L</v>
      </c>
      <c r="AB208" s="50" t="str">
        <f>MID(VLOOKUP($A208,Seqs!$A:$B,2,FALSE),VLOOKUP($A208,'SegEnds_NonXtal_Prot#'!$A:$AL,22,FALSE)+7,1)</f>
        <v>S</v>
      </c>
      <c r="AC208" s="50" t="str">
        <f>MID(VLOOKUP($A208,Seqs!$A:$B,2,FALSE),VLOOKUP($A208,'SegEnds_NonXtal_Prot#'!$A:$AL,22,FALSE)+8,1)</f>
        <v>A</v>
      </c>
      <c r="AD208" s="50" t="str">
        <f>MID(VLOOKUP($A208,Seqs!$A:$B,2,FALSE),VLOOKUP($A208,'SegEnds_NonXtal_Prot#'!$A:$AL,22,FALSE)+9,1)</f>
        <v>L</v>
      </c>
      <c r="AE208" s="50" t="str">
        <f>MID(VLOOKUP($A208,Seqs!$A:$B,2,FALSE),VLOOKUP($A208,'SegEnds_NonXtal_Prot#'!$A:$AL,22,FALSE)+10,1)</f>
        <v>P</v>
      </c>
      <c r="AF208" s="28" t="str">
        <f>MID(VLOOKUP($A208,Seqs!$A:$B,2,FALSE),VLOOKUP($A208,'SegEnds_NonXtal_Prot#'!$A:$AL,28,FALSE)-4,1)</f>
        <v>V</v>
      </c>
      <c r="AG208" s="50" t="str">
        <f>MID(VLOOKUP($A208,Seqs!$A:$B,2,FALSE),VLOOKUP($A208,'SegEnds_NonXtal_Prot#'!$A:$AL,28,FALSE),1)</f>
        <v>V</v>
      </c>
    </row>
    <row r="209" spans="1:33" s="2" customFormat="1" x14ac:dyDescent="0.2">
      <c r="A209" s="2" t="s">
        <v>242</v>
      </c>
      <c r="B209" s="2" t="str">
        <f>LOWER(VLOOKUP(A209,Xtal_Templ!A:B,2,FALSE))</f>
        <v>ox2r_human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F209" s="2" t="s">
        <v>5</v>
      </c>
      <c r="G209" s="4"/>
      <c r="M209" s="2" t="s">
        <v>14</v>
      </c>
      <c r="Q209" s="2" t="s">
        <v>9</v>
      </c>
      <c r="S209" s="4" t="s">
        <v>12</v>
      </c>
      <c r="U209" s="28" t="str">
        <f>MID(VLOOKUP($A209,Seqs!$A:$B,2,FALSE),VLOOKUP($A209,'SegEnds_NonXtal_Prot#'!A:AL,10,FALSE),1)</f>
        <v>D</v>
      </c>
      <c r="V209" s="50" t="str">
        <f>MID(VLOOKUP($A209,Seqs!$A:$B,2,FALSE),VLOOKUP($A209,'SegEnds_NonXtal_Prot#'!A:AL,10,FALSE)+6,1)</f>
        <v>A</v>
      </c>
      <c r="W209" s="50" t="str">
        <f>MID(VLOOKUP($A209,Seqs!$A:$B,2,FALSE),VLOOKUP($A209,'SegEnds_NonXtal_Prot#'!A:AL,10,FALSE)+7,1)</f>
        <v>S</v>
      </c>
      <c r="X209" s="50" t="str">
        <f>MID(VLOOKUP($A209,Seqs!$A:$B,2,FALSE),VLOOKUP($A209,'SegEnds_NonXtal_Prot#'!A:AL,10,FALSE)+8,1)</f>
        <v>T</v>
      </c>
      <c r="Y209" s="50" t="str">
        <f>MID(VLOOKUP($A209,Seqs!$A:$B,2,FALSE),VLOOKUP($A209,'SegEnds_NonXtal_Prot#'!A:AL,10,FALSE)+9,1)</f>
        <v>P</v>
      </c>
      <c r="Z209" s="50" t="str">
        <f>MID(VLOOKUP($A209,Seqs!$A:$B,2,FALSE),VLOOKUP($A209,'SegEnds_NonXtal_Prot#'!A:AL,10,FALSE)+10,1)</f>
        <v>F</v>
      </c>
      <c r="AA209" s="28" t="str">
        <f>MID(VLOOKUP($A209,Seqs!$A:$B,2,FALSE),VLOOKUP($A209,'SegEnds_NonXtal_Prot#'!$A:$AL,22,FALSE)+6,1)</f>
        <v>F</v>
      </c>
      <c r="AB209" s="50" t="str">
        <f>MID(VLOOKUP($A209,Seqs!$A:$B,2,FALSE),VLOOKUP($A209,'SegEnds_NonXtal_Prot#'!$A:$AL,22,FALSE)+7,1)</f>
        <v>V</v>
      </c>
      <c r="AC209" s="50" t="str">
        <f>MID(VLOOKUP($A209,Seqs!$A:$B,2,FALSE),VLOOKUP($A209,'SegEnds_NonXtal_Prot#'!$A:$AL,22,FALSE)+8,1)</f>
        <v>T</v>
      </c>
      <c r="AD209" s="50" t="str">
        <f>MID(VLOOKUP($A209,Seqs!$A:$B,2,FALSE),VLOOKUP($A209,'SegEnds_NonXtal_Prot#'!$A:$AL,22,FALSE)+9,1)</f>
        <v>P</v>
      </c>
      <c r="AE209" s="50" t="str">
        <f>MID(VLOOKUP($A209,Seqs!$A:$B,2,FALSE),VLOOKUP($A209,'SegEnds_NonXtal_Prot#'!$A:$AL,22,FALSE)+10,1)</f>
        <v>V</v>
      </c>
      <c r="AF209" s="28" t="str">
        <f>MID(VLOOKUP($A209,Seqs!$A:$B,2,FALSE),VLOOKUP($A209,'SegEnds_NonXtal_Prot#'!$A:$AL,28,FALSE)-4,1)</f>
        <v>G</v>
      </c>
      <c r="AG209" s="50" t="str">
        <f>MID(VLOOKUP($A209,Seqs!$A:$B,2,FALSE),VLOOKUP($A209,'SegEnds_NonXtal_Prot#'!$A:$AL,28,FALSE),1)</f>
        <v>P</v>
      </c>
    </row>
    <row r="210" spans="1:33" s="2" customFormat="1" x14ac:dyDescent="0.2">
      <c r="A210" s="2" t="s">
        <v>244</v>
      </c>
      <c r="B210" s="2" t="str">
        <f>LOWER(VLOOKUP(A210,Xtal_Templ!A:B,2,FALSE))</f>
        <v>5ht2b_human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G210" s="4"/>
      <c r="M210" s="2" t="s">
        <v>14</v>
      </c>
      <c r="Q210" s="2" t="s">
        <v>9</v>
      </c>
      <c r="S210" s="4" t="s">
        <v>12</v>
      </c>
      <c r="U210" s="28" t="str">
        <f>MID(VLOOKUP($A210,Seqs!$A:$B,2,FALSE),VLOOKUP($A210,'SegEnds_NonXtal_Prot#'!A:AL,10,FALSE),1)</f>
        <v>D</v>
      </c>
      <c r="V210" s="50" t="str">
        <f>MID(VLOOKUP($A210,Seqs!$A:$B,2,FALSE),VLOOKUP($A210,'SegEnds_NonXtal_Prot#'!A:AL,10,FALSE)+6,1)</f>
        <v>S</v>
      </c>
      <c r="W210" s="50" t="str">
        <f>MID(VLOOKUP($A210,Seqs!$A:$B,2,FALSE),VLOOKUP($A210,'SegEnds_NonXtal_Prot#'!A:AL,10,FALSE)+7,1)</f>
        <v>C</v>
      </c>
      <c r="X210" s="50" t="str">
        <f>MID(VLOOKUP($A210,Seqs!$A:$B,2,FALSE),VLOOKUP($A210,'SegEnds_NonXtal_Prot#'!A:AL,10,FALSE)+8,1)</f>
        <v>V</v>
      </c>
      <c r="Y210" s="50" t="str">
        <f>MID(VLOOKUP($A210,Seqs!$A:$B,2,FALSE),VLOOKUP($A210,'SegEnds_NonXtal_Prot#'!A:AL,10,FALSE)+9,1)</f>
        <v>V</v>
      </c>
      <c r="Z210" s="50" t="str">
        <f>MID(VLOOKUP($A210,Seqs!$A:$B,2,FALSE),VLOOKUP($A210,'SegEnds_NonXtal_Prot#'!A:AL,10,FALSE)+10,1)</f>
        <v>P</v>
      </c>
      <c r="AA210" s="28" t="str">
        <f>MID(VLOOKUP($A210,Seqs!$A:$B,2,FALSE),VLOOKUP($A210,'SegEnds_NonXtal_Prot#'!$A:$AL,22,FALSE)+6,1)</f>
        <v>V</v>
      </c>
      <c r="AB210" s="50" t="str">
        <f>MID(VLOOKUP($A210,Seqs!$A:$B,2,FALSE),VLOOKUP($A210,'SegEnds_NonXtal_Prot#'!$A:$AL,22,FALSE)+7,1)</f>
        <v>F</v>
      </c>
      <c r="AC210" s="50" t="str">
        <f>MID(VLOOKUP($A210,Seqs!$A:$B,2,FALSE),VLOOKUP($A210,'SegEnds_NonXtal_Prot#'!$A:$AL,22,FALSE)+8,1)</f>
        <v>L</v>
      </c>
      <c r="AD210" s="50" t="str">
        <f>MID(VLOOKUP($A210,Seqs!$A:$B,2,FALSE),VLOOKUP($A210,'SegEnds_NonXtal_Prot#'!$A:$AL,22,FALSE)+9,1)</f>
        <v>P</v>
      </c>
      <c r="AE210" s="50" t="str">
        <f>MID(VLOOKUP($A210,Seqs!$A:$B,2,FALSE),VLOOKUP($A210,'SegEnds_NonXtal_Prot#'!$A:$AL,22,FALSE)+10,1)</f>
        <v>S</v>
      </c>
      <c r="AF210" s="28" t="str">
        <f>MID(VLOOKUP($A210,Seqs!$A:$B,2,FALSE),VLOOKUP($A210,'SegEnds_NonXtal_Prot#'!$A:$AL,28,FALSE)-4,1)</f>
        <v>M</v>
      </c>
      <c r="AG210" s="50" t="str">
        <f>MID(VLOOKUP($A210,Seqs!$A:$B,2,FALSE),VLOOKUP($A210,'SegEnds_NonXtal_Prot#'!$A:$AL,28,FALSE),1)</f>
        <v>P</v>
      </c>
    </row>
    <row r="211" spans="1:33" s="2" customFormat="1" x14ac:dyDescent="0.2">
      <c r="A211" s="2" t="s">
        <v>247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F211" s="2" t="s">
        <v>5</v>
      </c>
      <c r="G211" s="4"/>
      <c r="S211" s="4" t="s">
        <v>12</v>
      </c>
      <c r="U211" s="28" t="str">
        <f>MID(VLOOKUP($A211,Seqs!$A:$B,2,FALSE),VLOOKUP($A211,'SegEnds_NonXtal_Prot#'!A:AL,10,FALSE),1)</f>
        <v>N</v>
      </c>
      <c r="V211" s="50" t="str">
        <f>MID(VLOOKUP($A211,Seqs!$A:$B,2,FALSE),VLOOKUP($A211,'SegEnds_NonXtal_Prot#'!A:AL,10,FALSE)+6,1)</f>
        <v>V</v>
      </c>
      <c r="W211" s="50" t="str">
        <f>MID(VLOOKUP($A211,Seqs!$A:$B,2,FALSE),VLOOKUP($A211,'SegEnds_NonXtal_Prot#'!A:AL,10,FALSE)+7,1)</f>
        <v>N</v>
      </c>
      <c r="X211" s="50" t="str">
        <f>MID(VLOOKUP($A211,Seqs!$A:$B,2,FALSE),VLOOKUP($A211,'SegEnds_NonXtal_Prot#'!A:AL,10,FALSE)+8,1)</f>
        <v>M</v>
      </c>
      <c r="Y211" s="50" t="str">
        <f>MID(VLOOKUP($A211,Seqs!$A:$B,2,FALSE),VLOOKUP($A211,'SegEnds_NonXtal_Prot#'!A:AL,10,FALSE)+9,1)</f>
        <v>P</v>
      </c>
      <c r="Z211" s="50" t="str">
        <f>MID(VLOOKUP($A211,Seqs!$A:$B,2,FALSE),VLOOKUP($A211,'SegEnds_NonXtal_Prot#'!A:AL,10,FALSE)+10,1)</f>
        <v>L</v>
      </c>
      <c r="AA211" s="28" t="str">
        <f>MID(VLOOKUP($A211,Seqs!$A:$B,2,FALSE),VLOOKUP($A211,'SegEnds_NonXtal_Prot#'!$A:$AL,22,FALSE)+6,1)</f>
        <v>F</v>
      </c>
      <c r="AB211" s="50" t="str">
        <f>MID(VLOOKUP($A211,Seqs!$A:$B,2,FALSE),VLOOKUP($A211,'SegEnds_NonXtal_Prot#'!$A:$AL,22,FALSE)+7,1)</f>
        <v>P</v>
      </c>
      <c r="AC211" s="50" t="str">
        <f>MID(VLOOKUP($A211,Seqs!$A:$B,2,FALSE),VLOOKUP($A211,'SegEnds_NonXtal_Prot#'!$A:$AL,22,FALSE)+8,1)</f>
        <v>A</v>
      </c>
      <c r="AD211" s="50" t="str">
        <f>MID(VLOOKUP($A211,Seqs!$A:$B,2,FALSE),VLOOKUP($A211,'SegEnds_NonXtal_Prot#'!$A:$AL,22,FALSE)+9,1)</f>
        <v>A</v>
      </c>
      <c r="AE211" s="50" t="str">
        <f>MID(VLOOKUP($A211,Seqs!$A:$B,2,FALSE),VLOOKUP($A211,'SegEnds_NonXtal_Prot#'!$A:$AL,22,FALSE)+10,1)</f>
        <v>A</v>
      </c>
      <c r="AF211" s="28" t="str">
        <f>MID(VLOOKUP($A211,Seqs!$A:$B,2,FALSE),VLOOKUP($A211,'SegEnds_NonXtal_Prot#'!$A:$AL,28,FALSE)-4,1)</f>
        <v>S</v>
      </c>
      <c r="AG211" s="50" t="str">
        <f>MID(VLOOKUP($A211,Seqs!$A:$B,2,FALSE),VLOOKUP($A211,'SegEnds_NonXtal_Prot#'!$A:$AL,28,FALSE),1)</f>
        <v>S</v>
      </c>
    </row>
    <row r="212" spans="1:33" s="2" customFormat="1" x14ac:dyDescent="0.2">
      <c r="A212" s="2" t="s">
        <v>260</v>
      </c>
      <c r="B212" s="2" t="str">
        <f>LOWER(VLOOKUP(A212,Xtal_Templ!A:B,2,FALSE))</f>
        <v>5ht2b_human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G212" s="4"/>
      <c r="M212" s="2" t="s">
        <v>14</v>
      </c>
      <c r="Q212" s="2" t="s">
        <v>9</v>
      </c>
      <c r="S212" s="4" t="s">
        <v>12</v>
      </c>
      <c r="U212" s="28" t="str">
        <f>MID(VLOOKUP($A212,Seqs!$A:$B,2,FALSE),VLOOKUP($A212,'SegEnds_NonXtal_Prot#'!A:AL,10,FALSE),1)</f>
        <v>D</v>
      </c>
      <c r="V212" s="50" t="str">
        <f>MID(VLOOKUP($A212,Seqs!$A:$B,2,FALSE),VLOOKUP($A212,'SegEnds_NonXtal_Prot#'!A:AL,10,FALSE)+6,1)</f>
        <v>S</v>
      </c>
      <c r="W212" s="50" t="str">
        <f>MID(VLOOKUP($A212,Seqs!$A:$B,2,FALSE),VLOOKUP($A212,'SegEnds_NonXtal_Prot#'!A:AL,10,FALSE)+7,1)</f>
        <v>C</v>
      </c>
      <c r="X212" s="50" t="str">
        <f>MID(VLOOKUP($A212,Seqs!$A:$B,2,FALSE),VLOOKUP($A212,'SegEnds_NonXtal_Prot#'!A:AL,10,FALSE)+8,1)</f>
        <v>L</v>
      </c>
      <c r="Y212" s="50" t="str">
        <f>MID(VLOOKUP($A212,Seqs!$A:$B,2,FALSE),VLOOKUP($A212,'SegEnds_NonXtal_Prot#'!A:AL,10,FALSE)+9,1)</f>
        <v>V</v>
      </c>
      <c r="Z212" s="50" t="str">
        <f>MID(VLOOKUP($A212,Seqs!$A:$B,2,FALSE),VLOOKUP($A212,'SegEnds_NonXtal_Prot#'!A:AL,10,FALSE)+10,1)</f>
        <v>P</v>
      </c>
      <c r="AA212" s="28" t="str">
        <f>MID(VLOOKUP($A212,Seqs!$A:$B,2,FALSE),VLOOKUP($A212,'SegEnds_NonXtal_Prot#'!$A:$AL,22,FALSE)+6,1)</f>
        <v>I</v>
      </c>
      <c r="AB212" s="50" t="str">
        <f>MID(VLOOKUP($A212,Seqs!$A:$B,2,FALSE),VLOOKUP($A212,'SegEnds_NonXtal_Prot#'!$A:$AL,22,FALSE)+7,1)</f>
        <v>F</v>
      </c>
      <c r="AC212" s="50" t="str">
        <f>MID(VLOOKUP($A212,Seqs!$A:$B,2,FALSE),VLOOKUP($A212,'SegEnds_NonXtal_Prot#'!$A:$AL,22,FALSE)+8,1)</f>
        <v>L</v>
      </c>
      <c r="AD212" s="50" t="str">
        <f>MID(VLOOKUP($A212,Seqs!$A:$B,2,FALSE),VLOOKUP($A212,'SegEnds_NonXtal_Prot#'!$A:$AL,22,FALSE)+9,1)</f>
        <v>P</v>
      </c>
      <c r="AE212" s="50" t="str">
        <f>MID(VLOOKUP($A212,Seqs!$A:$B,2,FALSE),VLOOKUP($A212,'SegEnds_NonXtal_Prot#'!$A:$AL,22,FALSE)+10,1)</f>
        <v>S</v>
      </c>
      <c r="AF212" s="28" t="str">
        <f>MID(VLOOKUP($A212,Seqs!$A:$B,2,FALSE),VLOOKUP($A212,'SegEnds_NonXtal_Prot#'!$A:$AL,28,FALSE)-4,1)</f>
        <v>L</v>
      </c>
      <c r="AG212" s="50" t="str">
        <f>MID(VLOOKUP($A212,Seqs!$A:$B,2,FALSE),VLOOKUP($A212,'SegEnds_NonXtal_Prot#'!$A:$AL,28,FALSE),1)</f>
        <v>P</v>
      </c>
    </row>
    <row r="213" spans="1:33" s="2" customFormat="1" x14ac:dyDescent="0.2">
      <c r="A213" s="2" t="s">
        <v>269</v>
      </c>
      <c r="B213" s="2" t="str">
        <f>LOWER(VLOOKUP(A213,Xtal_Templ!A:B,2,FALSE))</f>
        <v>ox2r_human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F213" s="2" t="s">
        <v>5</v>
      </c>
      <c r="G213" s="4"/>
      <c r="M213" s="2" t="s">
        <v>14</v>
      </c>
      <c r="Q213" s="2" t="s">
        <v>9</v>
      </c>
      <c r="S213" s="4" t="s">
        <v>12</v>
      </c>
      <c r="U213" s="28" t="str">
        <f>MID(VLOOKUP($A213,Seqs!$A:$B,2,FALSE),VLOOKUP($A213,'SegEnds_NonXtal_Prot#'!A:AL,10,FALSE),1)</f>
        <v>D</v>
      </c>
      <c r="V213" s="50" t="str">
        <f>MID(VLOOKUP($A213,Seqs!$A:$B,2,FALSE),VLOOKUP($A213,'SegEnds_NonXtal_Prot#'!A:AL,10,FALSE)+6,1)</f>
        <v>L</v>
      </c>
      <c r="W213" s="50" t="str">
        <f>MID(VLOOKUP($A213,Seqs!$A:$B,2,FALSE),VLOOKUP($A213,'SegEnds_NonXtal_Prot#'!A:AL,10,FALSE)+7,1)</f>
        <v>N</v>
      </c>
      <c r="X213" s="50" t="str">
        <f>MID(VLOOKUP($A213,Seqs!$A:$B,2,FALSE),VLOOKUP($A213,'SegEnds_NonXtal_Prot#'!A:AL,10,FALSE)+8,1)</f>
        <v>T</v>
      </c>
      <c r="Y213" s="50" t="str">
        <f>MID(VLOOKUP($A213,Seqs!$A:$B,2,FALSE),VLOOKUP($A213,'SegEnds_NonXtal_Prot#'!A:AL,10,FALSE)+9,1)</f>
        <v>P</v>
      </c>
      <c r="Z213" s="50" t="str">
        <f>MID(VLOOKUP($A213,Seqs!$A:$B,2,FALSE),VLOOKUP($A213,'SegEnds_NonXtal_Prot#'!A:AL,10,FALSE)+10,1)</f>
        <v>F</v>
      </c>
      <c r="AA213" s="28" t="str">
        <f>MID(VLOOKUP($A213,Seqs!$A:$B,2,FALSE),VLOOKUP($A213,'SegEnds_NonXtal_Prot#'!$A:$AL,22,FALSE)+6,1)</f>
        <v>F</v>
      </c>
      <c r="AB213" s="50" t="str">
        <f>MID(VLOOKUP($A213,Seqs!$A:$B,2,FALSE),VLOOKUP($A213,'SegEnds_NonXtal_Prot#'!$A:$AL,22,FALSE)+7,1)</f>
        <v>S</v>
      </c>
      <c r="AC213" s="50" t="str">
        <f>MID(VLOOKUP($A213,Seqs!$A:$B,2,FALSE),VLOOKUP($A213,'SegEnds_NonXtal_Prot#'!$A:$AL,22,FALSE)+8,1)</f>
        <v>L</v>
      </c>
      <c r="AD213" s="50" t="str">
        <f>MID(VLOOKUP($A213,Seqs!$A:$B,2,FALSE),VLOOKUP($A213,'SegEnds_NonXtal_Prot#'!$A:$AL,22,FALSE)+9,1)</f>
        <v>P</v>
      </c>
      <c r="AE213" s="50" t="str">
        <f>MID(VLOOKUP($A213,Seqs!$A:$B,2,FALSE),VLOOKUP($A213,'SegEnds_NonXtal_Prot#'!$A:$AL,22,FALSE)+10,1)</f>
        <v>H</v>
      </c>
      <c r="AF213" s="28" t="str">
        <f>MID(VLOOKUP($A213,Seqs!$A:$B,2,FALSE),VLOOKUP($A213,'SegEnds_NonXtal_Prot#'!$A:$AL,28,FALSE)-4,1)</f>
        <v>L</v>
      </c>
      <c r="AG213" s="50" t="str">
        <f>MID(VLOOKUP($A213,Seqs!$A:$B,2,FALSE),VLOOKUP($A213,'SegEnds_NonXtal_Prot#'!$A:$AL,28,FALSE),1)</f>
        <v>P</v>
      </c>
    </row>
    <row r="214" spans="1:33" s="2" customFormat="1" x14ac:dyDescent="0.2">
      <c r="A214" s="2" t="s">
        <v>312</v>
      </c>
      <c r="B214" s="2" t="str">
        <f>LOWER(VLOOKUP(A214,Xtal_Templ!A:B,2,FALSE))</f>
        <v>ox2r_human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G214" s="4"/>
      <c r="M214" s="2" t="s">
        <v>14</v>
      </c>
      <c r="Q214" s="2" t="s">
        <v>9</v>
      </c>
      <c r="S214" s="4" t="s">
        <v>12</v>
      </c>
      <c r="U214" s="28" t="str">
        <f>MID(VLOOKUP($A214,Seqs!$A:$B,2,FALSE),VLOOKUP($A214,'SegEnds_NonXtal_Prot#'!A:AL,10,FALSE),1)</f>
        <v>D</v>
      </c>
      <c r="V214" s="50" t="str">
        <f>MID(VLOOKUP($A214,Seqs!$A:$B,2,FALSE),VLOOKUP($A214,'SegEnds_NonXtal_Prot#'!A:AL,10,FALSE)+6,1)</f>
        <v>Y</v>
      </c>
      <c r="W214" s="50" t="str">
        <f>MID(VLOOKUP($A214,Seqs!$A:$B,2,FALSE),VLOOKUP($A214,'SegEnds_NonXtal_Prot#'!A:AL,10,FALSE)+7,1)</f>
        <v>P</v>
      </c>
      <c r="X214" s="50" t="str">
        <f>MID(VLOOKUP($A214,Seqs!$A:$B,2,FALSE),VLOOKUP($A214,'SegEnds_NonXtal_Prot#'!A:AL,10,FALSE)+8,1)</f>
        <v>Y</v>
      </c>
      <c r="Y214" s="50" t="str">
        <f>MID(VLOOKUP($A214,Seqs!$A:$B,2,FALSE),VLOOKUP($A214,'SegEnds_NonXtal_Prot#'!A:AL,10,FALSE)+9,1)</f>
        <v>P</v>
      </c>
      <c r="Z214" s="50" t="str">
        <f>MID(VLOOKUP($A214,Seqs!$A:$B,2,FALSE),VLOOKUP($A214,'SegEnds_NonXtal_Prot#'!A:AL,10,FALSE)+10,1)</f>
        <v>L</v>
      </c>
      <c r="AA214" s="28" t="str">
        <f>MID(VLOOKUP($A214,Seqs!$A:$B,2,FALSE),VLOOKUP($A214,'SegEnds_NonXtal_Prot#'!$A:$AL,22,FALSE)+6,1)</f>
        <v>A</v>
      </c>
      <c r="AB214" s="50" t="str">
        <f>MID(VLOOKUP($A214,Seqs!$A:$B,2,FALSE),VLOOKUP($A214,'SegEnds_NonXtal_Prot#'!$A:$AL,22,FALSE)+7,1)</f>
        <v>L</v>
      </c>
      <c r="AC214" s="50" t="str">
        <f>MID(VLOOKUP($A214,Seqs!$A:$B,2,FALSE),VLOOKUP($A214,'SegEnds_NonXtal_Prot#'!$A:$AL,22,FALSE)+8,1)</f>
        <v>L</v>
      </c>
      <c r="AD214" s="50" t="str">
        <f>MID(VLOOKUP($A214,Seqs!$A:$B,2,FALSE),VLOOKUP($A214,'SegEnds_NonXtal_Prot#'!$A:$AL,22,FALSE)+9,1)</f>
        <v>P</v>
      </c>
      <c r="AE214" s="50" t="str">
        <f>MID(VLOOKUP($A214,Seqs!$A:$B,2,FALSE),VLOOKUP($A214,'SegEnds_NonXtal_Prot#'!$A:$AL,22,FALSE)+10,1)</f>
        <v>N</v>
      </c>
      <c r="AF214" s="28" t="str">
        <f>MID(VLOOKUP($A214,Seqs!$A:$B,2,FALSE),VLOOKUP($A214,'SegEnds_NonXtal_Prot#'!$A:$AL,28,FALSE)-4,1)</f>
        <v>H</v>
      </c>
      <c r="AG214" s="50" t="str">
        <f>MID(VLOOKUP($A214,Seqs!$A:$B,2,FALSE),VLOOKUP($A214,'SegEnds_NonXtal_Prot#'!$A:$AL,28,FALSE),1)</f>
        <v>P</v>
      </c>
    </row>
    <row r="215" spans="1:33" s="2" customFormat="1" x14ac:dyDescent="0.2">
      <c r="A215" s="2" t="s">
        <v>313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4"/>
      <c r="M215" s="2" t="s">
        <v>14</v>
      </c>
      <c r="Q215" s="2" t="s">
        <v>9</v>
      </c>
      <c r="S215" s="4" t="s">
        <v>12</v>
      </c>
      <c r="U215" s="28" t="str">
        <f>MID(VLOOKUP($A215,Seqs!$A:$B,2,FALSE),VLOOKUP($A215,'SegEnds_NonXtal_Prot#'!A:AL,10,FALSE),1)</f>
        <v>D</v>
      </c>
      <c r="V215" s="50" t="str">
        <f>MID(VLOOKUP($A215,Seqs!$A:$B,2,FALSE),VLOOKUP($A215,'SegEnds_NonXtal_Prot#'!A:AL,10,FALSE)+6,1)</f>
        <v>Y</v>
      </c>
      <c r="W215" s="50" t="str">
        <f>MID(VLOOKUP($A215,Seqs!$A:$B,2,FALSE),VLOOKUP($A215,'SegEnds_NonXtal_Prot#'!A:AL,10,FALSE)+7,1)</f>
        <v>P</v>
      </c>
      <c r="X215" s="50" t="str">
        <f>MID(VLOOKUP($A215,Seqs!$A:$B,2,FALSE),VLOOKUP($A215,'SegEnds_NonXtal_Prot#'!A:AL,10,FALSE)+8,1)</f>
        <v>Y</v>
      </c>
      <c r="Y215" s="50" t="str">
        <f>MID(VLOOKUP($A215,Seqs!$A:$B,2,FALSE),VLOOKUP($A215,'SegEnds_NonXtal_Prot#'!A:AL,10,FALSE)+9,1)</f>
        <v>P</v>
      </c>
      <c r="Z215" s="50" t="str">
        <f>MID(VLOOKUP($A215,Seqs!$A:$B,2,FALSE),VLOOKUP($A215,'SegEnds_NonXtal_Prot#'!A:AL,10,FALSE)+10,1)</f>
        <v>L</v>
      </c>
      <c r="AA215" s="28" t="str">
        <f>MID(VLOOKUP($A215,Seqs!$A:$B,2,FALSE),VLOOKUP($A215,'SegEnds_NonXtal_Prot#'!$A:$AL,22,FALSE)+6,1)</f>
        <v>A</v>
      </c>
      <c r="AB215" s="50" t="str">
        <f>MID(VLOOKUP($A215,Seqs!$A:$B,2,FALSE),VLOOKUP($A215,'SegEnds_NonXtal_Prot#'!$A:$AL,22,FALSE)+7,1)</f>
        <v>V</v>
      </c>
      <c r="AC215" s="50" t="str">
        <f>MID(VLOOKUP($A215,Seqs!$A:$B,2,FALSE),VLOOKUP($A215,'SegEnds_NonXtal_Prot#'!$A:$AL,22,FALSE)+8,1)</f>
        <v>L</v>
      </c>
      <c r="AD215" s="50" t="str">
        <f>MID(VLOOKUP($A215,Seqs!$A:$B,2,FALSE),VLOOKUP($A215,'SegEnds_NonXtal_Prot#'!$A:$AL,22,FALSE)+9,1)</f>
        <v>P</v>
      </c>
      <c r="AE215" s="50" t="str">
        <f>MID(VLOOKUP($A215,Seqs!$A:$B,2,FALSE),VLOOKUP($A215,'SegEnds_NonXtal_Prot#'!$A:$AL,22,FALSE)+10,1)</f>
        <v>N</v>
      </c>
      <c r="AF215" s="28" t="str">
        <f>MID(VLOOKUP($A215,Seqs!$A:$B,2,FALSE),VLOOKUP($A215,'SegEnds_NonXtal_Prot#'!$A:$AL,28,FALSE)-4,1)</f>
        <v>H</v>
      </c>
      <c r="AG215" s="50" t="str">
        <f>MID(VLOOKUP($A215,Seqs!$A:$B,2,FALSE),VLOOKUP($A215,'SegEnds_NonXtal_Prot#'!$A:$AL,28,FALSE),1)</f>
        <v>P</v>
      </c>
    </row>
    <row r="216" spans="1:33" s="2" customFormat="1" x14ac:dyDescent="0.2">
      <c r="A216" s="2" t="s">
        <v>314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M216" s="2" t="s">
        <v>14</v>
      </c>
      <c r="Q216" s="2" t="s">
        <v>9</v>
      </c>
      <c r="S216" s="4" t="s">
        <v>12</v>
      </c>
      <c r="U216" s="28" t="str">
        <f>MID(VLOOKUP($A216,Seqs!$A:$B,2,FALSE),VLOOKUP($A216,'SegEnds_NonXtal_Prot#'!A:AL,10,FALSE),1)</f>
        <v>E</v>
      </c>
      <c r="V216" s="50" t="str">
        <f>MID(VLOOKUP($A216,Seqs!$A:$B,2,FALSE),VLOOKUP($A216,'SegEnds_NonXtal_Prot#'!A:AL,10,FALSE)+6,1)</f>
        <v>F</v>
      </c>
      <c r="W216" s="50" t="str">
        <f>MID(VLOOKUP($A216,Seqs!$A:$B,2,FALSE),VLOOKUP($A216,'SegEnds_NonXtal_Prot#'!A:AL,10,FALSE)+7,1)</f>
        <v>N</v>
      </c>
      <c r="X216" s="50" t="str">
        <f>MID(VLOOKUP($A216,Seqs!$A:$B,2,FALSE),VLOOKUP($A216,'SegEnds_NonXtal_Prot#'!A:AL,10,FALSE)+8,1)</f>
        <v>T</v>
      </c>
      <c r="Y216" s="50" t="str">
        <f>MID(VLOOKUP($A216,Seqs!$A:$B,2,FALSE),VLOOKUP($A216,'SegEnds_NonXtal_Prot#'!A:AL,10,FALSE)+9,1)</f>
        <v>V</v>
      </c>
      <c r="Z216" s="50" t="str">
        <f>MID(VLOOKUP($A216,Seqs!$A:$B,2,FALSE),VLOOKUP($A216,'SegEnds_NonXtal_Prot#'!A:AL,10,FALSE)+10,1)</f>
        <v>V</v>
      </c>
      <c r="AA216" s="28" t="str">
        <f>MID(VLOOKUP($A216,Seqs!$A:$B,2,FALSE),VLOOKUP($A216,'SegEnds_NonXtal_Prot#'!$A:$AL,22,FALSE)+6,1)</f>
        <v>L</v>
      </c>
      <c r="AB216" s="50" t="str">
        <f>MID(VLOOKUP($A216,Seqs!$A:$B,2,FALSE),VLOOKUP($A216,'SegEnds_NonXtal_Prot#'!$A:$AL,22,FALSE)+7,1)</f>
        <v>A</v>
      </c>
      <c r="AC216" s="50" t="str">
        <f>MID(VLOOKUP($A216,Seqs!$A:$B,2,FALSE),VLOOKUP($A216,'SegEnds_NonXtal_Prot#'!$A:$AL,22,FALSE)+8,1)</f>
        <v>F</v>
      </c>
      <c r="AD216" s="50" t="str">
        <f>MID(VLOOKUP($A216,Seqs!$A:$B,2,FALSE),VLOOKUP($A216,'SegEnds_NonXtal_Prot#'!$A:$AL,22,FALSE)+9,1)</f>
        <v>P</v>
      </c>
      <c r="AE216" s="50" t="str">
        <f>MID(VLOOKUP($A216,Seqs!$A:$B,2,FALSE),VLOOKUP($A216,'SegEnds_NonXtal_Prot#'!$A:$AL,22,FALSE)+10,1)</f>
        <v>Q</v>
      </c>
      <c r="AF216" s="28" t="str">
        <f>MID(VLOOKUP($A216,Seqs!$A:$B,2,FALSE),VLOOKUP($A216,'SegEnds_NonXtal_Prot#'!$A:$AL,28,FALSE)-4,1)</f>
        <v>I</v>
      </c>
      <c r="AG216" s="50" t="str">
        <f>MID(VLOOKUP($A216,Seqs!$A:$B,2,FALSE),VLOOKUP($A216,'SegEnds_NonXtal_Prot#'!$A:$AL,28,FALSE),1)</f>
        <v>P</v>
      </c>
    </row>
    <row r="217" spans="1:33" s="2" customFormat="1" x14ac:dyDescent="0.2">
      <c r="A217" s="2" t="s">
        <v>316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G217" s="4"/>
      <c r="M217" s="2" t="s">
        <v>14</v>
      </c>
      <c r="Q217" s="2" t="s">
        <v>9</v>
      </c>
      <c r="S217" s="4" t="s">
        <v>12</v>
      </c>
      <c r="U217" s="28" t="str">
        <f>MID(VLOOKUP($A217,Seqs!$A:$B,2,FALSE),VLOOKUP($A217,'SegEnds_NonXtal_Prot#'!A:AL,10,FALSE),1)</f>
        <v>D</v>
      </c>
      <c r="V217" s="50" t="str">
        <f>MID(VLOOKUP($A217,Seqs!$A:$B,2,FALSE),VLOOKUP($A217,'SegEnds_NonXtal_Prot#'!A:AL,10,FALSE)+6,1)</f>
        <v>F</v>
      </c>
      <c r="W217" s="50" t="str">
        <f>MID(VLOOKUP($A217,Seqs!$A:$B,2,FALSE),VLOOKUP($A217,'SegEnds_NonXtal_Prot#'!A:AL,10,FALSE)+7,1)</f>
        <v>N</v>
      </c>
      <c r="X217" s="50" t="str">
        <f>MID(VLOOKUP($A217,Seqs!$A:$B,2,FALSE),VLOOKUP($A217,'SegEnds_NonXtal_Prot#'!A:AL,10,FALSE)+8,1)</f>
        <v>T</v>
      </c>
      <c r="Y217" s="50" t="str">
        <f>MID(VLOOKUP($A217,Seqs!$A:$B,2,FALSE),VLOOKUP($A217,'SegEnds_NonXtal_Prot#'!A:AL,10,FALSE)+9,1)</f>
        <v>L</v>
      </c>
      <c r="Z217" s="50" t="str">
        <f>MID(VLOOKUP($A217,Seqs!$A:$B,2,FALSE),VLOOKUP($A217,'SegEnds_NonXtal_Prot#'!A:AL,10,FALSE)+10,1)</f>
        <v>V</v>
      </c>
      <c r="AA217" s="28" t="str">
        <f>MID(VLOOKUP($A217,Seqs!$A:$B,2,FALSE),VLOOKUP($A217,'SegEnds_NonXtal_Prot#'!$A:$AL,22,FALSE)+6,1)</f>
        <v>L</v>
      </c>
      <c r="AB217" s="50" t="str">
        <f>MID(VLOOKUP($A217,Seqs!$A:$B,2,FALSE),VLOOKUP($A217,'SegEnds_NonXtal_Prot#'!$A:$AL,22,FALSE)+7,1)</f>
        <v>A</v>
      </c>
      <c r="AC217" s="50" t="str">
        <f>MID(VLOOKUP($A217,Seqs!$A:$B,2,FALSE),VLOOKUP($A217,'SegEnds_NonXtal_Prot#'!$A:$AL,22,FALSE)+8,1)</f>
        <v>F</v>
      </c>
      <c r="AD217" s="50" t="str">
        <f>MID(VLOOKUP($A217,Seqs!$A:$B,2,FALSE),VLOOKUP($A217,'SegEnds_NonXtal_Prot#'!$A:$AL,22,FALSE)+9,1)</f>
        <v>P</v>
      </c>
      <c r="AE217" s="50" t="str">
        <f>MID(VLOOKUP($A217,Seqs!$A:$B,2,FALSE),VLOOKUP($A217,'SegEnds_NonXtal_Prot#'!$A:$AL,22,FALSE)+10,1)</f>
        <v>Q</v>
      </c>
      <c r="AF217" s="28" t="str">
        <f>MID(VLOOKUP($A217,Seqs!$A:$B,2,FALSE),VLOOKUP($A217,'SegEnds_NonXtal_Prot#'!$A:$AL,28,FALSE)-4,1)</f>
        <v>V</v>
      </c>
      <c r="AG217" s="50" t="str">
        <f>MID(VLOOKUP($A217,Seqs!$A:$B,2,FALSE),VLOOKUP($A217,'SegEnds_NonXtal_Prot#'!$A:$AL,28,FALSE),1)</f>
        <v>P</v>
      </c>
    </row>
    <row r="218" spans="1:33" s="2" customFormat="1" x14ac:dyDescent="0.2">
      <c r="A218" s="2" t="s">
        <v>322</v>
      </c>
      <c r="B218" s="2" t="str">
        <f>LOWER(VLOOKUP(A218,Xtal_Templ!A:B,2,FALSE))</f>
        <v>ox1r_human</v>
      </c>
      <c r="C218" s="2" t="str">
        <f>VLOOKUP(A218,Classification!A:D,2,FALSE)</f>
        <v>A</v>
      </c>
      <c r="D218" s="2" t="str">
        <f>IF(ISERROR(MATCH(A218,'SegEnds_Xtal_Prot#'!B:B, 0)), "NoXtal", "Xtal")</f>
        <v>NoXtal</v>
      </c>
      <c r="F218" s="2" t="s">
        <v>5</v>
      </c>
      <c r="G218" s="4"/>
      <c r="M218" s="2" t="s">
        <v>14</v>
      </c>
      <c r="Q218" s="2" t="s">
        <v>9</v>
      </c>
      <c r="S218" s="4" t="s">
        <v>12</v>
      </c>
      <c r="U218" s="28" t="str">
        <f>MID(VLOOKUP($A218,Seqs!$A:$B,2,FALSE),VLOOKUP($A218,'SegEnds_NonXtal_Prot#'!A:AL,10,FALSE),1)</f>
        <v>D</v>
      </c>
      <c r="V218" s="50" t="str">
        <f>MID(VLOOKUP($A218,Seqs!$A:$B,2,FALSE),VLOOKUP($A218,'SegEnds_NonXtal_Prot#'!A:AL,10,FALSE)+6,1)</f>
        <v>F</v>
      </c>
      <c r="W218" s="50" t="str">
        <f>MID(VLOOKUP($A218,Seqs!$A:$B,2,FALSE),VLOOKUP($A218,'SegEnds_NonXtal_Prot#'!A:AL,10,FALSE)+7,1)</f>
        <v>C</v>
      </c>
      <c r="X218" s="50" t="str">
        <f>MID(VLOOKUP($A218,Seqs!$A:$B,2,FALSE),VLOOKUP($A218,'SegEnds_NonXtal_Prot#'!A:AL,10,FALSE)+8,1)</f>
        <v>M</v>
      </c>
      <c r="Y218" s="50" t="str">
        <f>MID(VLOOKUP($A218,Seqs!$A:$B,2,FALSE),VLOOKUP($A218,'SegEnds_NonXtal_Prot#'!A:AL,10,FALSE)+9,1)</f>
        <v>P</v>
      </c>
      <c r="Z218" s="50" t="str">
        <f>MID(VLOOKUP($A218,Seqs!$A:$B,2,FALSE),VLOOKUP($A218,'SegEnds_NonXtal_Prot#'!A:AL,10,FALSE)+10,1)</f>
        <v>T</v>
      </c>
      <c r="AA218" s="28" t="str">
        <f>MID(VLOOKUP($A218,Seqs!$A:$B,2,FALSE),VLOOKUP($A218,'SegEnds_NonXtal_Prot#'!$A:$AL,22,FALSE)+6,1)</f>
        <v>I</v>
      </c>
      <c r="AB218" s="50" t="str">
        <f>MID(VLOOKUP($A218,Seqs!$A:$B,2,FALSE),VLOOKUP($A218,'SegEnds_NonXtal_Prot#'!$A:$AL,22,FALSE)+7,1)</f>
        <v>M</v>
      </c>
      <c r="AC218" s="50" t="str">
        <f>MID(VLOOKUP($A218,Seqs!$A:$B,2,FALSE),VLOOKUP($A218,'SegEnds_NonXtal_Prot#'!$A:$AL,22,FALSE)+8,1)</f>
        <v>C</v>
      </c>
      <c r="AD218" s="50" t="str">
        <f>MID(VLOOKUP($A218,Seqs!$A:$B,2,FALSE),VLOOKUP($A218,'SegEnds_NonXtal_Prot#'!$A:$AL,22,FALSE)+9,1)</f>
        <v>P</v>
      </c>
      <c r="AE218" s="50" t="str">
        <f>MID(VLOOKUP($A218,Seqs!$A:$B,2,FALSE),VLOOKUP($A218,'SegEnds_NonXtal_Prot#'!$A:$AL,22,FALSE)+10,1)</f>
        <v>S</v>
      </c>
      <c r="AF218" s="28" t="str">
        <f>MID(VLOOKUP($A218,Seqs!$A:$B,2,FALSE),VLOOKUP($A218,'SegEnds_NonXtal_Prot#'!$A:$AL,28,FALSE)-4,1)</f>
        <v>I</v>
      </c>
      <c r="AG218" s="50" t="str">
        <f>MID(VLOOKUP($A218,Seqs!$A:$B,2,FALSE),VLOOKUP($A218,'SegEnds_NonXtal_Prot#'!$A:$AL,28,FALSE),1)</f>
        <v>P</v>
      </c>
    </row>
    <row r="219" spans="1:33" s="2" customFormat="1" x14ac:dyDescent="0.2">
      <c r="A219" s="2" t="s">
        <v>324</v>
      </c>
      <c r="B219" s="2" t="str">
        <f>LOWER(VLOOKUP(A219,Xtal_Templ!A:B,2,FALSE))</f>
        <v>hrh1_human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G219" s="4"/>
      <c r="M219" s="2" t="s">
        <v>14</v>
      </c>
      <c r="Q219" s="2" t="s">
        <v>9</v>
      </c>
      <c r="S219" s="4" t="s">
        <v>12</v>
      </c>
      <c r="U219" s="28" t="str">
        <f>MID(VLOOKUP($A219,Seqs!$A:$B,2,FALSE),VLOOKUP($A219,'SegEnds_NonXtal_Prot#'!A:AL,10,FALSE),1)</f>
        <v>D</v>
      </c>
      <c r="V219" s="50" t="str">
        <f>MID(VLOOKUP($A219,Seqs!$A:$B,2,FALSE),VLOOKUP($A219,'SegEnds_NonXtal_Prot#'!A:AL,10,FALSE)+6,1)</f>
        <v>V</v>
      </c>
      <c r="W219" s="50" t="str">
        <f>MID(VLOOKUP($A219,Seqs!$A:$B,2,FALSE),VLOOKUP($A219,'SegEnds_NonXtal_Prot#'!A:AL,10,FALSE)+7,1)</f>
        <v>N</v>
      </c>
      <c r="X219" s="50" t="str">
        <f>MID(VLOOKUP($A219,Seqs!$A:$B,2,FALSE),VLOOKUP($A219,'SegEnds_NonXtal_Prot#'!A:AL,10,FALSE)+8,1)</f>
        <v>I</v>
      </c>
      <c r="Y219" s="50" t="str">
        <f>MID(VLOOKUP($A219,Seqs!$A:$B,2,FALSE),VLOOKUP($A219,'SegEnds_NonXtal_Prot#'!A:AL,10,FALSE)+9,1)</f>
        <v>L</v>
      </c>
      <c r="Z219" s="50" t="str">
        <f>MID(VLOOKUP($A219,Seqs!$A:$B,2,FALSE),VLOOKUP($A219,'SegEnds_NonXtal_Prot#'!A:AL,10,FALSE)+10,1)</f>
        <v>T</v>
      </c>
      <c r="AA219" s="28" t="str">
        <f>MID(VLOOKUP($A219,Seqs!$A:$B,2,FALSE),VLOOKUP($A219,'SegEnds_NonXtal_Prot#'!$A:$AL,22,FALSE)+6,1)</f>
        <v>F</v>
      </c>
      <c r="AB219" s="50" t="str">
        <f>MID(VLOOKUP($A219,Seqs!$A:$B,2,FALSE),VLOOKUP($A219,'SegEnds_NonXtal_Prot#'!$A:$AL,22,FALSE)+7,1)</f>
        <v>S</v>
      </c>
      <c r="AC219" s="50" t="str">
        <f>MID(VLOOKUP($A219,Seqs!$A:$B,2,FALSE),VLOOKUP($A219,'SegEnds_NonXtal_Prot#'!$A:$AL,22,FALSE)+8,1)</f>
        <v>I</v>
      </c>
      <c r="AD219" s="50" t="str">
        <f>MID(VLOOKUP($A219,Seqs!$A:$B,2,FALSE),VLOOKUP($A219,'SegEnds_NonXtal_Prot#'!$A:$AL,22,FALSE)+9,1)</f>
        <v>P</v>
      </c>
      <c r="AE219" s="50" t="str">
        <f>MID(VLOOKUP($A219,Seqs!$A:$B,2,FALSE),VLOOKUP($A219,'SegEnds_NonXtal_Prot#'!$A:$AL,22,FALSE)+10,1)</f>
        <v>T</v>
      </c>
      <c r="AF219" s="28" t="str">
        <f>MID(VLOOKUP($A219,Seqs!$A:$B,2,FALSE),VLOOKUP($A219,'SegEnds_NonXtal_Prot#'!$A:$AL,28,FALSE)-4,1)</f>
        <v>V</v>
      </c>
      <c r="AG219" s="50" t="str">
        <f>MID(VLOOKUP($A219,Seqs!$A:$B,2,FALSE),VLOOKUP($A219,'SegEnds_NonXtal_Prot#'!$A:$AL,28,FALSE),1)</f>
        <v>P</v>
      </c>
    </row>
    <row r="220" spans="1:33" s="2" customFormat="1" x14ac:dyDescent="0.2">
      <c r="A220" s="2" t="s">
        <v>325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F220" s="2" t="s">
        <v>5</v>
      </c>
      <c r="G220" s="4"/>
      <c r="M220" s="2" t="s">
        <v>14</v>
      </c>
      <c r="Q220" s="2" t="s">
        <v>9</v>
      </c>
      <c r="S220" s="4" t="s">
        <v>12</v>
      </c>
      <c r="U220" s="28" t="str">
        <f>MID(VLOOKUP($A220,Seqs!$A:$B,2,FALSE),VLOOKUP($A220,'SegEnds_NonXtal_Prot#'!A:AL,10,FALSE),1)</f>
        <v>D</v>
      </c>
      <c r="V220" s="50" t="str">
        <f>MID(VLOOKUP($A220,Seqs!$A:$B,2,FALSE),VLOOKUP($A220,'SegEnds_NonXtal_Prot#'!A:AL,10,FALSE)+6,1)</f>
        <v>M</v>
      </c>
      <c r="W220" s="50" t="str">
        <f>MID(VLOOKUP($A220,Seqs!$A:$B,2,FALSE),VLOOKUP($A220,'SegEnds_NonXtal_Prot#'!A:AL,10,FALSE)+7,1)</f>
        <v>C</v>
      </c>
      <c r="X220" s="50" t="str">
        <f>MID(VLOOKUP($A220,Seqs!$A:$B,2,FALSE),VLOOKUP($A220,'SegEnds_NonXtal_Prot#'!A:AL,10,FALSE)+8,1)</f>
        <v>L</v>
      </c>
      <c r="Y220" s="50" t="str">
        <f>MID(VLOOKUP($A220,Seqs!$A:$B,2,FALSE),VLOOKUP($A220,'SegEnds_NonXtal_Prot#'!A:AL,10,FALSE)+9,1)</f>
        <v>P</v>
      </c>
      <c r="Z220" s="50" t="str">
        <f>MID(VLOOKUP($A220,Seqs!$A:$B,2,FALSE),VLOOKUP($A220,'SegEnds_NonXtal_Prot#'!A:AL,10,FALSE)+10,1)</f>
        <v>F</v>
      </c>
      <c r="AA220" s="28" t="str">
        <f>MID(VLOOKUP($A220,Seqs!$A:$B,2,FALSE),VLOOKUP($A220,'SegEnds_NonXtal_Prot#'!$A:$AL,22,FALSE)+6,1)</f>
        <v>S</v>
      </c>
      <c r="AB220" s="50" t="str">
        <f>MID(VLOOKUP($A220,Seqs!$A:$B,2,FALSE),VLOOKUP($A220,'SegEnds_NonXtal_Prot#'!$A:$AL,22,FALSE)+7,1)</f>
        <v>S</v>
      </c>
      <c r="AC220" s="50" t="str">
        <f>MID(VLOOKUP($A220,Seqs!$A:$B,2,FALSE),VLOOKUP($A220,'SegEnds_NonXtal_Prot#'!$A:$AL,22,FALSE)+8,1)</f>
        <v>L</v>
      </c>
      <c r="AD220" s="50" t="str">
        <f>MID(VLOOKUP($A220,Seqs!$A:$B,2,FALSE),VLOOKUP($A220,'SegEnds_NonXtal_Prot#'!$A:$AL,22,FALSE)+9,1)</f>
        <v>P</v>
      </c>
      <c r="AE220" s="50" t="str">
        <f>MID(VLOOKUP($A220,Seqs!$A:$B,2,FALSE),VLOOKUP($A220,'SegEnds_NonXtal_Prot#'!$A:$AL,22,FALSE)+10,1)</f>
        <v>F</v>
      </c>
      <c r="AF220" s="28" t="str">
        <f>MID(VLOOKUP($A220,Seqs!$A:$B,2,FALSE),VLOOKUP($A220,'SegEnds_NonXtal_Prot#'!$A:$AL,28,FALSE)-4,1)</f>
        <v>Q</v>
      </c>
      <c r="AG220" s="50" t="str">
        <f>MID(VLOOKUP($A220,Seqs!$A:$B,2,FALSE),VLOOKUP($A220,'SegEnds_NonXtal_Prot#'!$A:$AL,28,FALSE),1)</f>
        <v>P</v>
      </c>
    </row>
    <row r="221" spans="1:33" s="2" customFormat="1" x14ac:dyDescent="0.2">
      <c r="A221" s="2" t="s">
        <v>327</v>
      </c>
      <c r="B221" s="2" t="str">
        <f>LOWER(VLOOKUP(A221,Xtal_Templ!A:B,2,FALSE))</f>
        <v>ox2r_human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F221" s="2" t="s">
        <v>5</v>
      </c>
      <c r="G221" s="4"/>
      <c r="M221" s="2" t="s">
        <v>14</v>
      </c>
      <c r="Q221" s="2" t="s">
        <v>9</v>
      </c>
      <c r="S221" s="4" t="s">
        <v>12</v>
      </c>
      <c r="U221" s="28" t="str">
        <f>MID(VLOOKUP($A221,Seqs!$A:$B,2,FALSE),VLOOKUP($A221,'SegEnds_NonXtal_Prot#'!A:AL,10,FALSE),1)</f>
        <v>D</v>
      </c>
      <c r="V221" s="50" t="str">
        <f>MID(VLOOKUP($A221,Seqs!$A:$B,2,FALSE),VLOOKUP($A221,'SegEnds_NonXtal_Prot#'!A:AL,10,FALSE)+6,1)</f>
        <v>L</v>
      </c>
      <c r="W221" s="50" t="str">
        <f>MID(VLOOKUP($A221,Seqs!$A:$B,2,FALSE),VLOOKUP($A221,'SegEnds_NonXtal_Prot#'!A:AL,10,FALSE)+7,1)</f>
        <v>C</v>
      </c>
      <c r="X221" s="50" t="str">
        <f>MID(VLOOKUP($A221,Seqs!$A:$B,2,FALSE),VLOOKUP($A221,'SegEnds_NonXtal_Prot#'!A:AL,10,FALSE)+8,1)</f>
        <v>Q</v>
      </c>
      <c r="Y221" s="50" t="str">
        <f>MID(VLOOKUP($A221,Seqs!$A:$B,2,FALSE),VLOOKUP($A221,'SegEnds_NonXtal_Prot#'!A:AL,10,FALSE)+9,1)</f>
        <v>P</v>
      </c>
      <c r="Z221" s="50" t="str">
        <f>MID(VLOOKUP($A221,Seqs!$A:$B,2,FALSE),VLOOKUP($A221,'SegEnds_NonXtal_Prot#'!A:AL,10,FALSE)+10,1)</f>
        <v>L</v>
      </c>
      <c r="AA221" s="28" t="str">
        <f>MID(VLOOKUP($A221,Seqs!$A:$B,2,FALSE),VLOOKUP($A221,'SegEnds_NonXtal_Prot#'!$A:$AL,22,FALSE)+6,1)</f>
        <v>L</v>
      </c>
      <c r="AB221" s="50" t="str">
        <f>MID(VLOOKUP($A221,Seqs!$A:$B,2,FALSE),VLOOKUP($A221,'SegEnds_NonXtal_Prot#'!$A:$AL,22,FALSE)+7,1)</f>
        <v>S</v>
      </c>
      <c r="AC221" s="50" t="str">
        <f>MID(VLOOKUP($A221,Seqs!$A:$B,2,FALSE),VLOOKUP($A221,'SegEnds_NonXtal_Prot#'!$A:$AL,22,FALSE)+8,1)</f>
        <v>L</v>
      </c>
      <c r="AD221" s="50" t="str">
        <f>MID(VLOOKUP($A221,Seqs!$A:$B,2,FALSE),VLOOKUP($A221,'SegEnds_NonXtal_Prot#'!$A:$AL,22,FALSE)+9,1)</f>
        <v>P</v>
      </c>
      <c r="AE221" s="50" t="str">
        <f>MID(VLOOKUP($A221,Seqs!$A:$B,2,FALSE),VLOOKUP($A221,'SegEnds_NonXtal_Prot#'!$A:$AL,22,FALSE)+10,1)</f>
        <v>F</v>
      </c>
      <c r="AF221" s="28" t="str">
        <f>MID(VLOOKUP($A221,Seqs!$A:$B,2,FALSE),VLOOKUP($A221,'SegEnds_NonXtal_Prot#'!$A:$AL,28,FALSE)-4,1)</f>
        <v>Q</v>
      </c>
      <c r="AG221" s="50" t="str">
        <f>MID(VLOOKUP($A221,Seqs!$A:$B,2,FALSE),VLOOKUP($A221,'SegEnds_NonXtal_Prot#'!$A:$AL,28,FALSE),1)</f>
        <v>P</v>
      </c>
    </row>
    <row r="222" spans="1:33" s="2" customFormat="1" x14ac:dyDescent="0.2">
      <c r="A222" s="2" t="s">
        <v>328</v>
      </c>
      <c r="B222" s="2" t="str">
        <f>LOWER(VLOOKUP(A222,Xtal_Templ!A:B,2,FALSE))</f>
        <v>ox2r_human</v>
      </c>
      <c r="C222" s="2" t="str">
        <f>VLOOKUP(A222,Classification!A:D,2,FALSE)</f>
        <v>A</v>
      </c>
      <c r="D222" s="2" t="str">
        <f>IF(ISERROR(MATCH(A222,'SegEnds_Xtal_Prot#'!B:B, 0)), "NoXtal", "Xtal")</f>
        <v>NoXtal</v>
      </c>
      <c r="F222" s="2" t="s">
        <v>5</v>
      </c>
      <c r="G222" s="4"/>
      <c r="M222" s="2" t="s">
        <v>14</v>
      </c>
      <c r="Q222" s="2" t="s">
        <v>9</v>
      </c>
      <c r="S222" s="4" t="s">
        <v>12</v>
      </c>
      <c r="U222" s="28" t="str">
        <f>MID(VLOOKUP($A222,Seqs!$A:$B,2,FALSE),VLOOKUP($A222,'SegEnds_NonXtal_Prot#'!A:AL,10,FALSE),1)</f>
        <v>D</v>
      </c>
      <c r="V222" s="50" t="str">
        <f>MID(VLOOKUP($A222,Seqs!$A:$B,2,FALSE),VLOOKUP($A222,'SegEnds_NonXtal_Prot#'!A:AL,10,FALSE)+6,1)</f>
        <v>F</v>
      </c>
      <c r="W222" s="50" t="str">
        <f>MID(VLOOKUP($A222,Seqs!$A:$B,2,FALSE),VLOOKUP($A222,'SegEnds_NonXtal_Prot#'!A:AL,10,FALSE)+7,1)</f>
        <v>C</v>
      </c>
      <c r="X222" s="50" t="str">
        <f>MID(VLOOKUP($A222,Seqs!$A:$B,2,FALSE),VLOOKUP($A222,'SegEnds_NonXtal_Prot#'!A:AL,10,FALSE)+8,1)</f>
        <v>S</v>
      </c>
      <c r="Y222" s="50" t="str">
        <f>MID(VLOOKUP($A222,Seqs!$A:$B,2,FALSE),VLOOKUP($A222,'SegEnds_NonXtal_Prot#'!A:AL,10,FALSE)+9,1)</f>
        <v>P</v>
      </c>
      <c r="Z222" s="50" t="str">
        <f>MID(VLOOKUP($A222,Seqs!$A:$B,2,FALSE),VLOOKUP($A222,'SegEnds_NonXtal_Prot#'!A:AL,10,FALSE)+10,1)</f>
        <v>F</v>
      </c>
      <c r="AA222" s="28" t="str">
        <f>MID(VLOOKUP($A222,Seqs!$A:$B,2,FALSE),VLOOKUP($A222,'SegEnds_NonXtal_Prot#'!$A:$AL,22,FALSE)+6,1)</f>
        <v>I</v>
      </c>
      <c r="AB222" s="50" t="str">
        <f>MID(VLOOKUP($A222,Seqs!$A:$B,2,FALSE),VLOOKUP($A222,'SegEnds_NonXtal_Prot#'!$A:$AL,22,FALSE)+7,1)</f>
        <v>C</v>
      </c>
      <c r="AC222" s="50" t="str">
        <f>MID(VLOOKUP($A222,Seqs!$A:$B,2,FALSE),VLOOKUP($A222,'SegEnds_NonXtal_Prot#'!$A:$AL,22,FALSE)+8,1)</f>
        <v>S</v>
      </c>
      <c r="AD222" s="50" t="str">
        <f>MID(VLOOKUP($A222,Seqs!$A:$B,2,FALSE),VLOOKUP($A222,'SegEnds_NonXtal_Prot#'!$A:$AL,22,FALSE)+9,1)</f>
        <v>P</v>
      </c>
      <c r="AE222" s="50" t="str">
        <f>MID(VLOOKUP($A222,Seqs!$A:$B,2,FALSE),VLOOKUP($A222,'SegEnds_NonXtal_Prot#'!$A:$AL,22,FALSE)+10,1)</f>
        <v>L</v>
      </c>
      <c r="AF222" s="28" t="str">
        <f>MID(VLOOKUP($A222,Seqs!$A:$B,2,FALSE),VLOOKUP($A222,'SegEnds_NonXtal_Prot#'!$A:$AL,28,FALSE)-4,1)</f>
        <v>Q</v>
      </c>
      <c r="AG222" s="50" t="str">
        <f>MID(VLOOKUP($A222,Seqs!$A:$B,2,FALSE),VLOOKUP($A222,'SegEnds_NonXtal_Prot#'!$A:$AL,28,FALSE),1)</f>
        <v>P</v>
      </c>
    </row>
    <row r="223" spans="1:33" s="2" customFormat="1" x14ac:dyDescent="0.2">
      <c r="A223" s="2" t="s">
        <v>329</v>
      </c>
      <c r="B223" s="2" t="str">
        <f>LOWER(VLOOKUP(A223,Xtal_Templ!A:B,2,FALSE))</f>
        <v>ox2r_human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4"/>
      <c r="M223" s="2" t="s">
        <v>14</v>
      </c>
      <c r="Q223" s="2" t="s">
        <v>9</v>
      </c>
      <c r="S223" s="4" t="s">
        <v>12</v>
      </c>
      <c r="U223" s="28" t="str">
        <f>MID(VLOOKUP($A223,Seqs!$A:$B,2,FALSE),VLOOKUP($A223,'SegEnds_NonXtal_Prot#'!A:AL,10,FALSE),1)</f>
        <v>D</v>
      </c>
      <c r="V223" s="50" t="str">
        <f>MID(VLOOKUP($A223,Seqs!$A:$B,2,FALSE),VLOOKUP($A223,'SegEnds_NonXtal_Prot#'!A:AL,10,FALSE)+6,1)</f>
        <v>M</v>
      </c>
      <c r="W223" s="50" t="str">
        <f>MID(VLOOKUP($A223,Seqs!$A:$B,2,FALSE),VLOOKUP($A223,'SegEnds_NonXtal_Prot#'!A:AL,10,FALSE)+7,1)</f>
        <v>C</v>
      </c>
      <c r="X223" s="50" t="str">
        <f>MID(VLOOKUP($A223,Seqs!$A:$B,2,FALSE),VLOOKUP($A223,'SegEnds_NonXtal_Prot#'!A:AL,10,FALSE)+8,1)</f>
        <v>I</v>
      </c>
      <c r="Y223" s="50" t="str">
        <f>MID(VLOOKUP($A223,Seqs!$A:$B,2,FALSE),VLOOKUP($A223,'SegEnds_NonXtal_Prot#'!A:AL,10,FALSE)+9,1)</f>
        <v>H</v>
      </c>
      <c r="Z223" s="50" t="str">
        <f>MID(VLOOKUP($A223,Seqs!$A:$B,2,FALSE),VLOOKUP($A223,'SegEnds_NonXtal_Prot#'!A:AL,10,FALSE)+10,1)</f>
        <v>F</v>
      </c>
      <c r="AA223" s="28" t="str">
        <f>MID(VLOOKUP($A223,Seqs!$A:$B,2,FALSE),VLOOKUP($A223,'SegEnds_NonXtal_Prot#'!$A:$AL,22,FALSE)+6,1)</f>
        <v>L</v>
      </c>
      <c r="AB223" s="50" t="str">
        <f>MID(VLOOKUP($A223,Seqs!$A:$B,2,FALSE),VLOOKUP($A223,'SegEnds_NonXtal_Prot#'!$A:$AL,22,FALSE)+7,1)</f>
        <v>S</v>
      </c>
      <c r="AC223" s="50" t="str">
        <f>MID(VLOOKUP($A223,Seqs!$A:$B,2,FALSE),VLOOKUP($A223,'SegEnds_NonXtal_Prot#'!$A:$AL,22,FALSE)+8,1)</f>
        <v>I</v>
      </c>
      <c r="AD223" s="50" t="str">
        <f>MID(VLOOKUP($A223,Seqs!$A:$B,2,FALSE),VLOOKUP($A223,'SegEnds_NonXtal_Prot#'!$A:$AL,22,FALSE)+9,1)</f>
        <v>P</v>
      </c>
      <c r="AE223" s="50" t="str">
        <f>MID(VLOOKUP($A223,Seqs!$A:$B,2,FALSE),VLOOKUP($A223,'SegEnds_NonXtal_Prot#'!$A:$AL,22,FALSE)+10,1)</f>
        <v>F</v>
      </c>
      <c r="AF223" s="28" t="str">
        <f>MID(VLOOKUP($A223,Seqs!$A:$B,2,FALSE),VLOOKUP($A223,'SegEnds_NonXtal_Prot#'!$A:$AL,28,FALSE)-4,1)</f>
        <v>Q</v>
      </c>
      <c r="AG223" s="50" t="str">
        <f>MID(VLOOKUP($A223,Seqs!$A:$B,2,FALSE),VLOOKUP($A223,'SegEnds_NonXtal_Prot#'!$A:$AL,28,FALSE),1)</f>
        <v>P</v>
      </c>
    </row>
    <row r="224" spans="1:33" s="2" customFormat="1" x14ac:dyDescent="0.2">
      <c r="A224" s="2" t="s">
        <v>1176</v>
      </c>
      <c r="B224" s="2" t="str">
        <f>LOWER(VLOOKUP(A224,Xtal_Templ!A:B,2,FALSE))</f>
        <v>ox2r_human</v>
      </c>
      <c r="C224" s="2" t="str">
        <f>VLOOKUP(A224,Classification!A:D,2,FALSE)</f>
        <v>A</v>
      </c>
      <c r="D224" s="2" t="str">
        <f>IF(ISERROR(MATCH(A224,'SegEnds_Xtal_Prot#'!B:B, 0)), "NoXtal", "Xtal")</f>
        <v>Xtal</v>
      </c>
      <c r="F224" s="2" t="s">
        <v>5</v>
      </c>
      <c r="G224" s="4"/>
      <c r="M224" s="2" t="s">
        <v>14</v>
      </c>
      <c r="Q224" s="2" t="s">
        <v>9</v>
      </c>
      <c r="S224" s="4" t="s">
        <v>12</v>
      </c>
      <c r="U224" s="28" t="str">
        <f>MID(VLOOKUP($A224,Seqs!$A:$B,2,FALSE),VLOOKUP($A224,'SegEnds_NonXtal_Prot#'!A:AL,10,FALSE),1)</f>
        <v>D</v>
      </c>
      <c r="V224" s="50" t="str">
        <f>MID(VLOOKUP($A224,Seqs!$A:$B,2,FALSE),VLOOKUP($A224,'SegEnds_NonXtal_Prot#'!A:AL,10,FALSE)+6,1)</f>
        <v>T</v>
      </c>
      <c r="W224" s="50" t="str">
        <f>MID(VLOOKUP($A224,Seqs!$A:$B,2,FALSE),VLOOKUP($A224,'SegEnds_NonXtal_Prot#'!A:AL,10,FALSE)+7,1)</f>
        <v>C</v>
      </c>
      <c r="X224" s="50" t="str">
        <f>MID(VLOOKUP($A224,Seqs!$A:$B,2,FALSE),VLOOKUP($A224,'SegEnds_NonXtal_Prot#'!A:AL,10,FALSE)+8,1)</f>
        <v>L</v>
      </c>
      <c r="Y224" s="50" t="str">
        <f>MID(VLOOKUP($A224,Seqs!$A:$B,2,FALSE),VLOOKUP($A224,'SegEnds_NonXtal_Prot#'!A:AL,10,FALSE)+9,1)</f>
        <v>P</v>
      </c>
      <c r="Z224" s="50" t="str">
        <f>MID(VLOOKUP($A224,Seqs!$A:$B,2,FALSE),VLOOKUP($A224,'SegEnds_NonXtal_Prot#'!A:AL,10,FALSE)+10,1)</f>
        <v>A</v>
      </c>
      <c r="AA224" s="28" t="str">
        <f>MID(VLOOKUP($A224,Seqs!$A:$B,2,FALSE),VLOOKUP($A224,'SegEnds_NonXtal_Prot#'!$A:$AL,22,FALSE)+6,1)</f>
        <v>I</v>
      </c>
      <c r="AB224" s="50" t="str">
        <f>MID(VLOOKUP($A224,Seqs!$A:$B,2,FALSE),VLOOKUP($A224,'SegEnds_NonXtal_Prot#'!$A:$AL,22,FALSE)+7,1)</f>
        <v>M</v>
      </c>
      <c r="AC224" s="50" t="str">
        <f>MID(VLOOKUP($A224,Seqs!$A:$B,2,FALSE),VLOOKUP($A224,'SegEnds_NonXtal_Prot#'!$A:$AL,22,FALSE)+8,1)</f>
        <v>I</v>
      </c>
      <c r="AD224" s="50" t="str">
        <f>MID(VLOOKUP($A224,Seqs!$A:$B,2,FALSE),VLOOKUP($A224,'SegEnds_NonXtal_Prot#'!$A:$AL,22,FALSE)+9,1)</f>
        <v>P</v>
      </c>
      <c r="AE224" s="50" t="str">
        <f>MID(VLOOKUP($A224,Seqs!$A:$B,2,FALSE),VLOOKUP($A224,'SegEnds_NonXtal_Prot#'!$A:$AL,22,FALSE)+10,1)</f>
        <v>Q</v>
      </c>
      <c r="AF224" s="28" t="str">
        <f>MID(VLOOKUP($A224,Seqs!$A:$B,2,FALSE),VLOOKUP($A224,'SegEnds_NonXtal_Prot#'!$A:$AL,28,FALSE)-4,1)</f>
        <v>T</v>
      </c>
      <c r="AG224" s="50" t="str">
        <f>MID(VLOOKUP($A224,Seqs!$A:$B,2,FALSE),VLOOKUP($A224,'SegEnds_NonXtal_Prot#'!$A:$AL,28,FALSE),1)</f>
        <v>P</v>
      </c>
    </row>
    <row r="225" spans="1:33" s="2" customFormat="1" x14ac:dyDescent="0.2">
      <c r="A225" s="2" t="s">
        <v>359</v>
      </c>
      <c r="B225" s="2" t="str">
        <f>LOWER(VLOOKUP(A225,Xtal_Templ!A:B,2,FALSE))</f>
        <v>ntr1_rat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F225" s="2" t="s">
        <v>5</v>
      </c>
      <c r="G225" s="4"/>
      <c r="S225" s="4" t="s">
        <v>12</v>
      </c>
      <c r="U225" s="28" t="str">
        <f>MID(VLOOKUP($A225,Seqs!$A:$B,2,FALSE),VLOOKUP($A225,'SegEnds_NonXtal_Prot#'!A:AL,10,FALSE),1)</f>
        <v>D</v>
      </c>
      <c r="V225" s="50" t="str">
        <f>MID(VLOOKUP($A225,Seqs!$A:$B,2,FALSE),VLOOKUP($A225,'SegEnds_NonXtal_Prot#'!A:AL,10,FALSE)+6,1)</f>
        <v>L</v>
      </c>
      <c r="W225" s="50" t="str">
        <f>MID(VLOOKUP($A225,Seqs!$A:$B,2,FALSE),VLOOKUP($A225,'SegEnds_NonXtal_Prot#'!A:AL,10,FALSE)+7,1)</f>
        <v>L</v>
      </c>
      <c r="X225" s="50" t="str">
        <f>MID(VLOOKUP($A225,Seqs!$A:$B,2,FALSE),VLOOKUP($A225,'SegEnds_NonXtal_Prot#'!A:AL,10,FALSE)+8,1)</f>
        <v>S</v>
      </c>
      <c r="Y225" s="50" t="str">
        <f>MID(VLOOKUP($A225,Seqs!$A:$B,2,FALSE),VLOOKUP($A225,'SegEnds_NonXtal_Prot#'!A:AL,10,FALSE)+9,1)</f>
        <v>P</v>
      </c>
      <c r="Z225" s="50" t="str">
        <f>MID(VLOOKUP($A225,Seqs!$A:$B,2,FALSE),VLOOKUP($A225,'SegEnds_NonXtal_Prot#'!A:AL,10,FALSE)+10,1)</f>
        <v>V</v>
      </c>
      <c r="AA225" s="28" t="str">
        <f>MID(VLOOKUP($A225,Seqs!$A:$B,2,FALSE),VLOOKUP($A225,'SegEnds_NonXtal_Prot#'!$A:$AL,22,FALSE)+6,1)</f>
        <v>F</v>
      </c>
      <c r="AB225" s="50" t="str">
        <f>MID(VLOOKUP($A225,Seqs!$A:$B,2,FALSE),VLOOKUP($A225,'SegEnds_NonXtal_Prot#'!$A:$AL,22,FALSE)+7,1)</f>
        <v>C</v>
      </c>
      <c r="AC225" s="50" t="str">
        <f>MID(VLOOKUP($A225,Seqs!$A:$B,2,FALSE),VLOOKUP($A225,'SegEnds_NonXtal_Prot#'!$A:$AL,22,FALSE)+8,1)</f>
        <v>A</v>
      </c>
      <c r="AD225" s="50" t="str">
        <f>MID(VLOOKUP($A225,Seqs!$A:$B,2,FALSE),VLOOKUP($A225,'SegEnds_NonXtal_Prot#'!$A:$AL,22,FALSE)+9,1)</f>
        <v>L</v>
      </c>
      <c r="AE225" s="50" t="str">
        <f>MID(VLOOKUP($A225,Seqs!$A:$B,2,FALSE),VLOOKUP($A225,'SegEnds_NonXtal_Prot#'!$A:$AL,22,FALSE)+10,1)</f>
        <v>P</v>
      </c>
      <c r="AF225" s="28" t="str">
        <f>MID(VLOOKUP($A225,Seqs!$A:$B,2,FALSE),VLOOKUP($A225,'SegEnds_NonXtal_Prot#'!$A:$AL,28,FALSE)-4,1)</f>
        <v>A</v>
      </c>
      <c r="AG225" s="50" t="str">
        <f>MID(VLOOKUP($A225,Seqs!$A:$B,2,FALSE),VLOOKUP($A225,'SegEnds_NonXtal_Prot#'!$A:$AL,28,FALSE),1)</f>
        <v>L</v>
      </c>
    </row>
    <row r="226" spans="1:33" s="2" customFormat="1" x14ac:dyDescent="0.2">
      <c r="A226" s="2" t="s">
        <v>367</v>
      </c>
      <c r="B226" s="2" t="str">
        <f>LOWER(VLOOKUP(A226,Xtal_Templ!A:B,2,FALSE))</f>
        <v>ox1r_human</v>
      </c>
      <c r="C226" s="2" t="str">
        <f>VLOOKUP(A226,Classification!A:D,2,FALSE)</f>
        <v>A</v>
      </c>
      <c r="D226" s="2" t="str">
        <f>IF(ISERROR(MATCH(A226,'SegEnds_Xtal_Prot#'!B:B, 0)), "NoXtal", "Xtal")</f>
        <v>NoXtal</v>
      </c>
      <c r="F226" s="2" t="s">
        <v>5</v>
      </c>
      <c r="G226" s="4"/>
      <c r="M226" s="2" t="s">
        <v>14</v>
      </c>
      <c r="Q226" s="2" t="s">
        <v>9</v>
      </c>
      <c r="S226" s="4" t="s">
        <v>12</v>
      </c>
      <c r="U226" s="28" t="str">
        <f>MID(VLOOKUP($A226,Seqs!$A:$B,2,FALSE),VLOOKUP($A226,'SegEnds_NonXtal_Prot#'!A:AL,10,FALSE),1)</f>
        <v>D</v>
      </c>
      <c r="V226" s="50" t="str">
        <f>MID(VLOOKUP($A226,Seqs!$A:$B,2,FALSE),VLOOKUP($A226,'SegEnds_NonXtal_Prot#'!A:AL,10,FALSE)+6,1)</f>
        <v>V</v>
      </c>
      <c r="W226" s="50" t="str">
        <f>MID(VLOOKUP($A226,Seqs!$A:$B,2,FALSE),VLOOKUP($A226,'SegEnds_NonXtal_Prot#'!A:AL,10,FALSE)+7,1)</f>
        <v>C</v>
      </c>
      <c r="X226" s="50" t="str">
        <f>MID(VLOOKUP($A226,Seqs!$A:$B,2,FALSE),VLOOKUP($A226,'SegEnds_NonXtal_Prot#'!A:AL,10,FALSE)+8,1)</f>
        <v>C</v>
      </c>
      <c r="Y226" s="50" t="str">
        <f>MID(VLOOKUP($A226,Seqs!$A:$B,2,FALSE),VLOOKUP($A226,'SegEnds_NonXtal_Prot#'!A:AL,10,FALSE)+9,1)</f>
        <v>P</v>
      </c>
      <c r="Z226" s="50" t="str">
        <f>MID(VLOOKUP($A226,Seqs!$A:$B,2,FALSE),VLOOKUP($A226,'SegEnds_NonXtal_Prot#'!A:AL,10,FALSE)+10,1)</f>
        <v>F</v>
      </c>
      <c r="AA226" s="28" t="str">
        <f>MID(VLOOKUP($A226,Seqs!$A:$B,2,FALSE),VLOOKUP($A226,'SegEnds_NonXtal_Prot#'!$A:$AL,22,FALSE)+6,1)</f>
        <v>I</v>
      </c>
      <c r="AB226" s="50" t="str">
        <f>MID(VLOOKUP($A226,Seqs!$A:$B,2,FALSE),VLOOKUP($A226,'SegEnds_NonXtal_Prot#'!$A:$AL,22,FALSE)+7,1)</f>
        <v>A</v>
      </c>
      <c r="AC226" s="50" t="str">
        <f>MID(VLOOKUP($A226,Seqs!$A:$B,2,FALSE),VLOOKUP($A226,'SegEnds_NonXtal_Prot#'!$A:$AL,22,FALSE)+8,1)</f>
        <v>I</v>
      </c>
      <c r="AD226" s="50" t="str">
        <f>MID(VLOOKUP($A226,Seqs!$A:$B,2,FALSE),VLOOKUP($A226,'SegEnds_NonXtal_Prot#'!$A:$AL,22,FALSE)+9,1)</f>
        <v>P</v>
      </c>
      <c r="AE226" s="50" t="str">
        <f>MID(VLOOKUP($A226,Seqs!$A:$B,2,FALSE),VLOOKUP($A226,'SegEnds_NonXtal_Prot#'!$A:$AL,22,FALSE)+10,1)</f>
        <v>S</v>
      </c>
      <c r="AF226" s="28" t="str">
        <f>MID(VLOOKUP($A226,Seqs!$A:$B,2,FALSE),VLOOKUP($A226,'SegEnds_NonXtal_Prot#'!$A:$AL,28,FALSE)-4,1)</f>
        <v>E</v>
      </c>
      <c r="AG226" s="50" t="str">
        <f>MID(VLOOKUP($A226,Seqs!$A:$B,2,FALSE),VLOOKUP($A226,'SegEnds_NonXtal_Prot#'!$A:$AL,28,FALSE),1)</f>
        <v>P</v>
      </c>
    </row>
    <row r="227" spans="1:33" s="2" customFormat="1" x14ac:dyDescent="0.2">
      <c r="A227" s="2" t="s">
        <v>368</v>
      </c>
      <c r="B227" s="2" t="str">
        <f>LOWER(VLOOKUP(A227,Xtal_Templ!A:B,2,FALSE))</f>
        <v>ox2r_human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F227" s="2" t="s">
        <v>5</v>
      </c>
      <c r="G227" s="4"/>
      <c r="M227" s="2" t="s">
        <v>14</v>
      </c>
      <c r="Q227" s="2" t="s">
        <v>9</v>
      </c>
      <c r="S227" s="4" t="s">
        <v>12</v>
      </c>
      <c r="U227" s="28" t="str">
        <f>MID(VLOOKUP($A227,Seqs!$A:$B,2,FALSE),VLOOKUP($A227,'SegEnds_NonXtal_Prot#'!A:AL,10,FALSE),1)</f>
        <v>D</v>
      </c>
      <c r="V227" s="50" t="str">
        <f>MID(VLOOKUP($A227,Seqs!$A:$B,2,FALSE),VLOOKUP($A227,'SegEnds_NonXtal_Prot#'!A:AL,10,FALSE)+6,1)</f>
        <v>I</v>
      </c>
      <c r="W227" s="50" t="str">
        <f>MID(VLOOKUP($A227,Seqs!$A:$B,2,FALSE),VLOOKUP($A227,'SegEnds_NonXtal_Prot#'!A:AL,10,FALSE)+7,1)</f>
        <v>C</v>
      </c>
      <c r="X227" s="50" t="str">
        <f>MID(VLOOKUP($A227,Seqs!$A:$B,2,FALSE),VLOOKUP($A227,'SegEnds_NonXtal_Prot#'!A:AL,10,FALSE)+8,1)</f>
        <v>C</v>
      </c>
      <c r="Y227" s="50" t="str">
        <f>MID(VLOOKUP($A227,Seqs!$A:$B,2,FALSE),VLOOKUP($A227,'SegEnds_NonXtal_Prot#'!A:AL,10,FALSE)+9,1)</f>
        <v>P</v>
      </c>
      <c r="Z227" s="50" t="str">
        <f>MID(VLOOKUP($A227,Seqs!$A:$B,2,FALSE),VLOOKUP($A227,'SegEnds_NonXtal_Prot#'!A:AL,10,FALSE)+10,1)</f>
        <v>F</v>
      </c>
      <c r="AA227" s="28" t="str">
        <f>MID(VLOOKUP($A227,Seqs!$A:$B,2,FALSE),VLOOKUP($A227,'SegEnds_NonXtal_Prot#'!$A:$AL,22,FALSE)+6,1)</f>
        <v>I</v>
      </c>
      <c r="AB227" s="50" t="str">
        <f>MID(VLOOKUP($A227,Seqs!$A:$B,2,FALSE),VLOOKUP($A227,'SegEnds_NonXtal_Prot#'!$A:$AL,22,FALSE)+7,1)</f>
        <v>A</v>
      </c>
      <c r="AC227" s="50" t="str">
        <f>MID(VLOOKUP($A227,Seqs!$A:$B,2,FALSE),VLOOKUP($A227,'SegEnds_NonXtal_Prot#'!$A:$AL,22,FALSE)+8,1)</f>
        <v>I</v>
      </c>
      <c r="AD227" s="50" t="str">
        <f>MID(VLOOKUP($A227,Seqs!$A:$B,2,FALSE),VLOOKUP($A227,'SegEnds_NonXtal_Prot#'!$A:$AL,22,FALSE)+9,1)</f>
        <v>P</v>
      </c>
      <c r="AE227" s="50" t="str">
        <f>MID(VLOOKUP($A227,Seqs!$A:$B,2,FALSE),VLOOKUP($A227,'SegEnds_NonXtal_Prot#'!$A:$AL,22,FALSE)+10,1)</f>
        <v>S</v>
      </c>
      <c r="AF227" s="28" t="str">
        <f>MID(VLOOKUP($A227,Seqs!$A:$B,2,FALSE),VLOOKUP($A227,'SegEnds_NonXtal_Prot#'!$A:$AL,28,FALSE)-4,1)</f>
        <v>E</v>
      </c>
      <c r="AG227" s="50" t="str">
        <f>MID(VLOOKUP($A227,Seqs!$A:$B,2,FALSE),VLOOKUP($A227,'SegEnds_NonXtal_Prot#'!$A:$AL,28,FALSE),1)</f>
        <v>P</v>
      </c>
    </row>
    <row r="228" spans="1:33" s="2" customFormat="1" x14ac:dyDescent="0.2">
      <c r="A228" s="2" t="s">
        <v>369</v>
      </c>
      <c r="B228" s="2" t="str">
        <f>LOWER(VLOOKUP(A228,Xtal_Templ!A:B,2,FALSE))</f>
        <v>ox2r_human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F228" s="2" t="s">
        <v>5</v>
      </c>
      <c r="G228" s="4"/>
      <c r="M228" s="2" t="s">
        <v>14</v>
      </c>
      <c r="Q228" s="2" t="s">
        <v>9</v>
      </c>
      <c r="S228" s="4" t="s">
        <v>12</v>
      </c>
      <c r="U228" s="28" t="str">
        <f>MID(VLOOKUP($A228,Seqs!$A:$B,2,FALSE),VLOOKUP($A228,'SegEnds_NonXtal_Prot#'!A:AL,10,FALSE),1)</f>
        <v>D</v>
      </c>
      <c r="V228" s="50" t="str">
        <f>MID(VLOOKUP($A228,Seqs!$A:$B,2,FALSE),VLOOKUP($A228,'SegEnds_NonXtal_Prot#'!A:AL,10,FALSE)+6,1)</f>
        <v>A</v>
      </c>
      <c r="W228" s="50" t="str">
        <f>MID(VLOOKUP($A228,Seqs!$A:$B,2,FALSE),VLOOKUP($A228,'SegEnds_NonXtal_Prot#'!A:AL,10,FALSE)+7,1)</f>
        <v>C</v>
      </c>
      <c r="X228" s="50" t="str">
        <f>MID(VLOOKUP($A228,Seqs!$A:$B,2,FALSE),VLOOKUP($A228,'SegEnds_NonXtal_Prot#'!A:AL,10,FALSE)+8,1)</f>
        <v>V</v>
      </c>
      <c r="Y228" s="50" t="str">
        <f>MID(VLOOKUP($A228,Seqs!$A:$B,2,FALSE),VLOOKUP($A228,'SegEnds_NonXtal_Prot#'!A:AL,10,FALSE)+9,1)</f>
        <v>P</v>
      </c>
      <c r="Z228" s="50" t="str">
        <f>MID(VLOOKUP($A228,Seqs!$A:$B,2,FALSE),VLOOKUP($A228,'SegEnds_NonXtal_Prot#'!A:AL,10,FALSE)+10,1)</f>
        <v>L</v>
      </c>
      <c r="AA228" s="28" t="str">
        <f>MID(VLOOKUP($A228,Seqs!$A:$B,2,FALSE),VLOOKUP($A228,'SegEnds_NonXtal_Prot#'!$A:$AL,22,FALSE)+6,1)</f>
        <v>L</v>
      </c>
      <c r="AB228" s="50" t="str">
        <f>MID(VLOOKUP($A228,Seqs!$A:$B,2,FALSE),VLOOKUP($A228,'SegEnds_NonXtal_Prot#'!$A:$AL,22,FALSE)+7,1)</f>
        <v>A</v>
      </c>
      <c r="AC228" s="50" t="str">
        <f>MID(VLOOKUP($A228,Seqs!$A:$B,2,FALSE),VLOOKUP($A228,'SegEnds_NonXtal_Prot#'!$A:$AL,22,FALSE)+8,1)</f>
        <v>L</v>
      </c>
      <c r="AD228" s="50" t="str">
        <f>MID(VLOOKUP($A228,Seqs!$A:$B,2,FALSE),VLOOKUP($A228,'SegEnds_NonXtal_Prot#'!$A:$AL,22,FALSE)+9,1)</f>
        <v>P</v>
      </c>
      <c r="AE228" s="50" t="str">
        <f>MID(VLOOKUP($A228,Seqs!$A:$B,2,FALSE),VLOOKUP($A228,'SegEnds_NonXtal_Prot#'!$A:$AL,22,FALSE)+10,1)</f>
        <v>A</v>
      </c>
      <c r="AF228" s="28" t="str">
        <f>MID(VLOOKUP($A228,Seqs!$A:$B,2,FALSE),VLOOKUP($A228,'SegEnds_NonXtal_Prot#'!$A:$AL,28,FALSE)-4,1)</f>
        <v>T</v>
      </c>
      <c r="AG228" s="50" t="str">
        <f>MID(VLOOKUP($A228,Seqs!$A:$B,2,FALSE),VLOOKUP($A228,'SegEnds_NonXtal_Prot#'!$A:$AL,28,FALSE),1)</f>
        <v>P</v>
      </c>
    </row>
    <row r="229" spans="1:33" s="2" customFormat="1" x14ac:dyDescent="0.2">
      <c r="A229" s="2" t="s">
        <v>372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F229" s="2" t="s">
        <v>5</v>
      </c>
      <c r="G229" s="4"/>
      <c r="Q229" s="2" t="s">
        <v>9</v>
      </c>
      <c r="S229" s="4" t="s">
        <v>12</v>
      </c>
      <c r="U229" s="28" t="str">
        <f>MID(VLOOKUP($A229,Seqs!$A:$B,2,FALSE),VLOOKUP($A229,'SegEnds_NonXtal_Prot#'!A:AL,10,FALSE),1)</f>
        <v>D</v>
      </c>
      <c r="V229" s="50" t="str">
        <f>MID(VLOOKUP($A229,Seqs!$A:$B,2,FALSE),VLOOKUP($A229,'SegEnds_NonXtal_Prot#'!A:AL,10,FALSE)+6,1)</f>
        <v>F</v>
      </c>
      <c r="W229" s="50" t="str">
        <f>MID(VLOOKUP($A229,Seqs!$A:$B,2,FALSE),VLOOKUP($A229,'SegEnds_NonXtal_Prot#'!A:AL,10,FALSE)+7,1)</f>
        <v>C</v>
      </c>
      <c r="X229" s="50" t="str">
        <f>MID(VLOOKUP($A229,Seqs!$A:$B,2,FALSE),VLOOKUP($A229,'SegEnds_NonXtal_Prot#'!A:AL,10,FALSE)+8,1)</f>
        <v>I</v>
      </c>
      <c r="Y229" s="50" t="str">
        <f>MID(VLOOKUP($A229,Seqs!$A:$B,2,FALSE),VLOOKUP($A229,'SegEnds_NonXtal_Prot#'!A:AL,10,FALSE)+9,1)</f>
        <v>P</v>
      </c>
      <c r="Z229" s="50" t="str">
        <f>MID(VLOOKUP($A229,Seqs!$A:$B,2,FALSE),VLOOKUP($A229,'SegEnds_NonXtal_Prot#'!A:AL,10,FALSE)+10,1)</f>
        <v>V</v>
      </c>
      <c r="AA229" s="28" t="str">
        <f>MID(VLOOKUP($A229,Seqs!$A:$B,2,FALSE),VLOOKUP($A229,'SegEnds_NonXtal_Prot#'!$A:$AL,22,FALSE)+6,1)</f>
        <v>V</v>
      </c>
      <c r="AB229" s="50" t="str">
        <f>MID(VLOOKUP($A229,Seqs!$A:$B,2,FALSE),VLOOKUP($A229,'SegEnds_NonXtal_Prot#'!$A:$AL,22,FALSE)+7,1)</f>
        <v>G</v>
      </c>
      <c r="AC229" s="50" t="str">
        <f>MID(VLOOKUP($A229,Seqs!$A:$B,2,FALSE),VLOOKUP($A229,'SegEnds_NonXtal_Prot#'!$A:$AL,22,FALSE)+8,1)</f>
        <v>S</v>
      </c>
      <c r="AD229" s="50" t="str">
        <f>MID(VLOOKUP($A229,Seqs!$A:$B,2,FALSE),VLOOKUP($A229,'SegEnds_NonXtal_Prot#'!$A:$AL,22,FALSE)+9,1)</f>
        <v>P</v>
      </c>
      <c r="AE229" s="50" t="str">
        <f>MID(VLOOKUP($A229,Seqs!$A:$B,2,FALSE),VLOOKUP($A229,'SegEnds_NonXtal_Prot#'!$A:$AL,22,FALSE)+10,1)</f>
        <v>M</v>
      </c>
      <c r="AF229" s="28" t="str">
        <f>MID(VLOOKUP($A229,Seqs!$A:$B,2,FALSE),VLOOKUP($A229,'SegEnds_NonXtal_Prot#'!$A:$AL,28,FALSE)-4,1)</f>
        <v>L</v>
      </c>
      <c r="AG229" s="50" t="str">
        <f>MID(VLOOKUP($A229,Seqs!$A:$B,2,FALSE),VLOOKUP($A229,'SegEnds_NonXtal_Prot#'!$A:$AL,28,FALSE),1)</f>
        <v>P</v>
      </c>
    </row>
    <row r="230" spans="1:33" s="2" customFormat="1" x14ac:dyDescent="0.2">
      <c r="A230" s="2" t="s">
        <v>179</v>
      </c>
      <c r="B230" s="2" t="str">
        <f>LOWER(VLOOKUP(A230,Xtal_Templ!A:B,2,FALSE))</f>
        <v>p2ry1_human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4"/>
      <c r="M230" s="2" t="s">
        <v>14</v>
      </c>
      <c r="Q230" s="2" t="s">
        <v>9</v>
      </c>
      <c r="S230" s="4" t="s">
        <v>12</v>
      </c>
      <c r="U230" s="28" t="str">
        <f>MID(VLOOKUP($A230,Seqs!$A:$B,2,FALSE),VLOOKUP($A230,'SegEnds_NonXtal_Prot#'!A:AL,10,FALSE),1)</f>
        <v>D</v>
      </c>
      <c r="V230" s="50" t="str">
        <f>MID(VLOOKUP($A230,Seqs!$A:$B,2,FALSE),VLOOKUP($A230,'SegEnds_NonXtal_Prot#'!A:AL,10,FALSE)+6,1)</f>
        <v>T</v>
      </c>
      <c r="W230" s="50" t="str">
        <f>MID(VLOOKUP($A230,Seqs!$A:$B,2,FALSE),VLOOKUP($A230,'SegEnds_NonXtal_Prot#'!A:AL,10,FALSE)+7,1)</f>
        <v>L</v>
      </c>
      <c r="X230" s="50" t="str">
        <f>MID(VLOOKUP($A230,Seqs!$A:$B,2,FALSE),VLOOKUP($A230,'SegEnds_NonXtal_Prot#'!A:AL,10,FALSE)+8,1)</f>
        <v>P</v>
      </c>
      <c r="Y230" s="50" t="str">
        <f>MID(VLOOKUP($A230,Seqs!$A:$B,2,FALSE),VLOOKUP($A230,'SegEnds_NonXtal_Prot#'!A:AL,10,FALSE)+9,1)</f>
        <v>L</v>
      </c>
      <c r="Z230" s="50" t="str">
        <f>MID(VLOOKUP($A230,Seqs!$A:$B,2,FALSE),VLOOKUP($A230,'SegEnds_NonXtal_Prot#'!A:AL,10,FALSE)+10,1)</f>
        <v>R</v>
      </c>
      <c r="AA230" s="28" t="str">
        <f>MID(VLOOKUP($A230,Seqs!$A:$B,2,FALSE),VLOOKUP($A230,'SegEnds_NonXtal_Prot#'!$A:$AL,22,FALSE)+6,1)</f>
        <v>T</v>
      </c>
      <c r="AB230" s="50" t="str">
        <f>MID(VLOOKUP($A230,Seqs!$A:$B,2,FALSE),VLOOKUP($A230,'SegEnds_NonXtal_Prot#'!$A:$AL,22,FALSE)+7,1)</f>
        <v>S</v>
      </c>
      <c r="AC230" s="50" t="str">
        <f>MID(VLOOKUP($A230,Seqs!$A:$B,2,FALSE),VLOOKUP($A230,'SegEnds_NonXtal_Prot#'!$A:$AL,22,FALSE)+8,1)</f>
        <v>S</v>
      </c>
      <c r="AD230" s="50" t="str">
        <f>MID(VLOOKUP($A230,Seqs!$A:$B,2,FALSE),VLOOKUP($A230,'SegEnds_NonXtal_Prot#'!$A:$AL,22,FALSE)+9,1)</f>
        <v>P</v>
      </c>
      <c r="AE230" s="50" t="str">
        <f>MID(VLOOKUP($A230,Seqs!$A:$B,2,FALSE),VLOOKUP($A230,'SegEnds_NonXtal_Prot#'!$A:$AL,22,FALSE)+10,1)</f>
        <v>F</v>
      </c>
      <c r="AF230" s="28" t="str">
        <f>MID(VLOOKUP($A230,Seqs!$A:$B,2,FALSE),VLOOKUP($A230,'SegEnds_NonXtal_Prot#'!$A:$AL,28,FALSE)-4,1)</f>
        <v>G</v>
      </c>
      <c r="AG230" s="50" t="str">
        <f>MID(VLOOKUP($A230,Seqs!$A:$B,2,FALSE),VLOOKUP($A230,'SegEnds_NonXtal_Prot#'!$A:$AL,28,FALSE),1)</f>
        <v>P</v>
      </c>
    </row>
    <row r="231" spans="1:33" s="2" customFormat="1" x14ac:dyDescent="0.2">
      <c r="A231" s="2" t="s">
        <v>180</v>
      </c>
      <c r="B231" s="2" t="str">
        <f>LOWER(VLOOKUP(A231,Xtal_Templ!A:B,2,FALSE))</f>
        <v>p2ry1_human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4"/>
      <c r="Q231" s="2" t="s">
        <v>9</v>
      </c>
      <c r="S231" s="4" t="s">
        <v>12</v>
      </c>
      <c r="U231" s="28" t="str">
        <f>MID(VLOOKUP($A231,Seqs!$A:$B,2,FALSE),VLOOKUP($A231,'SegEnds_NonXtal_Prot#'!A:AL,10,FALSE),1)</f>
        <v>D</v>
      </c>
      <c r="V231" s="50" t="str">
        <f>MID(VLOOKUP($A231,Seqs!$A:$B,2,FALSE),VLOOKUP($A231,'SegEnds_NonXtal_Prot#'!A:AL,10,FALSE)+6,1)</f>
        <v>T</v>
      </c>
      <c r="W231" s="50" t="str">
        <f>MID(VLOOKUP($A231,Seqs!$A:$B,2,FALSE),VLOOKUP($A231,'SegEnds_NonXtal_Prot#'!A:AL,10,FALSE)+7,1)</f>
        <v>L</v>
      </c>
      <c r="X231" s="50" t="str">
        <f>MID(VLOOKUP($A231,Seqs!$A:$B,2,FALSE),VLOOKUP($A231,'SegEnds_NonXtal_Prot#'!A:AL,10,FALSE)+8,1)</f>
        <v>P</v>
      </c>
      <c r="Y231" s="50" t="str">
        <f>MID(VLOOKUP($A231,Seqs!$A:$B,2,FALSE),VLOOKUP($A231,'SegEnds_NonXtal_Prot#'!A:AL,10,FALSE)+9,1)</f>
        <v>F</v>
      </c>
      <c r="Z231" s="50" t="str">
        <f>MID(VLOOKUP($A231,Seqs!$A:$B,2,FALSE),VLOOKUP($A231,'SegEnds_NonXtal_Prot#'!A:AL,10,FALSE)+10,1)</f>
        <v>R</v>
      </c>
      <c r="AA231" s="28" t="str">
        <f>MID(VLOOKUP($A231,Seqs!$A:$B,2,FALSE),VLOOKUP($A231,'SegEnds_NonXtal_Prot#'!$A:$AL,22,FALSE)+6,1)</f>
        <v>S</v>
      </c>
      <c r="AB231" s="50" t="str">
        <f>MID(VLOOKUP($A231,Seqs!$A:$B,2,FALSE),VLOOKUP($A231,'SegEnds_NonXtal_Prot#'!$A:$AL,22,FALSE)+7,1)</f>
        <v>S</v>
      </c>
      <c r="AC231" s="50" t="str">
        <f>MID(VLOOKUP($A231,Seqs!$A:$B,2,FALSE),VLOOKUP($A231,'SegEnds_NonXtal_Prot#'!$A:$AL,22,FALSE)+8,1)</f>
        <v>I</v>
      </c>
      <c r="AD231" s="50" t="str">
        <f>MID(VLOOKUP($A231,Seqs!$A:$B,2,FALSE),VLOOKUP($A231,'SegEnds_NonXtal_Prot#'!$A:$AL,22,FALSE)+9,1)</f>
        <v>M</v>
      </c>
      <c r="AE231" s="50" t="str">
        <f>MID(VLOOKUP($A231,Seqs!$A:$B,2,FALSE),VLOOKUP($A231,'SegEnds_NonXtal_Prot#'!$A:$AL,22,FALSE)+10,1)</f>
        <v>L</v>
      </c>
      <c r="AF231" s="28" t="str">
        <f>MID(VLOOKUP($A231,Seqs!$A:$B,2,FALSE),VLOOKUP($A231,'SegEnds_NonXtal_Prot#'!$A:$AL,28,FALSE)-4,1)</f>
        <v>G</v>
      </c>
      <c r="AG231" s="50" t="str">
        <f>MID(VLOOKUP($A231,Seqs!$A:$B,2,FALSE),VLOOKUP($A231,'SegEnds_NonXtal_Prot#'!$A:$AL,28,FALSE),1)</f>
        <v>P</v>
      </c>
    </row>
    <row r="232" spans="1:33" s="2" customFormat="1" x14ac:dyDescent="0.2">
      <c r="A232" s="2" t="s">
        <v>214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G232" s="4"/>
      <c r="M232" s="2" t="s">
        <v>14</v>
      </c>
      <c r="Q232" s="2" t="s">
        <v>9</v>
      </c>
      <c r="S232" s="4" t="s">
        <v>12</v>
      </c>
      <c r="U232" s="28" t="str">
        <f>MID(VLOOKUP($A232,Seqs!$A:$B,2,FALSE),VLOOKUP($A232,'SegEnds_NonXtal_Prot#'!A:AL,10,FALSE),1)</f>
        <v>E</v>
      </c>
      <c r="V232" s="50" t="str">
        <f>MID(VLOOKUP($A232,Seqs!$A:$B,2,FALSE),VLOOKUP($A232,'SegEnds_NonXtal_Prot#'!A:AL,10,FALSE)+6,1)</f>
        <v>T</v>
      </c>
      <c r="W232" s="50" t="str">
        <f>MID(VLOOKUP($A232,Seqs!$A:$B,2,FALSE),VLOOKUP($A232,'SegEnds_NonXtal_Prot#'!A:AL,10,FALSE)+7,1)</f>
        <v>L</v>
      </c>
      <c r="X232" s="50" t="str">
        <f>MID(VLOOKUP($A232,Seqs!$A:$B,2,FALSE),VLOOKUP($A232,'SegEnds_NonXtal_Prot#'!A:AL,10,FALSE)+8,1)</f>
        <v>P</v>
      </c>
      <c r="Y232" s="50" t="str">
        <f>MID(VLOOKUP($A232,Seqs!$A:$B,2,FALSE),VLOOKUP($A232,'SegEnds_NonXtal_Prot#'!A:AL,10,FALSE)+9,1)</f>
        <v>L</v>
      </c>
      <c r="Z232" s="50" t="str">
        <f>MID(VLOOKUP($A232,Seqs!$A:$B,2,FALSE),VLOOKUP($A232,'SegEnds_NonXtal_Prot#'!A:AL,10,FALSE)+10,1)</f>
        <v>W</v>
      </c>
      <c r="AA232" s="28" t="str">
        <f>MID(VLOOKUP($A232,Seqs!$A:$B,2,FALSE),VLOOKUP($A232,'SegEnds_NonXtal_Prot#'!$A:$AL,22,FALSE)+6,1)</f>
        <v>V</v>
      </c>
      <c r="AB232" s="50" t="str">
        <f>MID(VLOOKUP($A232,Seqs!$A:$B,2,FALSE),VLOOKUP($A232,'SegEnds_NonXtal_Prot#'!$A:$AL,22,FALSE)+7,1)</f>
        <v>H</v>
      </c>
      <c r="AC232" s="50" t="str">
        <f>MID(VLOOKUP($A232,Seqs!$A:$B,2,FALSE),VLOOKUP($A232,'SegEnds_NonXtal_Prot#'!$A:$AL,22,FALSE)+8,1)</f>
        <v>Y</v>
      </c>
      <c r="AD232" s="50" t="str">
        <f>MID(VLOOKUP($A232,Seqs!$A:$B,2,FALSE),VLOOKUP($A232,'SegEnds_NonXtal_Prot#'!$A:$AL,22,FALSE)+9,1)</f>
        <v>P</v>
      </c>
      <c r="AE232" s="50" t="str">
        <f>MID(VLOOKUP($A232,Seqs!$A:$B,2,FALSE),VLOOKUP($A232,'SegEnds_NonXtal_Prot#'!$A:$AL,22,FALSE)+10,1)</f>
        <v>V</v>
      </c>
      <c r="AF232" s="28" t="str">
        <f>MID(VLOOKUP($A232,Seqs!$A:$B,2,FALSE),VLOOKUP($A232,'SegEnds_NonXtal_Prot#'!$A:$AL,28,FALSE)-4,1)</f>
        <v>G</v>
      </c>
      <c r="AG232" s="50" t="str">
        <f>MID(VLOOKUP($A232,Seqs!$A:$B,2,FALSE),VLOOKUP($A232,'SegEnds_NonXtal_Prot#'!$A:$AL,28,FALSE),1)</f>
        <v>P</v>
      </c>
    </row>
    <row r="233" spans="1:33" s="2" customFormat="1" x14ac:dyDescent="0.2">
      <c r="A233" s="2" t="s">
        <v>231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G233" s="4"/>
      <c r="Q233" s="2" t="s">
        <v>9</v>
      </c>
      <c r="S233" s="4" t="s">
        <v>12</v>
      </c>
      <c r="U233" s="28" t="str">
        <f>MID(VLOOKUP($A233,Seqs!$A:$B,2,FALSE),VLOOKUP($A233,'SegEnds_NonXtal_Prot#'!A:AL,10,FALSE),1)</f>
        <v>D</v>
      </c>
      <c r="V233" s="50" t="str">
        <f>MID(VLOOKUP($A233,Seqs!$A:$B,2,FALSE),VLOOKUP($A233,'SegEnds_NonXtal_Prot#'!A:AL,10,FALSE)+6,1)</f>
        <v>S</v>
      </c>
      <c r="W233" s="50" t="str">
        <f>MID(VLOOKUP($A233,Seqs!$A:$B,2,FALSE),VLOOKUP($A233,'SegEnds_NonXtal_Prot#'!A:AL,10,FALSE)+7,1)</f>
        <v>L</v>
      </c>
      <c r="X233" s="50" t="str">
        <f>MID(VLOOKUP($A233,Seqs!$A:$B,2,FALSE),VLOOKUP($A233,'SegEnds_NonXtal_Prot#'!A:AL,10,FALSE)+8,1)</f>
        <v>P</v>
      </c>
      <c r="Y233" s="50" t="str">
        <f>MID(VLOOKUP($A233,Seqs!$A:$B,2,FALSE),VLOOKUP($A233,'SegEnds_NonXtal_Prot#'!A:AL,10,FALSE)+9,1)</f>
        <v>L</v>
      </c>
      <c r="Z233" s="50" t="str">
        <f>MID(VLOOKUP($A233,Seqs!$A:$B,2,FALSE),VLOOKUP($A233,'SegEnds_NonXtal_Prot#'!A:AL,10,FALSE)+10,1)</f>
        <v>R</v>
      </c>
      <c r="AA233" s="28" t="str">
        <f>MID(VLOOKUP($A233,Seqs!$A:$B,2,FALSE),VLOOKUP($A233,'SegEnds_NonXtal_Prot#'!$A:$AL,22,FALSE)+6,1)</f>
        <v>A</v>
      </c>
      <c r="AB233" s="50" t="str">
        <f>MID(VLOOKUP($A233,Seqs!$A:$B,2,FALSE),VLOOKUP($A233,'SegEnds_NonXtal_Prot#'!$A:$AL,22,FALSE)+7,1)</f>
        <v>C</v>
      </c>
      <c r="AC233" s="50" t="str">
        <f>MID(VLOOKUP($A233,Seqs!$A:$B,2,FALSE),VLOOKUP($A233,'SegEnds_NonXtal_Prot#'!$A:$AL,22,FALSE)+8,1)</f>
        <v>V</v>
      </c>
      <c r="AD233" s="50" t="str">
        <f>MID(VLOOKUP($A233,Seqs!$A:$B,2,FALSE),VLOOKUP($A233,'SegEnds_NonXtal_Prot#'!$A:$AL,22,FALSE)+9,1)</f>
        <v>L</v>
      </c>
      <c r="AE233" s="50" t="str">
        <f>MID(VLOOKUP($A233,Seqs!$A:$B,2,FALSE),VLOOKUP($A233,'SegEnds_NonXtal_Prot#'!$A:$AL,22,FALSE)+10,1)</f>
        <v>F</v>
      </c>
      <c r="AF233" s="28" t="str">
        <f>MID(VLOOKUP($A233,Seqs!$A:$B,2,FALSE),VLOOKUP($A233,'SegEnds_NonXtal_Prot#'!$A:$AL,28,FALSE)-4,1)</f>
        <v>G</v>
      </c>
      <c r="AG233" s="50" t="str">
        <f>MID(VLOOKUP($A233,Seqs!$A:$B,2,FALSE),VLOOKUP($A233,'SegEnds_NonXtal_Prot#'!$A:$AL,28,FALSE),1)</f>
        <v>P</v>
      </c>
    </row>
    <row r="234" spans="1:33" s="2" customFormat="1" x14ac:dyDescent="0.2">
      <c r="A234" s="2" t="s">
        <v>240</v>
      </c>
      <c r="B234" s="2" t="str">
        <f>LOWER(VLOOKUP(A234,Xtal_Templ!A:B,2,FALSE))</f>
        <v>apj_human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G234" s="4"/>
      <c r="M234" s="2" t="s">
        <v>14</v>
      </c>
      <c r="Q234" s="2" t="s">
        <v>9</v>
      </c>
      <c r="S234" s="4" t="s">
        <v>12</v>
      </c>
      <c r="U234" s="28" t="str">
        <f>MID(VLOOKUP($A234,Seqs!$A:$B,2,FALSE),VLOOKUP($A234,'SegEnds_NonXtal_Prot#'!A:AL,10,FALSE),1)</f>
        <v>D</v>
      </c>
      <c r="V234" s="50" t="str">
        <f>MID(VLOOKUP($A234,Seqs!$A:$B,2,FALSE),VLOOKUP($A234,'SegEnds_NonXtal_Prot#'!A:AL,10,FALSE)+6,1)</f>
        <v>V</v>
      </c>
      <c r="W234" s="50" t="str">
        <f>MID(VLOOKUP($A234,Seqs!$A:$B,2,FALSE),VLOOKUP($A234,'SegEnds_NonXtal_Prot#'!A:AL,10,FALSE)+7,1)</f>
        <v>L</v>
      </c>
      <c r="X234" s="50" t="str">
        <f>MID(VLOOKUP($A234,Seqs!$A:$B,2,FALSE),VLOOKUP($A234,'SegEnds_NonXtal_Prot#'!A:AL,10,FALSE)+8,1)</f>
        <v>P</v>
      </c>
      <c r="Y234" s="50" t="str">
        <f>MID(VLOOKUP($A234,Seqs!$A:$B,2,FALSE),VLOOKUP($A234,'SegEnds_NonXtal_Prot#'!A:AL,10,FALSE)+9,1)</f>
        <v>T</v>
      </c>
      <c r="Z234" s="50" t="str">
        <f>MID(VLOOKUP($A234,Seqs!$A:$B,2,FALSE),VLOOKUP($A234,'SegEnds_NonXtal_Prot#'!A:AL,10,FALSE)+10,1)</f>
        <v>R</v>
      </c>
      <c r="AA234" s="28" t="str">
        <f>MID(VLOOKUP($A234,Seqs!$A:$B,2,FALSE),VLOOKUP($A234,'SegEnds_NonXtal_Prot#'!$A:$AL,22,FALSE)+6,1)</f>
        <v>A</v>
      </c>
      <c r="AB234" s="50" t="str">
        <f>MID(VLOOKUP($A234,Seqs!$A:$B,2,FALSE),VLOOKUP($A234,'SegEnds_NonXtal_Prot#'!$A:$AL,22,FALSE)+7,1)</f>
        <v>M</v>
      </c>
      <c r="AC234" s="50" t="str">
        <f>MID(VLOOKUP($A234,Seqs!$A:$B,2,FALSE),VLOOKUP($A234,'SegEnds_NonXtal_Prot#'!$A:$AL,22,FALSE)+8,1)</f>
        <v>A</v>
      </c>
      <c r="AD234" s="50" t="str">
        <f>MID(VLOOKUP($A234,Seqs!$A:$B,2,FALSE),VLOOKUP($A234,'SegEnds_NonXtal_Prot#'!$A:$AL,22,FALSE)+9,1)</f>
        <v>P</v>
      </c>
      <c r="AE234" s="50" t="str">
        <f>MID(VLOOKUP($A234,Seqs!$A:$B,2,FALSE),VLOOKUP($A234,'SegEnds_NonXtal_Prot#'!$A:$AL,22,FALSE)+10,1)</f>
        <v>L</v>
      </c>
      <c r="AF234" s="28" t="str">
        <f>MID(VLOOKUP($A234,Seqs!$A:$B,2,FALSE),VLOOKUP($A234,'SegEnds_NonXtal_Prot#'!$A:$AL,28,FALSE)-4,1)</f>
        <v>A</v>
      </c>
      <c r="AG234" s="50" t="str">
        <f>MID(VLOOKUP($A234,Seqs!$A:$B,2,FALSE),VLOOKUP($A234,'SegEnds_NonXtal_Prot#'!$A:$AL,28,FALSE),1)</f>
        <v>P</v>
      </c>
    </row>
    <row r="235" spans="1:33" s="2" customFormat="1" x14ac:dyDescent="0.2">
      <c r="A235" s="2" t="s">
        <v>241</v>
      </c>
      <c r="B235" s="2" t="str">
        <f>LOWER(VLOOKUP(A235,Xtal_Templ!A:B,2,FALSE))</f>
        <v>oprk_human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G235" s="4"/>
      <c r="M235" s="2" t="s">
        <v>14</v>
      </c>
      <c r="S235" s="4" t="s">
        <v>12</v>
      </c>
      <c r="U235" s="28" t="str">
        <f>MID(VLOOKUP($A235,Seqs!$A:$B,2,FALSE),VLOOKUP($A235,'SegEnds_NonXtal_Prot#'!A:AL,10,FALSE),1)</f>
        <v>D</v>
      </c>
      <c r="V235" s="50" t="str">
        <f>MID(VLOOKUP($A235,Seqs!$A:$B,2,FALSE),VLOOKUP($A235,'SegEnds_NonXtal_Prot#'!A:AL,10,FALSE)+6,1)</f>
        <v>T</v>
      </c>
      <c r="W235" s="50" t="str">
        <f>MID(VLOOKUP($A235,Seqs!$A:$B,2,FALSE),VLOOKUP($A235,'SegEnds_NonXtal_Prot#'!A:AL,10,FALSE)+7,1)</f>
        <v>L</v>
      </c>
      <c r="X235" s="50" t="str">
        <f>MID(VLOOKUP($A235,Seqs!$A:$B,2,FALSE),VLOOKUP($A235,'SegEnds_NonXtal_Prot#'!A:AL,10,FALSE)+8,1)</f>
        <v>P</v>
      </c>
      <c r="Y235" s="50" t="str">
        <f>MID(VLOOKUP($A235,Seqs!$A:$B,2,FALSE),VLOOKUP($A235,'SegEnds_NonXtal_Prot#'!A:AL,10,FALSE)+9,1)</f>
        <v>F</v>
      </c>
      <c r="Z235" s="50" t="str">
        <f>MID(VLOOKUP($A235,Seqs!$A:$B,2,FALSE),VLOOKUP($A235,'SegEnds_NonXtal_Prot#'!A:AL,10,FALSE)+10,1)</f>
        <v>R</v>
      </c>
      <c r="AA235" s="28" t="str">
        <f>MID(VLOOKUP($A235,Seqs!$A:$B,2,FALSE),VLOOKUP($A235,'SegEnds_NonXtal_Prot#'!$A:$AL,22,FALSE)+6,1)</f>
        <v>T</v>
      </c>
      <c r="AB235" s="50" t="str">
        <f>MID(VLOOKUP($A235,Seqs!$A:$B,2,FALSE),VLOOKUP($A235,'SegEnds_NonXtal_Prot#'!$A:$AL,22,FALSE)+7,1)</f>
        <v>T</v>
      </c>
      <c r="AC235" s="50" t="str">
        <f>MID(VLOOKUP($A235,Seqs!$A:$B,2,FALSE),VLOOKUP($A235,'SegEnds_NonXtal_Prot#'!$A:$AL,22,FALSE)+8,1)</f>
        <v>T</v>
      </c>
      <c r="AD235" s="50" t="str">
        <f>MID(VLOOKUP($A235,Seqs!$A:$B,2,FALSE),VLOOKUP($A235,'SegEnds_NonXtal_Prot#'!$A:$AL,22,FALSE)+9,1)</f>
        <v>P</v>
      </c>
      <c r="AE235" s="50" t="str">
        <f>MID(VLOOKUP($A235,Seqs!$A:$B,2,FALSE),VLOOKUP($A235,'SegEnds_NonXtal_Prot#'!$A:$AL,22,FALSE)+10,1)</f>
        <v>L</v>
      </c>
      <c r="AF235" s="28" t="str">
        <f>MID(VLOOKUP($A235,Seqs!$A:$B,2,FALSE),VLOOKUP($A235,'SegEnds_NonXtal_Prot#'!$A:$AL,28,FALSE)-4,1)</f>
        <v>F</v>
      </c>
      <c r="AG235" s="50" t="str">
        <f>MID(VLOOKUP($A235,Seqs!$A:$B,2,FALSE),VLOOKUP($A235,'SegEnds_NonXtal_Prot#'!$A:$AL,28,FALSE),1)</f>
        <v>P</v>
      </c>
    </row>
    <row r="236" spans="1:33" s="2" customFormat="1" x14ac:dyDescent="0.2">
      <c r="A236" s="2" t="s">
        <v>250</v>
      </c>
      <c r="B236" s="2" t="str">
        <f>LOWER(VLOOKUP(A236,Xtal_Templ!A:B,2,FALSE))</f>
        <v>oprd_human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G236" s="4"/>
      <c r="M236" s="2" t="s">
        <v>14</v>
      </c>
      <c r="Q236" s="2" t="s">
        <v>9</v>
      </c>
      <c r="S236" s="4" t="s">
        <v>12</v>
      </c>
      <c r="U236" s="28" t="str">
        <f>MID(VLOOKUP($A236,Seqs!$A:$B,2,FALSE),VLOOKUP($A236,'SegEnds_NonXtal_Prot#'!A:AL,10,FALSE),1)</f>
        <v>D</v>
      </c>
      <c r="V236" s="50" t="str">
        <f>MID(VLOOKUP($A236,Seqs!$A:$B,2,FALSE),VLOOKUP($A236,'SegEnds_NonXtal_Prot#'!A:AL,10,FALSE)+6,1)</f>
        <v>C</v>
      </c>
      <c r="W236" s="50" t="str">
        <f>MID(VLOOKUP($A236,Seqs!$A:$B,2,FALSE),VLOOKUP($A236,'SegEnds_NonXtal_Prot#'!A:AL,10,FALSE)+7,1)</f>
        <v>L</v>
      </c>
      <c r="X236" s="50" t="str">
        <f>MID(VLOOKUP($A236,Seqs!$A:$B,2,FALSE),VLOOKUP($A236,'SegEnds_NonXtal_Prot#'!A:AL,10,FALSE)+8,1)</f>
        <v>P</v>
      </c>
      <c r="Y236" s="50" t="str">
        <f>MID(VLOOKUP($A236,Seqs!$A:$B,2,FALSE),VLOOKUP($A236,'SegEnds_NonXtal_Prot#'!A:AL,10,FALSE)+9,1)</f>
        <v>F</v>
      </c>
      <c r="Z236" s="50" t="str">
        <f>MID(VLOOKUP($A236,Seqs!$A:$B,2,FALSE),VLOOKUP($A236,'SegEnds_NonXtal_Prot#'!A:AL,10,FALSE)+10,1)</f>
        <v>L</v>
      </c>
      <c r="AA236" s="28" t="str">
        <f>MID(VLOOKUP($A236,Seqs!$A:$B,2,FALSE),VLOOKUP($A236,'SegEnds_NonXtal_Prot#'!$A:$AL,22,FALSE)+6,1)</f>
        <v>L</v>
      </c>
      <c r="AB236" s="50" t="str">
        <f>MID(VLOOKUP($A236,Seqs!$A:$B,2,FALSE),VLOOKUP($A236,'SegEnds_NonXtal_Prot#'!$A:$AL,22,FALSE)+7,1)</f>
        <v>T</v>
      </c>
      <c r="AC236" s="50" t="str">
        <f>MID(VLOOKUP($A236,Seqs!$A:$B,2,FALSE),VLOOKUP($A236,'SegEnds_NonXtal_Prot#'!$A:$AL,22,FALSE)+8,1)</f>
        <v>C</v>
      </c>
      <c r="AD236" s="50" t="str">
        <f>MID(VLOOKUP($A236,Seqs!$A:$B,2,FALSE),VLOOKUP($A236,'SegEnds_NonXtal_Prot#'!$A:$AL,22,FALSE)+9,1)</f>
        <v>P</v>
      </c>
      <c r="AE236" s="50" t="str">
        <f>MID(VLOOKUP($A236,Seqs!$A:$B,2,FALSE),VLOOKUP($A236,'SegEnds_NonXtal_Prot#'!$A:$AL,22,FALSE)+10,1)</f>
        <v>G</v>
      </c>
      <c r="AF236" s="28" t="str">
        <f>MID(VLOOKUP($A236,Seqs!$A:$B,2,FALSE),VLOOKUP($A236,'SegEnds_NonXtal_Prot#'!$A:$AL,28,FALSE)-4,1)</f>
        <v>Q</v>
      </c>
      <c r="AG236" s="50" t="str">
        <f>MID(VLOOKUP($A236,Seqs!$A:$B,2,FALSE),VLOOKUP($A236,'SegEnds_NonXtal_Prot#'!$A:$AL,28,FALSE),1)</f>
        <v>P</v>
      </c>
    </row>
    <row r="237" spans="1:33" s="2" customFormat="1" x14ac:dyDescent="0.2">
      <c r="A237" s="2" t="s">
        <v>257</v>
      </c>
      <c r="B237" s="2" t="str">
        <f>LOWER(VLOOKUP(A237,Xtal_Templ!A:B,2,FALSE))</f>
        <v>par2_human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G237" s="4"/>
      <c r="Q237" s="2" t="s">
        <v>9</v>
      </c>
      <c r="S237" s="4" t="s">
        <v>12</v>
      </c>
      <c r="U237" s="28" t="str">
        <f>MID(VLOOKUP($A237,Seqs!$A:$B,2,FALSE),VLOOKUP($A237,'SegEnds_NonXtal_Prot#'!A:AL,10,FALSE),1)</f>
        <v>D</v>
      </c>
      <c r="V237" s="50" t="str">
        <f>MID(VLOOKUP($A237,Seqs!$A:$B,2,FALSE),VLOOKUP($A237,'SegEnds_NonXtal_Prot#'!A:AL,10,FALSE)+6,1)</f>
        <v>T</v>
      </c>
      <c r="W237" s="50" t="str">
        <f>MID(VLOOKUP($A237,Seqs!$A:$B,2,FALSE),VLOOKUP($A237,'SegEnds_NonXtal_Prot#'!A:AL,10,FALSE)+7,1)</f>
        <v>L</v>
      </c>
      <c r="X237" s="50" t="str">
        <f>MID(VLOOKUP($A237,Seqs!$A:$B,2,FALSE),VLOOKUP($A237,'SegEnds_NonXtal_Prot#'!A:AL,10,FALSE)+8,1)</f>
        <v>P</v>
      </c>
      <c r="Y237" s="50" t="str">
        <f>MID(VLOOKUP($A237,Seqs!$A:$B,2,FALSE),VLOOKUP($A237,'SegEnds_NonXtal_Prot#'!A:AL,10,FALSE)+9,1)</f>
        <v>L</v>
      </c>
      <c r="Z237" s="50" t="str">
        <f>MID(VLOOKUP($A237,Seqs!$A:$B,2,FALSE),VLOOKUP($A237,'SegEnds_NonXtal_Prot#'!A:AL,10,FALSE)+10,1)</f>
        <v>W</v>
      </c>
      <c r="AA237" s="28" t="str">
        <f>MID(VLOOKUP($A237,Seqs!$A:$B,2,FALSE),VLOOKUP($A237,'SegEnds_NonXtal_Prot#'!$A:$AL,22,FALSE)+6,1)</f>
        <v>A</v>
      </c>
      <c r="AB237" s="50" t="str">
        <f>MID(VLOOKUP($A237,Seqs!$A:$B,2,FALSE),VLOOKUP($A237,'SegEnds_NonXtal_Prot#'!$A:$AL,22,FALSE)+7,1)</f>
        <v>N</v>
      </c>
      <c r="AC237" s="50" t="str">
        <f>MID(VLOOKUP($A237,Seqs!$A:$B,2,FALSE),VLOOKUP($A237,'SegEnds_NonXtal_Prot#'!$A:$AL,22,FALSE)+8,1)</f>
        <v>S</v>
      </c>
      <c r="AD237" s="50" t="str">
        <f>MID(VLOOKUP($A237,Seqs!$A:$B,2,FALSE),VLOOKUP($A237,'SegEnds_NonXtal_Prot#'!$A:$AL,22,FALSE)+9,1)</f>
        <v>A</v>
      </c>
      <c r="AE237" s="50" t="str">
        <f>MID(VLOOKUP($A237,Seqs!$A:$B,2,FALSE),VLOOKUP($A237,'SegEnds_NonXtal_Prot#'!$A:$AL,22,FALSE)+10,1)</f>
        <v>P</v>
      </c>
      <c r="AF237" s="28" t="str">
        <f>MID(VLOOKUP($A237,Seqs!$A:$B,2,FALSE),VLOOKUP($A237,'SegEnds_NonXtal_Prot#'!$A:$AL,28,FALSE)-4,1)</f>
        <v>G</v>
      </c>
      <c r="AG237" s="50" t="str">
        <f>MID(VLOOKUP($A237,Seqs!$A:$B,2,FALSE),VLOOKUP($A237,'SegEnds_NonXtal_Prot#'!$A:$AL,28,FALSE),1)</f>
        <v>P</v>
      </c>
    </row>
    <row r="238" spans="1:33" s="2" customFormat="1" x14ac:dyDescent="0.2">
      <c r="A238" s="2" t="s">
        <v>275</v>
      </c>
      <c r="B238" s="2" t="str">
        <f>LOWER(VLOOKUP(A238,Xtal_Templ!A:B,2,FALSE))</f>
        <v>p2ry1_human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G238" s="4"/>
      <c r="Q238" s="2" t="s">
        <v>9</v>
      </c>
      <c r="S238" s="4" t="s">
        <v>12</v>
      </c>
      <c r="U238" s="28" t="str">
        <f>MID(VLOOKUP($A238,Seqs!$A:$B,2,FALSE),VLOOKUP($A238,'SegEnds_NonXtal_Prot#'!A:AL,10,FALSE),1)</f>
        <v>D</v>
      </c>
      <c r="V238" s="50" t="str">
        <f>MID(VLOOKUP($A238,Seqs!$A:$B,2,FALSE),VLOOKUP($A238,'SegEnds_NonXtal_Prot#'!A:AL,10,FALSE)+6,1)</f>
        <v>C</v>
      </c>
      <c r="W238" s="50" t="str">
        <f>MID(VLOOKUP($A238,Seqs!$A:$B,2,FALSE),VLOOKUP($A238,'SegEnds_NonXtal_Prot#'!A:AL,10,FALSE)+7,1)</f>
        <v>L</v>
      </c>
      <c r="X238" s="50" t="str">
        <f>MID(VLOOKUP($A238,Seqs!$A:$B,2,FALSE),VLOOKUP($A238,'SegEnds_NonXtal_Prot#'!A:AL,10,FALSE)+8,1)</f>
        <v>P</v>
      </c>
      <c r="Y238" s="50" t="str">
        <f>MID(VLOOKUP($A238,Seqs!$A:$B,2,FALSE),VLOOKUP($A238,'SegEnds_NonXtal_Prot#'!A:AL,10,FALSE)+9,1)</f>
        <v>F</v>
      </c>
      <c r="Z238" s="50" t="str">
        <f>MID(VLOOKUP($A238,Seqs!$A:$B,2,FALSE),VLOOKUP($A238,'SegEnds_NonXtal_Prot#'!A:AL,10,FALSE)+10,1)</f>
        <v>R</v>
      </c>
      <c r="AA238" s="28" t="str">
        <f>MID(VLOOKUP($A238,Seqs!$A:$B,2,FALSE),VLOOKUP($A238,'SegEnds_NonXtal_Prot#'!$A:$AL,22,FALSE)+6,1)</f>
        <v>G</v>
      </c>
      <c r="AB238" s="50" t="str">
        <f>MID(VLOOKUP($A238,Seqs!$A:$B,2,FALSE),VLOOKUP($A238,'SegEnds_NonXtal_Prot#'!$A:$AL,22,FALSE)+7,1)</f>
        <v>T</v>
      </c>
      <c r="AC238" s="50" t="str">
        <f>MID(VLOOKUP($A238,Seqs!$A:$B,2,FALSE),VLOOKUP($A238,'SegEnds_NonXtal_Prot#'!$A:$AL,22,FALSE)+8,1)</f>
        <v>V</v>
      </c>
      <c r="AD238" s="50" t="str">
        <f>MID(VLOOKUP($A238,Seqs!$A:$B,2,FALSE),VLOOKUP($A238,'SegEnds_NonXtal_Prot#'!$A:$AL,22,FALSE)+9,1)</f>
        <v>Y</v>
      </c>
      <c r="AE238" s="50" t="str">
        <f>MID(VLOOKUP($A238,Seqs!$A:$B,2,FALSE),VLOOKUP($A238,'SegEnds_NonXtal_Prot#'!$A:$AL,22,FALSE)+10,1)</f>
        <v>L</v>
      </c>
      <c r="AF238" s="28" t="str">
        <f>MID(VLOOKUP($A238,Seqs!$A:$B,2,FALSE),VLOOKUP($A238,'SegEnds_NonXtal_Prot#'!$A:$AL,28,FALSE)-4,1)</f>
        <v>E</v>
      </c>
      <c r="AG238" s="50" t="str">
        <f>MID(VLOOKUP($A238,Seqs!$A:$B,2,FALSE),VLOOKUP($A238,'SegEnds_NonXtal_Prot#'!$A:$AL,28,FALSE),1)</f>
        <v>P</v>
      </c>
    </row>
    <row r="239" spans="1:33" s="2" customFormat="1" x14ac:dyDescent="0.2">
      <c r="A239" s="2" t="s">
        <v>276</v>
      </c>
      <c r="B239" s="2" t="str">
        <f>LOWER(VLOOKUP(A239,Xtal_Templ!A:B,2,FALSE))</f>
        <v>oprk_human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G239" s="4"/>
      <c r="Q239" s="2" t="s">
        <v>9</v>
      </c>
      <c r="S239" s="4" t="s">
        <v>12</v>
      </c>
      <c r="U239" s="28" t="str">
        <f>MID(VLOOKUP($A239,Seqs!$A:$B,2,FALSE),VLOOKUP($A239,'SegEnds_NonXtal_Prot#'!A:AL,10,FALSE),1)</f>
        <v>D</v>
      </c>
      <c r="V239" s="50" t="str">
        <f>MID(VLOOKUP($A239,Seqs!$A:$B,2,FALSE),VLOOKUP($A239,'SegEnds_NonXtal_Prot#'!A:AL,10,FALSE)+6,1)</f>
        <v>C</v>
      </c>
      <c r="W239" s="50" t="str">
        <f>MID(VLOOKUP($A239,Seqs!$A:$B,2,FALSE),VLOOKUP($A239,'SegEnds_NonXtal_Prot#'!A:AL,10,FALSE)+7,1)</f>
        <v>L</v>
      </c>
      <c r="X239" s="50" t="str">
        <f>MID(VLOOKUP($A239,Seqs!$A:$B,2,FALSE),VLOOKUP($A239,'SegEnds_NonXtal_Prot#'!A:AL,10,FALSE)+8,1)</f>
        <v>P</v>
      </c>
      <c r="Y239" s="50" t="str">
        <f>MID(VLOOKUP($A239,Seqs!$A:$B,2,FALSE),VLOOKUP($A239,'SegEnds_NonXtal_Prot#'!A:AL,10,FALSE)+9,1)</f>
        <v>F</v>
      </c>
      <c r="Z239" s="50" t="str">
        <f>MID(VLOOKUP($A239,Seqs!$A:$B,2,FALSE),VLOOKUP($A239,'SegEnds_NonXtal_Prot#'!A:AL,10,FALSE)+10,1)</f>
        <v>L</v>
      </c>
      <c r="AA239" s="28" t="str">
        <f>MID(VLOOKUP($A239,Seqs!$A:$B,2,FALSE),VLOOKUP($A239,'SegEnds_NonXtal_Prot#'!$A:$AL,22,FALSE)+6,1)</f>
        <v>L</v>
      </c>
      <c r="AB239" s="50" t="str">
        <f>MID(VLOOKUP($A239,Seqs!$A:$B,2,FALSE),VLOOKUP($A239,'SegEnds_NonXtal_Prot#'!$A:$AL,22,FALSE)+7,1)</f>
        <v>T</v>
      </c>
      <c r="AC239" s="50" t="str">
        <f>MID(VLOOKUP($A239,Seqs!$A:$B,2,FALSE),VLOOKUP($A239,'SegEnds_NonXtal_Prot#'!$A:$AL,22,FALSE)+8,1)</f>
        <v>V</v>
      </c>
      <c r="AD239" s="50" t="str">
        <f>MID(VLOOKUP($A239,Seqs!$A:$B,2,FALSE),VLOOKUP($A239,'SegEnds_NonXtal_Prot#'!$A:$AL,22,FALSE)+9,1)</f>
        <v>H</v>
      </c>
      <c r="AE239" s="50" t="str">
        <f>MID(VLOOKUP($A239,Seqs!$A:$B,2,FALSE),VLOOKUP($A239,'SegEnds_NonXtal_Prot#'!$A:$AL,22,FALSE)+10,1)</f>
        <v>L</v>
      </c>
      <c r="AF239" s="28" t="str">
        <f>MID(VLOOKUP($A239,Seqs!$A:$B,2,FALSE),VLOOKUP($A239,'SegEnds_NonXtal_Prot#'!$A:$AL,28,FALSE)-4,1)</f>
        <v>E</v>
      </c>
      <c r="AG239" s="50" t="str">
        <f>MID(VLOOKUP($A239,Seqs!$A:$B,2,FALSE),VLOOKUP($A239,'SegEnds_NonXtal_Prot#'!$A:$AL,28,FALSE),1)</f>
        <v>P</v>
      </c>
    </row>
    <row r="240" spans="1:33" s="2" customFormat="1" x14ac:dyDescent="0.2">
      <c r="A240" s="2" t="s">
        <v>277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G240" s="4"/>
      <c r="Q240" s="2" t="s">
        <v>9</v>
      </c>
      <c r="S240" s="4" t="s">
        <v>12</v>
      </c>
      <c r="U240" s="28" t="str">
        <f>MID(VLOOKUP($A240,Seqs!$A:$B,2,FALSE),VLOOKUP($A240,'SegEnds_NonXtal_Prot#'!A:AL,10,FALSE),1)</f>
        <v>D</v>
      </c>
      <c r="V240" s="50" t="str">
        <f>MID(VLOOKUP($A240,Seqs!$A:$B,2,FALSE),VLOOKUP($A240,'SegEnds_NonXtal_Prot#'!A:AL,10,FALSE)+6,1)</f>
        <v>C</v>
      </c>
      <c r="W240" s="50" t="str">
        <f>MID(VLOOKUP($A240,Seqs!$A:$B,2,FALSE),VLOOKUP($A240,'SegEnds_NonXtal_Prot#'!A:AL,10,FALSE)+7,1)</f>
        <v>L</v>
      </c>
      <c r="X240" s="50" t="str">
        <f>MID(VLOOKUP($A240,Seqs!$A:$B,2,FALSE),VLOOKUP($A240,'SegEnds_NonXtal_Prot#'!A:AL,10,FALSE)+8,1)</f>
        <v>P</v>
      </c>
      <c r="Y240" s="50" t="str">
        <f>MID(VLOOKUP($A240,Seqs!$A:$B,2,FALSE),VLOOKUP($A240,'SegEnds_NonXtal_Prot#'!A:AL,10,FALSE)+9,1)</f>
        <v>F</v>
      </c>
      <c r="Z240" s="50" t="str">
        <f>MID(VLOOKUP($A240,Seqs!$A:$B,2,FALSE),VLOOKUP($A240,'SegEnds_NonXtal_Prot#'!A:AL,10,FALSE)+10,1)</f>
        <v>V</v>
      </c>
      <c r="AA240" s="28" t="str">
        <f>MID(VLOOKUP($A240,Seqs!$A:$B,2,FALSE),VLOOKUP($A240,'SegEnds_NonXtal_Prot#'!$A:$AL,22,FALSE)+6,1)</f>
        <v>L</v>
      </c>
      <c r="AB240" s="50" t="str">
        <f>MID(VLOOKUP($A240,Seqs!$A:$B,2,FALSE),VLOOKUP($A240,'SegEnds_NonXtal_Prot#'!$A:$AL,22,FALSE)+7,1)</f>
        <v>T</v>
      </c>
      <c r="AC240" s="50" t="str">
        <f>MID(VLOOKUP($A240,Seqs!$A:$B,2,FALSE),VLOOKUP($A240,'SegEnds_NonXtal_Prot#'!$A:$AL,22,FALSE)+8,1)</f>
        <v>V</v>
      </c>
      <c r="AD240" s="50" t="str">
        <f>MID(VLOOKUP($A240,Seqs!$A:$B,2,FALSE),VLOOKUP($A240,'SegEnds_NonXtal_Prot#'!$A:$AL,22,FALSE)+9,1)</f>
        <v>H</v>
      </c>
      <c r="AE240" s="50" t="str">
        <f>MID(VLOOKUP($A240,Seqs!$A:$B,2,FALSE),VLOOKUP($A240,'SegEnds_NonXtal_Prot#'!$A:$AL,22,FALSE)+10,1)</f>
        <v>L</v>
      </c>
      <c r="AF240" s="28" t="str">
        <f>MID(VLOOKUP($A240,Seqs!$A:$B,2,FALSE),VLOOKUP($A240,'SegEnds_NonXtal_Prot#'!$A:$AL,28,FALSE)-4,1)</f>
        <v>E</v>
      </c>
      <c r="AG240" s="50" t="str">
        <f>MID(VLOOKUP($A240,Seqs!$A:$B,2,FALSE),VLOOKUP($A240,'SegEnds_NonXtal_Prot#'!$A:$AL,28,FALSE),1)</f>
        <v>P</v>
      </c>
    </row>
    <row r="241" spans="1:33" s="2" customFormat="1" x14ac:dyDescent="0.2">
      <c r="A241" s="2" t="s">
        <v>288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G241" s="4"/>
      <c r="Q241" s="2" t="s">
        <v>9</v>
      </c>
      <c r="S241" s="4" t="s">
        <v>12</v>
      </c>
      <c r="U241" s="28" t="str">
        <f>MID(VLOOKUP($A241,Seqs!$A:$B,2,FALSE),VLOOKUP($A241,'SegEnds_NonXtal_Prot#'!A:AL,10,FALSE),1)</f>
        <v>D</v>
      </c>
      <c r="V241" s="50" t="str">
        <f>MID(VLOOKUP($A241,Seqs!$A:$B,2,FALSE),VLOOKUP($A241,'SegEnds_NonXtal_Prot#'!A:AL,10,FALSE)+6,1)</f>
        <v>T</v>
      </c>
      <c r="W241" s="50" t="str">
        <f>MID(VLOOKUP($A241,Seqs!$A:$B,2,FALSE),VLOOKUP($A241,'SegEnds_NonXtal_Prot#'!A:AL,10,FALSE)+7,1)</f>
        <v>L</v>
      </c>
      <c r="X241" s="50" t="str">
        <f>MID(VLOOKUP($A241,Seqs!$A:$B,2,FALSE),VLOOKUP($A241,'SegEnds_NonXtal_Prot#'!A:AL,10,FALSE)+8,1)</f>
        <v>P</v>
      </c>
      <c r="Y241" s="50" t="str">
        <f>MID(VLOOKUP($A241,Seqs!$A:$B,2,FALSE),VLOOKUP($A241,'SegEnds_NonXtal_Prot#'!A:AL,10,FALSE)+9,1)</f>
        <v>F</v>
      </c>
      <c r="Z241" s="50" t="str">
        <f>MID(VLOOKUP($A241,Seqs!$A:$B,2,FALSE),VLOOKUP($A241,'SegEnds_NonXtal_Prot#'!A:AL,10,FALSE)+10,1)</f>
        <v>K</v>
      </c>
      <c r="AA241" s="28" t="str">
        <f>MID(VLOOKUP($A241,Seqs!$A:$B,2,FALSE),VLOOKUP($A241,'SegEnds_NonXtal_Prot#'!$A:$AL,22,FALSE)+6,1)</f>
        <v>G</v>
      </c>
      <c r="AB241" s="50" t="str">
        <f>MID(VLOOKUP($A241,Seqs!$A:$B,2,FALSE),VLOOKUP($A241,'SegEnds_NonXtal_Prot#'!$A:$AL,22,FALSE)+7,1)</f>
        <v>G</v>
      </c>
      <c r="AC241" s="50" t="str">
        <f>MID(VLOOKUP($A241,Seqs!$A:$B,2,FALSE),VLOOKUP($A241,'SegEnds_NonXtal_Prot#'!$A:$AL,22,FALSE)+8,1)</f>
        <v>I</v>
      </c>
      <c r="AD241" s="50" t="str">
        <f>MID(VLOOKUP($A241,Seqs!$A:$B,2,FALSE),VLOOKUP($A241,'SegEnds_NonXtal_Prot#'!$A:$AL,22,FALSE)+9,1)</f>
        <v>S</v>
      </c>
      <c r="AE241" s="50" t="str">
        <f>MID(VLOOKUP($A241,Seqs!$A:$B,2,FALSE),VLOOKUP($A241,'SegEnds_NonXtal_Prot#'!$A:$AL,22,FALSE)+10,1)</f>
        <v>A</v>
      </c>
      <c r="AF241" s="28" t="str">
        <f>MID(VLOOKUP($A241,Seqs!$A:$B,2,FALSE),VLOOKUP($A241,'SegEnds_NonXtal_Prot#'!$A:$AL,28,FALSE)-4,1)</f>
        <v>G</v>
      </c>
      <c r="AG241" s="50" t="str">
        <f>MID(VLOOKUP($A241,Seqs!$A:$B,2,FALSE),VLOOKUP($A241,'SegEnds_NonXtal_Prot#'!$A:$AL,28,FALSE),1)</f>
        <v>P</v>
      </c>
    </row>
    <row r="242" spans="1:33" s="2" customFormat="1" x14ac:dyDescent="0.2">
      <c r="A242" s="2" t="s">
        <v>289</v>
      </c>
      <c r="B242" s="2" t="str">
        <f>LOWER(VLOOKUP(A242,Xtal_Templ!A:B,2,FALSE))</f>
        <v>par2_human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G242" s="4"/>
      <c r="M242" s="2" t="s">
        <v>14</v>
      </c>
      <c r="Q242" s="2" t="s">
        <v>9</v>
      </c>
      <c r="S242" s="4" t="s">
        <v>12</v>
      </c>
      <c r="U242" s="28" t="str">
        <f>MID(VLOOKUP($A242,Seqs!$A:$B,2,FALSE),VLOOKUP($A242,'SegEnds_NonXtal_Prot#'!A:AL,10,FALSE),1)</f>
        <v>D</v>
      </c>
      <c r="V242" s="50" t="str">
        <f>MID(VLOOKUP($A242,Seqs!$A:$B,2,FALSE),VLOOKUP($A242,'SegEnds_NonXtal_Prot#'!A:AL,10,FALSE)+6,1)</f>
        <v>S</v>
      </c>
      <c r="W242" s="50" t="str">
        <f>MID(VLOOKUP($A242,Seqs!$A:$B,2,FALSE),VLOOKUP($A242,'SegEnds_NonXtal_Prot#'!A:AL,10,FALSE)+7,1)</f>
        <v>L</v>
      </c>
      <c r="X242" s="50" t="str">
        <f>MID(VLOOKUP($A242,Seqs!$A:$B,2,FALSE),VLOOKUP($A242,'SegEnds_NonXtal_Prot#'!A:AL,10,FALSE)+8,1)</f>
        <v>P</v>
      </c>
      <c r="Y242" s="50" t="str">
        <f>MID(VLOOKUP($A242,Seqs!$A:$B,2,FALSE),VLOOKUP($A242,'SegEnds_NonXtal_Prot#'!A:AL,10,FALSE)+9,1)</f>
        <v>V</v>
      </c>
      <c r="Z242" s="50" t="str">
        <f>MID(VLOOKUP($A242,Seqs!$A:$B,2,FALSE),VLOOKUP($A242,'SegEnds_NonXtal_Prot#'!A:AL,10,FALSE)+10,1)</f>
        <v>R</v>
      </c>
      <c r="AA242" s="28" t="str">
        <f>MID(VLOOKUP($A242,Seqs!$A:$B,2,FALSE),VLOOKUP($A242,'SegEnds_NonXtal_Prot#'!$A:$AL,22,FALSE)+6,1)</f>
        <v>F</v>
      </c>
      <c r="AB242" s="50" t="str">
        <f>MID(VLOOKUP($A242,Seqs!$A:$B,2,FALSE),VLOOKUP($A242,'SegEnds_NonXtal_Prot#'!$A:$AL,22,FALSE)+7,1)</f>
        <v>A</v>
      </c>
      <c r="AC242" s="50" t="str">
        <f>MID(VLOOKUP($A242,Seqs!$A:$B,2,FALSE),VLOOKUP($A242,'SegEnds_NonXtal_Prot#'!$A:$AL,22,FALSE)+8,1)</f>
        <v>V</v>
      </c>
      <c r="AD242" s="50" t="str">
        <f>MID(VLOOKUP($A242,Seqs!$A:$B,2,FALSE),VLOOKUP($A242,'SegEnds_NonXtal_Prot#'!$A:$AL,22,FALSE)+9,1)</f>
        <v>P</v>
      </c>
      <c r="AE242" s="50" t="str">
        <f>MID(VLOOKUP($A242,Seqs!$A:$B,2,FALSE),VLOOKUP($A242,'SegEnds_NonXtal_Prot#'!$A:$AL,22,FALSE)+10,1)</f>
        <v>A</v>
      </c>
      <c r="AF242" s="28" t="str">
        <f>MID(VLOOKUP($A242,Seqs!$A:$B,2,FALSE),VLOOKUP($A242,'SegEnds_NonXtal_Prot#'!$A:$AL,28,FALSE)-4,1)</f>
        <v>G</v>
      </c>
      <c r="AG242" s="50" t="str">
        <f>MID(VLOOKUP($A242,Seqs!$A:$B,2,FALSE),VLOOKUP($A242,'SegEnds_NonXtal_Prot#'!$A:$AL,28,FALSE),1)</f>
        <v>P</v>
      </c>
    </row>
    <row r="243" spans="1:33" s="2" customFormat="1" x14ac:dyDescent="0.2">
      <c r="A243" s="2" t="s">
        <v>290</v>
      </c>
      <c r="B243" s="2" t="str">
        <f>LOWER(VLOOKUP(A243,Xtal_Templ!A:B,2,FALSE))</f>
        <v>agtr1_human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G243" s="4"/>
      <c r="M243" s="2" t="s">
        <v>14</v>
      </c>
      <c r="Q243" s="2" t="s">
        <v>9</v>
      </c>
      <c r="S243" s="4" t="s">
        <v>12</v>
      </c>
      <c r="U243" s="28" t="str">
        <f>MID(VLOOKUP($A243,Seqs!$A:$B,2,FALSE),VLOOKUP($A243,'SegEnds_NonXtal_Prot#'!A:AL,10,FALSE),1)</f>
        <v>D</v>
      </c>
      <c r="V243" s="50" t="str">
        <f>MID(VLOOKUP($A243,Seqs!$A:$B,2,FALSE),VLOOKUP($A243,'SegEnds_NonXtal_Prot#'!A:AL,10,FALSE)+6,1)</f>
        <v>T</v>
      </c>
      <c r="W243" s="50" t="str">
        <f>MID(VLOOKUP($A243,Seqs!$A:$B,2,FALSE),VLOOKUP($A243,'SegEnds_NonXtal_Prot#'!A:AL,10,FALSE)+7,1)</f>
        <v>L</v>
      </c>
      <c r="X243" s="50" t="str">
        <f>MID(VLOOKUP($A243,Seqs!$A:$B,2,FALSE),VLOOKUP($A243,'SegEnds_NonXtal_Prot#'!A:AL,10,FALSE)+8,1)</f>
        <v>P</v>
      </c>
      <c r="Y243" s="50" t="str">
        <f>MID(VLOOKUP($A243,Seqs!$A:$B,2,FALSE),VLOOKUP($A243,'SegEnds_NonXtal_Prot#'!A:AL,10,FALSE)+9,1)</f>
        <v>F</v>
      </c>
      <c r="Z243" s="50" t="str">
        <f>MID(VLOOKUP($A243,Seqs!$A:$B,2,FALSE),VLOOKUP($A243,'SegEnds_NonXtal_Prot#'!A:AL,10,FALSE)+10,1)</f>
        <v>R</v>
      </c>
      <c r="AA243" s="28" t="str">
        <f>MID(VLOOKUP($A243,Seqs!$A:$B,2,FALSE),VLOOKUP($A243,'SegEnds_NonXtal_Prot#'!$A:$AL,22,FALSE)+6,1)</f>
        <v>G</v>
      </c>
      <c r="AB243" s="50" t="str">
        <f>MID(VLOOKUP($A243,Seqs!$A:$B,2,FALSE),VLOOKUP($A243,'SegEnds_NonXtal_Prot#'!$A:$AL,22,FALSE)+7,1)</f>
        <v>S</v>
      </c>
      <c r="AC243" s="50" t="str">
        <f>MID(VLOOKUP($A243,Seqs!$A:$B,2,FALSE),VLOOKUP($A243,'SegEnds_NonXtal_Prot#'!$A:$AL,22,FALSE)+8,1)</f>
        <v>A</v>
      </c>
      <c r="AD243" s="50" t="str">
        <f>MID(VLOOKUP($A243,Seqs!$A:$B,2,FALSE),VLOOKUP($A243,'SegEnds_NonXtal_Prot#'!$A:$AL,22,FALSE)+9,1)</f>
        <v>P</v>
      </c>
      <c r="AE243" s="50" t="str">
        <f>MID(VLOOKUP($A243,Seqs!$A:$B,2,FALSE),VLOOKUP($A243,'SegEnds_NonXtal_Prot#'!$A:$AL,22,FALSE)+10,1)</f>
        <v>A</v>
      </c>
      <c r="AF243" s="28" t="str">
        <f>MID(VLOOKUP($A243,Seqs!$A:$B,2,FALSE),VLOOKUP($A243,'SegEnds_NonXtal_Prot#'!$A:$AL,28,FALSE)-4,1)</f>
        <v>G</v>
      </c>
      <c r="AG243" s="50" t="str">
        <f>MID(VLOOKUP($A243,Seqs!$A:$B,2,FALSE),VLOOKUP($A243,'SegEnds_NonXtal_Prot#'!$A:$AL,28,FALSE),1)</f>
        <v>P</v>
      </c>
    </row>
    <row r="244" spans="1:33" s="2" customFormat="1" x14ac:dyDescent="0.2">
      <c r="A244" s="2" t="s">
        <v>294</v>
      </c>
      <c r="B244" s="2" t="str">
        <f>LOWER(VLOOKUP(A244,Xtal_Templ!A:B,2,FALSE))</f>
        <v>agtr1_human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G244" s="4"/>
      <c r="Q244" s="2" t="s">
        <v>9</v>
      </c>
      <c r="S244" s="4" t="s">
        <v>12</v>
      </c>
      <c r="U244" s="28" t="str">
        <f>MID(VLOOKUP($A244,Seqs!$A:$B,2,FALSE),VLOOKUP($A244,'SegEnds_NonXtal_Prot#'!A:AL,10,FALSE),1)</f>
        <v>D</v>
      </c>
      <c r="V244" s="50" t="str">
        <f>MID(VLOOKUP($A244,Seqs!$A:$B,2,FALSE),VLOOKUP($A244,'SegEnds_NonXtal_Prot#'!A:AL,10,FALSE)+6,1)</f>
        <v>C</v>
      </c>
      <c r="W244" s="50" t="str">
        <f>MID(VLOOKUP($A244,Seqs!$A:$B,2,FALSE),VLOOKUP($A244,'SegEnds_NonXtal_Prot#'!A:AL,10,FALSE)+7,1)</f>
        <v>I</v>
      </c>
      <c r="X244" s="50" t="str">
        <f>MID(VLOOKUP($A244,Seqs!$A:$B,2,FALSE),VLOOKUP($A244,'SegEnds_NonXtal_Prot#'!A:AL,10,FALSE)+8,1)</f>
        <v>F</v>
      </c>
      <c r="Y244" s="50" t="str">
        <f>MID(VLOOKUP($A244,Seqs!$A:$B,2,FALSE),VLOOKUP($A244,'SegEnds_NonXtal_Prot#'!A:AL,10,FALSE)+9,1)</f>
        <v>I</v>
      </c>
      <c r="Z244" s="50" t="str">
        <f>MID(VLOOKUP($A244,Seqs!$A:$B,2,FALSE),VLOOKUP($A244,'SegEnds_NonXtal_Prot#'!A:AL,10,FALSE)+10,1)</f>
        <v>L</v>
      </c>
      <c r="AA244" s="28" t="str">
        <f>MID(VLOOKUP($A244,Seqs!$A:$B,2,FALSE),VLOOKUP($A244,'SegEnds_NonXtal_Prot#'!$A:$AL,22,FALSE)+6,1)</f>
        <v>V</v>
      </c>
      <c r="AB244" s="50" t="str">
        <f>MID(VLOOKUP($A244,Seqs!$A:$B,2,FALSE),VLOOKUP($A244,'SegEnds_NonXtal_Prot#'!$A:$AL,22,FALSE)+7,1)</f>
        <v>T</v>
      </c>
      <c r="AC244" s="50" t="str">
        <f>MID(VLOOKUP($A244,Seqs!$A:$B,2,FALSE),VLOOKUP($A244,'SegEnds_NonXtal_Prot#'!$A:$AL,22,FALSE)+8,1)</f>
        <v>T</v>
      </c>
      <c r="AD244" s="50" t="str">
        <f>MID(VLOOKUP($A244,Seqs!$A:$B,2,FALSE),VLOOKUP($A244,'SegEnds_NonXtal_Prot#'!$A:$AL,22,FALSE)+9,1)</f>
        <v>M</v>
      </c>
      <c r="AE244" s="50" t="str">
        <f>MID(VLOOKUP($A244,Seqs!$A:$B,2,FALSE),VLOOKUP($A244,'SegEnds_NonXtal_Prot#'!$A:$AL,22,FALSE)+10,1)</f>
        <v>E</v>
      </c>
      <c r="AF244" s="28" t="str">
        <f>MID(VLOOKUP($A244,Seqs!$A:$B,2,FALSE),VLOOKUP($A244,'SegEnds_NonXtal_Prot#'!$A:$AL,28,FALSE)-4,1)</f>
        <v>L</v>
      </c>
      <c r="AG244" s="50" t="str">
        <f>MID(VLOOKUP($A244,Seqs!$A:$B,2,FALSE),VLOOKUP($A244,'SegEnds_NonXtal_Prot#'!$A:$AL,28,FALSE),1)</f>
        <v>P</v>
      </c>
    </row>
    <row r="245" spans="1:33" s="2" customFormat="1" x14ac:dyDescent="0.2">
      <c r="A245" s="2" t="s">
        <v>295</v>
      </c>
      <c r="B245" s="2" t="str">
        <f>LOWER(VLOOKUP(A245,Xtal_Templ!A:B,2,FALSE))</f>
        <v>ccr9_human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G245" s="4"/>
      <c r="S245" s="4" t="s">
        <v>12</v>
      </c>
      <c r="U245" s="28" t="str">
        <f>MID(VLOOKUP($A245,Seqs!$A:$B,2,FALSE),VLOOKUP($A245,'SegEnds_NonXtal_Prot#'!A:AL,10,FALSE),1)</f>
        <v>D</v>
      </c>
      <c r="V245" s="50" t="str">
        <f>MID(VLOOKUP($A245,Seqs!$A:$B,2,FALSE),VLOOKUP($A245,'SegEnds_NonXtal_Prot#'!A:AL,10,FALSE)+6,1)</f>
        <v>C</v>
      </c>
      <c r="W245" s="50" t="str">
        <f>MID(VLOOKUP($A245,Seqs!$A:$B,2,FALSE),VLOOKUP($A245,'SegEnds_NonXtal_Prot#'!A:AL,10,FALSE)+7,1)</f>
        <v>S</v>
      </c>
      <c r="X245" s="50" t="str">
        <f>MID(VLOOKUP($A245,Seqs!$A:$B,2,FALSE),VLOOKUP($A245,'SegEnds_NonXtal_Prot#'!A:AL,10,FALSE)+8,1)</f>
        <v>A</v>
      </c>
      <c r="Y245" s="50" t="str">
        <f>MID(VLOOKUP($A245,Seqs!$A:$B,2,FALSE),VLOOKUP($A245,'SegEnds_NonXtal_Prot#'!A:AL,10,FALSE)+9,1)</f>
        <v>V</v>
      </c>
      <c r="Z245" s="50" t="str">
        <f>MID(VLOOKUP($A245,Seqs!$A:$B,2,FALSE),VLOOKUP($A245,'SegEnds_NonXtal_Prot#'!A:AL,10,FALSE)+10,1)</f>
        <v>G</v>
      </c>
      <c r="AA245" s="28" t="str">
        <f>MID(VLOOKUP($A245,Seqs!$A:$B,2,FALSE),VLOOKUP($A245,'SegEnds_NonXtal_Prot#'!$A:$AL,22,FALSE)+6,1)</f>
        <v>I</v>
      </c>
      <c r="AB245" s="50" t="str">
        <f>MID(VLOOKUP($A245,Seqs!$A:$B,2,FALSE),VLOOKUP($A245,'SegEnds_NonXtal_Prot#'!$A:$AL,22,FALSE)+7,1)</f>
        <v>N</v>
      </c>
      <c r="AC245" s="50" t="str">
        <f>MID(VLOOKUP($A245,Seqs!$A:$B,2,FALSE),VLOOKUP($A245,'SegEnds_NonXtal_Prot#'!$A:$AL,22,FALSE)+8,1)</f>
        <v>I</v>
      </c>
      <c r="AD245" s="50" t="str">
        <f>MID(VLOOKUP($A245,Seqs!$A:$B,2,FALSE),VLOOKUP($A245,'SegEnds_NonXtal_Prot#'!$A:$AL,22,FALSE)+9,1)</f>
        <v>V</v>
      </c>
      <c r="AE245" s="50" t="str">
        <f>MID(VLOOKUP($A245,Seqs!$A:$B,2,FALSE),VLOOKUP($A245,'SegEnds_NonXtal_Prot#'!$A:$AL,22,FALSE)+10,1)</f>
        <v>K</v>
      </c>
      <c r="AF245" s="28" t="str">
        <f>MID(VLOOKUP($A245,Seqs!$A:$B,2,FALSE),VLOOKUP($A245,'SegEnds_NonXtal_Prot#'!$A:$AL,28,FALSE)-4,1)</f>
        <v>A</v>
      </c>
      <c r="AG245" s="50" t="str">
        <f>MID(VLOOKUP($A245,Seqs!$A:$B,2,FALSE),VLOOKUP($A245,'SegEnds_NonXtal_Prot#'!$A:$AL,28,FALSE),1)</f>
        <v>L</v>
      </c>
    </row>
    <row r="246" spans="1:33" s="2" customFormat="1" x14ac:dyDescent="0.2">
      <c r="A246" s="2" t="s">
        <v>301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G246" s="4"/>
      <c r="Q246" s="2" t="s">
        <v>9</v>
      </c>
      <c r="S246" s="4" t="s">
        <v>12</v>
      </c>
      <c r="U246" s="28" t="str">
        <f>MID(VLOOKUP($A246,Seqs!$A:$B,2,FALSE),VLOOKUP($A246,'SegEnds_NonXtal_Prot#'!A:AL,10,FALSE),1)</f>
        <v>D</v>
      </c>
      <c r="V246" s="50" t="str">
        <f>MID(VLOOKUP($A246,Seqs!$A:$B,2,FALSE),VLOOKUP($A246,'SegEnds_NonXtal_Prot#'!A:AL,10,FALSE)+6,1)</f>
        <v>S</v>
      </c>
      <c r="W246" s="50" t="str">
        <f>MID(VLOOKUP($A246,Seqs!$A:$B,2,FALSE),VLOOKUP($A246,'SegEnds_NonXtal_Prot#'!A:AL,10,FALSE)+7,1)</f>
        <v>M</v>
      </c>
      <c r="X246" s="50" t="str">
        <f>MID(VLOOKUP($A246,Seqs!$A:$B,2,FALSE),VLOOKUP($A246,'SegEnds_NonXtal_Prot#'!A:AL,10,FALSE)+8,1)</f>
        <v>A</v>
      </c>
      <c r="Y246" s="50" t="str">
        <f>MID(VLOOKUP($A246,Seqs!$A:$B,2,FALSE),VLOOKUP($A246,'SegEnds_NonXtal_Prot#'!A:AL,10,FALSE)+9,1)</f>
        <v>S</v>
      </c>
      <c r="Z246" s="50" t="str">
        <f>MID(VLOOKUP($A246,Seqs!$A:$B,2,FALSE),VLOOKUP($A246,'SegEnds_NonXtal_Prot#'!A:AL,10,FALSE)+10,1)</f>
        <v>T</v>
      </c>
      <c r="AA246" s="28" t="str">
        <f>MID(VLOOKUP($A246,Seqs!$A:$B,2,FALSE),VLOOKUP($A246,'SegEnds_NonXtal_Prot#'!$A:$AL,22,FALSE)+6,1)</f>
        <v>M</v>
      </c>
      <c r="AB246" s="50" t="str">
        <f>MID(VLOOKUP($A246,Seqs!$A:$B,2,FALSE),VLOOKUP($A246,'SegEnds_NonXtal_Prot#'!$A:$AL,22,FALSE)+7,1)</f>
        <v>N</v>
      </c>
      <c r="AC246" s="50" t="str">
        <f>MID(VLOOKUP($A246,Seqs!$A:$B,2,FALSE),VLOOKUP($A246,'SegEnds_NonXtal_Prot#'!$A:$AL,22,FALSE)+8,1)</f>
        <v>G</v>
      </c>
      <c r="AD246" s="50" t="str">
        <f>MID(VLOOKUP($A246,Seqs!$A:$B,2,FALSE),VLOOKUP($A246,'SegEnds_NonXtal_Prot#'!$A:$AL,22,FALSE)+9,1)</f>
        <v>L</v>
      </c>
      <c r="AE246" s="50" t="str">
        <f>MID(VLOOKUP($A246,Seqs!$A:$B,2,FALSE),VLOOKUP($A246,'SegEnds_NonXtal_Prot#'!$A:$AL,22,FALSE)+10,1)</f>
        <v>T</v>
      </c>
      <c r="AF246" s="28" t="str">
        <f>MID(VLOOKUP($A246,Seqs!$A:$B,2,FALSE),VLOOKUP($A246,'SegEnds_NonXtal_Prot#'!$A:$AL,28,FALSE)-4,1)</f>
        <v>G</v>
      </c>
      <c r="AG246" s="50" t="str">
        <f>MID(VLOOKUP($A246,Seqs!$A:$B,2,FALSE),VLOOKUP($A246,'SegEnds_NonXtal_Prot#'!$A:$AL,28,FALSE),1)</f>
        <v>P</v>
      </c>
    </row>
    <row r="247" spans="1:33" s="2" customFormat="1" x14ac:dyDescent="0.2">
      <c r="A247" s="2" t="s">
        <v>303</v>
      </c>
      <c r="B247" s="2" t="str">
        <f>LOWER(VLOOKUP(A247,Xtal_Templ!A:B,2,FALSE))</f>
        <v>agtr1_human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G247" s="4"/>
      <c r="Q247" s="2" t="s">
        <v>9</v>
      </c>
      <c r="S247" s="4" t="s">
        <v>12</v>
      </c>
      <c r="U247" s="28" t="str">
        <f>MID(VLOOKUP($A247,Seqs!$A:$B,2,FALSE),VLOOKUP($A247,'SegEnds_NonXtal_Prot#'!A:AL,10,FALSE),1)</f>
        <v>D</v>
      </c>
      <c r="V247" s="50" t="str">
        <f>MID(VLOOKUP($A247,Seqs!$A:$B,2,FALSE),VLOOKUP($A247,'SegEnds_NonXtal_Prot#'!A:AL,10,FALSE)+6,1)</f>
        <v>S</v>
      </c>
      <c r="W247" s="50" t="str">
        <f>MID(VLOOKUP($A247,Seqs!$A:$B,2,FALSE),VLOOKUP($A247,'SegEnds_NonXtal_Prot#'!A:AL,10,FALSE)+7,1)</f>
        <v>K</v>
      </c>
      <c r="X247" s="50" t="str">
        <f>MID(VLOOKUP($A247,Seqs!$A:$B,2,FALSE),VLOOKUP($A247,'SegEnds_NonXtal_Prot#'!A:AL,10,FALSE)+8,1)</f>
        <v>A</v>
      </c>
      <c r="Y247" s="50" t="str">
        <f>MID(VLOOKUP($A247,Seqs!$A:$B,2,FALSE),VLOOKUP($A247,'SegEnds_NonXtal_Prot#'!A:AL,10,FALSE)+9,1)</f>
        <v>V</v>
      </c>
      <c r="Z247" s="50" t="str">
        <f>MID(VLOOKUP($A247,Seqs!$A:$B,2,FALSE),VLOOKUP($A247,'SegEnds_NonXtal_Prot#'!A:AL,10,FALSE)+10,1)</f>
        <v>F</v>
      </c>
      <c r="AA247" s="28" t="str">
        <f>MID(VLOOKUP($A247,Seqs!$A:$B,2,FALSE),VLOOKUP($A247,'SegEnds_NonXtal_Prot#'!$A:$AL,22,FALSE)+6,1)</f>
        <v>V</v>
      </c>
      <c r="AB247" s="50" t="str">
        <f>MID(VLOOKUP($A247,Seqs!$A:$B,2,FALSE),VLOOKUP($A247,'SegEnds_NonXtal_Prot#'!$A:$AL,22,FALSE)+7,1)</f>
        <v>T</v>
      </c>
      <c r="AC247" s="50" t="str">
        <f>MID(VLOOKUP($A247,Seqs!$A:$B,2,FALSE),VLOOKUP($A247,'SegEnds_NonXtal_Prot#'!$A:$AL,22,FALSE)+8,1)</f>
        <v>C</v>
      </c>
      <c r="AD247" s="50" t="str">
        <f>MID(VLOOKUP($A247,Seqs!$A:$B,2,FALSE),VLOOKUP($A247,'SegEnds_NonXtal_Prot#'!$A:$AL,22,FALSE)+9,1)</f>
        <v>L</v>
      </c>
      <c r="AE247" s="50" t="str">
        <f>MID(VLOOKUP($A247,Seqs!$A:$B,2,FALSE),VLOOKUP($A247,'SegEnds_NonXtal_Prot#'!$A:$AL,22,FALSE)+10,1)</f>
        <v>H</v>
      </c>
      <c r="AF247" s="28" t="str">
        <f>MID(VLOOKUP($A247,Seqs!$A:$B,2,FALSE),VLOOKUP($A247,'SegEnds_NonXtal_Prot#'!$A:$AL,28,FALSE)-4,1)</f>
        <v>L</v>
      </c>
      <c r="AG247" s="50" t="str">
        <f>MID(VLOOKUP($A247,Seqs!$A:$B,2,FALSE),VLOOKUP($A247,'SegEnds_NonXtal_Prot#'!$A:$AL,28,FALSE),1)</f>
        <v>P</v>
      </c>
    </row>
    <row r="248" spans="1:33" s="2" customFormat="1" x14ac:dyDescent="0.2">
      <c r="A248" s="2" t="s">
        <v>305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G248" s="4"/>
      <c r="S248" s="4" t="s">
        <v>12</v>
      </c>
      <c r="U248" s="28" t="str">
        <f>MID(VLOOKUP($A248,Seqs!$A:$B,2,FALSE),VLOOKUP($A248,'SegEnds_NonXtal_Prot#'!A:AL,10,FALSE),1)</f>
        <v>D</v>
      </c>
      <c r="V248" s="50" t="str">
        <f>MID(VLOOKUP($A248,Seqs!$A:$B,2,FALSE),VLOOKUP($A248,'SegEnds_NonXtal_Prot#'!A:AL,10,FALSE)+6,1)</f>
        <v>G</v>
      </c>
      <c r="W248" s="50" t="str">
        <f>MID(VLOOKUP($A248,Seqs!$A:$B,2,FALSE),VLOOKUP($A248,'SegEnds_NonXtal_Prot#'!A:AL,10,FALSE)+7,1)</f>
        <v>R</v>
      </c>
      <c r="X248" s="50" t="str">
        <f>MID(VLOOKUP($A248,Seqs!$A:$B,2,FALSE),VLOOKUP($A248,'SegEnds_NonXtal_Prot#'!A:AL,10,FALSE)+8,1)</f>
        <v>L</v>
      </c>
      <c r="Y248" s="50" t="str">
        <f>MID(VLOOKUP($A248,Seqs!$A:$B,2,FALSE),VLOOKUP($A248,'SegEnds_NonXtal_Prot#'!A:AL,10,FALSE)+9,1)</f>
        <v>I</v>
      </c>
      <c r="Z248" s="50" t="str">
        <f>MID(VLOOKUP($A248,Seqs!$A:$B,2,FALSE),VLOOKUP($A248,'SegEnds_NonXtal_Prot#'!A:AL,10,FALSE)+10,1)</f>
        <v>Y</v>
      </c>
      <c r="AA248" s="28" t="str">
        <f>MID(VLOOKUP($A248,Seqs!$A:$B,2,FALSE),VLOOKUP($A248,'SegEnds_NonXtal_Prot#'!$A:$AL,22,FALSE)+6,1)</f>
        <v>R</v>
      </c>
      <c r="AB248" s="50" t="str">
        <f>MID(VLOOKUP($A248,Seqs!$A:$B,2,FALSE),VLOOKUP($A248,'SegEnds_NonXtal_Prot#'!$A:$AL,22,FALSE)+7,1)</f>
        <v>S</v>
      </c>
      <c r="AC248" s="50" t="str">
        <f>MID(VLOOKUP($A248,Seqs!$A:$B,2,FALSE),VLOOKUP($A248,'SegEnds_NonXtal_Prot#'!$A:$AL,22,FALSE)+8,1)</f>
        <v>I</v>
      </c>
      <c r="AD248" s="50" t="str">
        <f>MID(VLOOKUP($A248,Seqs!$A:$B,2,FALSE),VLOOKUP($A248,'SegEnds_NonXtal_Prot#'!$A:$AL,22,FALSE)+9,1)</f>
        <v>L</v>
      </c>
      <c r="AE248" s="50" t="str">
        <f>MID(VLOOKUP($A248,Seqs!$A:$B,2,FALSE),VLOOKUP($A248,'SegEnds_NonXtal_Prot#'!$A:$AL,22,FALSE)+10,1)</f>
        <v>E</v>
      </c>
      <c r="AF248" s="28" t="str">
        <f>MID(VLOOKUP($A248,Seqs!$A:$B,2,FALSE),VLOOKUP($A248,'SegEnds_NonXtal_Prot#'!$A:$AL,28,FALSE)-4,1)</f>
        <v>I</v>
      </c>
      <c r="AG248" s="50" t="str">
        <f>MID(VLOOKUP($A248,Seqs!$A:$B,2,FALSE),VLOOKUP($A248,'SegEnds_NonXtal_Prot#'!$A:$AL,28,FALSE),1)</f>
        <v>V</v>
      </c>
    </row>
    <row r="249" spans="1:33" s="2" customFormat="1" x14ac:dyDescent="0.2">
      <c r="A249" s="2" t="s">
        <v>343</v>
      </c>
      <c r="B249" s="2" t="str">
        <f>LOWER(VLOOKUP(A249,Xtal_Templ!A:B,2,FALSE))</f>
        <v>p2ry1_human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G249" s="4"/>
      <c r="M249" s="2" t="s">
        <v>14</v>
      </c>
      <c r="Q249" s="2" t="s">
        <v>9</v>
      </c>
      <c r="S249" s="4" t="s">
        <v>12</v>
      </c>
      <c r="U249" s="28" t="str">
        <f>MID(VLOOKUP($A249,Seqs!$A:$B,2,FALSE),VLOOKUP($A249,'SegEnds_NonXtal_Prot#'!A:AL,10,FALSE),1)</f>
        <v>D</v>
      </c>
      <c r="V249" s="50" t="str">
        <f>MID(VLOOKUP($A249,Seqs!$A:$B,2,FALSE),VLOOKUP($A249,'SegEnds_NonXtal_Prot#'!A:AL,10,FALSE)+6,1)</f>
        <v>S</v>
      </c>
      <c r="W249" s="50" t="str">
        <f>MID(VLOOKUP($A249,Seqs!$A:$B,2,FALSE),VLOOKUP($A249,'SegEnds_NonXtal_Prot#'!A:AL,10,FALSE)+7,1)</f>
        <v>L</v>
      </c>
      <c r="X249" s="50" t="str">
        <f>MID(VLOOKUP($A249,Seqs!$A:$B,2,FALSE),VLOOKUP($A249,'SegEnds_NonXtal_Prot#'!A:AL,10,FALSE)+8,1)</f>
        <v>P</v>
      </c>
      <c r="Y249" s="50" t="str">
        <f>MID(VLOOKUP($A249,Seqs!$A:$B,2,FALSE),VLOOKUP($A249,'SegEnds_NonXtal_Prot#'!A:AL,10,FALSE)+9,1)</f>
        <v>F</v>
      </c>
      <c r="Z249" s="50" t="str">
        <f>MID(VLOOKUP($A249,Seqs!$A:$B,2,FALSE),VLOOKUP($A249,'SegEnds_NonXtal_Prot#'!A:AL,10,FALSE)+10,1)</f>
        <v>L</v>
      </c>
      <c r="AA249" s="28" t="str">
        <f>MID(VLOOKUP($A249,Seqs!$A:$B,2,FALSE),VLOOKUP($A249,'SegEnds_NonXtal_Prot#'!$A:$AL,22,FALSE)+6,1)</f>
        <v>A</v>
      </c>
      <c r="AB249" s="50" t="str">
        <f>MID(VLOOKUP($A249,Seqs!$A:$B,2,FALSE),VLOOKUP($A249,'SegEnds_NonXtal_Prot#'!$A:$AL,22,FALSE)+7,1)</f>
        <v>V</v>
      </c>
      <c r="AC249" s="50" t="str">
        <f>MID(VLOOKUP($A249,Seqs!$A:$B,2,FALSE),VLOOKUP($A249,'SegEnds_NonXtal_Prot#'!$A:$AL,22,FALSE)+8,1)</f>
        <v>I</v>
      </c>
      <c r="AD249" s="50" t="str">
        <f>MID(VLOOKUP($A249,Seqs!$A:$B,2,FALSE),VLOOKUP($A249,'SegEnds_NonXtal_Prot#'!$A:$AL,22,FALSE)+9,1)</f>
        <v>P</v>
      </c>
      <c r="AE249" s="50" t="str">
        <f>MID(VLOOKUP($A249,Seqs!$A:$B,2,FALSE),VLOOKUP($A249,'SegEnds_NonXtal_Prot#'!$A:$AL,22,FALSE)+10,1)</f>
        <v>M</v>
      </c>
      <c r="AF249" s="28" t="str">
        <f>MID(VLOOKUP($A249,Seqs!$A:$B,2,FALSE),VLOOKUP($A249,'SegEnds_NonXtal_Prot#'!$A:$AL,28,FALSE)-4,1)</f>
        <v>T</v>
      </c>
      <c r="AG249" s="50" t="str">
        <f>MID(VLOOKUP($A249,Seqs!$A:$B,2,FALSE),VLOOKUP($A249,'SegEnds_NonXtal_Prot#'!$A:$AL,28,FALSE),1)</f>
        <v>P</v>
      </c>
    </row>
    <row r="250" spans="1:33" s="2" customFormat="1" x14ac:dyDescent="0.2">
      <c r="A250" s="2" t="s">
        <v>345</v>
      </c>
      <c r="B250" s="2" t="str">
        <f>LOWER(VLOOKUP(A250,Xtal_Templ!A:B,2,FALSE))</f>
        <v>p2ry1_human</v>
      </c>
      <c r="C250" s="2" t="str">
        <f>VLOOKUP(A250,Classification!A:D,2,FALSE)</f>
        <v>A</v>
      </c>
      <c r="D250" s="2" t="str">
        <f>IF(ISERROR(MATCH(A250,'SegEnds_Xtal_Prot#'!B:B, 0)), "NoXtal", "Xtal")</f>
        <v>Xtal</v>
      </c>
      <c r="G250" s="4"/>
      <c r="Q250" s="2" t="s">
        <v>9</v>
      </c>
      <c r="R250" s="2" t="s">
        <v>1328</v>
      </c>
      <c r="S250" s="4" t="s">
        <v>12</v>
      </c>
      <c r="U250" s="28" t="str">
        <f>MID(VLOOKUP($A250,Seqs!$A:$B,2,FALSE),VLOOKUP($A250,'SegEnds_NonXtal_Prot#'!A:AL,10,FALSE),1)</f>
        <v>D</v>
      </c>
      <c r="V250" s="50" t="str">
        <f>MID(VLOOKUP($A250,Seqs!$A:$B,2,FALSE),VLOOKUP($A250,'SegEnds_NonXtal_Prot#'!A:AL,10,FALSE)+6,1)</f>
        <v>T</v>
      </c>
      <c r="W250" s="50" t="str">
        <f>MID(VLOOKUP($A250,Seqs!$A:$B,2,FALSE),VLOOKUP($A250,'SegEnds_NonXtal_Prot#'!A:AL,10,FALSE)+7,1)</f>
        <v>L</v>
      </c>
      <c r="X250" s="50" t="str">
        <f>MID(VLOOKUP($A250,Seqs!$A:$B,2,FALSE),VLOOKUP($A250,'SegEnds_NonXtal_Prot#'!A:AL,10,FALSE)+8,1)</f>
        <v>P</v>
      </c>
      <c r="Y250" s="50" t="str">
        <f>MID(VLOOKUP($A250,Seqs!$A:$B,2,FALSE),VLOOKUP($A250,'SegEnds_NonXtal_Prot#'!A:AL,10,FALSE)+9,1)</f>
        <v>A</v>
      </c>
      <c r="Z250" s="50" t="str">
        <f>MID(VLOOKUP($A250,Seqs!$A:$B,2,FALSE),VLOOKUP($A250,'SegEnds_NonXtal_Prot#'!A:AL,10,FALSE)+10,1)</f>
        <v>L</v>
      </c>
      <c r="AA250" s="28" t="str">
        <f>MID(VLOOKUP($A250,Seqs!$A:$B,2,FALSE),VLOOKUP($A250,'SegEnds_NonXtal_Prot#'!$A:$AL,22,FALSE)+6,1)</f>
        <v>A</v>
      </c>
      <c r="AB250" s="50" t="str">
        <f>MID(VLOOKUP($A250,Seqs!$A:$B,2,FALSE),VLOOKUP($A250,'SegEnds_NonXtal_Prot#'!$A:$AL,22,FALSE)+7,1)</f>
        <v>I</v>
      </c>
      <c r="AC250" s="50" t="str">
        <f>MID(VLOOKUP($A250,Seqs!$A:$B,2,FALSE),VLOOKUP($A250,'SegEnds_NonXtal_Prot#'!$A:$AL,22,FALSE)+8,1)</f>
        <v>S</v>
      </c>
      <c r="AD250" s="50" t="str">
        <f>MID(VLOOKUP($A250,Seqs!$A:$B,2,FALSE),VLOOKUP($A250,'SegEnds_NonXtal_Prot#'!$A:$AL,22,FALSE)+9,1)</f>
        <v>P</v>
      </c>
      <c r="AE250" s="50" t="str">
        <f>MID(VLOOKUP($A250,Seqs!$A:$B,2,FALSE),VLOOKUP($A250,'SegEnds_NonXtal_Prot#'!$A:$AL,22,FALSE)+10,1)</f>
        <v>I</v>
      </c>
      <c r="AF250" s="28" t="str">
        <f>MID(VLOOKUP($A250,Seqs!$A:$B,2,FALSE),VLOOKUP($A250,'SegEnds_NonXtal_Prot#'!$A:$AL,28,FALSE)-4,1)</f>
        <v>M</v>
      </c>
      <c r="AG250" s="50" t="str">
        <f>MID(VLOOKUP($A250,Seqs!$A:$B,2,FALSE),VLOOKUP($A250,'SegEnds_NonXtal_Prot#'!$A:$AL,28,FALSE),1)</f>
        <v>P</v>
      </c>
    </row>
    <row r="251" spans="1:33" s="2" customFormat="1" x14ac:dyDescent="0.2">
      <c r="A251" s="2" t="s">
        <v>346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G251" s="4"/>
      <c r="Q251" s="2" t="s">
        <v>9</v>
      </c>
      <c r="R251" s="2" t="s">
        <v>1328</v>
      </c>
      <c r="S251" s="4" t="s">
        <v>12</v>
      </c>
      <c r="U251" s="28" t="str">
        <f>MID(VLOOKUP($A251,Seqs!$A:$B,2,FALSE),VLOOKUP($A251,'SegEnds_NonXtal_Prot#'!A:AL,10,FALSE),1)</f>
        <v>D</v>
      </c>
      <c r="V251" s="50" t="str">
        <f>MID(VLOOKUP($A251,Seqs!$A:$B,2,FALSE),VLOOKUP($A251,'SegEnds_NonXtal_Prot#'!A:AL,10,FALSE)+6,1)</f>
        <v>S</v>
      </c>
      <c r="W251" s="50" t="str">
        <f>MID(VLOOKUP($A251,Seqs!$A:$B,2,FALSE),VLOOKUP($A251,'SegEnds_NonXtal_Prot#'!A:AL,10,FALSE)+7,1)</f>
        <v>L</v>
      </c>
      <c r="X251" s="50" t="str">
        <f>MID(VLOOKUP($A251,Seqs!$A:$B,2,FALSE),VLOOKUP($A251,'SegEnds_NonXtal_Prot#'!A:AL,10,FALSE)+8,1)</f>
        <v>P</v>
      </c>
      <c r="Y251" s="50" t="str">
        <f>MID(VLOOKUP($A251,Seqs!$A:$B,2,FALSE),VLOOKUP($A251,'SegEnds_NonXtal_Prot#'!A:AL,10,FALSE)+9,1)</f>
        <v>L</v>
      </c>
      <c r="Z251" s="50" t="str">
        <f>MID(VLOOKUP($A251,Seqs!$A:$B,2,FALSE),VLOOKUP($A251,'SegEnds_NonXtal_Prot#'!A:AL,10,FALSE)+10,1)</f>
        <v>L</v>
      </c>
      <c r="AA251" s="28" t="str">
        <f>MID(VLOOKUP($A251,Seqs!$A:$B,2,FALSE),VLOOKUP($A251,'SegEnds_NonXtal_Prot#'!$A:$AL,22,FALSE)+6,1)</f>
        <v>C</v>
      </c>
      <c r="AB251" s="50" t="str">
        <f>MID(VLOOKUP($A251,Seqs!$A:$B,2,FALSE),VLOOKUP($A251,'SegEnds_NonXtal_Prot#'!$A:$AL,22,FALSE)+7,1)</f>
        <v>Q</v>
      </c>
      <c r="AC251" s="50" t="str">
        <f>MID(VLOOKUP($A251,Seqs!$A:$B,2,FALSE),VLOOKUP($A251,'SegEnds_NonXtal_Prot#'!$A:$AL,22,FALSE)+8,1)</f>
        <v>A</v>
      </c>
      <c r="AD251" s="50" t="str">
        <f>MID(VLOOKUP($A251,Seqs!$A:$B,2,FALSE),VLOOKUP($A251,'SegEnds_NonXtal_Prot#'!$A:$AL,22,FALSE)+9,1)</f>
        <v>P</v>
      </c>
      <c r="AE251" s="50" t="str">
        <f>MID(VLOOKUP($A251,Seqs!$A:$B,2,FALSE),VLOOKUP($A251,'SegEnds_NonXtal_Prot#'!$A:$AL,22,FALSE)+10,1)</f>
        <v>V</v>
      </c>
      <c r="AF251" s="28" t="str">
        <f>MID(VLOOKUP($A251,Seqs!$A:$B,2,FALSE),VLOOKUP($A251,'SegEnds_NonXtal_Prot#'!$A:$AL,28,FALSE)-4,1)</f>
        <v>L</v>
      </c>
      <c r="AG251" s="50" t="str">
        <f>MID(VLOOKUP($A251,Seqs!$A:$B,2,FALSE),VLOOKUP($A251,'SegEnds_NonXtal_Prot#'!$A:$AL,28,FALSE),1)</f>
        <v>P</v>
      </c>
    </row>
    <row r="252" spans="1:33" s="2" customFormat="1" x14ac:dyDescent="0.2">
      <c r="A252" s="2" t="s">
        <v>347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NoXtal</v>
      </c>
      <c r="G252" s="4"/>
      <c r="Q252" s="2" t="s">
        <v>9</v>
      </c>
      <c r="R252" s="2" t="s">
        <v>1328</v>
      </c>
      <c r="S252" s="4" t="s">
        <v>12</v>
      </c>
      <c r="U252" s="28" t="str">
        <f>MID(VLOOKUP($A252,Seqs!$A:$B,2,FALSE),VLOOKUP($A252,'SegEnds_NonXtal_Prot#'!A:AL,10,FALSE),1)</f>
        <v>D</v>
      </c>
      <c r="V252" s="50" t="str">
        <f>MID(VLOOKUP($A252,Seqs!$A:$B,2,FALSE),VLOOKUP($A252,'SegEnds_NonXtal_Prot#'!A:AL,10,FALSE)+6,1)</f>
        <v>S</v>
      </c>
      <c r="W252" s="50" t="str">
        <f>MID(VLOOKUP($A252,Seqs!$A:$B,2,FALSE),VLOOKUP($A252,'SegEnds_NonXtal_Prot#'!A:AL,10,FALSE)+7,1)</f>
        <v>L</v>
      </c>
      <c r="X252" s="50" t="str">
        <f>MID(VLOOKUP($A252,Seqs!$A:$B,2,FALSE),VLOOKUP($A252,'SegEnds_NonXtal_Prot#'!A:AL,10,FALSE)+8,1)</f>
        <v>P</v>
      </c>
      <c r="Y252" s="50" t="str">
        <f>MID(VLOOKUP($A252,Seqs!$A:$B,2,FALSE),VLOOKUP($A252,'SegEnds_NonXtal_Prot#'!A:AL,10,FALSE)+9,1)</f>
        <v>T</v>
      </c>
      <c r="Z252" s="50" t="str">
        <f>MID(VLOOKUP($A252,Seqs!$A:$B,2,FALSE),VLOOKUP($A252,'SegEnds_NonXtal_Prot#'!A:AL,10,FALSE)+10,1)</f>
        <v>L</v>
      </c>
      <c r="AA252" s="28" t="str">
        <f>MID(VLOOKUP($A252,Seqs!$A:$B,2,FALSE),VLOOKUP($A252,'SegEnds_NonXtal_Prot#'!$A:$AL,22,FALSE)+6,1)</f>
        <v>C</v>
      </c>
      <c r="AB252" s="50" t="str">
        <f>MID(VLOOKUP($A252,Seqs!$A:$B,2,FALSE),VLOOKUP($A252,'SegEnds_NonXtal_Prot#'!$A:$AL,22,FALSE)+7,1)</f>
        <v>L</v>
      </c>
      <c r="AC252" s="50" t="str">
        <f>MID(VLOOKUP($A252,Seqs!$A:$B,2,FALSE),VLOOKUP($A252,'SegEnds_NonXtal_Prot#'!$A:$AL,22,FALSE)+8,1)</f>
        <v>V</v>
      </c>
      <c r="AD252" s="50" t="str">
        <f>MID(VLOOKUP($A252,Seqs!$A:$B,2,FALSE),VLOOKUP($A252,'SegEnds_NonXtal_Prot#'!$A:$AL,22,FALSE)+9,1)</f>
        <v>P</v>
      </c>
      <c r="AE252" s="50" t="str">
        <f>MID(VLOOKUP($A252,Seqs!$A:$B,2,FALSE),VLOOKUP($A252,'SegEnds_NonXtal_Prot#'!$A:$AL,22,FALSE)+10,1)</f>
        <v>N</v>
      </c>
      <c r="AF252" s="28" t="str">
        <f>MID(VLOOKUP($A252,Seqs!$A:$B,2,FALSE),VLOOKUP($A252,'SegEnds_NonXtal_Prot#'!$A:$AL,28,FALSE)-4,1)</f>
        <v>L</v>
      </c>
      <c r="AG252" s="50" t="str">
        <f>MID(VLOOKUP($A252,Seqs!$A:$B,2,FALSE),VLOOKUP($A252,'SegEnds_NonXtal_Prot#'!$A:$AL,28,FALSE),1)</f>
        <v>P</v>
      </c>
    </row>
    <row r="253" spans="1:33" s="2" customFormat="1" x14ac:dyDescent="0.2">
      <c r="A253" s="2" t="s">
        <v>348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G253" s="4"/>
      <c r="Q253" s="2" t="s">
        <v>9</v>
      </c>
      <c r="R253" s="2" t="s">
        <v>1328</v>
      </c>
      <c r="S253" s="4" t="s">
        <v>12</v>
      </c>
      <c r="U253" s="28" t="str">
        <f>MID(VLOOKUP($A253,Seqs!$A:$B,2,FALSE),VLOOKUP($A253,'SegEnds_NonXtal_Prot#'!A:AL,10,FALSE),1)</f>
        <v>D</v>
      </c>
      <c r="V253" s="50" t="str">
        <f>MID(VLOOKUP($A253,Seqs!$A:$B,2,FALSE),VLOOKUP($A253,'SegEnds_NonXtal_Prot#'!A:AL,10,FALSE)+6,1)</f>
        <v>S</v>
      </c>
      <c r="W253" s="50" t="str">
        <f>MID(VLOOKUP($A253,Seqs!$A:$B,2,FALSE),VLOOKUP($A253,'SegEnds_NonXtal_Prot#'!A:AL,10,FALSE)+7,1)</f>
        <v>L</v>
      </c>
      <c r="X253" s="50" t="str">
        <f>MID(VLOOKUP($A253,Seqs!$A:$B,2,FALSE),VLOOKUP($A253,'SegEnds_NonXtal_Prot#'!A:AL,10,FALSE)+8,1)</f>
        <v>P</v>
      </c>
      <c r="Y253" s="50" t="str">
        <f>MID(VLOOKUP($A253,Seqs!$A:$B,2,FALSE),VLOOKUP($A253,'SegEnds_NonXtal_Prot#'!A:AL,10,FALSE)+9,1)</f>
        <v>L</v>
      </c>
      <c r="Z253" s="50" t="str">
        <f>MID(VLOOKUP($A253,Seqs!$A:$B,2,FALSE),VLOOKUP($A253,'SegEnds_NonXtal_Prot#'!A:AL,10,FALSE)+10,1)</f>
        <v>L</v>
      </c>
      <c r="AA253" s="28" t="str">
        <f>MID(VLOOKUP($A253,Seqs!$A:$B,2,FALSE),VLOOKUP($A253,'SegEnds_NonXtal_Prot#'!$A:$AL,22,FALSE)+6,1)</f>
        <v>Q</v>
      </c>
      <c r="AB253" s="50" t="str">
        <f>MID(VLOOKUP($A253,Seqs!$A:$B,2,FALSE),VLOOKUP($A253,'SegEnds_NonXtal_Prot#'!$A:$AL,22,FALSE)+7,1)</f>
        <v>C</v>
      </c>
      <c r="AC253" s="50" t="str">
        <f>MID(VLOOKUP($A253,Seqs!$A:$B,2,FALSE),VLOOKUP($A253,'SegEnds_NonXtal_Prot#'!$A:$AL,22,FALSE)+8,1)</f>
        <v>L</v>
      </c>
      <c r="AD253" s="50" t="str">
        <f>MID(VLOOKUP($A253,Seqs!$A:$B,2,FALSE),VLOOKUP($A253,'SegEnds_NonXtal_Prot#'!$A:$AL,22,FALSE)+9,1)</f>
        <v>P</v>
      </c>
      <c r="AE253" s="50" t="str">
        <f>MID(VLOOKUP($A253,Seqs!$A:$B,2,FALSE),VLOOKUP($A253,'SegEnds_NonXtal_Prot#'!$A:$AL,22,FALSE)+10,1)</f>
        <v>T</v>
      </c>
      <c r="AF253" s="28" t="str">
        <f>MID(VLOOKUP($A253,Seqs!$A:$B,2,FALSE),VLOOKUP($A253,'SegEnds_NonXtal_Prot#'!$A:$AL,28,FALSE)-4,1)</f>
        <v>G</v>
      </c>
      <c r="AG253" s="50" t="str">
        <f>MID(VLOOKUP($A253,Seqs!$A:$B,2,FALSE),VLOOKUP($A253,'SegEnds_NonXtal_Prot#'!$A:$AL,28,FALSE),1)</f>
        <v>P</v>
      </c>
    </row>
    <row r="254" spans="1:33" s="2" customFormat="1" x14ac:dyDescent="0.2">
      <c r="A254" s="2" t="s">
        <v>350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G254" s="4"/>
      <c r="Q254" s="2" t="s">
        <v>9</v>
      </c>
      <c r="R254" s="2" t="s">
        <v>1328</v>
      </c>
      <c r="S254" s="4" t="s">
        <v>12</v>
      </c>
      <c r="U254" s="28" t="str">
        <f>MID(VLOOKUP($A254,Seqs!$A:$B,2,FALSE),VLOOKUP($A254,'SegEnds_NonXtal_Prot#'!A:AL,10,FALSE),1)</f>
        <v>D</v>
      </c>
      <c r="V254" s="50" t="str">
        <f>MID(VLOOKUP($A254,Seqs!$A:$B,2,FALSE),VLOOKUP($A254,'SegEnds_NonXtal_Prot#'!A:AL,10,FALSE)+6,1)</f>
        <v>S</v>
      </c>
      <c r="W254" s="50" t="str">
        <f>MID(VLOOKUP($A254,Seqs!$A:$B,2,FALSE),VLOOKUP($A254,'SegEnds_NonXtal_Prot#'!A:AL,10,FALSE)+7,1)</f>
        <v>L</v>
      </c>
      <c r="X254" s="50" t="str">
        <f>MID(VLOOKUP($A254,Seqs!$A:$B,2,FALSE),VLOOKUP($A254,'SegEnds_NonXtal_Prot#'!A:AL,10,FALSE)+8,1)</f>
        <v>P</v>
      </c>
      <c r="Y254" s="50" t="str">
        <f>MID(VLOOKUP($A254,Seqs!$A:$B,2,FALSE),VLOOKUP($A254,'SegEnds_NonXtal_Prot#'!A:AL,10,FALSE)+9,1)</f>
        <v>L</v>
      </c>
      <c r="Z254" s="50" t="str">
        <f>MID(VLOOKUP($A254,Seqs!$A:$B,2,FALSE),VLOOKUP($A254,'SegEnds_NonXtal_Prot#'!A:AL,10,FALSE)+10,1)</f>
        <v>R</v>
      </c>
      <c r="AA254" s="28" t="str">
        <f>MID(VLOOKUP($A254,Seqs!$A:$B,2,FALSE),VLOOKUP($A254,'SegEnds_NonXtal_Prot#'!$A:$AL,22,FALSE)+6,1)</f>
        <v>A</v>
      </c>
      <c r="AB254" s="50" t="str">
        <f>MID(VLOOKUP($A254,Seqs!$A:$B,2,FALSE),VLOOKUP($A254,'SegEnds_NonXtal_Prot#'!$A:$AL,22,FALSE)+7,1)</f>
        <v>C</v>
      </c>
      <c r="AC254" s="50" t="str">
        <f>MID(VLOOKUP($A254,Seqs!$A:$B,2,FALSE),VLOOKUP($A254,'SegEnds_NonXtal_Prot#'!$A:$AL,22,FALSE)+8,1)</f>
        <v>L</v>
      </c>
      <c r="AD254" s="50" t="str">
        <f>MID(VLOOKUP($A254,Seqs!$A:$B,2,FALSE),VLOOKUP($A254,'SegEnds_NonXtal_Prot#'!$A:$AL,22,FALSE)+9,1)</f>
        <v>P</v>
      </c>
      <c r="AE254" s="50" t="str">
        <f>MID(VLOOKUP($A254,Seqs!$A:$B,2,FALSE),VLOOKUP($A254,'SegEnds_NonXtal_Prot#'!$A:$AL,22,FALSE)+10,1)</f>
        <v>F</v>
      </c>
      <c r="AF254" s="28" t="str">
        <f>MID(VLOOKUP($A254,Seqs!$A:$B,2,FALSE),VLOOKUP($A254,'SegEnds_NonXtal_Prot#'!$A:$AL,28,FALSE)-4,1)</f>
        <v>G</v>
      </c>
      <c r="AG254" s="50" t="str">
        <f>MID(VLOOKUP($A254,Seqs!$A:$B,2,FALSE),VLOOKUP($A254,'SegEnds_NonXtal_Prot#'!$A:$AL,28,FALSE),1)</f>
        <v>P</v>
      </c>
    </row>
    <row r="255" spans="1:33" s="2" customFormat="1" x14ac:dyDescent="0.2">
      <c r="A255" s="2" t="s">
        <v>351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G255" s="4"/>
      <c r="Q255" s="2" t="s">
        <v>9</v>
      </c>
      <c r="R255" s="2" t="s">
        <v>1328</v>
      </c>
      <c r="S255" s="4" t="s">
        <v>12</v>
      </c>
      <c r="U255" s="28" t="str">
        <f>MID(VLOOKUP($A255,Seqs!$A:$B,2,FALSE),VLOOKUP($A255,'SegEnds_NonXtal_Prot#'!A:AL,10,FALSE),1)</f>
        <v>D</v>
      </c>
      <c r="V255" s="50" t="str">
        <f>MID(VLOOKUP($A255,Seqs!$A:$B,2,FALSE),VLOOKUP($A255,'SegEnds_NonXtal_Prot#'!A:AL,10,FALSE)+6,1)</f>
        <v>T</v>
      </c>
      <c r="W255" s="50" t="str">
        <f>MID(VLOOKUP($A255,Seqs!$A:$B,2,FALSE),VLOOKUP($A255,'SegEnds_NonXtal_Prot#'!A:AL,10,FALSE)+7,1)</f>
        <v>L</v>
      </c>
      <c r="X255" s="50" t="str">
        <f>MID(VLOOKUP($A255,Seqs!$A:$B,2,FALSE),VLOOKUP($A255,'SegEnds_NonXtal_Prot#'!A:AL,10,FALSE)+8,1)</f>
        <v>P</v>
      </c>
      <c r="Y255" s="50" t="str">
        <f>MID(VLOOKUP($A255,Seqs!$A:$B,2,FALSE),VLOOKUP($A255,'SegEnds_NonXtal_Prot#'!A:AL,10,FALSE)+9,1)</f>
        <v>P</v>
      </c>
      <c r="Z255" s="50" t="str">
        <f>MID(VLOOKUP($A255,Seqs!$A:$B,2,FALSE),VLOOKUP($A255,'SegEnds_NonXtal_Prot#'!A:AL,10,FALSE)+10,1)</f>
        <v>L</v>
      </c>
      <c r="AA255" s="28" t="str">
        <f>MID(VLOOKUP($A255,Seqs!$A:$B,2,FALSE),VLOOKUP($A255,'SegEnds_NonXtal_Prot#'!$A:$AL,22,FALSE)+6,1)</f>
        <v>L</v>
      </c>
      <c r="AB255" s="50" t="str">
        <f>MID(VLOOKUP($A255,Seqs!$A:$B,2,FALSE),VLOOKUP($A255,'SegEnds_NonXtal_Prot#'!$A:$AL,22,FALSE)+7,1)</f>
        <v>A</v>
      </c>
      <c r="AC255" s="50" t="str">
        <f>MID(VLOOKUP($A255,Seqs!$A:$B,2,FALSE),VLOOKUP($A255,'SegEnds_NonXtal_Prot#'!$A:$AL,22,FALSE)+8,1)</f>
        <v>M</v>
      </c>
      <c r="AD255" s="50" t="str">
        <f>MID(VLOOKUP($A255,Seqs!$A:$B,2,FALSE),VLOOKUP($A255,'SegEnds_NonXtal_Prot#'!$A:$AL,22,FALSE)+9,1)</f>
        <v>P</v>
      </c>
      <c r="AE255" s="50" t="str">
        <f>MID(VLOOKUP($A255,Seqs!$A:$B,2,FALSE),VLOOKUP($A255,'SegEnds_NonXtal_Prot#'!$A:$AL,22,FALSE)+10,1)</f>
        <v>T</v>
      </c>
      <c r="AF255" s="28" t="str">
        <f>MID(VLOOKUP($A255,Seqs!$A:$B,2,FALSE),VLOOKUP($A255,'SegEnds_NonXtal_Prot#'!$A:$AL,28,FALSE)-4,1)</f>
        <v>G</v>
      </c>
      <c r="AG255" s="50" t="str">
        <f>MID(VLOOKUP($A255,Seqs!$A:$B,2,FALSE),VLOOKUP($A255,'SegEnds_NonXtal_Prot#'!$A:$AL,28,FALSE),1)</f>
        <v>P</v>
      </c>
    </row>
    <row r="256" spans="1:33" s="2" customFormat="1" x14ac:dyDescent="0.2">
      <c r="A256" s="2" t="s">
        <v>370</v>
      </c>
      <c r="B256" s="2" t="str">
        <f>LOWER(VLOOKUP(A256,Xtal_Templ!A:B,2,FALSE))</f>
        <v>p2ry1_human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G256" s="4"/>
      <c r="Q256" s="2" t="s">
        <v>9</v>
      </c>
      <c r="S256" s="4" t="s">
        <v>12</v>
      </c>
      <c r="U256" s="28" t="str">
        <f>MID(VLOOKUP($A256,Seqs!$A:$B,2,FALSE),VLOOKUP($A256,'SegEnds_NonXtal_Prot#'!A:AL,10,FALSE),1)</f>
        <v>D</v>
      </c>
      <c r="V256" s="50" t="str">
        <f>MID(VLOOKUP($A256,Seqs!$A:$B,2,FALSE),VLOOKUP($A256,'SegEnds_NonXtal_Prot#'!A:AL,10,FALSE)+6,1)</f>
        <v>T</v>
      </c>
      <c r="W256" s="50" t="str">
        <f>MID(VLOOKUP($A256,Seqs!$A:$B,2,FALSE),VLOOKUP($A256,'SegEnds_NonXtal_Prot#'!A:AL,10,FALSE)+7,1)</f>
        <v>L</v>
      </c>
      <c r="X256" s="50" t="str">
        <f>MID(VLOOKUP($A256,Seqs!$A:$B,2,FALSE),VLOOKUP($A256,'SegEnds_NonXtal_Prot#'!A:AL,10,FALSE)+8,1)</f>
        <v>P</v>
      </c>
      <c r="Y256" s="50" t="str">
        <f>MID(VLOOKUP($A256,Seqs!$A:$B,2,FALSE),VLOOKUP($A256,'SegEnds_NonXtal_Prot#'!A:AL,10,FALSE)+9,1)</f>
        <v>L</v>
      </c>
      <c r="Z256" s="50" t="str">
        <f>MID(VLOOKUP($A256,Seqs!$A:$B,2,FALSE),VLOOKUP($A256,'SegEnds_NonXtal_Prot#'!A:AL,10,FALSE)+10,1)</f>
        <v>W</v>
      </c>
      <c r="AA256" s="28" t="str">
        <f>MID(VLOOKUP($A256,Seqs!$A:$B,2,FALSE),VLOOKUP($A256,'SegEnds_NonXtal_Prot#'!$A:$AL,22,FALSE)+6,1)</f>
        <v>F</v>
      </c>
      <c r="AB256" s="50" t="str">
        <f>MID(VLOOKUP($A256,Seqs!$A:$B,2,FALSE),VLOOKUP($A256,'SegEnds_NonXtal_Prot#'!$A:$AL,22,FALSE)+7,1)</f>
        <v>N</v>
      </c>
      <c r="AC256" s="50" t="str">
        <f>MID(VLOOKUP($A256,Seqs!$A:$B,2,FALSE),VLOOKUP($A256,'SegEnds_NonXtal_Prot#'!$A:$AL,22,FALSE)+8,1)</f>
        <v>A</v>
      </c>
      <c r="AD256" s="50" t="str">
        <f>MID(VLOOKUP($A256,Seqs!$A:$B,2,FALSE),VLOOKUP($A256,'SegEnds_NonXtal_Prot#'!$A:$AL,22,FALSE)+9,1)</f>
        <v>V</v>
      </c>
      <c r="AE256" s="50" t="str">
        <f>MID(VLOOKUP($A256,Seqs!$A:$B,2,FALSE),VLOOKUP($A256,'SegEnds_NonXtal_Prot#'!$A:$AL,22,FALSE)+10,1)</f>
        <v>M</v>
      </c>
      <c r="AF256" s="28" t="str">
        <f>MID(VLOOKUP($A256,Seqs!$A:$B,2,FALSE),VLOOKUP($A256,'SegEnds_NonXtal_Prot#'!$A:$AL,28,FALSE)-4,1)</f>
        <v>G</v>
      </c>
      <c r="AG256" s="50" t="str">
        <f>MID(VLOOKUP($A256,Seqs!$A:$B,2,FALSE),VLOOKUP($A256,'SegEnds_NonXtal_Prot#'!$A:$AL,28,FALSE),1)</f>
        <v>P</v>
      </c>
    </row>
    <row r="257" spans="1:33" s="2" customFormat="1" x14ac:dyDescent="0.2">
      <c r="A257" s="2" t="s">
        <v>386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G257" s="4"/>
      <c r="M257" s="2" t="s">
        <v>14</v>
      </c>
      <c r="Q257" s="2" t="s">
        <v>9</v>
      </c>
      <c r="S257" s="4" t="s">
        <v>12</v>
      </c>
      <c r="U257" s="28" t="str">
        <f>MID(VLOOKUP($A257,Seqs!$A:$B,2,FALSE),VLOOKUP($A257,'SegEnds_NonXtal_Prot#'!A:AL,10,FALSE),1)</f>
        <v>D</v>
      </c>
      <c r="V257" s="50" t="str">
        <f>MID(VLOOKUP($A257,Seqs!$A:$B,2,FALSE),VLOOKUP($A257,'SegEnds_NonXtal_Prot#'!A:AL,10,FALSE)+6,1)</f>
        <v>T</v>
      </c>
      <c r="W257" s="50" t="str">
        <f>MID(VLOOKUP($A257,Seqs!$A:$B,2,FALSE),VLOOKUP($A257,'SegEnds_NonXtal_Prot#'!A:AL,10,FALSE)+7,1)</f>
        <v>L</v>
      </c>
      <c r="X257" s="50" t="str">
        <f>MID(VLOOKUP($A257,Seqs!$A:$B,2,FALSE),VLOOKUP($A257,'SegEnds_NonXtal_Prot#'!A:AL,10,FALSE)+8,1)</f>
        <v>P</v>
      </c>
      <c r="Y257" s="50" t="str">
        <f>MID(VLOOKUP($A257,Seqs!$A:$B,2,FALSE),VLOOKUP($A257,'SegEnds_NonXtal_Prot#'!A:AL,10,FALSE)+9,1)</f>
        <v>M</v>
      </c>
      <c r="Z257" s="50" t="str">
        <f>MID(VLOOKUP($A257,Seqs!$A:$B,2,FALSE),VLOOKUP($A257,'SegEnds_NonXtal_Prot#'!A:AL,10,FALSE)+10,1)</f>
        <v>L</v>
      </c>
      <c r="AA257" s="28" t="str">
        <f>MID(VLOOKUP($A257,Seqs!$A:$B,2,FALSE),VLOOKUP($A257,'SegEnds_NonXtal_Prot#'!$A:$AL,22,FALSE)+6,1)</f>
        <v>E</v>
      </c>
      <c r="AB257" s="50" t="str">
        <f>MID(VLOOKUP($A257,Seqs!$A:$B,2,FALSE),VLOOKUP($A257,'SegEnds_NonXtal_Prot#'!$A:$AL,22,FALSE)+7,1)</f>
        <v>L</v>
      </c>
      <c r="AC257" s="50" t="str">
        <f>MID(VLOOKUP($A257,Seqs!$A:$B,2,FALSE),VLOOKUP($A257,'SegEnds_NonXtal_Prot#'!$A:$AL,22,FALSE)+8,1)</f>
        <v>L</v>
      </c>
      <c r="AD257" s="50" t="str">
        <f>MID(VLOOKUP($A257,Seqs!$A:$B,2,FALSE),VLOOKUP($A257,'SegEnds_NonXtal_Prot#'!$A:$AL,22,FALSE)+9,1)</f>
        <v>P</v>
      </c>
      <c r="AE257" s="50" t="str">
        <f>MID(VLOOKUP($A257,Seqs!$A:$B,2,FALSE),VLOOKUP($A257,'SegEnds_NonXtal_Prot#'!$A:$AL,22,FALSE)+10,1)</f>
        <v>I</v>
      </c>
      <c r="AF257" s="28" t="str">
        <f>MID(VLOOKUP($A257,Seqs!$A:$B,2,FALSE),VLOOKUP($A257,'SegEnds_NonXtal_Prot#'!$A:$AL,28,FALSE)-4,1)</f>
        <v>G</v>
      </c>
      <c r="AG257" s="50" t="str">
        <f>MID(VLOOKUP($A257,Seqs!$A:$B,2,FALSE),VLOOKUP($A257,'SegEnds_NonXtal_Prot#'!$A:$AL,28,FALSE),1)</f>
        <v>P</v>
      </c>
    </row>
    <row r="258" spans="1:33" s="2" customFormat="1" x14ac:dyDescent="0.2">
      <c r="A258" s="2" t="s">
        <v>229</v>
      </c>
      <c r="B258" s="2" t="str">
        <f>LOWER(VLOOKUP(A258,Xtal_Templ!A:B,2,FALSE))</f>
        <v>p2y12_human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G258" s="4"/>
      <c r="M258" s="2" t="s">
        <v>14</v>
      </c>
      <c r="S258" s="4" t="s">
        <v>12</v>
      </c>
      <c r="U258" s="28" t="str">
        <f>MID(VLOOKUP($A258,Seqs!$A:$B,2,FALSE),VLOOKUP($A258,'SegEnds_NonXtal_Prot#'!A:AL,10,FALSE),1)</f>
        <v>D</v>
      </c>
      <c r="V258" s="50" t="str">
        <f>MID(VLOOKUP($A258,Seqs!$A:$B,2,FALSE),VLOOKUP($A258,'SegEnds_NonXtal_Prot#'!A:AL,10,FALSE)+6,1)</f>
        <v>A</v>
      </c>
      <c r="W258" s="50" t="str">
        <f>MID(VLOOKUP($A258,Seqs!$A:$B,2,FALSE),VLOOKUP($A258,'SegEnds_NonXtal_Prot#'!A:AL,10,FALSE)+7,1)</f>
        <v>L</v>
      </c>
      <c r="X258" s="50" t="str">
        <f>MID(VLOOKUP($A258,Seqs!$A:$B,2,FALSE),VLOOKUP($A258,'SegEnds_NonXtal_Prot#'!A:AL,10,FALSE)+8,1)</f>
        <v>P</v>
      </c>
      <c r="Y258" s="50" t="str">
        <f>MID(VLOOKUP($A258,Seqs!$A:$B,2,FALSE),VLOOKUP($A258,'SegEnds_NonXtal_Prot#'!A:AL,10,FALSE)+9,1)</f>
        <v>V</v>
      </c>
      <c r="Z258" s="50" t="str">
        <f>MID(VLOOKUP($A258,Seqs!$A:$B,2,FALSE),VLOOKUP($A258,'SegEnds_NonXtal_Prot#'!A:AL,10,FALSE)+10,1)</f>
        <v>K</v>
      </c>
      <c r="AA258" s="28" t="str">
        <f>MID(VLOOKUP($A258,Seqs!$A:$B,2,FALSE),VLOOKUP($A258,'SegEnds_NonXtal_Prot#'!$A:$AL,22,FALSE)+6,1)</f>
        <v>I</v>
      </c>
      <c r="AB258" s="50" t="str">
        <f>MID(VLOOKUP($A258,Seqs!$A:$B,2,FALSE),VLOOKUP($A258,'SegEnds_NonXtal_Prot#'!$A:$AL,22,FALSE)+7,1)</f>
        <v>M</v>
      </c>
      <c r="AC258" s="50" t="str">
        <f>MID(VLOOKUP($A258,Seqs!$A:$B,2,FALSE),VLOOKUP($A258,'SegEnds_NonXtal_Prot#'!$A:$AL,22,FALSE)+8,1)</f>
        <v>V</v>
      </c>
      <c r="AD258" s="50" t="str">
        <f>MID(VLOOKUP($A258,Seqs!$A:$B,2,FALSE),VLOOKUP($A258,'SegEnds_NonXtal_Prot#'!$A:$AL,22,FALSE)+9,1)</f>
        <v>P</v>
      </c>
      <c r="AE258" s="50" t="str">
        <f>MID(VLOOKUP($A258,Seqs!$A:$B,2,FALSE),VLOOKUP($A258,'SegEnds_NonXtal_Prot#'!$A:$AL,22,FALSE)+10,1)</f>
        <v>N</v>
      </c>
      <c r="AF258" s="28" t="str">
        <f>MID(VLOOKUP($A258,Seqs!$A:$B,2,FALSE),VLOOKUP($A258,'SegEnds_NonXtal_Prot#'!$A:$AL,28,FALSE)-4,1)</f>
        <v>I</v>
      </c>
      <c r="AG258" s="50" t="str">
        <f>MID(VLOOKUP($A258,Seqs!$A:$B,2,FALSE),VLOOKUP($A258,'SegEnds_NonXtal_Prot#'!$A:$AL,28,FALSE),1)</f>
        <v>F</v>
      </c>
    </row>
    <row r="259" spans="1:33" s="2" customFormat="1" x14ac:dyDescent="0.2">
      <c r="A259" s="2" t="s">
        <v>234</v>
      </c>
      <c r="B259" s="2" t="str">
        <f>LOWER(VLOOKUP(A259,Xtal_Templ!A:B,2,FALSE))</f>
        <v>oprk_human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G259" s="4"/>
      <c r="M259" s="2" t="s">
        <v>14</v>
      </c>
      <c r="Q259" s="2" t="s">
        <v>9</v>
      </c>
      <c r="S259" s="4" t="s">
        <v>12</v>
      </c>
      <c r="U259" s="28" t="str">
        <f>MID(VLOOKUP($A259,Seqs!$A:$B,2,FALSE),VLOOKUP($A259,'SegEnds_NonXtal_Prot#'!A:AL,10,FALSE),1)</f>
        <v>D</v>
      </c>
      <c r="V259" s="50" t="str">
        <f>MID(VLOOKUP($A259,Seqs!$A:$B,2,FALSE),VLOOKUP($A259,'SegEnds_NonXtal_Prot#'!A:AL,10,FALSE)+6,1)</f>
        <v>A</v>
      </c>
      <c r="W259" s="50" t="str">
        <f>MID(VLOOKUP($A259,Seqs!$A:$B,2,FALSE),VLOOKUP($A259,'SegEnds_NonXtal_Prot#'!A:AL,10,FALSE)+7,1)</f>
        <v>L</v>
      </c>
      <c r="X259" s="50" t="str">
        <f>MID(VLOOKUP($A259,Seqs!$A:$B,2,FALSE),VLOOKUP($A259,'SegEnds_NonXtal_Prot#'!A:AL,10,FALSE)+8,1)</f>
        <v>P</v>
      </c>
      <c r="Y259" s="50" t="str">
        <f>MID(VLOOKUP($A259,Seqs!$A:$B,2,FALSE),VLOOKUP($A259,'SegEnds_NonXtal_Prot#'!A:AL,10,FALSE)+9,1)</f>
        <v>T</v>
      </c>
      <c r="Z259" s="50" t="str">
        <f>MID(VLOOKUP($A259,Seqs!$A:$B,2,FALSE),VLOOKUP($A259,'SegEnds_NonXtal_Prot#'!A:AL,10,FALSE)+10,1)</f>
        <v>R</v>
      </c>
      <c r="AA259" s="28" t="str">
        <f>MID(VLOOKUP($A259,Seqs!$A:$B,2,FALSE),VLOOKUP($A259,'SegEnds_NonXtal_Prot#'!$A:$AL,22,FALSE)+6,1)</f>
        <v>Q</v>
      </c>
      <c r="AB259" s="50" t="str">
        <f>MID(VLOOKUP($A259,Seqs!$A:$B,2,FALSE),VLOOKUP($A259,'SegEnds_NonXtal_Prot#'!$A:$AL,22,FALSE)+7,1)</f>
        <v>T</v>
      </c>
      <c r="AC259" s="50" t="str">
        <f>MID(VLOOKUP($A259,Seqs!$A:$B,2,FALSE),VLOOKUP($A259,'SegEnds_NonXtal_Prot#'!$A:$AL,22,FALSE)+8,1)</f>
        <v>L</v>
      </c>
      <c r="AD259" s="50" t="str">
        <f>MID(VLOOKUP($A259,Seqs!$A:$B,2,FALSE),VLOOKUP($A259,'SegEnds_NonXtal_Prot#'!$A:$AL,22,FALSE)+9,1)</f>
        <v>P</v>
      </c>
      <c r="AE259" s="50" t="str">
        <f>MID(VLOOKUP($A259,Seqs!$A:$B,2,FALSE),VLOOKUP($A259,'SegEnds_NonXtal_Prot#'!$A:$AL,22,FALSE)+10,1)</f>
        <v>L</v>
      </c>
      <c r="AF259" s="28" t="str">
        <f>MID(VLOOKUP($A259,Seqs!$A:$B,2,FALSE),VLOOKUP($A259,'SegEnds_NonXtal_Prot#'!$A:$AL,28,FALSE)-4,1)</f>
        <v>G</v>
      </c>
      <c r="AG259" s="50" t="str">
        <f>MID(VLOOKUP($A259,Seqs!$A:$B,2,FALSE),VLOOKUP($A259,'SegEnds_NonXtal_Prot#'!$A:$AL,28,FALSE),1)</f>
        <v>P</v>
      </c>
    </row>
    <row r="260" spans="1:33" s="2" customFormat="1" x14ac:dyDescent="0.2">
      <c r="A260" s="2" t="s">
        <v>253</v>
      </c>
      <c r="B260" s="2" t="str">
        <f>LOWER(VLOOKUP(A260,Xtal_Templ!A:B,2,FALSE))</f>
        <v>par1_human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G260" s="4"/>
      <c r="S260" s="4" t="s">
        <v>12</v>
      </c>
      <c r="U260" s="28" t="str">
        <f>MID(VLOOKUP($A260,Seqs!$A:$B,2,FALSE),VLOOKUP($A260,'SegEnds_NonXtal_Prot#'!A:AL,10,FALSE),1)</f>
        <v>D</v>
      </c>
      <c r="V260" s="50" t="str">
        <f>MID(VLOOKUP($A260,Seqs!$A:$B,2,FALSE),VLOOKUP($A260,'SegEnds_NonXtal_Prot#'!A:AL,10,FALSE)+6,1)</f>
        <v>C</v>
      </c>
      <c r="W260" s="50" t="str">
        <f>MID(VLOOKUP($A260,Seqs!$A:$B,2,FALSE),VLOOKUP($A260,'SegEnds_NonXtal_Prot#'!A:AL,10,FALSE)+7,1)</f>
        <v>L</v>
      </c>
      <c r="X260" s="50" t="str">
        <f>MID(VLOOKUP($A260,Seqs!$A:$B,2,FALSE),VLOOKUP($A260,'SegEnds_NonXtal_Prot#'!A:AL,10,FALSE)+8,1)</f>
        <v>P</v>
      </c>
      <c r="Y260" s="50" t="str">
        <f>MID(VLOOKUP($A260,Seqs!$A:$B,2,FALSE),VLOOKUP($A260,'SegEnds_NonXtal_Prot#'!A:AL,10,FALSE)+9,1)</f>
        <v>F</v>
      </c>
      <c r="Z260" s="50" t="str">
        <f>MID(VLOOKUP($A260,Seqs!$A:$B,2,FALSE),VLOOKUP($A260,'SegEnds_NonXtal_Prot#'!A:AL,10,FALSE)+10,1)</f>
        <v>R</v>
      </c>
      <c r="AA260" s="28" t="str">
        <f>MID(VLOOKUP($A260,Seqs!$A:$B,2,FALSE),VLOOKUP($A260,'SegEnds_NonXtal_Prot#'!$A:$AL,22,FALSE)+6,1)</f>
        <v>G</v>
      </c>
      <c r="AB260" s="50" t="str">
        <f>MID(VLOOKUP($A260,Seqs!$A:$B,2,FALSE),VLOOKUP($A260,'SegEnds_NonXtal_Prot#'!$A:$AL,22,FALSE)+7,1)</f>
        <v>F</v>
      </c>
      <c r="AC260" s="50" t="str">
        <f>MID(VLOOKUP($A260,Seqs!$A:$B,2,FALSE),VLOOKUP($A260,'SegEnds_NonXtal_Prot#'!$A:$AL,22,FALSE)+8,1)</f>
        <v>L</v>
      </c>
      <c r="AD260" s="50" t="str">
        <f>MID(VLOOKUP($A260,Seqs!$A:$B,2,FALSE),VLOOKUP($A260,'SegEnds_NonXtal_Prot#'!$A:$AL,22,FALSE)+9,1)</f>
        <v>T</v>
      </c>
      <c r="AE260" s="50" t="str">
        <f>MID(VLOOKUP($A260,Seqs!$A:$B,2,FALSE),VLOOKUP($A260,'SegEnds_NonXtal_Prot#'!$A:$AL,22,FALSE)+10,1)</f>
        <v>M</v>
      </c>
      <c r="AF260" s="28" t="str">
        <f>MID(VLOOKUP($A260,Seqs!$A:$B,2,FALSE),VLOOKUP($A260,'SegEnds_NonXtal_Prot#'!$A:$AL,28,FALSE)-4,1)</f>
        <v>M</v>
      </c>
      <c r="AG260" s="50" t="str">
        <f>MID(VLOOKUP($A260,Seqs!$A:$B,2,FALSE),VLOOKUP($A260,'SegEnds_NonXtal_Prot#'!$A:$AL,28,FALSE),1)</f>
        <v>I</v>
      </c>
    </row>
    <row r="261" spans="1:33" s="2" customFormat="1" x14ac:dyDescent="0.2">
      <c r="A261" s="2" t="s">
        <v>272</v>
      </c>
      <c r="B261" s="2" t="str">
        <f>LOWER(VLOOKUP(A261,Xtal_Templ!A:B,2,FALSE))</f>
        <v>p2y12_human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G261" s="4"/>
      <c r="M261" s="2" t="s">
        <v>14</v>
      </c>
      <c r="S261" s="4" t="s">
        <v>12</v>
      </c>
      <c r="U261" s="28" t="str">
        <f>MID(VLOOKUP($A261,Seqs!$A:$B,2,FALSE),VLOOKUP($A261,'SegEnds_NonXtal_Prot#'!A:AL,10,FALSE),1)</f>
        <v>D</v>
      </c>
      <c r="V261" s="50" t="str">
        <f>MID(VLOOKUP($A261,Seqs!$A:$B,2,FALSE),VLOOKUP($A261,'SegEnds_NonXtal_Prot#'!A:AL,10,FALSE)+6,1)</f>
        <v>T</v>
      </c>
      <c r="W261" s="50" t="str">
        <f>MID(VLOOKUP($A261,Seqs!$A:$B,2,FALSE),VLOOKUP($A261,'SegEnds_NonXtal_Prot#'!A:AL,10,FALSE)+7,1)</f>
        <v>F</v>
      </c>
      <c r="X261" s="50" t="str">
        <f>MID(VLOOKUP($A261,Seqs!$A:$B,2,FALSE),VLOOKUP($A261,'SegEnds_NonXtal_Prot#'!A:AL,10,FALSE)+8,1)</f>
        <v>P</v>
      </c>
      <c r="Y261" s="50" t="str">
        <f>MID(VLOOKUP($A261,Seqs!$A:$B,2,FALSE),VLOOKUP($A261,'SegEnds_NonXtal_Prot#'!A:AL,10,FALSE)+9,1)</f>
        <v>F</v>
      </c>
      <c r="Z261" s="50" t="str">
        <f>MID(VLOOKUP($A261,Seqs!$A:$B,2,FALSE),VLOOKUP($A261,'SegEnds_NonXtal_Prot#'!A:AL,10,FALSE)+10,1)</f>
        <v>R</v>
      </c>
      <c r="AA261" s="28" t="str">
        <f>MID(VLOOKUP($A261,Seqs!$A:$B,2,FALSE),VLOOKUP($A261,'SegEnds_NonXtal_Prot#'!$A:$AL,22,FALSE)+6,1)</f>
        <v>L</v>
      </c>
      <c r="AB261" s="50" t="str">
        <f>MID(VLOOKUP($A261,Seqs!$A:$B,2,FALSE),VLOOKUP($A261,'SegEnds_NonXtal_Prot#'!$A:$AL,22,FALSE)+7,1)</f>
        <v>S</v>
      </c>
      <c r="AC261" s="50" t="str">
        <f>MID(VLOOKUP($A261,Seqs!$A:$B,2,FALSE),VLOOKUP($A261,'SegEnds_NonXtal_Prot#'!$A:$AL,22,FALSE)+8,1)</f>
        <v>L</v>
      </c>
      <c r="AD261" s="50" t="str">
        <f>MID(VLOOKUP($A261,Seqs!$A:$B,2,FALSE),VLOOKUP($A261,'SegEnds_NonXtal_Prot#'!$A:$AL,22,FALSE)+9,1)</f>
        <v>P</v>
      </c>
      <c r="AE261" s="50" t="str">
        <f>MID(VLOOKUP($A261,Seqs!$A:$B,2,FALSE),VLOOKUP($A261,'SegEnds_NonXtal_Prot#'!$A:$AL,22,FALSE)+10,1)</f>
        <v>N</v>
      </c>
      <c r="AF261" s="28" t="str">
        <f>MID(VLOOKUP($A261,Seqs!$A:$B,2,FALSE),VLOOKUP($A261,'SegEnds_NonXtal_Prot#'!$A:$AL,28,FALSE)-4,1)</f>
        <v>L</v>
      </c>
      <c r="AG261" s="50" t="str">
        <f>MID(VLOOKUP($A261,Seqs!$A:$B,2,FALSE),VLOOKUP($A261,'SegEnds_NonXtal_Prot#'!$A:$AL,28,FALSE),1)</f>
        <v>V</v>
      </c>
    </row>
    <row r="262" spans="1:33" s="2" customFormat="1" x14ac:dyDescent="0.2">
      <c r="A262" s="2" t="s">
        <v>307</v>
      </c>
      <c r="B262" s="2" t="str">
        <f>LOWER(VLOOKUP(A262,Xtal_Templ!A:B,2,FALSE))</f>
        <v>agtr1_human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G262" s="4"/>
      <c r="S262" s="4" t="s">
        <v>12</v>
      </c>
      <c r="U262" s="28" t="str">
        <f>MID(VLOOKUP($A262,Seqs!$A:$B,2,FALSE),VLOOKUP($A262,'SegEnds_NonXtal_Prot#'!A:AL,10,FALSE),1)</f>
        <v>D</v>
      </c>
      <c r="V262" s="50" t="str">
        <f>MID(VLOOKUP($A262,Seqs!$A:$B,2,FALSE),VLOOKUP($A262,'SegEnds_NonXtal_Prot#'!A:AL,10,FALSE)+6,1)</f>
        <v>G</v>
      </c>
      <c r="W262" s="50" t="str">
        <f>MID(VLOOKUP($A262,Seqs!$A:$B,2,FALSE),VLOOKUP($A262,'SegEnds_NonXtal_Prot#'!A:AL,10,FALSE)+7,1)</f>
        <v>H</v>
      </c>
      <c r="X262" s="50" t="str">
        <f>MID(VLOOKUP($A262,Seqs!$A:$B,2,FALSE),VLOOKUP($A262,'SegEnds_NonXtal_Prot#'!A:AL,10,FALSE)+8,1)</f>
        <v>I</v>
      </c>
      <c r="Y262" s="50" t="str">
        <f>MID(VLOOKUP($A262,Seqs!$A:$B,2,FALSE),VLOOKUP($A262,'SegEnds_NonXtal_Prot#'!A:AL,10,FALSE)+9,1)</f>
        <v>I</v>
      </c>
      <c r="Z262" s="50" t="str">
        <f>MID(VLOOKUP($A262,Seqs!$A:$B,2,FALSE),VLOOKUP($A262,'SegEnds_NonXtal_Prot#'!A:AL,10,FALSE)+10,1)</f>
        <v>C</v>
      </c>
      <c r="AA262" s="28" t="str">
        <f>MID(VLOOKUP($A262,Seqs!$A:$B,2,FALSE),VLOOKUP($A262,'SegEnds_NonXtal_Prot#'!$A:$AL,22,FALSE)+6,1)</f>
        <v>R</v>
      </c>
      <c r="AB262" s="50" t="str">
        <f>MID(VLOOKUP($A262,Seqs!$A:$B,2,FALSE),VLOOKUP($A262,'SegEnds_NonXtal_Prot#'!$A:$AL,22,FALSE)+7,1)</f>
        <v>S</v>
      </c>
      <c r="AC262" s="50" t="str">
        <f>MID(VLOOKUP($A262,Seqs!$A:$B,2,FALSE),VLOOKUP($A262,'SegEnds_NonXtal_Prot#'!$A:$AL,22,FALSE)+8,1)</f>
        <v>I</v>
      </c>
      <c r="AD262" s="50" t="str">
        <f>MID(VLOOKUP($A262,Seqs!$A:$B,2,FALSE),VLOOKUP($A262,'SegEnds_NonXtal_Prot#'!$A:$AL,22,FALSE)+9,1)</f>
        <v>L</v>
      </c>
      <c r="AE262" s="50" t="str">
        <f>MID(VLOOKUP($A262,Seqs!$A:$B,2,FALSE),VLOOKUP($A262,'SegEnds_NonXtal_Prot#'!$A:$AL,22,FALSE)+10,1)</f>
        <v>E</v>
      </c>
      <c r="AF262" s="28" t="str">
        <f>MID(VLOOKUP($A262,Seqs!$A:$B,2,FALSE),VLOOKUP($A262,'SegEnds_NonXtal_Prot#'!$A:$AL,28,FALSE)-4,1)</f>
        <v>V</v>
      </c>
      <c r="AG262" s="50" t="str">
        <f>MID(VLOOKUP($A262,Seqs!$A:$B,2,FALSE),VLOOKUP($A262,'SegEnds_NonXtal_Prot#'!$A:$AL,28,FALSE),1)</f>
        <v>V</v>
      </c>
    </row>
    <row r="263" spans="1:33" s="2" customFormat="1" x14ac:dyDescent="0.2">
      <c r="A263" s="2" t="s">
        <v>352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Xtal</v>
      </c>
      <c r="G263" s="4"/>
      <c r="R263" s="2" t="s">
        <v>1328</v>
      </c>
      <c r="S263" s="4" t="s">
        <v>12</v>
      </c>
      <c r="U263" s="28" t="str">
        <f>MID(VLOOKUP($A263,Seqs!$A:$B,2,FALSE),VLOOKUP($A263,'SegEnds_NonXtal_Prot#'!A:AL,10,FALSE),1)</f>
        <v>D</v>
      </c>
      <c r="V263" s="50" t="str">
        <f>MID(VLOOKUP($A263,Seqs!$A:$B,2,FALSE),VLOOKUP($A263,'SegEnds_NonXtal_Prot#'!A:AL,10,FALSE)+6,1)</f>
        <v>T</v>
      </c>
      <c r="W263" s="50" t="str">
        <f>MID(VLOOKUP($A263,Seqs!$A:$B,2,FALSE),VLOOKUP($A263,'SegEnds_NonXtal_Prot#'!A:AL,10,FALSE)+7,1)</f>
        <v>F</v>
      </c>
      <c r="X263" s="50" t="str">
        <f>MID(VLOOKUP($A263,Seqs!$A:$B,2,FALSE),VLOOKUP($A263,'SegEnds_NonXtal_Prot#'!A:AL,10,FALSE)+8,1)</f>
        <v>P</v>
      </c>
      <c r="Y263" s="50" t="str">
        <f>MID(VLOOKUP($A263,Seqs!$A:$B,2,FALSE),VLOOKUP($A263,'SegEnds_NonXtal_Prot#'!A:AL,10,FALSE)+9,1)</f>
        <v>F</v>
      </c>
      <c r="Z263" s="50" t="str">
        <f>MID(VLOOKUP($A263,Seqs!$A:$B,2,FALSE),VLOOKUP($A263,'SegEnds_NonXtal_Prot#'!A:AL,10,FALSE)+10,1)</f>
        <v>K</v>
      </c>
      <c r="AA263" s="28" t="str">
        <f>MID(VLOOKUP($A263,Seqs!$A:$B,2,FALSE),VLOOKUP($A263,'SegEnds_NonXtal_Prot#'!$A:$AL,22,FALSE)+6,1)</f>
        <v>L</v>
      </c>
      <c r="AB263" s="50" t="str">
        <f>MID(VLOOKUP($A263,Seqs!$A:$B,2,FALSE),VLOOKUP($A263,'SegEnds_NonXtal_Prot#'!$A:$AL,22,FALSE)+7,1)</f>
        <v>S</v>
      </c>
      <c r="AC263" s="50" t="str">
        <f>MID(VLOOKUP($A263,Seqs!$A:$B,2,FALSE),VLOOKUP($A263,'SegEnds_NonXtal_Prot#'!$A:$AL,22,FALSE)+8,1)</f>
        <v>L</v>
      </c>
      <c r="AD263" s="50" t="str">
        <f>MID(VLOOKUP($A263,Seqs!$A:$B,2,FALSE),VLOOKUP($A263,'SegEnds_NonXtal_Prot#'!$A:$AL,22,FALSE)+9,1)</f>
        <v>P</v>
      </c>
      <c r="AE263" s="50" t="str">
        <f>MID(VLOOKUP($A263,Seqs!$A:$B,2,FALSE),VLOOKUP($A263,'SegEnds_NonXtal_Prot#'!$A:$AL,22,FALSE)+10,1)</f>
        <v>N</v>
      </c>
      <c r="AF263" s="28" t="str">
        <f>MID(VLOOKUP($A263,Seqs!$A:$B,2,FALSE),VLOOKUP($A263,'SegEnds_NonXtal_Prot#'!$A:$AL,28,FALSE)-4,1)</f>
        <v>I</v>
      </c>
      <c r="AG263" s="50" t="str">
        <f>MID(VLOOKUP($A263,Seqs!$A:$B,2,FALSE),VLOOKUP($A263,'SegEnds_NonXtal_Prot#'!$A:$AL,28,FALSE),1)</f>
        <v>N</v>
      </c>
    </row>
    <row r="264" spans="1:33" s="2" customFormat="1" x14ac:dyDescent="0.2">
      <c r="A264" s="2" t="s">
        <v>353</v>
      </c>
      <c r="B264" s="2" t="str">
        <f>LOWER(VLOOKUP(A264,Xtal_Templ!A:B,2,FALSE))</f>
        <v>p2y12_human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G264" s="4"/>
      <c r="R264" s="2" t="s">
        <v>1328</v>
      </c>
      <c r="S264" s="4" t="s">
        <v>12</v>
      </c>
      <c r="U264" s="28" t="str">
        <f>MID(VLOOKUP($A264,Seqs!$A:$B,2,FALSE),VLOOKUP($A264,'SegEnds_NonXtal_Prot#'!A:AL,10,FALSE),1)</f>
        <v>D</v>
      </c>
      <c r="V264" s="50" t="str">
        <f>MID(VLOOKUP($A264,Seqs!$A:$B,2,FALSE),VLOOKUP($A264,'SegEnds_NonXtal_Prot#'!A:AL,10,FALSE)+6,1)</f>
        <v>M</v>
      </c>
      <c r="W264" s="50" t="str">
        <f>MID(VLOOKUP($A264,Seqs!$A:$B,2,FALSE),VLOOKUP($A264,'SegEnds_NonXtal_Prot#'!A:AL,10,FALSE)+7,1)</f>
        <v>L</v>
      </c>
      <c r="X264" s="50" t="str">
        <f>MID(VLOOKUP($A264,Seqs!$A:$B,2,FALSE),VLOOKUP($A264,'SegEnds_NonXtal_Prot#'!A:AL,10,FALSE)+8,1)</f>
        <v>P</v>
      </c>
      <c r="Y264" s="50" t="str">
        <f>MID(VLOOKUP($A264,Seqs!$A:$B,2,FALSE),VLOOKUP($A264,'SegEnds_NonXtal_Prot#'!A:AL,10,FALSE)+9,1)</f>
        <v>F</v>
      </c>
      <c r="Z264" s="50" t="str">
        <f>MID(VLOOKUP($A264,Seqs!$A:$B,2,FALSE),VLOOKUP($A264,'SegEnds_NonXtal_Prot#'!A:AL,10,FALSE)+10,1)</f>
        <v>K</v>
      </c>
      <c r="AA264" s="28" t="str">
        <f>MID(VLOOKUP($A264,Seqs!$A:$B,2,FALSE),VLOOKUP($A264,'SegEnds_NonXtal_Prot#'!$A:$AL,22,FALSE)+6,1)</f>
        <v>I</v>
      </c>
      <c r="AB264" s="50" t="str">
        <f>MID(VLOOKUP($A264,Seqs!$A:$B,2,FALSE),VLOOKUP($A264,'SegEnds_NonXtal_Prot#'!$A:$AL,22,FALSE)+7,1)</f>
        <v>S</v>
      </c>
      <c r="AC264" s="50" t="str">
        <f>MID(VLOOKUP($A264,Seqs!$A:$B,2,FALSE),VLOOKUP($A264,'SegEnds_NonXtal_Prot#'!$A:$AL,22,FALSE)+8,1)</f>
        <v>L</v>
      </c>
      <c r="AD264" s="50" t="str">
        <f>MID(VLOOKUP($A264,Seqs!$A:$B,2,FALSE),VLOOKUP($A264,'SegEnds_NonXtal_Prot#'!$A:$AL,22,FALSE)+9,1)</f>
        <v>P</v>
      </c>
      <c r="AE264" s="50" t="str">
        <f>MID(VLOOKUP($A264,Seqs!$A:$B,2,FALSE),VLOOKUP($A264,'SegEnds_NonXtal_Prot#'!$A:$AL,22,FALSE)+10,1)</f>
        <v>N</v>
      </c>
      <c r="AF264" s="28" t="str">
        <f>MID(VLOOKUP($A264,Seqs!$A:$B,2,FALSE),VLOOKUP($A264,'SegEnds_NonXtal_Prot#'!$A:$AL,28,FALSE)-4,1)</f>
        <v>I</v>
      </c>
      <c r="AG264" s="50" t="str">
        <f>MID(VLOOKUP($A264,Seqs!$A:$B,2,FALSE),VLOOKUP($A264,'SegEnds_NonXtal_Prot#'!$A:$AL,28,FALSE),1)</f>
        <v>V</v>
      </c>
    </row>
    <row r="265" spans="1:33" s="2" customFormat="1" x14ac:dyDescent="0.2">
      <c r="A265" s="2" t="s">
        <v>354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NoXtal</v>
      </c>
      <c r="G265" s="4"/>
      <c r="R265" s="2" t="s">
        <v>1328</v>
      </c>
      <c r="S265" s="4" t="s">
        <v>12</v>
      </c>
      <c r="U265" s="28" t="str">
        <f>MID(VLOOKUP($A265,Seqs!$A:$B,2,FALSE),VLOOKUP($A265,'SegEnds_NonXtal_Prot#'!A:AL,10,FALSE),1)</f>
        <v>D</v>
      </c>
      <c r="V265" s="50" t="str">
        <f>MID(VLOOKUP($A265,Seqs!$A:$B,2,FALSE),VLOOKUP($A265,'SegEnds_NonXtal_Prot#'!A:AL,10,FALSE)+6,1)</f>
        <v>T</v>
      </c>
      <c r="W265" s="50" t="str">
        <f>MID(VLOOKUP($A265,Seqs!$A:$B,2,FALSE),VLOOKUP($A265,'SegEnds_NonXtal_Prot#'!A:AL,10,FALSE)+7,1)</f>
        <v>F</v>
      </c>
      <c r="X265" s="50" t="str">
        <f>MID(VLOOKUP($A265,Seqs!$A:$B,2,FALSE),VLOOKUP($A265,'SegEnds_NonXtal_Prot#'!A:AL,10,FALSE)+8,1)</f>
        <v>P</v>
      </c>
      <c r="Y265" s="50" t="str">
        <f>MID(VLOOKUP($A265,Seqs!$A:$B,2,FALSE),VLOOKUP($A265,'SegEnds_NonXtal_Prot#'!A:AL,10,FALSE)+9,1)</f>
        <v>F</v>
      </c>
      <c r="Z265" s="50" t="str">
        <f>MID(VLOOKUP($A265,Seqs!$A:$B,2,FALSE),VLOOKUP($A265,'SegEnds_NonXtal_Prot#'!A:AL,10,FALSE)+10,1)</f>
        <v>K</v>
      </c>
      <c r="AA265" s="28" t="str">
        <f>MID(VLOOKUP($A265,Seqs!$A:$B,2,FALSE),VLOOKUP($A265,'SegEnds_NonXtal_Prot#'!$A:$AL,22,FALSE)+6,1)</f>
        <v>L</v>
      </c>
      <c r="AB265" s="50" t="str">
        <f>MID(VLOOKUP($A265,Seqs!$A:$B,2,FALSE),VLOOKUP($A265,'SegEnds_NonXtal_Prot#'!$A:$AL,22,FALSE)+7,1)</f>
        <v>A</v>
      </c>
      <c r="AC265" s="50" t="str">
        <f>MID(VLOOKUP($A265,Seqs!$A:$B,2,FALSE),VLOOKUP($A265,'SegEnds_NonXtal_Prot#'!$A:$AL,22,FALSE)+8,1)</f>
        <v>V</v>
      </c>
      <c r="AD265" s="50" t="str">
        <f>MID(VLOOKUP($A265,Seqs!$A:$B,2,FALSE),VLOOKUP($A265,'SegEnds_NonXtal_Prot#'!$A:$AL,22,FALSE)+9,1)</f>
        <v>P</v>
      </c>
      <c r="AE265" s="50" t="str">
        <f>MID(VLOOKUP($A265,Seqs!$A:$B,2,FALSE),VLOOKUP($A265,'SegEnds_NonXtal_Prot#'!$A:$AL,22,FALSE)+10,1)</f>
        <v>N</v>
      </c>
      <c r="AF265" s="28" t="str">
        <f>MID(VLOOKUP($A265,Seqs!$A:$B,2,FALSE),VLOOKUP($A265,'SegEnds_NonXtal_Prot#'!$A:$AL,28,FALSE)-4,1)</f>
        <v>I</v>
      </c>
      <c r="AG265" s="50" t="str">
        <f>MID(VLOOKUP($A265,Seqs!$A:$B,2,FALSE),VLOOKUP($A265,'SegEnds_NonXtal_Prot#'!$A:$AL,28,FALSE),1)</f>
        <v>V</v>
      </c>
    </row>
    <row r="266" spans="1:33" s="2" customFormat="1" x14ac:dyDescent="0.2">
      <c r="A266" s="2" t="s">
        <v>364</v>
      </c>
      <c r="B266" s="2" t="str">
        <f>LOWER(VLOOKUP(A266,Xtal_Templ!A:B,2,FALSE))</f>
        <v>par2_human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F266" s="2" t="s">
        <v>5</v>
      </c>
      <c r="G266" s="4"/>
      <c r="S266" s="4" t="s">
        <v>12</v>
      </c>
      <c r="U266" s="28" t="str">
        <f>MID(VLOOKUP($A266,Seqs!$A:$B,2,FALSE),VLOOKUP($A266,'SegEnds_NonXtal_Prot#'!A:AL,10,FALSE),1)</f>
        <v>D</v>
      </c>
      <c r="V266" s="50" t="str">
        <f>MID(VLOOKUP($A266,Seqs!$A:$B,2,FALSE),VLOOKUP($A266,'SegEnds_NonXtal_Prot#'!A:AL,10,FALSE)+6,1)</f>
        <v>L</v>
      </c>
      <c r="W266" s="50" t="str">
        <f>MID(VLOOKUP($A266,Seqs!$A:$B,2,FALSE),VLOOKUP($A266,'SegEnds_NonXtal_Prot#'!A:AL,10,FALSE)+7,1)</f>
        <v>V</v>
      </c>
      <c r="X266" s="50" t="str">
        <f>MID(VLOOKUP($A266,Seqs!$A:$B,2,FALSE),VLOOKUP($A266,'SegEnds_NonXtal_Prot#'!A:AL,10,FALSE)+8,1)</f>
        <v>S</v>
      </c>
      <c r="Y266" s="50" t="str">
        <f>MID(VLOOKUP($A266,Seqs!$A:$B,2,FALSE),VLOOKUP($A266,'SegEnds_NonXtal_Prot#'!A:AL,10,FALSE)+9,1)</f>
        <v>P</v>
      </c>
      <c r="Z266" s="50" t="str">
        <f>MID(VLOOKUP($A266,Seqs!$A:$B,2,FALSE),VLOOKUP($A266,'SegEnds_NonXtal_Prot#'!A:AL,10,FALSE)+10,1)</f>
        <v>V</v>
      </c>
      <c r="AA266" s="28" t="str">
        <f>MID(VLOOKUP($A266,Seqs!$A:$B,2,FALSE),VLOOKUP($A266,'SegEnds_NonXtal_Prot#'!$A:$AL,22,FALSE)+6,1)</f>
        <v>F</v>
      </c>
      <c r="AB266" s="50" t="str">
        <f>MID(VLOOKUP($A266,Seqs!$A:$B,2,FALSE),VLOOKUP($A266,'SegEnds_NonXtal_Prot#'!$A:$AL,22,FALSE)+7,1)</f>
        <v>C</v>
      </c>
      <c r="AC266" s="50" t="str">
        <f>MID(VLOOKUP($A266,Seqs!$A:$B,2,FALSE),VLOOKUP($A266,'SegEnds_NonXtal_Prot#'!$A:$AL,22,FALSE)+8,1)</f>
        <v>A</v>
      </c>
      <c r="AD266" s="50" t="str">
        <f>MID(VLOOKUP($A266,Seqs!$A:$B,2,FALSE),VLOOKUP($A266,'SegEnds_NonXtal_Prot#'!$A:$AL,22,FALSE)+9,1)</f>
        <v>L</v>
      </c>
      <c r="AE266" s="50" t="str">
        <f>MID(VLOOKUP($A266,Seqs!$A:$B,2,FALSE),VLOOKUP($A266,'SegEnds_NonXtal_Prot#'!$A:$AL,22,FALSE)+10,1)</f>
        <v>P</v>
      </c>
      <c r="AF266" s="28" t="str">
        <f>MID(VLOOKUP($A266,Seqs!$A:$B,2,FALSE),VLOOKUP($A266,'SegEnds_NonXtal_Prot#'!$A:$AL,28,FALSE)-4,1)</f>
        <v>S</v>
      </c>
      <c r="AG266" s="50" t="str">
        <f>MID(VLOOKUP($A266,Seqs!$A:$B,2,FALSE),VLOOKUP($A266,'SegEnds_NonXtal_Prot#'!$A:$AL,28,FALSE),1)</f>
        <v>L</v>
      </c>
    </row>
    <row r="267" spans="1:33" s="2" customFormat="1" x14ac:dyDescent="0.2">
      <c r="A267" s="2" t="s">
        <v>365</v>
      </c>
      <c r="B267" s="2" t="str">
        <f>LOWER(VLOOKUP(A267,Xtal_Templ!A:B,2,FALSE))</f>
        <v>lpar1_human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G267" s="4"/>
      <c r="S267" s="4" t="s">
        <v>12</v>
      </c>
      <c r="U267" s="28" t="str">
        <f>MID(VLOOKUP($A267,Seqs!$A:$B,2,FALSE),VLOOKUP($A267,'SegEnds_NonXtal_Prot#'!A:AL,10,FALSE),1)</f>
        <v>D</v>
      </c>
      <c r="V267" s="50" t="str">
        <f>MID(VLOOKUP($A267,Seqs!$A:$B,2,FALSE),VLOOKUP($A267,'SegEnds_NonXtal_Prot#'!A:AL,10,FALSE)+6,1)</f>
        <v>I</v>
      </c>
      <c r="W267" s="50" t="str">
        <f>MID(VLOOKUP($A267,Seqs!$A:$B,2,FALSE),VLOOKUP($A267,'SegEnds_NonXtal_Prot#'!A:AL,10,FALSE)+7,1)</f>
        <v>N</v>
      </c>
      <c r="X267" s="50" t="str">
        <f>MID(VLOOKUP($A267,Seqs!$A:$B,2,FALSE),VLOOKUP($A267,'SegEnds_NonXtal_Prot#'!A:AL,10,FALSE)+8,1)</f>
        <v>G</v>
      </c>
      <c r="Y267" s="50" t="str">
        <f>MID(VLOOKUP($A267,Seqs!$A:$B,2,FALSE),VLOOKUP($A267,'SegEnds_NonXtal_Prot#'!A:AL,10,FALSE)+9,1)</f>
        <v>A</v>
      </c>
      <c r="Z267" s="50" t="str">
        <f>MID(VLOOKUP($A267,Seqs!$A:$B,2,FALSE),VLOOKUP($A267,'SegEnds_NonXtal_Prot#'!A:AL,10,FALSE)+10,1)</f>
        <v>I</v>
      </c>
      <c r="AA267" s="28" t="str">
        <f>MID(VLOOKUP($A267,Seqs!$A:$B,2,FALSE),VLOOKUP($A267,'SegEnds_NonXtal_Prot#'!$A:$AL,22,FALSE)+6,1)</f>
        <v>I</v>
      </c>
      <c r="AB267" s="50" t="str">
        <f>MID(VLOOKUP($A267,Seqs!$A:$B,2,FALSE),VLOOKUP($A267,'SegEnds_NonXtal_Prot#'!$A:$AL,22,FALSE)+7,1)</f>
        <v>A</v>
      </c>
      <c r="AC267" s="50" t="str">
        <f>MID(VLOOKUP($A267,Seqs!$A:$B,2,FALSE),VLOOKUP($A267,'SegEnds_NonXtal_Prot#'!$A:$AL,22,FALSE)+8,1)</f>
        <v>L</v>
      </c>
      <c r="AD267" s="50" t="str">
        <f>MID(VLOOKUP($A267,Seqs!$A:$B,2,FALSE),VLOOKUP($A267,'SegEnds_NonXtal_Prot#'!$A:$AL,22,FALSE)+9,1)</f>
        <v>L</v>
      </c>
      <c r="AE267" s="50" t="str">
        <f>MID(VLOOKUP($A267,Seqs!$A:$B,2,FALSE),VLOOKUP($A267,'SegEnds_NonXtal_Prot#'!$A:$AL,22,FALSE)+10,1)</f>
        <v>P</v>
      </c>
      <c r="AF267" s="28" t="str">
        <f>MID(VLOOKUP($A267,Seqs!$A:$B,2,FALSE),VLOOKUP($A267,'SegEnds_NonXtal_Prot#'!$A:$AL,28,FALSE)-4,1)</f>
        <v>L</v>
      </c>
      <c r="AG267" s="50" t="str">
        <f>MID(VLOOKUP($A267,Seqs!$A:$B,2,FALSE),VLOOKUP($A267,'SegEnds_NonXtal_Prot#'!$A:$AL,28,FALSE),1)</f>
        <v>G</v>
      </c>
    </row>
    <row r="268" spans="1:33" s="2" customFormat="1" x14ac:dyDescent="0.2">
      <c r="A268" s="2" t="s">
        <v>371</v>
      </c>
      <c r="B268" s="2" t="str">
        <f>LOWER(VLOOKUP(A268,Xtal_Templ!A:B,2,FALSE))</f>
        <v>p2y12_human</v>
      </c>
      <c r="C268" s="2" t="str">
        <f>VLOOKUP(A268,Classification!A:D,2,FALSE)</f>
        <v>A</v>
      </c>
      <c r="D268" s="2" t="str">
        <f>IF(ISERROR(MATCH(A268,'SegEnds_Xtal_Prot#'!B:B, 0)), "NoXtal", "Xtal")</f>
        <v>NoXtal</v>
      </c>
      <c r="G268" s="4"/>
      <c r="S268" s="4" t="s">
        <v>12</v>
      </c>
      <c r="U268" s="28" t="str">
        <f>MID(VLOOKUP($A268,Seqs!$A:$B,2,FALSE),VLOOKUP($A268,'SegEnds_NonXtal_Prot#'!A:AL,10,FALSE),1)</f>
        <v>D</v>
      </c>
      <c r="V268" s="50" t="str">
        <f>MID(VLOOKUP($A268,Seqs!$A:$B,2,FALSE),VLOOKUP($A268,'SegEnds_NonXtal_Prot#'!A:AL,10,FALSE)+6,1)</f>
        <v>T</v>
      </c>
      <c r="W268" s="50" t="str">
        <f>MID(VLOOKUP($A268,Seqs!$A:$B,2,FALSE),VLOOKUP($A268,'SegEnds_NonXtal_Prot#'!A:AL,10,FALSE)+7,1)</f>
        <v>L</v>
      </c>
      <c r="X268" s="50" t="str">
        <f>MID(VLOOKUP($A268,Seqs!$A:$B,2,FALSE),VLOOKUP($A268,'SegEnds_NonXtal_Prot#'!A:AL,10,FALSE)+8,1)</f>
        <v>P</v>
      </c>
      <c r="Y268" s="50" t="str">
        <f>MID(VLOOKUP($A268,Seqs!$A:$B,2,FALSE),VLOOKUP($A268,'SegEnds_NonXtal_Prot#'!A:AL,10,FALSE)+9,1)</f>
        <v>L</v>
      </c>
      <c r="Z268" s="50" t="str">
        <f>MID(VLOOKUP($A268,Seqs!$A:$B,2,FALSE),VLOOKUP($A268,'SegEnds_NonXtal_Prot#'!A:AL,10,FALSE)+10,1)</f>
        <v>W</v>
      </c>
      <c r="AA268" s="28" t="str">
        <f>MID(VLOOKUP($A268,Seqs!$A:$B,2,FALSE),VLOOKUP($A268,'SegEnds_NonXtal_Prot#'!$A:$AL,22,FALSE)+6,1)</f>
        <v>A</v>
      </c>
      <c r="AB268" s="50" t="str">
        <f>MID(VLOOKUP($A268,Seqs!$A:$B,2,FALSE),VLOOKUP($A268,'SegEnds_NonXtal_Prot#'!$A:$AL,22,FALSE)+7,1)</f>
        <v>A</v>
      </c>
      <c r="AC268" s="50" t="str">
        <f>MID(VLOOKUP($A268,Seqs!$A:$B,2,FALSE),VLOOKUP($A268,'SegEnds_NonXtal_Prot#'!$A:$AL,22,FALSE)+8,1)</f>
        <v>S</v>
      </c>
      <c r="AD268" s="50" t="str">
        <f>MID(VLOOKUP($A268,Seqs!$A:$B,2,FALSE),VLOOKUP($A268,'SegEnds_NonXtal_Prot#'!$A:$AL,22,FALSE)+9,1)</f>
        <v>Y</v>
      </c>
      <c r="AE268" s="50" t="str">
        <f>MID(VLOOKUP($A268,Seqs!$A:$B,2,FALSE),VLOOKUP($A268,'SegEnds_NonXtal_Prot#'!$A:$AL,22,FALSE)+10,1)</f>
        <v>F</v>
      </c>
      <c r="AF268" s="28" t="str">
        <f>MID(VLOOKUP($A268,Seqs!$A:$B,2,FALSE),VLOOKUP($A268,'SegEnds_NonXtal_Prot#'!$A:$AL,28,FALSE)-4,1)</f>
        <v>S</v>
      </c>
      <c r="AG268" s="50" t="str">
        <f>MID(VLOOKUP($A268,Seqs!$A:$B,2,FALSE),VLOOKUP($A268,'SegEnds_NonXtal_Prot#'!$A:$AL,28,FALSE),1)</f>
        <v>V</v>
      </c>
    </row>
    <row r="269" spans="1:33" s="2" customFormat="1" x14ac:dyDescent="0.2">
      <c r="A269" s="2" t="s">
        <v>199</v>
      </c>
      <c r="B269" s="2" t="str">
        <f>LOWER(VLOOKUP(A269,Xtal_Templ!A:B,2,FALSE))</f>
        <v>par1_human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G269" s="4"/>
      <c r="Q269" s="2" t="s">
        <v>9</v>
      </c>
      <c r="R269" s="2" t="s">
        <v>1328</v>
      </c>
      <c r="S269" s="4" t="s">
        <v>12</v>
      </c>
      <c r="U269" s="28" t="str">
        <f>MID(VLOOKUP($A269,Seqs!$A:$B,2,FALSE),VLOOKUP($A269,'SegEnds_NonXtal_Prot#'!A:AL,10,FALSE),1)</f>
        <v>D</v>
      </c>
      <c r="V269" s="50" t="str">
        <f>MID(VLOOKUP($A269,Seqs!$A:$B,2,FALSE),VLOOKUP($A269,'SegEnds_NonXtal_Prot#'!A:AL,10,FALSE)+6,1)</f>
        <v>F</v>
      </c>
      <c r="W269" s="50" t="str">
        <f>MID(VLOOKUP($A269,Seqs!$A:$B,2,FALSE),VLOOKUP($A269,'SegEnds_NonXtal_Prot#'!A:AL,10,FALSE)+7,1)</f>
        <v>L</v>
      </c>
      <c r="X269" s="50" t="str">
        <f>MID(VLOOKUP($A269,Seqs!$A:$B,2,FALSE),VLOOKUP($A269,'SegEnds_NonXtal_Prot#'!A:AL,10,FALSE)+8,1)</f>
        <v>P</v>
      </c>
      <c r="Y269" s="50" t="str">
        <f>MID(VLOOKUP($A269,Seqs!$A:$B,2,FALSE),VLOOKUP($A269,'SegEnds_NonXtal_Prot#'!A:AL,10,FALSE)+9,1)</f>
        <v>F</v>
      </c>
      <c r="Z269" s="50" t="str">
        <f>MID(VLOOKUP($A269,Seqs!$A:$B,2,FALSE),VLOOKUP($A269,'SegEnds_NonXtal_Prot#'!A:AL,10,FALSE)+10,1)</f>
        <v>R</v>
      </c>
      <c r="AA269" s="28" t="str">
        <f>MID(VLOOKUP($A269,Seqs!$A:$B,2,FALSE),VLOOKUP($A269,'SegEnds_NonXtal_Prot#'!$A:$AL,22,FALSE)+6,1)</f>
        <v>H</v>
      </c>
      <c r="AB269" s="50" t="str">
        <f>MID(VLOOKUP($A269,Seqs!$A:$B,2,FALSE),VLOOKUP($A269,'SegEnds_NonXtal_Prot#'!$A:$AL,22,FALSE)+7,1)</f>
        <v>C</v>
      </c>
      <c r="AC269" s="50" t="str">
        <f>MID(VLOOKUP($A269,Seqs!$A:$B,2,FALSE),VLOOKUP($A269,'SegEnds_NonXtal_Prot#'!$A:$AL,22,FALSE)+8,1)</f>
        <v>S</v>
      </c>
      <c r="AD269" s="50" t="str">
        <f>MID(VLOOKUP($A269,Seqs!$A:$B,2,FALSE),VLOOKUP($A269,'SegEnds_NonXtal_Prot#'!$A:$AL,22,FALSE)+9,1)</f>
        <v>V</v>
      </c>
      <c r="AE269" s="50" t="str">
        <f>MID(VLOOKUP($A269,Seqs!$A:$B,2,FALSE),VLOOKUP($A269,'SegEnds_NonXtal_Prot#'!$A:$AL,22,FALSE)+10,1)</f>
        <v>V</v>
      </c>
      <c r="AF269" s="28" t="str">
        <f>MID(VLOOKUP($A269,Seqs!$A:$B,2,FALSE),VLOOKUP($A269,'SegEnds_NonXtal_Prot#'!$A:$AL,28,FALSE)-4,1)</f>
        <v>L</v>
      </c>
      <c r="AG269" s="50" t="str">
        <f>MID(VLOOKUP($A269,Seqs!$A:$B,2,FALSE),VLOOKUP($A269,'SegEnds_NonXtal_Prot#'!$A:$AL,28,FALSE),1)</f>
        <v>P</v>
      </c>
    </row>
    <row r="270" spans="1:33" s="2" customFormat="1" x14ac:dyDescent="0.2">
      <c r="A270" s="2" t="s">
        <v>243</v>
      </c>
      <c r="B270" s="2" t="str">
        <f>LOWER(VLOOKUP(A270,Xtal_Templ!A:B,2,FALSE))</f>
        <v>oprk_human</v>
      </c>
      <c r="C270" s="2" t="str">
        <f>VLOOKUP(A270,Classification!A:D,2,FALSE)</f>
        <v>A</v>
      </c>
      <c r="D270" s="2" t="str">
        <f>IF(ISERROR(MATCH(A270,'SegEnds_Xtal_Prot#'!B:B, 0)), "NoXtal", "Xtal")</f>
        <v>NoXtal</v>
      </c>
      <c r="G270" s="4"/>
      <c r="Q270" s="2" t="s">
        <v>9</v>
      </c>
      <c r="S270" s="4" t="s">
        <v>12</v>
      </c>
      <c r="U270" s="28" t="str">
        <f>MID(VLOOKUP($A270,Seqs!$A:$B,2,FALSE),VLOOKUP($A270,'SegEnds_NonXtal_Prot#'!A:AL,10,FALSE),1)</f>
        <v>D</v>
      </c>
      <c r="V270" s="50" t="str">
        <f>MID(VLOOKUP($A270,Seqs!$A:$B,2,FALSE),VLOOKUP($A270,'SegEnds_NonXtal_Prot#'!A:AL,10,FALSE)+6,1)</f>
        <v>S</v>
      </c>
      <c r="W270" s="50" t="str">
        <f>MID(VLOOKUP($A270,Seqs!$A:$B,2,FALSE),VLOOKUP($A270,'SegEnds_NonXtal_Prot#'!A:AL,10,FALSE)+7,1)</f>
        <v>L</v>
      </c>
      <c r="X270" s="50" t="str">
        <f>MID(VLOOKUP($A270,Seqs!$A:$B,2,FALSE),VLOOKUP($A270,'SegEnds_NonXtal_Prot#'!A:AL,10,FALSE)+8,1)</f>
        <v>P</v>
      </c>
      <c r="Y270" s="50" t="str">
        <f>MID(VLOOKUP($A270,Seqs!$A:$B,2,FALSE),VLOOKUP($A270,'SegEnds_NonXtal_Prot#'!A:AL,10,FALSE)+9,1)</f>
        <v>T</v>
      </c>
      <c r="Z270" s="50" t="str">
        <f>MID(VLOOKUP($A270,Seqs!$A:$B,2,FALSE),VLOOKUP($A270,'SegEnds_NonXtal_Prot#'!A:AL,10,FALSE)+10,1)</f>
        <v>R</v>
      </c>
      <c r="AA270" s="28" t="str">
        <f>MID(VLOOKUP($A270,Seqs!$A:$B,2,FALSE),VLOOKUP($A270,'SegEnds_NonXtal_Prot#'!$A:$AL,22,FALSE)+6,1)</f>
        <v>V</v>
      </c>
      <c r="AB270" s="50" t="str">
        <f>MID(VLOOKUP($A270,Seqs!$A:$B,2,FALSE),VLOOKUP($A270,'SegEnds_NonXtal_Prot#'!$A:$AL,22,FALSE)+7,1)</f>
        <v>T</v>
      </c>
      <c r="AC270" s="50" t="str">
        <f>MID(VLOOKUP($A270,Seqs!$A:$B,2,FALSE),VLOOKUP($A270,'SegEnds_NonXtal_Prot#'!$A:$AL,22,FALSE)+8,1)</f>
        <v>L</v>
      </c>
      <c r="AD270" s="50" t="str">
        <f>MID(VLOOKUP($A270,Seqs!$A:$B,2,FALSE),VLOOKUP($A270,'SegEnds_NonXtal_Prot#'!$A:$AL,22,FALSE)+9,1)</f>
        <v>S</v>
      </c>
      <c r="AE270" s="50" t="str">
        <f>MID(VLOOKUP($A270,Seqs!$A:$B,2,FALSE),VLOOKUP($A270,'SegEnds_NonXtal_Prot#'!$A:$AL,22,FALSE)+10,1)</f>
        <v>V</v>
      </c>
      <c r="AF270" s="28" t="str">
        <f>MID(VLOOKUP($A270,Seqs!$A:$B,2,FALSE),VLOOKUP($A270,'SegEnds_NonXtal_Prot#'!$A:$AL,28,FALSE)-4,1)</f>
        <v>E</v>
      </c>
      <c r="AG270" s="50" t="str">
        <f>MID(VLOOKUP($A270,Seqs!$A:$B,2,FALSE),VLOOKUP($A270,'SegEnds_NonXtal_Prot#'!$A:$AL,28,FALSE),1)</f>
        <v>P</v>
      </c>
    </row>
    <row r="271" spans="1:33" s="2" customFormat="1" x14ac:dyDescent="0.2">
      <c r="A271" s="2" t="s">
        <v>254</v>
      </c>
      <c r="B271" s="2" t="str">
        <f>LOWER(VLOOKUP(A271,Xtal_Templ!A:B,2,FALSE))</f>
        <v>ccr2_human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G271" s="4"/>
      <c r="Q271" s="2" t="s">
        <v>9</v>
      </c>
      <c r="S271" s="4" t="s">
        <v>12</v>
      </c>
      <c r="U271" s="28" t="str">
        <f>MID(VLOOKUP($A271,Seqs!$A:$B,2,FALSE),VLOOKUP($A271,'SegEnds_NonXtal_Prot#'!A:AL,10,FALSE),1)</f>
        <v>D</v>
      </c>
      <c r="V271" s="50" t="str">
        <f>MID(VLOOKUP($A271,Seqs!$A:$B,2,FALSE),VLOOKUP($A271,'SegEnds_NonXtal_Prot#'!A:AL,10,FALSE)+6,1)</f>
        <v>T</v>
      </c>
      <c r="W271" s="50" t="str">
        <f>MID(VLOOKUP($A271,Seqs!$A:$B,2,FALSE),VLOOKUP($A271,'SegEnds_NonXtal_Prot#'!A:AL,10,FALSE)+7,1)</f>
        <v>L</v>
      </c>
      <c r="X271" s="50" t="str">
        <f>MID(VLOOKUP($A271,Seqs!$A:$B,2,FALSE),VLOOKUP($A271,'SegEnds_NonXtal_Prot#'!A:AL,10,FALSE)+8,1)</f>
        <v>P</v>
      </c>
      <c r="Y271" s="50" t="str">
        <f>MID(VLOOKUP($A271,Seqs!$A:$B,2,FALSE),VLOOKUP($A271,'SegEnds_NonXtal_Prot#'!A:AL,10,FALSE)+9,1)</f>
        <v>F</v>
      </c>
      <c r="Z271" s="50" t="str">
        <f>MID(VLOOKUP($A271,Seqs!$A:$B,2,FALSE),VLOOKUP($A271,'SegEnds_NonXtal_Prot#'!A:AL,10,FALSE)+10,1)</f>
        <v>V</v>
      </c>
      <c r="AA271" s="28" t="str">
        <f>MID(VLOOKUP($A271,Seqs!$A:$B,2,FALSE),VLOOKUP($A271,'SegEnds_NonXtal_Prot#'!$A:$AL,22,FALSE)+6,1)</f>
        <v>S</v>
      </c>
      <c r="AB271" s="50" t="str">
        <f>MID(VLOOKUP($A271,Seqs!$A:$B,2,FALSE),VLOOKUP($A271,'SegEnds_NonXtal_Prot#'!$A:$AL,22,FALSE)+7,1)</f>
        <v>L</v>
      </c>
      <c r="AC271" s="50" t="str">
        <f>MID(VLOOKUP($A271,Seqs!$A:$B,2,FALSE),VLOOKUP($A271,'SegEnds_NonXtal_Prot#'!$A:$AL,22,FALSE)+8,1)</f>
        <v>V</v>
      </c>
      <c r="AD271" s="50" t="str">
        <f>MID(VLOOKUP($A271,Seqs!$A:$B,2,FALSE),VLOOKUP($A271,'SegEnds_NonXtal_Prot#'!$A:$AL,22,FALSE)+9,1)</f>
        <v>A</v>
      </c>
      <c r="AE271" s="50" t="str">
        <f>MID(VLOOKUP($A271,Seqs!$A:$B,2,FALSE),VLOOKUP($A271,'SegEnds_NonXtal_Prot#'!$A:$AL,22,FALSE)+10,1)</f>
        <v>R</v>
      </c>
      <c r="AF271" s="28" t="str">
        <f>MID(VLOOKUP($A271,Seqs!$A:$B,2,FALSE),VLOOKUP($A271,'SegEnds_NonXtal_Prot#'!$A:$AL,28,FALSE)-4,1)</f>
        <v>G</v>
      </c>
      <c r="AG271" s="50" t="str">
        <f>MID(VLOOKUP($A271,Seqs!$A:$B,2,FALSE),VLOOKUP($A271,'SegEnds_NonXtal_Prot#'!$A:$AL,28,FALSE),1)</f>
        <v>P</v>
      </c>
    </row>
    <row r="272" spans="1:33" s="2" customFormat="1" x14ac:dyDescent="0.2">
      <c r="A272" s="2" t="s">
        <v>258</v>
      </c>
      <c r="B272" s="2" t="str">
        <f>LOWER(VLOOKUP(A272,Xtal_Templ!A:B,2,FALSE))</f>
        <v>par1_human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G272" s="4"/>
      <c r="Q272" s="2" t="s">
        <v>9</v>
      </c>
      <c r="R272" s="2" t="s">
        <v>1328</v>
      </c>
      <c r="S272" s="4" t="s">
        <v>12</v>
      </c>
      <c r="U272" s="28" t="str">
        <f>MID(VLOOKUP($A272,Seqs!$A:$B,2,FALSE),VLOOKUP($A272,'SegEnds_NonXtal_Prot#'!A:AL,10,FALSE),1)</f>
        <v>D</v>
      </c>
      <c r="V272" s="50" t="str">
        <f>MID(VLOOKUP($A272,Seqs!$A:$B,2,FALSE),VLOOKUP($A272,'SegEnds_NonXtal_Prot#'!A:AL,10,FALSE)+6,1)</f>
        <v>F</v>
      </c>
      <c r="W272" s="50" t="str">
        <f>MID(VLOOKUP($A272,Seqs!$A:$B,2,FALSE),VLOOKUP($A272,'SegEnds_NonXtal_Prot#'!A:AL,10,FALSE)+7,1)</f>
        <v>L</v>
      </c>
      <c r="X272" s="50" t="str">
        <f>MID(VLOOKUP($A272,Seqs!$A:$B,2,FALSE),VLOOKUP($A272,'SegEnds_NonXtal_Prot#'!A:AL,10,FALSE)+8,1)</f>
        <v>P</v>
      </c>
      <c r="Y272" s="50" t="str">
        <f>MID(VLOOKUP($A272,Seqs!$A:$B,2,FALSE),VLOOKUP($A272,'SegEnds_NonXtal_Prot#'!A:AL,10,FALSE)+9,1)</f>
        <v>F</v>
      </c>
      <c r="Z272" s="50" t="str">
        <f>MID(VLOOKUP($A272,Seqs!$A:$B,2,FALSE),VLOOKUP($A272,'SegEnds_NonXtal_Prot#'!A:AL,10,FALSE)+10,1)</f>
        <v>R</v>
      </c>
      <c r="AA272" s="28" t="str">
        <f>MID(VLOOKUP($A272,Seqs!$A:$B,2,FALSE),VLOOKUP($A272,'SegEnds_NonXtal_Prot#'!$A:$AL,22,FALSE)+6,1)</f>
        <v>H</v>
      </c>
      <c r="AB272" s="50" t="str">
        <f>MID(VLOOKUP($A272,Seqs!$A:$B,2,FALSE),VLOOKUP($A272,'SegEnds_NonXtal_Prot#'!$A:$AL,22,FALSE)+7,1)</f>
        <v>C</v>
      </c>
      <c r="AC272" s="50" t="str">
        <f>MID(VLOOKUP($A272,Seqs!$A:$B,2,FALSE),VLOOKUP($A272,'SegEnds_NonXtal_Prot#'!$A:$AL,22,FALSE)+8,1)</f>
        <v>S</v>
      </c>
      <c r="AD272" s="50" t="str">
        <f>MID(VLOOKUP($A272,Seqs!$A:$B,2,FALSE),VLOOKUP($A272,'SegEnds_NonXtal_Prot#'!$A:$AL,22,FALSE)+9,1)</f>
        <v>V</v>
      </c>
      <c r="AE272" s="50" t="str">
        <f>MID(VLOOKUP($A272,Seqs!$A:$B,2,FALSE),VLOOKUP($A272,'SegEnds_NonXtal_Prot#'!$A:$AL,22,FALSE)+10,1)</f>
        <v>V</v>
      </c>
      <c r="AF272" s="28" t="str">
        <f>MID(VLOOKUP($A272,Seqs!$A:$B,2,FALSE),VLOOKUP($A272,'SegEnds_NonXtal_Prot#'!$A:$AL,28,FALSE)-4,1)</f>
        <v>L</v>
      </c>
      <c r="AG272" s="50" t="str">
        <f>MID(VLOOKUP($A272,Seqs!$A:$B,2,FALSE),VLOOKUP($A272,'SegEnds_NonXtal_Prot#'!$A:$AL,28,FALSE),1)</f>
        <v>P</v>
      </c>
    </row>
    <row r="273" spans="1:33" s="2" customFormat="1" x14ac:dyDescent="0.2">
      <c r="A273" s="2" t="s">
        <v>261</v>
      </c>
      <c r="B273" s="2" t="str">
        <f>LOWER(VLOOKUP(A273,Xtal_Templ!A:B,2,FALSE))</f>
        <v>oprk_human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G273" s="4"/>
      <c r="M273" s="2" t="s">
        <v>14</v>
      </c>
      <c r="Q273" s="2" t="s">
        <v>9</v>
      </c>
      <c r="S273" s="4" t="s">
        <v>12</v>
      </c>
      <c r="U273" s="28" t="str">
        <f>MID(VLOOKUP($A273,Seqs!$A:$B,2,FALSE),VLOOKUP($A273,'SegEnds_NonXtal_Prot#'!A:AL,10,FALSE),1)</f>
        <v>D</v>
      </c>
      <c r="V273" s="50" t="str">
        <f>MID(VLOOKUP($A273,Seqs!$A:$B,2,FALSE),VLOOKUP($A273,'SegEnds_NonXtal_Prot#'!A:AL,10,FALSE)+6,1)</f>
        <v>S</v>
      </c>
      <c r="W273" s="50" t="str">
        <f>MID(VLOOKUP($A273,Seqs!$A:$B,2,FALSE),VLOOKUP($A273,'SegEnds_NonXtal_Prot#'!A:AL,10,FALSE)+7,1)</f>
        <v>L</v>
      </c>
      <c r="X273" s="50" t="str">
        <f>MID(VLOOKUP($A273,Seqs!$A:$B,2,FALSE),VLOOKUP($A273,'SegEnds_NonXtal_Prot#'!A:AL,10,FALSE)+8,1)</f>
        <v>P</v>
      </c>
      <c r="Y273" s="50" t="str">
        <f>MID(VLOOKUP($A273,Seqs!$A:$B,2,FALSE),VLOOKUP($A273,'SegEnds_NonXtal_Prot#'!A:AL,10,FALSE)+9,1)</f>
        <v>F</v>
      </c>
      <c r="Z273" s="50" t="str">
        <f>MID(VLOOKUP($A273,Seqs!$A:$B,2,FALSE),VLOOKUP($A273,'SegEnds_NonXtal_Prot#'!A:AL,10,FALSE)+10,1)</f>
        <v>K</v>
      </c>
      <c r="AA273" s="28" t="str">
        <f>MID(VLOOKUP($A273,Seqs!$A:$B,2,FALSE),VLOOKUP($A273,'SegEnds_NonXtal_Prot#'!$A:$AL,22,FALSE)+6,1)</f>
        <v>G</v>
      </c>
      <c r="AB273" s="50" t="str">
        <f>MID(VLOOKUP($A273,Seqs!$A:$B,2,FALSE),VLOOKUP($A273,'SegEnds_NonXtal_Prot#'!$A:$AL,22,FALSE)+7,1)</f>
        <v>S</v>
      </c>
      <c r="AC273" s="50" t="str">
        <f>MID(VLOOKUP($A273,Seqs!$A:$B,2,FALSE),VLOOKUP($A273,'SegEnds_NonXtal_Prot#'!$A:$AL,22,FALSE)+8,1)</f>
        <v>I</v>
      </c>
      <c r="AD273" s="50" t="str">
        <f>MID(VLOOKUP($A273,Seqs!$A:$B,2,FALSE),VLOOKUP($A273,'SegEnds_NonXtal_Prot#'!$A:$AL,22,FALSE)+9,1)</f>
        <v>P</v>
      </c>
      <c r="AE273" s="50" t="str">
        <f>MID(VLOOKUP($A273,Seqs!$A:$B,2,FALSE),VLOOKUP($A273,'SegEnds_NonXtal_Prot#'!$A:$AL,22,FALSE)+10,1)</f>
        <v>I</v>
      </c>
      <c r="AF273" s="28" t="str">
        <f>MID(VLOOKUP($A273,Seqs!$A:$B,2,FALSE),VLOOKUP($A273,'SegEnds_NonXtal_Prot#'!$A:$AL,28,FALSE)-4,1)</f>
        <v>G</v>
      </c>
      <c r="AG273" s="50" t="str">
        <f>MID(VLOOKUP($A273,Seqs!$A:$B,2,FALSE),VLOOKUP($A273,'SegEnds_NonXtal_Prot#'!$A:$AL,28,FALSE),1)</f>
        <v>P</v>
      </c>
    </row>
    <row r="274" spans="1:33" s="2" customFormat="1" x14ac:dyDescent="0.2">
      <c r="A274" s="2" t="s">
        <v>302</v>
      </c>
      <c r="B274" s="2" t="str">
        <f>LOWER(VLOOKUP(A274,Xtal_Templ!A:B,2,FALSE))</f>
        <v>cxcr4_human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G274" s="4"/>
      <c r="S274" s="4" t="s">
        <v>12</v>
      </c>
      <c r="U274" s="28" t="str">
        <f>MID(VLOOKUP($A274,Seqs!$A:$B,2,FALSE),VLOOKUP($A274,'SegEnds_NonXtal_Prot#'!A:AL,10,FALSE),1)</f>
        <v>D</v>
      </c>
      <c r="V274" s="50" t="str">
        <f>MID(VLOOKUP($A274,Seqs!$A:$B,2,FALSE),VLOOKUP($A274,'SegEnds_NonXtal_Prot#'!A:AL,10,FALSE)+6,1)</f>
        <v>C</v>
      </c>
      <c r="W274" s="50" t="str">
        <f>MID(VLOOKUP($A274,Seqs!$A:$B,2,FALSE),VLOOKUP($A274,'SegEnds_NonXtal_Prot#'!A:AL,10,FALSE)+7,1)</f>
        <v>H</v>
      </c>
      <c r="X274" s="50" t="str">
        <f>MID(VLOOKUP($A274,Seqs!$A:$B,2,FALSE),VLOOKUP($A274,'SegEnds_NonXtal_Prot#'!A:AL,10,FALSE)+8,1)</f>
        <v>M</v>
      </c>
      <c r="Y274" s="50" t="str">
        <f>MID(VLOOKUP($A274,Seqs!$A:$B,2,FALSE),VLOOKUP($A274,'SegEnds_NonXtal_Prot#'!A:AL,10,FALSE)+9,1)</f>
        <v>V</v>
      </c>
      <c r="Z274" s="50" t="str">
        <f>MID(VLOOKUP($A274,Seqs!$A:$B,2,FALSE),VLOOKUP($A274,'SegEnds_NonXtal_Prot#'!A:AL,10,FALSE)+10,1)</f>
        <v>A</v>
      </c>
      <c r="AA274" s="28" t="str">
        <f>MID(VLOOKUP($A274,Seqs!$A:$B,2,FALSE),VLOOKUP($A274,'SegEnds_NonXtal_Prot#'!$A:$AL,22,FALSE)+6,1)</f>
        <v>L</v>
      </c>
      <c r="AB274" s="50" t="str">
        <f>MID(VLOOKUP($A274,Seqs!$A:$B,2,FALSE),VLOOKUP($A274,'SegEnds_NonXtal_Prot#'!$A:$AL,22,FALSE)+7,1)</f>
        <v>H</v>
      </c>
      <c r="AC274" s="50" t="str">
        <f>MID(VLOOKUP($A274,Seqs!$A:$B,2,FALSE),VLOOKUP($A274,'SegEnds_NonXtal_Prot#'!$A:$AL,22,FALSE)+8,1)</f>
        <v>L</v>
      </c>
      <c r="AD274" s="50" t="str">
        <f>MID(VLOOKUP($A274,Seqs!$A:$B,2,FALSE),VLOOKUP($A274,'SegEnds_NonXtal_Prot#'!$A:$AL,22,FALSE)+9,1)</f>
        <v>L</v>
      </c>
      <c r="AE274" s="50" t="str">
        <f>MID(VLOOKUP($A274,Seqs!$A:$B,2,FALSE),VLOOKUP($A274,'SegEnds_NonXtal_Prot#'!$A:$AL,22,FALSE)+10,1)</f>
        <v>L</v>
      </c>
      <c r="AF274" s="28" t="str">
        <f>MID(VLOOKUP($A274,Seqs!$A:$B,2,FALSE),VLOOKUP($A274,'SegEnds_NonXtal_Prot#'!$A:$AL,28,FALSE)-4,1)</f>
        <v>A</v>
      </c>
      <c r="AG274" s="50" t="str">
        <f>MID(VLOOKUP($A274,Seqs!$A:$B,2,FALSE),VLOOKUP($A274,'SegEnds_NonXtal_Prot#'!$A:$AL,28,FALSE),1)</f>
        <v>C</v>
      </c>
    </row>
    <row r="275" spans="1:33" s="2" customFormat="1" x14ac:dyDescent="0.2">
      <c r="A275" s="2" t="s">
        <v>349</v>
      </c>
      <c r="B275" s="2" t="str">
        <f>LOWER(VLOOKUP(A275,Xtal_Templ!A:B,2,FALSE))</f>
        <v>par1_human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G275" s="4"/>
      <c r="Q275" s="2" t="s">
        <v>9</v>
      </c>
      <c r="R275" s="2" t="s">
        <v>1328</v>
      </c>
      <c r="S275" s="4" t="s">
        <v>12</v>
      </c>
      <c r="U275" s="28" t="str">
        <f>MID(VLOOKUP($A275,Seqs!$A:$B,2,FALSE),VLOOKUP($A275,'SegEnds_NonXtal_Prot#'!A:AL,10,FALSE),1)</f>
        <v>D</v>
      </c>
      <c r="V275" s="50" t="str">
        <f>MID(VLOOKUP($A275,Seqs!$A:$B,2,FALSE),VLOOKUP($A275,'SegEnds_NonXtal_Prot#'!A:AL,10,FALSE)+6,1)</f>
        <v>V</v>
      </c>
      <c r="W275" s="50" t="str">
        <f>MID(VLOOKUP($A275,Seqs!$A:$B,2,FALSE),VLOOKUP($A275,'SegEnds_NonXtal_Prot#'!A:AL,10,FALSE)+7,1)</f>
        <v>L</v>
      </c>
      <c r="X275" s="50" t="str">
        <f>MID(VLOOKUP($A275,Seqs!$A:$B,2,FALSE),VLOOKUP($A275,'SegEnds_NonXtal_Prot#'!A:AL,10,FALSE)+8,1)</f>
        <v>P</v>
      </c>
      <c r="Y275" s="50" t="str">
        <f>MID(VLOOKUP($A275,Seqs!$A:$B,2,FALSE),VLOOKUP($A275,'SegEnds_NonXtal_Prot#'!A:AL,10,FALSE)+9,1)</f>
        <v>F</v>
      </c>
      <c r="Z275" s="50" t="str">
        <f>MID(VLOOKUP($A275,Seqs!$A:$B,2,FALSE),VLOOKUP($A275,'SegEnds_NonXtal_Prot#'!A:AL,10,FALSE)+10,1)</f>
        <v>Q</v>
      </c>
      <c r="AA275" s="28" t="str">
        <f>MID(VLOOKUP($A275,Seqs!$A:$B,2,FALSE),VLOOKUP($A275,'SegEnds_NonXtal_Prot#'!$A:$AL,22,FALSE)+6,1)</f>
        <v>A</v>
      </c>
      <c r="AB275" s="50" t="str">
        <f>MID(VLOOKUP($A275,Seqs!$A:$B,2,FALSE),VLOOKUP($A275,'SegEnds_NonXtal_Prot#'!$A:$AL,22,FALSE)+7,1)</f>
        <v>L</v>
      </c>
      <c r="AC275" s="50" t="str">
        <f>MID(VLOOKUP($A275,Seqs!$A:$B,2,FALSE),VLOOKUP($A275,'SegEnds_NonXtal_Prot#'!$A:$AL,22,FALSE)+8,1)</f>
        <v>S</v>
      </c>
      <c r="AD275" s="50" t="str">
        <f>MID(VLOOKUP($A275,Seqs!$A:$B,2,FALSE),VLOOKUP($A275,'SegEnds_NonXtal_Prot#'!$A:$AL,22,FALSE)+9,1)</f>
        <v>P</v>
      </c>
      <c r="AE275" s="50" t="str">
        <f>MID(VLOOKUP($A275,Seqs!$A:$B,2,FALSE),VLOOKUP($A275,'SegEnds_NonXtal_Prot#'!$A:$AL,22,FALSE)+10,1)</f>
        <v>L</v>
      </c>
      <c r="AF275" s="28" t="str">
        <f>MID(VLOOKUP($A275,Seqs!$A:$B,2,FALSE),VLOOKUP($A275,'SegEnds_NonXtal_Prot#'!$A:$AL,28,FALSE)-4,1)</f>
        <v>L</v>
      </c>
      <c r="AG275" s="50" t="str">
        <f>MID(VLOOKUP($A275,Seqs!$A:$B,2,FALSE),VLOOKUP($A275,'SegEnds_NonXtal_Prot#'!$A:$AL,28,FALSE),1)</f>
        <v>P</v>
      </c>
    </row>
    <row r="276" spans="1:33" s="2" customFormat="1" x14ac:dyDescent="0.2">
      <c r="A276" s="2" t="s">
        <v>355</v>
      </c>
      <c r="B276" s="2" t="str">
        <f>LOWER(VLOOKUP(A276,Xtal_Templ!A:B,2,FALSE))</f>
        <v>par1_human</v>
      </c>
      <c r="C276" s="2" t="str">
        <f>VLOOKUP(A276,Classification!A:D,2,FALSE)</f>
        <v>A</v>
      </c>
      <c r="D276" s="2" t="str">
        <f>IF(ISERROR(MATCH(A276,'SegEnds_Xtal_Prot#'!B:B, 0)), "NoXtal", "Xtal")</f>
        <v>Xtal</v>
      </c>
      <c r="G276" s="4"/>
      <c r="M276" s="2" t="s">
        <v>14</v>
      </c>
      <c r="R276" s="2" t="s">
        <v>1328</v>
      </c>
      <c r="S276" s="4" t="s">
        <v>12</v>
      </c>
      <c r="U276" s="28" t="str">
        <f>MID(VLOOKUP($A276,Seqs!$A:$B,2,FALSE),VLOOKUP($A276,'SegEnds_NonXtal_Prot#'!A:AL,10,FALSE),1)</f>
        <v>D</v>
      </c>
      <c r="V276" s="50" t="str">
        <f>MID(VLOOKUP($A276,Seqs!$A:$B,2,FALSE),VLOOKUP($A276,'SegEnds_NonXtal_Prot#'!A:AL,10,FALSE)+6,1)</f>
        <v>V</v>
      </c>
      <c r="W276" s="50" t="str">
        <f>MID(VLOOKUP($A276,Seqs!$A:$B,2,FALSE),VLOOKUP($A276,'SegEnds_NonXtal_Prot#'!A:AL,10,FALSE)+7,1)</f>
        <v>L</v>
      </c>
      <c r="X276" s="50" t="str">
        <f>MID(VLOOKUP($A276,Seqs!$A:$B,2,FALSE),VLOOKUP($A276,'SegEnds_NonXtal_Prot#'!A:AL,10,FALSE)+8,1)</f>
        <v>P</v>
      </c>
      <c r="Y276" s="50" t="str">
        <f>MID(VLOOKUP($A276,Seqs!$A:$B,2,FALSE),VLOOKUP($A276,'SegEnds_NonXtal_Prot#'!A:AL,10,FALSE)+9,1)</f>
        <v>F</v>
      </c>
      <c r="Z276" s="50" t="str">
        <f>MID(VLOOKUP($A276,Seqs!$A:$B,2,FALSE),VLOOKUP($A276,'SegEnds_NonXtal_Prot#'!A:AL,10,FALSE)+10,1)</f>
        <v>K</v>
      </c>
      <c r="AA276" s="28" t="str">
        <f>MID(VLOOKUP($A276,Seqs!$A:$B,2,FALSE),VLOOKUP($A276,'SegEnds_NonXtal_Prot#'!$A:$AL,22,FALSE)+6,1)</f>
        <v>G</v>
      </c>
      <c r="AB276" s="50" t="str">
        <f>MID(VLOOKUP($A276,Seqs!$A:$B,2,FALSE),VLOOKUP($A276,'SegEnds_NonXtal_Prot#'!$A:$AL,22,FALSE)+7,1)</f>
        <v>V</v>
      </c>
      <c r="AC276" s="50" t="str">
        <f>MID(VLOOKUP($A276,Seqs!$A:$B,2,FALSE),VLOOKUP($A276,'SegEnds_NonXtal_Prot#'!$A:$AL,22,FALSE)+8,1)</f>
        <v>V</v>
      </c>
      <c r="AD276" s="50" t="str">
        <f>MID(VLOOKUP($A276,Seqs!$A:$B,2,FALSE),VLOOKUP($A276,'SegEnds_NonXtal_Prot#'!$A:$AL,22,FALSE)+9,1)</f>
        <v>P</v>
      </c>
      <c r="AE276" s="50" t="str">
        <f>MID(VLOOKUP($A276,Seqs!$A:$B,2,FALSE),VLOOKUP($A276,'SegEnds_NonXtal_Prot#'!$A:$AL,22,FALSE)+10,1)</f>
        <v>L</v>
      </c>
      <c r="AF276" s="28" t="str">
        <f>MID(VLOOKUP($A276,Seqs!$A:$B,2,FALSE),VLOOKUP($A276,'SegEnds_NonXtal_Prot#'!$A:$AL,28,FALSE)-4,1)</f>
        <v>F</v>
      </c>
      <c r="AG276" s="50" t="str">
        <f>MID(VLOOKUP($A276,Seqs!$A:$B,2,FALSE),VLOOKUP($A276,'SegEnds_NonXtal_Prot#'!$A:$AL,28,FALSE),1)</f>
        <v>P</v>
      </c>
    </row>
    <row r="277" spans="1:33" s="2" customFormat="1" x14ac:dyDescent="0.2">
      <c r="A277" s="2" t="s">
        <v>356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Xtal</v>
      </c>
      <c r="G277" s="4"/>
      <c r="M277" s="2" t="s">
        <v>14</v>
      </c>
      <c r="Q277" s="2" t="s">
        <v>9</v>
      </c>
      <c r="R277" s="2" t="s">
        <v>1328</v>
      </c>
      <c r="S277" s="4" t="s">
        <v>12</v>
      </c>
      <c r="U277" s="28" t="str">
        <f>MID(VLOOKUP($A277,Seqs!$A:$B,2,FALSE),VLOOKUP($A277,'SegEnds_NonXtal_Prot#'!A:AL,10,FALSE),1)</f>
        <v>D</v>
      </c>
      <c r="V277" s="50" t="str">
        <f>MID(VLOOKUP($A277,Seqs!$A:$B,2,FALSE),VLOOKUP($A277,'SegEnds_NonXtal_Prot#'!A:AL,10,FALSE)+6,1)</f>
        <v>W</v>
      </c>
      <c r="W277" s="50" t="str">
        <f>MID(VLOOKUP($A277,Seqs!$A:$B,2,FALSE),VLOOKUP($A277,'SegEnds_NonXtal_Prot#'!A:AL,10,FALSE)+7,1)</f>
        <v>F</v>
      </c>
      <c r="X277" s="50" t="str">
        <f>MID(VLOOKUP($A277,Seqs!$A:$B,2,FALSE),VLOOKUP($A277,'SegEnds_NonXtal_Prot#'!A:AL,10,FALSE)+8,1)</f>
        <v>P</v>
      </c>
      <c r="Y277" s="50" t="str">
        <f>MID(VLOOKUP($A277,Seqs!$A:$B,2,FALSE),VLOOKUP($A277,'SegEnds_NonXtal_Prot#'!A:AL,10,FALSE)+9,1)</f>
        <v>L</v>
      </c>
      <c r="Z277" s="50" t="str">
        <f>MID(VLOOKUP($A277,Seqs!$A:$B,2,FALSE),VLOOKUP($A277,'SegEnds_NonXtal_Prot#'!A:AL,10,FALSE)+10,1)</f>
        <v>K</v>
      </c>
      <c r="AA277" s="28" t="str">
        <f>MID(VLOOKUP($A277,Seqs!$A:$B,2,FALSE),VLOOKUP($A277,'SegEnds_NonXtal_Prot#'!$A:$AL,22,FALSE)+6,1)</f>
        <v>V</v>
      </c>
      <c r="AB277" s="50" t="str">
        <f>MID(VLOOKUP($A277,Seqs!$A:$B,2,FALSE),VLOOKUP($A277,'SegEnds_NonXtal_Prot#'!$A:$AL,22,FALSE)+7,1)</f>
        <v>T</v>
      </c>
      <c r="AC277" s="50" t="str">
        <f>MID(VLOOKUP($A277,Seqs!$A:$B,2,FALSE),VLOOKUP($A277,'SegEnds_NonXtal_Prot#'!$A:$AL,22,FALSE)+8,1)</f>
        <v>I</v>
      </c>
      <c r="AD277" s="50" t="str">
        <f>MID(VLOOKUP($A277,Seqs!$A:$B,2,FALSE),VLOOKUP($A277,'SegEnds_NonXtal_Prot#'!$A:$AL,22,FALSE)+9,1)</f>
        <v>P</v>
      </c>
      <c r="AE277" s="50" t="str">
        <f>MID(VLOOKUP($A277,Seqs!$A:$B,2,FALSE),VLOOKUP($A277,'SegEnds_NonXtal_Prot#'!$A:$AL,22,FALSE)+10,1)</f>
        <v>L</v>
      </c>
      <c r="AF277" s="28" t="str">
        <f>MID(VLOOKUP($A277,Seqs!$A:$B,2,FALSE),VLOOKUP($A277,'SegEnds_NonXtal_Prot#'!$A:$AL,28,FALSE)-4,1)</f>
        <v>V</v>
      </c>
      <c r="AG277" s="50" t="str">
        <f>MID(VLOOKUP($A277,Seqs!$A:$B,2,FALSE),VLOOKUP($A277,'SegEnds_NonXtal_Prot#'!$A:$AL,28,FALSE),1)</f>
        <v>P</v>
      </c>
    </row>
    <row r="278" spans="1:33" s="2" customFormat="1" x14ac:dyDescent="0.2">
      <c r="A278" s="2" t="s">
        <v>357</v>
      </c>
      <c r="B278" s="2" t="str">
        <f>LOWER(VLOOKUP(A278,Xtal_Templ!A:B,2,FALSE))</f>
        <v>par2_human</v>
      </c>
      <c r="C278" s="2" t="str">
        <f>VLOOKUP(A278,Classification!A:D,2,FALSE)</f>
        <v>A</v>
      </c>
      <c r="D278" s="2" t="str">
        <f>IF(ISERROR(MATCH(A278,'SegEnds_Xtal_Prot#'!B:B, 0)), "NoXtal", "Xtal")</f>
        <v>NoXtal</v>
      </c>
      <c r="G278" s="4"/>
      <c r="M278" s="2" t="s">
        <v>14</v>
      </c>
      <c r="Q278" s="2" t="s">
        <v>9</v>
      </c>
      <c r="R278" s="2" t="s">
        <v>1328</v>
      </c>
      <c r="S278" s="4" t="s">
        <v>12</v>
      </c>
      <c r="U278" s="28" t="str">
        <f>MID(VLOOKUP($A278,Seqs!$A:$B,2,FALSE),VLOOKUP($A278,'SegEnds_NonXtal_Prot#'!A:AL,10,FALSE),1)</f>
        <v>D</v>
      </c>
      <c r="V278" s="50" t="str">
        <f>MID(VLOOKUP($A278,Seqs!$A:$B,2,FALSE),VLOOKUP($A278,'SegEnds_NonXtal_Prot#'!A:AL,10,FALSE)+6,1)</f>
        <v>T</v>
      </c>
      <c r="W278" s="50" t="str">
        <f>MID(VLOOKUP($A278,Seqs!$A:$B,2,FALSE),VLOOKUP($A278,'SegEnds_NonXtal_Prot#'!A:AL,10,FALSE)+7,1)</f>
        <v>L</v>
      </c>
      <c r="X278" s="50" t="str">
        <f>MID(VLOOKUP($A278,Seqs!$A:$B,2,FALSE),VLOOKUP($A278,'SegEnds_NonXtal_Prot#'!A:AL,10,FALSE)+8,1)</f>
        <v>P</v>
      </c>
      <c r="Y278" s="50" t="str">
        <f>MID(VLOOKUP($A278,Seqs!$A:$B,2,FALSE),VLOOKUP($A278,'SegEnds_NonXtal_Prot#'!A:AL,10,FALSE)+9,1)</f>
        <v>F</v>
      </c>
      <c r="Z278" s="50" t="str">
        <f>MID(VLOOKUP($A278,Seqs!$A:$B,2,FALSE),VLOOKUP($A278,'SegEnds_NonXtal_Prot#'!A:AL,10,FALSE)+10,1)</f>
        <v>K</v>
      </c>
      <c r="AA278" s="28" t="str">
        <f>MID(VLOOKUP($A278,Seqs!$A:$B,2,FALSE),VLOOKUP($A278,'SegEnds_NonXtal_Prot#'!$A:$AL,22,FALSE)+6,1)</f>
        <v>Y</v>
      </c>
      <c r="AB278" s="50" t="str">
        <f>MID(VLOOKUP($A278,Seqs!$A:$B,2,FALSE),VLOOKUP($A278,'SegEnds_NonXtal_Prot#'!$A:$AL,22,FALSE)+7,1)</f>
        <v>M</v>
      </c>
      <c r="AC278" s="50" t="str">
        <f>MID(VLOOKUP($A278,Seqs!$A:$B,2,FALSE),VLOOKUP($A278,'SegEnds_NonXtal_Prot#'!$A:$AL,22,FALSE)+8,1)</f>
        <v>L</v>
      </c>
      <c r="AD278" s="50" t="str">
        <f>MID(VLOOKUP($A278,Seqs!$A:$B,2,FALSE),VLOOKUP($A278,'SegEnds_NonXtal_Prot#'!$A:$AL,22,FALSE)+9,1)</f>
        <v>P</v>
      </c>
      <c r="AE278" s="50" t="str">
        <f>MID(VLOOKUP($A278,Seqs!$A:$B,2,FALSE),VLOOKUP($A278,'SegEnds_NonXtal_Prot#'!$A:$AL,22,FALSE)+10,1)</f>
        <v>F</v>
      </c>
      <c r="AF278" s="28" t="str">
        <f>MID(VLOOKUP($A278,Seqs!$A:$B,2,FALSE),VLOOKUP($A278,'SegEnds_NonXtal_Prot#'!$A:$AL,28,FALSE)-4,1)</f>
        <v>G</v>
      </c>
      <c r="AG278" s="50" t="str">
        <f>MID(VLOOKUP($A278,Seqs!$A:$B,2,FALSE),VLOOKUP($A278,'SegEnds_NonXtal_Prot#'!$A:$AL,28,FALSE),1)</f>
        <v>P</v>
      </c>
    </row>
    <row r="279" spans="1:33" s="2" customFormat="1" x14ac:dyDescent="0.2">
      <c r="A279" s="2" t="s">
        <v>358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NoXtal</v>
      </c>
      <c r="G279" s="4"/>
      <c r="M279" s="2" t="s">
        <v>14</v>
      </c>
      <c r="Q279" s="2" t="s">
        <v>9</v>
      </c>
      <c r="R279" s="2" t="s">
        <v>1328</v>
      </c>
      <c r="S279" s="4" t="s">
        <v>12</v>
      </c>
      <c r="U279" s="28" t="str">
        <f>MID(VLOOKUP($A279,Seqs!$A:$B,2,FALSE),VLOOKUP($A279,'SegEnds_NonXtal_Prot#'!A:AL,10,FALSE),1)</f>
        <v>D</v>
      </c>
      <c r="V279" s="50" t="str">
        <f>MID(VLOOKUP($A279,Seqs!$A:$B,2,FALSE),VLOOKUP($A279,'SegEnds_NonXtal_Prot#'!A:AL,10,FALSE)+6,1)</f>
        <v>A</v>
      </c>
      <c r="W279" s="50" t="str">
        <f>MID(VLOOKUP($A279,Seqs!$A:$B,2,FALSE),VLOOKUP($A279,'SegEnds_NonXtal_Prot#'!A:AL,10,FALSE)+7,1)</f>
        <v>L</v>
      </c>
      <c r="X279" s="50" t="str">
        <f>MID(VLOOKUP($A279,Seqs!$A:$B,2,FALSE),VLOOKUP($A279,'SegEnds_NonXtal_Prot#'!A:AL,10,FALSE)+8,1)</f>
        <v>P</v>
      </c>
      <c r="Y279" s="50" t="str">
        <f>MID(VLOOKUP($A279,Seqs!$A:$B,2,FALSE),VLOOKUP($A279,'SegEnds_NonXtal_Prot#'!A:AL,10,FALSE)+9,1)</f>
        <v>P</v>
      </c>
      <c r="Z279" s="50" t="str">
        <f>MID(VLOOKUP($A279,Seqs!$A:$B,2,FALSE),VLOOKUP($A279,'SegEnds_NonXtal_Prot#'!A:AL,10,FALSE)+10,1)</f>
        <v>R</v>
      </c>
      <c r="AA279" s="28" t="str">
        <f>MID(VLOOKUP($A279,Seqs!$A:$B,2,FALSE),VLOOKUP($A279,'SegEnds_NonXtal_Prot#'!$A:$AL,22,FALSE)+6,1)</f>
        <v>L</v>
      </c>
      <c r="AB279" s="50" t="str">
        <f>MID(VLOOKUP($A279,Seqs!$A:$B,2,FALSE),VLOOKUP($A279,'SegEnds_NonXtal_Prot#'!$A:$AL,22,FALSE)+7,1)</f>
        <v>A</v>
      </c>
      <c r="AC279" s="50" t="str">
        <f>MID(VLOOKUP($A279,Seqs!$A:$B,2,FALSE),VLOOKUP($A279,'SegEnds_NonXtal_Prot#'!$A:$AL,22,FALSE)+8,1)</f>
        <v>L</v>
      </c>
      <c r="AD279" s="50" t="str">
        <f>MID(VLOOKUP($A279,Seqs!$A:$B,2,FALSE),VLOOKUP($A279,'SegEnds_NonXtal_Prot#'!$A:$AL,22,FALSE)+9,1)</f>
        <v>P</v>
      </c>
      <c r="AE279" s="50" t="str">
        <f>MID(VLOOKUP($A279,Seqs!$A:$B,2,FALSE),VLOOKUP($A279,'SegEnds_NonXtal_Prot#'!$A:$AL,22,FALSE)+10,1)</f>
        <v>L</v>
      </c>
      <c r="AF279" s="28" t="str">
        <f>MID(VLOOKUP($A279,Seqs!$A:$B,2,FALSE),VLOOKUP($A279,'SegEnds_NonXtal_Prot#'!$A:$AL,28,FALSE)-4,1)</f>
        <v>G</v>
      </c>
      <c r="AG279" s="50" t="str">
        <f>MID(VLOOKUP($A279,Seqs!$A:$B,2,FALSE),VLOOKUP($A279,'SegEnds_NonXtal_Prot#'!$A:$AL,28,FALSE),1)</f>
        <v>P</v>
      </c>
    </row>
    <row r="280" spans="1:33" s="2" customFormat="1" x14ac:dyDescent="0.2">
      <c r="A280" s="2" t="s">
        <v>151</v>
      </c>
      <c r="B280" s="2" t="str">
        <f>LOWER(VLOOKUP(A280,Xtal_Templ!A:B,2,FALSE))</f>
        <v>s1pr1_human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G280" s="4"/>
      <c r="S280" s="4" t="s">
        <v>12</v>
      </c>
      <c r="U280" s="28" t="str">
        <f>MID(VLOOKUP($A280,Seqs!$A:$B,2,FALSE),VLOOKUP($A280,'SegEnds_NonXtal_Prot#'!A:AL,10,FALSE),1)</f>
        <v>D</v>
      </c>
      <c r="V280" s="50" t="str">
        <f>MID(VLOOKUP($A280,Seqs!$A:$B,2,FALSE),VLOOKUP($A280,'SegEnds_NonXtal_Prot#'!A:AL,10,FALSE)+6,1)</f>
        <v>Y</v>
      </c>
      <c r="W280" s="50" t="str">
        <f>MID(VLOOKUP($A280,Seqs!$A:$B,2,FALSE),VLOOKUP($A280,'SegEnds_NonXtal_Prot#'!A:AL,10,FALSE)+7,1)</f>
        <v>K</v>
      </c>
      <c r="X280" s="50" t="str">
        <f>MID(VLOOKUP($A280,Seqs!$A:$B,2,FALSE),VLOOKUP($A280,'SegEnds_NonXtal_Prot#'!A:AL,10,FALSE)+8,1)</f>
        <v>I</v>
      </c>
      <c r="Y280" s="50" t="str">
        <f>MID(VLOOKUP($A280,Seqs!$A:$B,2,FALSE),VLOOKUP($A280,'SegEnds_NonXtal_Prot#'!A:AL,10,FALSE)+9,1)</f>
        <v>L</v>
      </c>
      <c r="Z280" s="50" t="str">
        <f>MID(VLOOKUP($A280,Seqs!$A:$B,2,FALSE),VLOOKUP($A280,'SegEnds_NonXtal_Prot#'!A:AL,10,FALSE)+10,1)</f>
        <v>E</v>
      </c>
      <c r="AA280" s="28" t="str">
        <f>MID(VLOOKUP($A280,Seqs!$A:$B,2,FALSE),VLOOKUP($A280,'SegEnds_NonXtal_Prot#'!$A:$AL,22,FALSE)+6,1)</f>
        <v>T</v>
      </c>
      <c r="AB280" s="50" t="str">
        <f>MID(VLOOKUP($A280,Seqs!$A:$B,2,FALSE),VLOOKUP($A280,'SegEnds_NonXtal_Prot#'!$A:$AL,22,FALSE)+7,1)</f>
        <v>G</v>
      </c>
      <c r="AC280" s="50" t="str">
        <f>MID(VLOOKUP($A280,Seqs!$A:$B,2,FALSE),VLOOKUP($A280,'SegEnds_NonXtal_Prot#'!$A:$AL,22,FALSE)+8,1)</f>
        <v>I</v>
      </c>
      <c r="AD280" s="50" t="str">
        <f>MID(VLOOKUP($A280,Seqs!$A:$B,2,FALSE),VLOOKUP($A280,'SegEnds_NonXtal_Prot#'!$A:$AL,22,FALSE)+9,1)</f>
        <v>T</v>
      </c>
      <c r="AE280" s="50" t="str">
        <f>MID(VLOOKUP($A280,Seqs!$A:$B,2,FALSE),VLOOKUP($A280,'SegEnds_NonXtal_Prot#'!$A:$AL,22,FALSE)+10,1)</f>
        <v>M</v>
      </c>
      <c r="AF280" s="28" t="str">
        <f>MID(VLOOKUP($A280,Seqs!$A:$B,2,FALSE),VLOOKUP($A280,'SegEnds_NonXtal_Prot#'!$A:$AL,28,FALSE)-4,1)</f>
        <v>C</v>
      </c>
      <c r="AG280" s="50" t="str">
        <f>MID(VLOOKUP($A280,Seqs!$A:$B,2,FALSE),VLOOKUP($A280,'SegEnds_NonXtal_Prot#'!$A:$AL,28,FALSE),1)</f>
        <v>H</v>
      </c>
    </row>
    <row r="281" spans="1:33" s="2" customFormat="1" x14ac:dyDescent="0.2">
      <c r="A281" s="2" t="s">
        <v>213</v>
      </c>
      <c r="B281" s="2" t="str">
        <f>LOWER(VLOOKUP(A281,Xtal_Templ!A:B,2,FALSE))</f>
        <v>5ht2b_human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G281" s="4"/>
      <c r="Q281" s="2" t="s">
        <v>9</v>
      </c>
      <c r="S281" s="4" t="s">
        <v>12</v>
      </c>
      <c r="U281" s="28" t="str">
        <f>MID(VLOOKUP($A281,Seqs!$A:$B,2,FALSE),VLOOKUP($A281,'SegEnds_NonXtal_Prot#'!A:AL,10,FALSE),1)</f>
        <v>D</v>
      </c>
      <c r="V281" s="50" t="str">
        <f>MID(VLOOKUP($A281,Seqs!$A:$B,2,FALSE),VLOOKUP($A281,'SegEnds_NonXtal_Prot#'!A:AL,10,FALSE)+6,1)</f>
        <v>A</v>
      </c>
      <c r="W281" s="50" t="str">
        <f>MID(VLOOKUP($A281,Seqs!$A:$B,2,FALSE),VLOOKUP($A281,'SegEnds_NonXtal_Prot#'!A:AL,10,FALSE)+7,1)</f>
        <v>I</v>
      </c>
      <c r="X281" s="50" t="str">
        <f>MID(VLOOKUP($A281,Seqs!$A:$B,2,FALSE),VLOOKUP($A281,'SegEnds_NonXtal_Prot#'!A:AL,10,FALSE)+8,1)</f>
        <v>S</v>
      </c>
      <c r="Y281" s="50" t="str">
        <f>MID(VLOOKUP($A281,Seqs!$A:$B,2,FALSE),VLOOKUP($A281,'SegEnds_NonXtal_Prot#'!A:AL,10,FALSE)+9,1)</f>
        <v>G</v>
      </c>
      <c r="Z281" s="50" t="str">
        <f>MID(VLOOKUP($A281,Seqs!$A:$B,2,FALSE),VLOOKUP($A281,'SegEnds_NonXtal_Prot#'!A:AL,10,FALSE)+10,1)</f>
        <v>L</v>
      </c>
      <c r="AA281" s="28" t="str">
        <f>MID(VLOOKUP($A281,Seqs!$A:$B,2,FALSE),VLOOKUP($A281,'SegEnds_NonXtal_Prot#'!$A:$AL,22,FALSE)+6,1)</f>
        <v>I</v>
      </c>
      <c r="AB281" s="50" t="str">
        <f>MID(VLOOKUP($A281,Seqs!$A:$B,2,FALSE),VLOOKUP($A281,'SegEnds_NonXtal_Prot#'!$A:$AL,22,FALSE)+7,1)</f>
        <v>G</v>
      </c>
      <c r="AC281" s="50" t="str">
        <f>MID(VLOOKUP($A281,Seqs!$A:$B,2,FALSE),VLOOKUP($A281,'SegEnds_NonXtal_Prot#'!$A:$AL,22,FALSE)+8,1)</f>
        <v>F</v>
      </c>
      <c r="AD281" s="50" t="str">
        <f>MID(VLOOKUP($A281,Seqs!$A:$B,2,FALSE),VLOOKUP($A281,'SegEnds_NonXtal_Prot#'!$A:$AL,22,FALSE)+9,1)</f>
        <v>L</v>
      </c>
      <c r="AE281" s="50" t="str">
        <f>MID(VLOOKUP($A281,Seqs!$A:$B,2,FALSE),VLOOKUP($A281,'SegEnds_NonXtal_Prot#'!$A:$AL,22,FALSE)+10,1)</f>
        <v>P</v>
      </c>
      <c r="AF281" s="28" t="str">
        <f>MID(VLOOKUP($A281,Seqs!$A:$B,2,FALSE),VLOOKUP($A281,'SegEnds_NonXtal_Prot#'!$A:$AL,28,FALSE)-4,1)</f>
        <v>V</v>
      </c>
      <c r="AG281" s="50" t="str">
        <f>MID(VLOOKUP($A281,Seqs!$A:$B,2,FALSE),VLOOKUP($A281,'SegEnds_NonXtal_Prot#'!$A:$AL,28,FALSE),1)</f>
        <v>P</v>
      </c>
    </row>
    <row r="282" spans="1:33" s="2" customFormat="1" x14ac:dyDescent="0.2">
      <c r="A282" s="2" t="s">
        <v>238</v>
      </c>
      <c r="B282" s="2" t="str">
        <f>LOWER(VLOOKUP(A282,Xtal_Templ!A:B,2,FALSE))</f>
        <v>lpar1_human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G282" s="4"/>
      <c r="S282" s="4" t="s">
        <v>12</v>
      </c>
      <c r="U282" s="28" t="str">
        <f>MID(VLOOKUP($A282,Seqs!$A:$B,2,FALSE),VLOOKUP($A282,'SegEnds_NonXtal_Prot#'!A:AL,10,FALSE),1)</f>
        <v>D</v>
      </c>
      <c r="V282" s="50" t="str">
        <f>MID(VLOOKUP($A282,Seqs!$A:$B,2,FALSE),VLOOKUP($A282,'SegEnds_NonXtal_Prot#'!A:AL,10,FALSE)+6,1)</f>
        <v>G</v>
      </c>
      <c r="W282" s="50" t="str">
        <f>MID(VLOOKUP($A282,Seqs!$A:$B,2,FALSE),VLOOKUP($A282,'SegEnds_NonXtal_Prot#'!A:AL,10,FALSE)+7,1)</f>
        <v>L</v>
      </c>
      <c r="X282" s="50" t="str">
        <f>MID(VLOOKUP($A282,Seqs!$A:$B,2,FALSE),VLOOKUP($A282,'SegEnds_NonXtal_Prot#'!A:AL,10,FALSE)+8,1)</f>
        <v>I</v>
      </c>
      <c r="Y282" s="50" t="str">
        <f>MID(VLOOKUP($A282,Seqs!$A:$B,2,FALSE),VLOOKUP($A282,'SegEnds_NonXtal_Prot#'!A:AL,10,FALSE)+9,1)</f>
        <v>T</v>
      </c>
      <c r="Z282" s="50" t="str">
        <f>MID(VLOOKUP($A282,Seqs!$A:$B,2,FALSE),VLOOKUP($A282,'SegEnds_NonXtal_Prot#'!A:AL,10,FALSE)+10,1)</f>
        <v>N</v>
      </c>
      <c r="AA282" s="28" t="str">
        <f>MID(VLOOKUP($A282,Seqs!$A:$B,2,FALSE),VLOOKUP($A282,'SegEnds_NonXtal_Prot#'!$A:$AL,22,FALSE)+6,1)</f>
        <v>L</v>
      </c>
      <c r="AB282" s="50" t="str">
        <f>MID(VLOOKUP($A282,Seqs!$A:$B,2,FALSE),VLOOKUP($A282,'SegEnds_NonXtal_Prot#'!$A:$AL,22,FALSE)+7,1)</f>
        <v>G</v>
      </c>
      <c r="AC282" s="50" t="str">
        <f>MID(VLOOKUP($A282,Seqs!$A:$B,2,FALSE),VLOOKUP($A282,'SegEnds_NonXtal_Prot#'!$A:$AL,22,FALSE)+8,1)</f>
        <v>L</v>
      </c>
      <c r="AD282" s="50" t="str">
        <f>MID(VLOOKUP($A282,Seqs!$A:$B,2,FALSE),VLOOKUP($A282,'SegEnds_NonXtal_Prot#'!$A:$AL,22,FALSE)+9,1)</f>
        <v>L</v>
      </c>
      <c r="AE282" s="50" t="str">
        <f>MID(VLOOKUP($A282,Seqs!$A:$B,2,FALSE),VLOOKUP($A282,'SegEnds_NonXtal_Prot#'!$A:$AL,22,FALSE)+10,1)</f>
        <v>P</v>
      </c>
      <c r="AF282" s="28" t="str">
        <f>MID(VLOOKUP($A282,Seqs!$A:$B,2,FALSE),VLOOKUP($A282,'SegEnds_NonXtal_Prot#'!$A:$AL,28,FALSE)-4,1)</f>
        <v>S</v>
      </c>
      <c r="AG282" s="50" t="str">
        <f>MID(VLOOKUP($A282,Seqs!$A:$B,2,FALSE),VLOOKUP($A282,'SegEnds_NonXtal_Prot#'!$A:$AL,28,FALSE),1)</f>
        <v>M</v>
      </c>
    </row>
    <row r="283" spans="1:33" s="2" customFormat="1" x14ac:dyDescent="0.2">
      <c r="A283" s="2" t="s">
        <v>262</v>
      </c>
      <c r="B283" s="2" t="str">
        <f>LOWER(VLOOKUP(A283,Xtal_Templ!A:B,2,FALSE))</f>
        <v>s1pr1_human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G283" s="4"/>
      <c r="S283" s="4" t="s">
        <v>12</v>
      </c>
      <c r="U283" s="28" t="str">
        <f>MID(VLOOKUP($A283,Seqs!$A:$B,2,FALSE),VLOOKUP($A283,'SegEnds_NonXtal_Prot#'!A:AL,10,FALSE),1)</f>
        <v>D</v>
      </c>
      <c r="V283" s="50" t="str">
        <f>MID(VLOOKUP($A283,Seqs!$A:$B,2,FALSE),VLOOKUP($A283,'SegEnds_NonXtal_Prot#'!A:AL,10,FALSE)+6,1)</f>
        <v>G</v>
      </c>
      <c r="W283" s="50" t="str">
        <f>MID(VLOOKUP($A283,Seqs!$A:$B,2,FALSE),VLOOKUP($A283,'SegEnds_NonXtal_Prot#'!A:AL,10,FALSE)+7,1)</f>
        <v>L</v>
      </c>
      <c r="X283" s="50" t="str">
        <f>MID(VLOOKUP($A283,Seqs!$A:$B,2,FALSE),VLOOKUP($A283,'SegEnds_NonXtal_Prot#'!A:AL,10,FALSE)+8,1)</f>
        <v>I</v>
      </c>
      <c r="Y283" s="50" t="str">
        <f>MID(VLOOKUP($A283,Seqs!$A:$B,2,FALSE),VLOOKUP($A283,'SegEnds_NonXtal_Prot#'!A:AL,10,FALSE)+9,1)</f>
        <v>L</v>
      </c>
      <c r="Z283" s="50" t="str">
        <f>MID(VLOOKUP($A283,Seqs!$A:$B,2,FALSE),VLOOKUP($A283,'SegEnds_NonXtal_Prot#'!A:AL,10,FALSE)+10,1)</f>
        <v>H</v>
      </c>
      <c r="AA283" s="28" t="str">
        <f>MID(VLOOKUP($A283,Seqs!$A:$B,2,FALSE),VLOOKUP($A283,'SegEnds_NonXtal_Prot#'!$A:$AL,22,FALSE)+6,1)</f>
        <v>L</v>
      </c>
      <c r="AB283" s="50" t="str">
        <f>MID(VLOOKUP($A283,Seqs!$A:$B,2,FALSE),VLOOKUP($A283,'SegEnds_NonXtal_Prot#'!$A:$AL,22,FALSE)+7,1)</f>
        <v>G</v>
      </c>
      <c r="AC283" s="50" t="str">
        <f>MID(VLOOKUP($A283,Seqs!$A:$B,2,FALSE),VLOOKUP($A283,'SegEnds_NonXtal_Prot#'!$A:$AL,22,FALSE)+8,1)</f>
        <v>L</v>
      </c>
      <c r="AD283" s="50" t="str">
        <f>MID(VLOOKUP($A283,Seqs!$A:$B,2,FALSE),VLOOKUP($A283,'SegEnds_NonXtal_Prot#'!$A:$AL,22,FALSE)+9,1)</f>
        <v>L</v>
      </c>
      <c r="AE283" s="50" t="str">
        <f>MID(VLOOKUP($A283,Seqs!$A:$B,2,FALSE),VLOOKUP($A283,'SegEnds_NonXtal_Prot#'!$A:$AL,22,FALSE)+10,1)</f>
        <v>P</v>
      </c>
      <c r="AF283" s="28" t="str">
        <f>MID(VLOOKUP($A283,Seqs!$A:$B,2,FALSE),VLOOKUP($A283,'SegEnds_NonXtal_Prot#'!$A:$AL,28,FALSE)-4,1)</f>
        <v>A</v>
      </c>
      <c r="AG283" s="50" t="str">
        <f>MID(VLOOKUP($A283,Seqs!$A:$B,2,FALSE),VLOOKUP($A283,'SegEnds_NonXtal_Prot#'!$A:$AL,28,FALSE),1)</f>
        <v>V</v>
      </c>
    </row>
    <row r="284" spans="1:33" s="2" customFormat="1" x14ac:dyDescent="0.2">
      <c r="A284" s="2" t="s">
        <v>296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G284" s="4"/>
      <c r="S284" s="4" t="s">
        <v>12</v>
      </c>
      <c r="U284" s="28" t="str">
        <f>MID(VLOOKUP($A284,Seqs!$A:$B,2,FALSE),VLOOKUP($A284,'SegEnds_NonXtal_Prot#'!A:AL,10,FALSE),1)</f>
        <v>D</v>
      </c>
      <c r="V284" s="50" t="str">
        <f>MID(VLOOKUP($A284,Seqs!$A:$B,2,FALSE),VLOOKUP($A284,'SegEnds_NonXtal_Prot#'!A:AL,10,FALSE)+6,1)</f>
        <v>S</v>
      </c>
      <c r="W284" s="50" t="str">
        <f>MID(VLOOKUP($A284,Seqs!$A:$B,2,FALSE),VLOOKUP($A284,'SegEnds_NonXtal_Prot#'!A:AL,10,FALSE)+7,1)</f>
        <v>N</v>
      </c>
      <c r="X284" s="50" t="str">
        <f>MID(VLOOKUP($A284,Seqs!$A:$B,2,FALSE),VLOOKUP($A284,'SegEnds_NonXtal_Prot#'!A:AL,10,FALSE)+8,1)</f>
        <v>A</v>
      </c>
      <c r="Y284" s="50" t="str">
        <f>MID(VLOOKUP($A284,Seqs!$A:$B,2,FALSE),VLOOKUP($A284,'SegEnds_NonXtal_Prot#'!A:AL,10,FALSE)+9,1)</f>
        <v>L</v>
      </c>
      <c r="Z284" s="50" t="str">
        <f>MID(VLOOKUP($A284,Seqs!$A:$B,2,FALSE),VLOOKUP($A284,'SegEnds_NonXtal_Prot#'!A:AL,10,FALSE)+10,1)</f>
        <v>E</v>
      </c>
      <c r="AA284" s="28" t="str">
        <f>MID(VLOOKUP($A284,Seqs!$A:$B,2,FALSE),VLOOKUP($A284,'SegEnds_NonXtal_Prot#'!$A:$AL,22,FALSE)+6,1)</f>
        <v>C</v>
      </c>
      <c r="AB284" s="50" t="str">
        <f>MID(VLOOKUP($A284,Seqs!$A:$B,2,FALSE),VLOOKUP($A284,'SegEnds_NonXtal_Prot#'!$A:$AL,22,FALSE)+7,1)</f>
        <v>G</v>
      </c>
      <c r="AC284" s="50" t="str">
        <f>MID(VLOOKUP($A284,Seqs!$A:$B,2,FALSE),VLOOKUP($A284,'SegEnds_NonXtal_Prot#'!$A:$AL,22,FALSE)+8,1)</f>
        <v>V</v>
      </c>
      <c r="AD284" s="50" t="str">
        <f>MID(VLOOKUP($A284,Seqs!$A:$B,2,FALSE),VLOOKUP($A284,'SegEnds_NonXtal_Prot#'!$A:$AL,22,FALSE)+9,1)</f>
        <v>V</v>
      </c>
      <c r="AE284" s="50" t="str">
        <f>MID(VLOOKUP($A284,Seqs!$A:$B,2,FALSE),VLOOKUP($A284,'SegEnds_NonXtal_Prot#'!$A:$AL,22,FALSE)+10,1)</f>
        <v>F</v>
      </c>
      <c r="AF284" s="28" t="str">
        <f>MID(VLOOKUP($A284,Seqs!$A:$B,2,FALSE),VLOOKUP($A284,'SegEnds_NonXtal_Prot#'!$A:$AL,28,FALSE)-4,1)</f>
        <v>T</v>
      </c>
      <c r="AG284" s="50" t="str">
        <f>MID(VLOOKUP($A284,Seqs!$A:$B,2,FALSE),VLOOKUP($A284,'SegEnds_NonXtal_Prot#'!$A:$AL,28,FALSE),1)</f>
        <v>H</v>
      </c>
    </row>
    <row r="285" spans="1:33" s="2" customFormat="1" x14ac:dyDescent="0.2">
      <c r="A285" s="2" t="s">
        <v>297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G285" s="4"/>
      <c r="S285" s="4" t="s">
        <v>12</v>
      </c>
      <c r="U285" s="28" t="str">
        <f>MID(VLOOKUP($A285,Seqs!$A:$B,2,FALSE),VLOOKUP($A285,'SegEnds_NonXtal_Prot#'!A:AL,10,FALSE),1)</f>
        <v>D</v>
      </c>
      <c r="V285" s="50" t="str">
        <f>MID(VLOOKUP($A285,Seqs!$A:$B,2,FALSE),VLOOKUP($A285,'SegEnds_NonXtal_Prot#'!A:AL,10,FALSE)+6,1)</f>
        <v>S</v>
      </c>
      <c r="W285" s="50" t="str">
        <f>MID(VLOOKUP($A285,Seqs!$A:$B,2,FALSE),VLOOKUP($A285,'SegEnds_NonXtal_Prot#'!A:AL,10,FALSE)+7,1)</f>
        <v>N</v>
      </c>
      <c r="X285" s="50" t="str">
        <f>MID(VLOOKUP($A285,Seqs!$A:$B,2,FALSE),VLOOKUP($A285,'SegEnds_NonXtal_Prot#'!A:AL,10,FALSE)+8,1)</f>
        <v>G</v>
      </c>
      <c r="Y285" s="50" t="str">
        <f>MID(VLOOKUP($A285,Seqs!$A:$B,2,FALSE),VLOOKUP($A285,'SegEnds_NonXtal_Prot#'!A:AL,10,FALSE)+9,1)</f>
        <v>S</v>
      </c>
      <c r="Z285" s="50" t="str">
        <f>MID(VLOOKUP($A285,Seqs!$A:$B,2,FALSE),VLOOKUP($A285,'SegEnds_NonXtal_Prot#'!A:AL,10,FALSE)+10,1)</f>
        <v>E</v>
      </c>
      <c r="AA285" s="28" t="str">
        <f>MID(VLOOKUP($A285,Seqs!$A:$B,2,FALSE),VLOOKUP($A285,'SegEnds_NonXtal_Prot#'!$A:$AL,22,FALSE)+6,1)</f>
        <v>S</v>
      </c>
      <c r="AB285" s="50" t="str">
        <f>MID(VLOOKUP($A285,Seqs!$A:$B,2,FALSE),VLOOKUP($A285,'SegEnds_NonXtal_Prot#'!$A:$AL,22,FALSE)+7,1)</f>
        <v>G</v>
      </c>
      <c r="AC285" s="50" t="str">
        <f>MID(VLOOKUP($A285,Seqs!$A:$B,2,FALSE),VLOOKUP($A285,'SegEnds_NonXtal_Prot#'!$A:$AL,22,FALSE)+8,1)</f>
        <v>I</v>
      </c>
      <c r="AD285" s="50" t="str">
        <f>MID(VLOOKUP($A285,Seqs!$A:$B,2,FALSE),VLOOKUP($A285,'SegEnds_NonXtal_Prot#'!$A:$AL,22,FALSE)+9,1)</f>
        <v>L</v>
      </c>
      <c r="AE285" s="50" t="str">
        <f>MID(VLOOKUP($A285,Seqs!$A:$B,2,FALSE),VLOOKUP($A285,'SegEnds_NonXtal_Prot#'!$A:$AL,22,FALSE)+10,1)</f>
        <v>F</v>
      </c>
      <c r="AF285" s="28" t="str">
        <f>MID(VLOOKUP($A285,Seqs!$A:$B,2,FALSE),VLOOKUP($A285,'SegEnds_NonXtal_Prot#'!$A:$AL,28,FALSE)-4,1)</f>
        <v>S</v>
      </c>
      <c r="AG285" s="50" t="str">
        <f>MID(VLOOKUP($A285,Seqs!$A:$B,2,FALSE),VLOOKUP($A285,'SegEnds_NonXtal_Prot#'!$A:$AL,28,FALSE),1)</f>
        <v>H</v>
      </c>
    </row>
    <row r="286" spans="1:33" s="2" customFormat="1" x14ac:dyDescent="0.2">
      <c r="A286" s="2" t="s">
        <v>309</v>
      </c>
      <c r="B286" s="2" t="str">
        <f>LOWER(VLOOKUP(A286,Xtal_Templ!A:B,2,FALSE))</f>
        <v>s1pr1_human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G286" s="4"/>
      <c r="S286" s="4" t="s">
        <v>12</v>
      </c>
      <c r="U286" s="28" t="str">
        <f>MID(VLOOKUP($A286,Seqs!$A:$B,2,FALSE),VLOOKUP($A286,'SegEnds_NonXtal_Prot#'!A:AL,10,FALSE),1)</f>
        <v>D</v>
      </c>
      <c r="V286" s="50" t="str">
        <f>MID(VLOOKUP($A286,Seqs!$A:$B,2,FALSE),VLOOKUP($A286,'SegEnds_NonXtal_Prot#'!A:AL,10,FALSE)+6,1)</f>
        <v>S</v>
      </c>
      <c r="W286" s="50" t="str">
        <f>MID(VLOOKUP($A286,Seqs!$A:$B,2,FALSE),VLOOKUP($A286,'SegEnds_NonXtal_Prot#'!A:AL,10,FALSE)+7,1)</f>
        <v>N</v>
      </c>
      <c r="X286" s="50" t="str">
        <f>MID(VLOOKUP($A286,Seqs!$A:$B,2,FALSE),VLOOKUP($A286,'SegEnds_NonXtal_Prot#'!A:AL,10,FALSE)+8,1)</f>
        <v>V</v>
      </c>
      <c r="Y286" s="50" t="str">
        <f>MID(VLOOKUP($A286,Seqs!$A:$B,2,FALSE),VLOOKUP($A286,'SegEnds_NonXtal_Prot#'!A:AL,10,FALSE)+9,1)</f>
        <v>L</v>
      </c>
      <c r="Z286" s="50" t="str">
        <f>MID(VLOOKUP($A286,Seqs!$A:$B,2,FALSE),VLOOKUP($A286,'SegEnds_NonXtal_Prot#'!A:AL,10,FALSE)+10,1)</f>
        <v>E</v>
      </c>
      <c r="AA286" s="28" t="str">
        <f>MID(VLOOKUP($A286,Seqs!$A:$B,2,FALSE),VLOOKUP($A286,'SegEnds_NonXtal_Prot#'!$A:$AL,22,FALSE)+6,1)</f>
        <v>F</v>
      </c>
      <c r="AB286" s="50" t="str">
        <f>MID(VLOOKUP($A286,Seqs!$A:$B,2,FALSE),VLOOKUP($A286,'SegEnds_NonXtal_Prot#'!$A:$AL,22,FALSE)+7,1)</f>
        <v>S</v>
      </c>
      <c r="AC286" s="50" t="str">
        <f>MID(VLOOKUP($A286,Seqs!$A:$B,2,FALSE),VLOOKUP($A286,'SegEnds_NonXtal_Prot#'!$A:$AL,22,FALSE)+8,1)</f>
        <v>T</v>
      </c>
      <c r="AD286" s="50" t="str">
        <f>MID(VLOOKUP($A286,Seqs!$A:$B,2,FALSE),VLOOKUP($A286,'SegEnds_NonXtal_Prot#'!$A:$AL,22,FALSE)+9,1)</f>
        <v>L</v>
      </c>
      <c r="AE286" s="50" t="str">
        <f>MID(VLOOKUP($A286,Seqs!$A:$B,2,FALSE),VLOOKUP($A286,'SegEnds_NonXtal_Prot#'!$A:$AL,22,FALSE)+10,1)</f>
        <v>F</v>
      </c>
      <c r="AF286" s="28" t="str">
        <f>MID(VLOOKUP($A286,Seqs!$A:$B,2,FALSE),VLOOKUP($A286,'SegEnds_NonXtal_Prot#'!$A:$AL,28,FALSE)-4,1)</f>
        <v>V</v>
      </c>
      <c r="AG286" s="50" t="str">
        <f>MID(VLOOKUP($A286,Seqs!$A:$B,2,FALSE),VLOOKUP($A286,'SegEnds_NonXtal_Prot#'!$A:$AL,28,FALSE),1)</f>
        <v>H</v>
      </c>
    </row>
    <row r="287" spans="1:33" s="2" customFormat="1" x14ac:dyDescent="0.2">
      <c r="A287" s="2" t="s">
        <v>363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F287" s="2" t="s">
        <v>5</v>
      </c>
      <c r="G287" s="4"/>
      <c r="S287" s="4" t="s">
        <v>12</v>
      </c>
      <c r="U287" s="28" t="str">
        <f>MID(VLOOKUP($A287,Seqs!$A:$B,2,FALSE),VLOOKUP($A287,'SegEnds_NonXtal_Prot#'!A:AL,10,FALSE),1)</f>
        <v>D</v>
      </c>
      <c r="V287" s="50" t="str">
        <f>MID(VLOOKUP($A287,Seqs!$A:$B,2,FALSE),VLOOKUP($A287,'SegEnds_NonXtal_Prot#'!A:AL,10,FALSE)+6,1)</f>
        <v>L</v>
      </c>
      <c r="W287" s="50" t="str">
        <f>MID(VLOOKUP($A287,Seqs!$A:$B,2,FALSE),VLOOKUP($A287,'SegEnds_NonXtal_Prot#'!A:AL,10,FALSE)+7,1)</f>
        <v>T</v>
      </c>
      <c r="X287" s="50" t="str">
        <f>MID(VLOOKUP($A287,Seqs!$A:$B,2,FALSE),VLOOKUP($A287,'SegEnds_NonXtal_Prot#'!A:AL,10,FALSE)+8,1)</f>
        <v>T</v>
      </c>
      <c r="Y287" s="50" t="str">
        <f>MID(VLOOKUP($A287,Seqs!$A:$B,2,FALSE),VLOOKUP($A287,'SegEnds_NonXtal_Prot#'!A:AL,10,FALSE)+9,1)</f>
        <v>P</v>
      </c>
      <c r="Z287" s="50" t="str">
        <f>MID(VLOOKUP($A287,Seqs!$A:$B,2,FALSE),VLOOKUP($A287,'SegEnds_NonXtal_Prot#'!A:AL,10,FALSE)+10,1)</f>
        <v>V</v>
      </c>
      <c r="AA287" s="28" t="str">
        <f>MID(VLOOKUP($A287,Seqs!$A:$B,2,FALSE),VLOOKUP($A287,'SegEnds_NonXtal_Prot#'!$A:$AL,22,FALSE)+6,1)</f>
        <v>F</v>
      </c>
      <c r="AB287" s="50" t="str">
        <f>MID(VLOOKUP($A287,Seqs!$A:$B,2,FALSE),VLOOKUP($A287,'SegEnds_NonXtal_Prot#'!$A:$AL,22,FALSE)+7,1)</f>
        <v>A</v>
      </c>
      <c r="AC287" s="50" t="str">
        <f>MID(VLOOKUP($A287,Seqs!$A:$B,2,FALSE),VLOOKUP($A287,'SegEnds_NonXtal_Prot#'!$A:$AL,22,FALSE)+8,1)</f>
        <v>L</v>
      </c>
      <c r="AD287" s="50" t="str">
        <f>MID(VLOOKUP($A287,Seqs!$A:$B,2,FALSE),VLOOKUP($A287,'SegEnds_NonXtal_Prot#'!$A:$AL,22,FALSE)+9,1)</f>
        <v>L</v>
      </c>
      <c r="AE287" s="50" t="str">
        <f>MID(VLOOKUP($A287,Seqs!$A:$B,2,FALSE),VLOOKUP($A287,'SegEnds_NonXtal_Prot#'!$A:$AL,22,FALSE)+10,1)</f>
        <v>P</v>
      </c>
      <c r="AF287" s="28" t="str">
        <f>MID(VLOOKUP($A287,Seqs!$A:$B,2,FALSE),VLOOKUP($A287,'SegEnds_NonXtal_Prot#'!$A:$AL,28,FALSE)-4,1)</f>
        <v>L</v>
      </c>
      <c r="AG287" s="50" t="str">
        <f>MID(VLOOKUP($A287,Seqs!$A:$B,2,FALSE),VLOOKUP($A287,'SegEnds_NonXtal_Prot#'!$A:$AL,28,FALSE),1)</f>
        <v>T</v>
      </c>
    </row>
    <row r="288" spans="1:33" s="2" customFormat="1" x14ac:dyDescent="0.2">
      <c r="A288" s="2" t="s">
        <v>104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Xtal</v>
      </c>
      <c r="G288" s="4"/>
      <c r="H288" s="2" t="s">
        <v>21</v>
      </c>
      <c r="S288" s="4" t="s">
        <v>12</v>
      </c>
      <c r="U288" s="28" t="str">
        <f>MID(VLOOKUP($A288,Seqs!$A:$B,2,FALSE),VLOOKUP($A288,'SegEnds_NonXtal_Prot#'!A:AL,10,FALSE),1)</f>
        <v>D</v>
      </c>
      <c r="V288" s="50" t="str">
        <f>MID(VLOOKUP($A288,Seqs!$A:$B,2,FALSE),VLOOKUP($A288,'SegEnds_NonXtal_Prot#'!A:AL,10,FALSE)+6,1)</f>
        <v>A</v>
      </c>
      <c r="W288" s="50" t="str">
        <f>MID(VLOOKUP($A288,Seqs!$A:$B,2,FALSE),VLOOKUP($A288,'SegEnds_NonXtal_Prot#'!A:AL,10,FALSE)+7,1)</f>
        <v>Y</v>
      </c>
      <c r="X288" s="50" t="str">
        <f>MID(VLOOKUP($A288,Seqs!$A:$B,2,FALSE),VLOOKUP($A288,'SegEnds_NonXtal_Prot#'!A:AL,10,FALSE)+8,1)</f>
        <v>T</v>
      </c>
      <c r="Y288" s="50" t="str">
        <f>MID(VLOOKUP($A288,Seqs!$A:$B,2,FALSE),VLOOKUP($A288,'SegEnds_NonXtal_Prot#'!A:AL,10,FALSE)+9,1)</f>
        <v>A</v>
      </c>
      <c r="Z288" s="50" t="str">
        <f>MID(VLOOKUP($A288,Seqs!$A:$B,2,FALSE),VLOOKUP($A288,'SegEnds_NonXtal_Prot#'!A:AL,10,FALSE)+10,1)</f>
        <v>N</v>
      </c>
      <c r="AA288" s="28" t="str">
        <f>MID(VLOOKUP($A288,Seqs!$A:$B,2,FALSE),VLOOKUP($A288,'SegEnds_NonXtal_Prot#'!$A:$AL,22,FALSE)+6,1)</f>
        <v>L</v>
      </c>
      <c r="AB288" s="50" t="str">
        <f>MID(VLOOKUP($A288,Seqs!$A:$B,2,FALSE),VLOOKUP($A288,'SegEnds_NonXtal_Prot#'!$A:$AL,22,FALSE)+7,1)</f>
        <v>G</v>
      </c>
      <c r="AC288" s="50" t="str">
        <f>MID(VLOOKUP($A288,Seqs!$A:$B,2,FALSE),VLOOKUP($A288,'SegEnds_NonXtal_Prot#'!$A:$AL,22,FALSE)+8,1)</f>
        <v>G</v>
      </c>
      <c r="AD288" s="50" t="str">
        <f>MID(VLOOKUP($A288,Seqs!$A:$B,2,FALSE),VLOOKUP($A288,'SegEnds_NonXtal_Prot#'!$A:$AL,22,FALSE)+9,1)</f>
        <v>L</v>
      </c>
      <c r="AE288" s="50" t="str">
        <f>MID(VLOOKUP($A288,Seqs!$A:$B,2,FALSE),VLOOKUP($A288,'SegEnds_NonXtal_Prot#'!$A:$AL,22,FALSE)+10,1)</f>
        <v>P</v>
      </c>
      <c r="AF288" s="28" t="str">
        <f>MID(VLOOKUP($A288,Seqs!$A:$B,2,FALSE),VLOOKUP($A288,'SegEnds_NonXtal_Prot#'!$A:$AL,28,FALSE)-4,1)</f>
        <v>V</v>
      </c>
      <c r="AG288" s="50" t="str">
        <f>MID(VLOOKUP($A288,Seqs!$A:$B,2,FALSE),VLOOKUP($A288,'SegEnds_NonXtal_Prot#'!$A:$AL,28,FALSE),1)</f>
        <v>L</v>
      </c>
    </row>
    <row r="289" spans="1:33" s="2" customFormat="1" x14ac:dyDescent="0.2">
      <c r="A289" s="2" t="s">
        <v>377</v>
      </c>
      <c r="B289" s="2" t="str">
        <f>LOWER(VLOOKUP(A289,Xtal_Templ!A:B,2,FALSE))</f>
        <v>s1pr1_human</v>
      </c>
      <c r="C289" s="2" t="str">
        <f>VLOOKUP(A289,Classification!A:D,2,FALSE)</f>
        <v>A</v>
      </c>
      <c r="D289" s="2" t="str">
        <f>IF(ISERROR(MATCH(A289,'SegEnds_Xtal_Prot#'!B:B, 0)), "NoXtal", "Xtal")</f>
        <v>NoXtal</v>
      </c>
      <c r="G289" s="4"/>
      <c r="H289" s="2" t="s">
        <v>21</v>
      </c>
      <c r="S289" s="4" t="s">
        <v>12</v>
      </c>
      <c r="U289" s="28" t="str">
        <f>MID(VLOOKUP($A289,Seqs!$A:$B,2,FALSE),VLOOKUP($A289,'SegEnds_NonXtal_Prot#'!A:AL,10,FALSE),1)</f>
        <v>D</v>
      </c>
      <c r="V289" s="50" t="str">
        <f>MID(VLOOKUP($A289,Seqs!$A:$B,2,FALSE),VLOOKUP($A289,'SegEnds_NonXtal_Prot#'!A:AL,10,FALSE)+6,1)</f>
        <v>A</v>
      </c>
      <c r="W289" s="50" t="str">
        <f>MID(VLOOKUP($A289,Seqs!$A:$B,2,FALSE),VLOOKUP($A289,'SegEnds_NonXtal_Prot#'!A:AL,10,FALSE)+7,1)</f>
        <v>F</v>
      </c>
      <c r="X289" s="50" t="str">
        <f>MID(VLOOKUP($A289,Seqs!$A:$B,2,FALSE),VLOOKUP($A289,'SegEnds_NonXtal_Prot#'!A:AL,10,FALSE)+8,1)</f>
        <v>V</v>
      </c>
      <c r="Y289" s="50" t="str">
        <f>MID(VLOOKUP($A289,Seqs!$A:$B,2,FALSE),VLOOKUP($A289,'SegEnds_NonXtal_Prot#'!A:AL,10,FALSE)+9,1)</f>
        <v>A</v>
      </c>
      <c r="Z289" s="50" t="str">
        <f>MID(VLOOKUP($A289,Seqs!$A:$B,2,FALSE),VLOOKUP($A289,'SegEnds_NonXtal_Prot#'!A:AL,10,FALSE)+10,1)</f>
        <v>N</v>
      </c>
      <c r="AA289" s="28" t="str">
        <f>MID(VLOOKUP($A289,Seqs!$A:$B,2,FALSE),VLOOKUP($A289,'SegEnds_NonXtal_Prot#'!$A:$AL,22,FALSE)+6,1)</f>
        <v>L</v>
      </c>
      <c r="AB289" s="50" t="str">
        <f>MID(VLOOKUP($A289,Seqs!$A:$B,2,FALSE),VLOOKUP($A289,'SegEnds_NonXtal_Prot#'!$A:$AL,22,FALSE)+7,1)</f>
        <v>G</v>
      </c>
      <c r="AC289" s="50" t="str">
        <f>MID(VLOOKUP($A289,Seqs!$A:$B,2,FALSE),VLOOKUP($A289,'SegEnds_NonXtal_Prot#'!$A:$AL,22,FALSE)+8,1)</f>
        <v>G</v>
      </c>
      <c r="AD289" s="50" t="str">
        <f>MID(VLOOKUP($A289,Seqs!$A:$B,2,FALSE),VLOOKUP($A289,'SegEnds_NonXtal_Prot#'!$A:$AL,22,FALSE)+9,1)</f>
        <v>L</v>
      </c>
      <c r="AE289" s="50" t="str">
        <f>MID(VLOOKUP($A289,Seqs!$A:$B,2,FALSE),VLOOKUP($A289,'SegEnds_NonXtal_Prot#'!$A:$AL,22,FALSE)+10,1)</f>
        <v>P</v>
      </c>
      <c r="AF289" s="28" t="str">
        <f>MID(VLOOKUP($A289,Seqs!$A:$B,2,FALSE),VLOOKUP($A289,'SegEnds_NonXtal_Prot#'!$A:$AL,28,FALSE)-4,1)</f>
        <v>I</v>
      </c>
      <c r="AG289" s="50" t="str">
        <f>MID(VLOOKUP($A289,Seqs!$A:$B,2,FALSE),VLOOKUP($A289,'SegEnds_NonXtal_Prot#'!$A:$AL,28,FALSE),1)</f>
        <v>I</v>
      </c>
    </row>
    <row r="290" spans="1:33" s="2" customFormat="1" x14ac:dyDescent="0.2">
      <c r="A290" s="2" t="s">
        <v>378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NoXtal</v>
      </c>
      <c r="G290" s="4"/>
      <c r="H290" s="2" t="s">
        <v>21</v>
      </c>
      <c r="S290" s="4" t="s">
        <v>12</v>
      </c>
      <c r="U290" s="28" t="str">
        <f>MID(VLOOKUP($A290,Seqs!$A:$B,2,FALSE),VLOOKUP($A290,'SegEnds_NonXtal_Prot#'!A:AL,10,FALSE),1)</f>
        <v>D</v>
      </c>
      <c r="V290" s="50" t="str">
        <f>MID(VLOOKUP($A290,Seqs!$A:$B,2,FALSE),VLOOKUP($A290,'SegEnds_NonXtal_Prot#'!A:AL,10,FALSE)+6,1)</f>
        <v>A</v>
      </c>
      <c r="W290" s="50" t="str">
        <f>MID(VLOOKUP($A290,Seqs!$A:$B,2,FALSE),VLOOKUP($A290,'SegEnds_NonXtal_Prot#'!A:AL,10,FALSE)+7,1)</f>
        <v>Y</v>
      </c>
      <c r="X290" s="50" t="str">
        <f>MID(VLOOKUP($A290,Seqs!$A:$B,2,FALSE),VLOOKUP($A290,'SegEnds_NonXtal_Prot#'!A:AL,10,FALSE)+8,1)</f>
        <v>K</v>
      </c>
      <c r="Y290" s="50" t="str">
        <f>MID(VLOOKUP($A290,Seqs!$A:$B,2,FALSE),VLOOKUP($A290,'SegEnds_NonXtal_Prot#'!A:AL,10,FALSE)+9,1)</f>
        <v>V</v>
      </c>
      <c r="Z290" s="50" t="str">
        <f>MID(VLOOKUP($A290,Seqs!$A:$B,2,FALSE),VLOOKUP($A290,'SegEnds_NonXtal_Prot#'!A:AL,10,FALSE)+10,1)</f>
        <v>N</v>
      </c>
      <c r="AA290" s="28" t="str">
        <f>MID(VLOOKUP($A290,Seqs!$A:$B,2,FALSE),VLOOKUP($A290,'SegEnds_NonXtal_Prot#'!$A:$AL,22,FALSE)+6,1)</f>
        <v>L</v>
      </c>
      <c r="AB290" s="50" t="str">
        <f>MID(VLOOKUP($A290,Seqs!$A:$B,2,FALSE),VLOOKUP($A290,'SegEnds_NonXtal_Prot#'!$A:$AL,22,FALSE)+7,1)</f>
        <v>G</v>
      </c>
      <c r="AC290" s="50" t="str">
        <f>MID(VLOOKUP($A290,Seqs!$A:$B,2,FALSE),VLOOKUP($A290,'SegEnds_NonXtal_Prot#'!$A:$AL,22,FALSE)+8,1)</f>
        <v>A</v>
      </c>
      <c r="AD290" s="50" t="str">
        <f>MID(VLOOKUP($A290,Seqs!$A:$B,2,FALSE),VLOOKUP($A290,'SegEnds_NonXtal_Prot#'!$A:$AL,22,FALSE)+9,1)</f>
        <v>L</v>
      </c>
      <c r="AE290" s="50" t="str">
        <f>MID(VLOOKUP($A290,Seqs!$A:$B,2,FALSE),VLOOKUP($A290,'SegEnds_NonXtal_Prot#'!$A:$AL,22,FALSE)+10,1)</f>
        <v>P</v>
      </c>
      <c r="AF290" s="28" t="str">
        <f>MID(VLOOKUP($A290,Seqs!$A:$B,2,FALSE),VLOOKUP($A290,'SegEnds_NonXtal_Prot#'!$A:$AL,28,FALSE)-4,1)</f>
        <v>I</v>
      </c>
      <c r="AG290" s="50" t="str">
        <f>MID(VLOOKUP($A290,Seqs!$A:$B,2,FALSE),VLOOKUP($A290,'SegEnds_NonXtal_Prot#'!$A:$AL,28,FALSE),1)</f>
        <v>I</v>
      </c>
    </row>
    <row r="291" spans="1:33" s="2" customFormat="1" x14ac:dyDescent="0.2">
      <c r="A291" s="2" t="s">
        <v>379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G291" s="4"/>
      <c r="H291" s="2" t="s">
        <v>21</v>
      </c>
      <c r="S291" s="4" t="s">
        <v>12</v>
      </c>
      <c r="U291" s="28" t="str">
        <f>MID(VLOOKUP($A291,Seqs!$A:$B,2,FALSE),VLOOKUP($A291,'SegEnds_NonXtal_Prot#'!A:AL,10,FALSE),1)</f>
        <v>D</v>
      </c>
      <c r="V291" s="50" t="str">
        <f>MID(VLOOKUP($A291,Seqs!$A:$B,2,FALSE),VLOOKUP($A291,'SegEnds_NonXtal_Prot#'!A:AL,10,FALSE)+6,1)</f>
        <v>A</v>
      </c>
      <c r="W291" s="50" t="str">
        <f>MID(VLOOKUP($A291,Seqs!$A:$B,2,FALSE),VLOOKUP($A291,'SegEnds_NonXtal_Prot#'!A:AL,10,FALSE)+7,1)</f>
        <v>Y</v>
      </c>
      <c r="X291" s="50" t="str">
        <f>MID(VLOOKUP($A291,Seqs!$A:$B,2,FALSE),VLOOKUP($A291,'SegEnds_NonXtal_Prot#'!A:AL,10,FALSE)+8,1)</f>
        <v>L</v>
      </c>
      <c r="Y291" s="50" t="str">
        <f>MID(VLOOKUP($A291,Seqs!$A:$B,2,FALSE),VLOOKUP($A291,'SegEnds_NonXtal_Prot#'!A:AL,10,FALSE)+9,1)</f>
        <v>A</v>
      </c>
      <c r="Z291" s="50" t="str">
        <f>MID(VLOOKUP($A291,Seqs!$A:$B,2,FALSE),VLOOKUP($A291,'SegEnds_NonXtal_Prot#'!A:AL,10,FALSE)+10,1)</f>
        <v>N</v>
      </c>
      <c r="AA291" s="28" t="str">
        <f>MID(VLOOKUP($A291,Seqs!$A:$B,2,FALSE),VLOOKUP($A291,'SegEnds_NonXtal_Prot#'!$A:$AL,22,FALSE)+6,1)</f>
        <v>L</v>
      </c>
      <c r="AB291" s="50" t="str">
        <f>MID(VLOOKUP($A291,Seqs!$A:$B,2,FALSE),VLOOKUP($A291,'SegEnds_NonXtal_Prot#'!$A:$AL,22,FALSE)+7,1)</f>
        <v>G</v>
      </c>
      <c r="AC291" s="50" t="str">
        <f>MID(VLOOKUP($A291,Seqs!$A:$B,2,FALSE),VLOOKUP($A291,'SegEnds_NonXtal_Prot#'!$A:$AL,22,FALSE)+8,1)</f>
        <v>M</v>
      </c>
      <c r="AD291" s="50" t="str">
        <f>MID(VLOOKUP($A291,Seqs!$A:$B,2,FALSE),VLOOKUP($A291,'SegEnds_NonXtal_Prot#'!$A:$AL,22,FALSE)+9,1)</f>
        <v>L</v>
      </c>
      <c r="AE291" s="50" t="str">
        <f>MID(VLOOKUP($A291,Seqs!$A:$B,2,FALSE),VLOOKUP($A291,'SegEnds_NonXtal_Prot#'!$A:$AL,22,FALSE)+10,1)</f>
        <v>P</v>
      </c>
      <c r="AF291" s="28" t="str">
        <f>MID(VLOOKUP($A291,Seqs!$A:$B,2,FALSE),VLOOKUP($A291,'SegEnds_NonXtal_Prot#'!$A:$AL,28,FALSE)-4,1)</f>
        <v>I</v>
      </c>
      <c r="AG291" s="50" t="str">
        <f>MID(VLOOKUP($A291,Seqs!$A:$B,2,FALSE),VLOOKUP($A291,'SegEnds_NonXtal_Prot#'!$A:$AL,28,FALSE),1)</f>
        <v>V</v>
      </c>
    </row>
    <row r="292" spans="1:33" s="2" customFormat="1" x14ac:dyDescent="0.2">
      <c r="A292" s="2" t="s">
        <v>380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G292" s="4"/>
      <c r="H292" s="2" t="s">
        <v>21</v>
      </c>
      <c r="S292" s="4" t="s">
        <v>12</v>
      </c>
      <c r="U292" s="28" t="str">
        <f>MID(VLOOKUP($A292,Seqs!$A:$B,2,FALSE),VLOOKUP($A292,'SegEnds_NonXtal_Prot#'!A:AL,10,FALSE),1)</f>
        <v>D</v>
      </c>
      <c r="V292" s="50" t="str">
        <f>MID(VLOOKUP($A292,Seqs!$A:$B,2,FALSE),VLOOKUP($A292,'SegEnds_NonXtal_Prot#'!A:AL,10,FALSE)+6,1)</f>
        <v>A</v>
      </c>
      <c r="W292" s="50" t="str">
        <f>MID(VLOOKUP($A292,Seqs!$A:$B,2,FALSE),VLOOKUP($A292,'SegEnds_NonXtal_Prot#'!A:AL,10,FALSE)+7,1)</f>
        <v>Y</v>
      </c>
      <c r="X292" s="50" t="str">
        <f>MID(VLOOKUP($A292,Seqs!$A:$B,2,FALSE),VLOOKUP($A292,'SegEnds_NonXtal_Prot#'!A:AL,10,FALSE)+8,1)</f>
        <v>A</v>
      </c>
      <c r="Y292" s="50" t="str">
        <f>MID(VLOOKUP($A292,Seqs!$A:$B,2,FALSE),VLOOKUP($A292,'SegEnds_NonXtal_Prot#'!A:AL,10,FALSE)+9,1)</f>
        <v>A</v>
      </c>
      <c r="Z292" s="50" t="str">
        <f>MID(VLOOKUP($A292,Seqs!$A:$B,2,FALSE),VLOOKUP($A292,'SegEnds_NonXtal_Prot#'!A:AL,10,FALSE)+10,1)</f>
        <v>N</v>
      </c>
      <c r="AA292" s="28" t="str">
        <f>MID(VLOOKUP($A292,Seqs!$A:$B,2,FALSE),VLOOKUP($A292,'SegEnds_NonXtal_Prot#'!$A:$AL,22,FALSE)+6,1)</f>
        <v>L</v>
      </c>
      <c r="AB292" s="50" t="str">
        <f>MID(VLOOKUP($A292,Seqs!$A:$B,2,FALSE),VLOOKUP($A292,'SegEnds_NonXtal_Prot#'!$A:$AL,22,FALSE)+7,1)</f>
        <v>G</v>
      </c>
      <c r="AC292" s="50" t="str">
        <f>MID(VLOOKUP($A292,Seqs!$A:$B,2,FALSE),VLOOKUP($A292,'SegEnds_NonXtal_Prot#'!$A:$AL,22,FALSE)+8,1)</f>
        <v>L</v>
      </c>
      <c r="AD292" s="50" t="str">
        <f>MID(VLOOKUP($A292,Seqs!$A:$B,2,FALSE),VLOOKUP($A292,'SegEnds_NonXtal_Prot#'!$A:$AL,22,FALSE)+9,1)</f>
        <v>L</v>
      </c>
      <c r="AE292" s="50" t="str">
        <f>MID(VLOOKUP($A292,Seqs!$A:$B,2,FALSE),VLOOKUP($A292,'SegEnds_NonXtal_Prot#'!$A:$AL,22,FALSE)+10,1)</f>
        <v>P</v>
      </c>
      <c r="AF292" s="28" t="str">
        <f>MID(VLOOKUP($A292,Seqs!$A:$B,2,FALSE),VLOOKUP($A292,'SegEnds_NonXtal_Prot#'!$A:$AL,28,FALSE)-4,1)</f>
        <v>A</v>
      </c>
      <c r="AG292" s="50" t="str">
        <f>MID(VLOOKUP($A292,Seqs!$A:$B,2,FALSE),VLOOKUP($A292,'SegEnds_NonXtal_Prot#'!$A:$AL,28,FALSE),1)</f>
        <v>I</v>
      </c>
    </row>
    <row r="293" spans="1:33" s="2" customFormat="1" x14ac:dyDescent="0.2">
      <c r="A293" s="2" t="s">
        <v>473</v>
      </c>
      <c r="B293" s="2" t="str">
        <f>LOWER(VLOOKUP(A293,Xtal_Templ!A:B,2,FALSE))</f>
        <v>cnr1_human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G293" s="4"/>
      <c r="S293" s="4" t="s">
        <v>12</v>
      </c>
      <c r="U293" s="28" t="str">
        <f>MID(VLOOKUP($A293,Seqs!$A:$B,2,FALSE),VLOOKUP($A293,'SegEnds_NonXtal_Prot#'!A:AL,10,FALSE),1)</f>
        <v>D</v>
      </c>
      <c r="V293" s="50" t="str">
        <f>MID(VLOOKUP($A293,Seqs!$A:$B,2,FALSE),VLOOKUP($A293,'SegEnds_NonXtal_Prot#'!A:AL,10,FALSE)+6,1)</f>
        <v>V</v>
      </c>
      <c r="W293" s="50" t="str">
        <f>MID(VLOOKUP($A293,Seqs!$A:$B,2,FALSE),VLOOKUP($A293,'SegEnds_NonXtal_Prot#'!A:AL,10,FALSE)+7,1)</f>
        <v>T</v>
      </c>
      <c r="X293" s="50" t="str">
        <f>MID(VLOOKUP($A293,Seqs!$A:$B,2,FALSE),VLOOKUP($A293,'SegEnds_NonXtal_Prot#'!A:AL,10,FALSE)+8,1)</f>
        <v>G</v>
      </c>
      <c r="Y293" s="50" t="str">
        <f>MID(VLOOKUP($A293,Seqs!$A:$B,2,FALSE),VLOOKUP($A293,'SegEnds_NonXtal_Prot#'!A:AL,10,FALSE)+9,1)</f>
        <v>T</v>
      </c>
      <c r="Z293" s="50" t="str">
        <f>MID(VLOOKUP($A293,Seqs!$A:$B,2,FALSE),VLOOKUP($A293,'SegEnds_NonXtal_Prot#'!A:AL,10,FALSE)+10,1)</f>
        <v>I</v>
      </c>
      <c r="AA293" s="28" t="str">
        <f>MID(VLOOKUP($A293,Seqs!$A:$B,2,FALSE),VLOOKUP($A293,'SegEnds_NonXtal_Prot#'!$A:$AL,22,FALSE)+6,1)</f>
        <v>L</v>
      </c>
      <c r="AB293" s="50" t="str">
        <f>MID(VLOOKUP($A293,Seqs!$A:$B,2,FALSE),VLOOKUP($A293,'SegEnds_NonXtal_Prot#'!$A:$AL,22,FALSE)+7,1)</f>
        <v>G</v>
      </c>
      <c r="AC293" s="50" t="str">
        <f>MID(VLOOKUP($A293,Seqs!$A:$B,2,FALSE),VLOOKUP($A293,'SegEnds_NonXtal_Prot#'!$A:$AL,22,FALSE)+8,1)</f>
        <v>L</v>
      </c>
      <c r="AD293" s="50" t="str">
        <f>MID(VLOOKUP($A293,Seqs!$A:$B,2,FALSE),VLOOKUP($A293,'SegEnds_NonXtal_Prot#'!$A:$AL,22,FALSE)+9,1)</f>
        <v>L</v>
      </c>
      <c r="AE293" s="50" t="str">
        <f>MID(VLOOKUP($A293,Seqs!$A:$B,2,FALSE),VLOOKUP($A293,'SegEnds_NonXtal_Prot#'!$A:$AL,22,FALSE)+10,1)</f>
        <v>P</v>
      </c>
      <c r="AF293" s="28" t="str">
        <f>MID(VLOOKUP($A293,Seqs!$A:$B,2,FALSE),VLOOKUP($A293,'SegEnds_NonXtal_Prot#'!$A:$AL,28,FALSE)-4,1)</f>
        <v>L</v>
      </c>
      <c r="AG293" s="50" t="str">
        <f>MID(VLOOKUP($A293,Seqs!$A:$B,2,FALSE),VLOOKUP($A293,'SegEnds_NonXtal_Prot#'!$A:$AL,28,FALSE),1)</f>
        <v>S</v>
      </c>
    </row>
    <row r="294" spans="1:33" s="2" customFormat="1" x14ac:dyDescent="0.2">
      <c r="A294" s="2" t="s">
        <v>221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G294" s="4"/>
      <c r="Q294" s="2" t="s">
        <v>9</v>
      </c>
      <c r="S294" s="4" t="s">
        <v>12</v>
      </c>
      <c r="U294" s="28" t="str">
        <f>MID(VLOOKUP($A294,Seqs!$A:$B,2,FALSE),VLOOKUP($A294,'SegEnds_NonXtal_Prot#'!A:AL,10,FALSE),1)</f>
        <v>Q</v>
      </c>
      <c r="V294" s="50" t="str">
        <f>MID(VLOOKUP($A294,Seqs!$A:$B,2,FALSE),VLOOKUP($A294,'SegEnds_NonXtal_Prot#'!A:AL,10,FALSE)+6,1)</f>
        <v>S</v>
      </c>
      <c r="W294" s="50" t="str">
        <f>MID(VLOOKUP($A294,Seqs!$A:$B,2,FALSE),VLOOKUP($A294,'SegEnds_NonXtal_Prot#'!A:AL,10,FALSE)+7,1)</f>
        <v>M</v>
      </c>
      <c r="X294" s="50" t="str">
        <f>MID(VLOOKUP($A294,Seqs!$A:$B,2,FALSE),VLOOKUP($A294,'SegEnds_NonXtal_Prot#'!A:AL,10,FALSE)+8,1)</f>
        <v>L</v>
      </c>
      <c r="Y294" s="50" t="str">
        <f>MID(VLOOKUP($A294,Seqs!$A:$B,2,FALSE),VLOOKUP($A294,'SegEnds_NonXtal_Prot#'!A:AL,10,FALSE)+9,1)</f>
        <v>V</v>
      </c>
      <c r="Z294" s="50" t="str">
        <f>MID(VLOOKUP($A294,Seqs!$A:$B,2,FALSE),VLOOKUP($A294,'SegEnds_NonXtal_Prot#'!A:AL,10,FALSE)+10,1)</f>
        <v>A</v>
      </c>
      <c r="AA294" s="28" t="str">
        <f>MID(VLOOKUP($A294,Seqs!$A:$B,2,FALSE),VLOOKUP($A294,'SegEnds_NonXtal_Prot#'!$A:$AL,22,FALSE)+6,1)</f>
        <v>L</v>
      </c>
      <c r="AB294" s="50" t="str">
        <f>MID(VLOOKUP($A294,Seqs!$A:$B,2,FALSE),VLOOKUP($A294,'SegEnds_NonXtal_Prot#'!$A:$AL,22,FALSE)+7,1)</f>
        <v>S</v>
      </c>
      <c r="AC294" s="50" t="str">
        <f>MID(VLOOKUP($A294,Seqs!$A:$B,2,FALSE),VLOOKUP($A294,'SegEnds_NonXtal_Prot#'!$A:$AL,22,FALSE)+8,1)</f>
        <v>A</v>
      </c>
      <c r="AD294" s="50" t="str">
        <f>MID(VLOOKUP($A294,Seqs!$A:$B,2,FALSE),VLOOKUP($A294,'SegEnds_NonXtal_Prot#'!$A:$AL,22,FALSE)+9,1)</f>
        <v>L</v>
      </c>
      <c r="AE294" s="50" t="str">
        <f>MID(VLOOKUP($A294,Seqs!$A:$B,2,FALSE),VLOOKUP($A294,'SegEnds_NonXtal_Prot#'!$A:$AL,22,FALSE)+10,1)</f>
        <v>P</v>
      </c>
      <c r="AF294" s="28" t="str">
        <f>MID(VLOOKUP($A294,Seqs!$A:$B,2,FALSE),VLOOKUP($A294,'SegEnds_NonXtal_Prot#'!$A:$AL,28,FALSE)-4,1)</f>
        <v>G</v>
      </c>
      <c r="AG294" s="50" t="str">
        <f>MID(VLOOKUP($A294,Seqs!$A:$B,2,FALSE),VLOOKUP($A294,'SegEnds_NonXtal_Prot#'!$A:$AL,28,FALSE),1)</f>
        <v>P</v>
      </c>
    </row>
    <row r="295" spans="1:33" s="2" customFormat="1" x14ac:dyDescent="0.2">
      <c r="A295" s="2" t="s">
        <v>924</v>
      </c>
      <c r="B295" s="2" t="str">
        <f>LOWER(VLOOKUP(A295,Xtal_Templ!A:B,2,FALSE))</f>
        <v>us28_hcmva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4"/>
      <c r="M295" s="2" t="s">
        <v>14</v>
      </c>
      <c r="Q295" s="2" t="s">
        <v>9</v>
      </c>
      <c r="S295" s="4" t="s">
        <v>12</v>
      </c>
      <c r="U295" s="28" t="str">
        <f>MID(VLOOKUP($A295,Seqs!$A:$B,2,FALSE),VLOOKUP($A295,'SegEnds_NonXtal_Prot#'!A:AL,10,FALSE),1)</f>
        <v>D</v>
      </c>
      <c r="V295" s="50" t="str">
        <f>MID(VLOOKUP($A295,Seqs!$A:$B,2,FALSE),VLOOKUP($A295,'SegEnds_NonXtal_Prot#'!A:AL,10,FALSE)+6,1)</f>
        <v>T</v>
      </c>
      <c r="W295" s="50" t="str">
        <f>MID(VLOOKUP($A295,Seqs!$A:$B,2,FALSE),VLOOKUP($A295,'SegEnds_NonXtal_Prot#'!A:AL,10,FALSE)+7,1)</f>
        <v>L</v>
      </c>
      <c r="X295" s="50" t="str">
        <f>MID(VLOOKUP($A295,Seqs!$A:$B,2,FALSE),VLOOKUP($A295,'SegEnds_NonXtal_Prot#'!A:AL,10,FALSE)+8,1)</f>
        <v>P</v>
      </c>
      <c r="Y295" s="50" t="str">
        <f>MID(VLOOKUP($A295,Seqs!$A:$B,2,FALSE),VLOOKUP($A295,'SegEnds_NonXtal_Prot#'!A:AL,10,FALSE)+9,1)</f>
        <v>L</v>
      </c>
      <c r="Z295" s="50" t="str">
        <f>MID(VLOOKUP($A295,Seqs!$A:$B,2,FALSE),VLOOKUP($A295,'SegEnds_NonXtal_Prot#'!A:AL,10,FALSE)+10,1)</f>
        <v>W</v>
      </c>
      <c r="AA295" s="28" t="str">
        <f>MID(VLOOKUP($A295,Seqs!$A:$B,2,FALSE),VLOOKUP($A295,'SegEnds_NonXtal_Prot#'!$A:$AL,22,FALSE)+6,1)</f>
        <v>I</v>
      </c>
      <c r="AB295" s="50" t="str">
        <f>MID(VLOOKUP($A295,Seqs!$A:$B,2,FALSE),VLOOKUP($A295,'SegEnds_NonXtal_Prot#'!$A:$AL,22,FALSE)+7,1)</f>
        <v>A</v>
      </c>
      <c r="AC295" s="50" t="str">
        <f>MID(VLOOKUP($A295,Seqs!$A:$B,2,FALSE),VLOOKUP($A295,'SegEnds_NonXtal_Prot#'!$A:$AL,22,FALSE)+8,1)</f>
        <v>I</v>
      </c>
      <c r="AD295" s="50" t="str">
        <f>MID(VLOOKUP($A295,Seqs!$A:$B,2,FALSE),VLOOKUP($A295,'SegEnds_NonXtal_Prot#'!$A:$AL,22,FALSE)+9,1)</f>
        <v>P</v>
      </c>
      <c r="AE295" s="50" t="str">
        <f>MID(VLOOKUP($A295,Seqs!$A:$B,2,FALSE),VLOOKUP($A295,'SegEnds_NonXtal_Prot#'!$A:$AL,22,FALSE)+10,1)</f>
        <v>H</v>
      </c>
      <c r="AF295" s="28" t="str">
        <f>MID(VLOOKUP($A295,Seqs!$A:$B,2,FALSE),VLOOKUP($A295,'SegEnds_NonXtal_Prot#'!$A:$AL,28,FALSE)-4,1)</f>
        <v>A</v>
      </c>
      <c r="AG295" s="50" t="str">
        <f>MID(VLOOKUP($A295,Seqs!$A:$B,2,FALSE),VLOOKUP($A295,'SegEnds_NonXtal_Prot#'!$A:$AL,28,FALSE),1)</f>
        <v>P</v>
      </c>
    </row>
    <row r="296" spans="1:33" s="2" customFormat="1" x14ac:dyDescent="0.2">
      <c r="A296" s="2" t="s">
        <v>401</v>
      </c>
      <c r="B296" s="2" t="str">
        <f>LOWER(VLOOKUP(A296,Xtal_Templ!A:B,2,FALSE))</f>
        <v>calcr_human</v>
      </c>
      <c r="C296" s="2" t="str">
        <f>VLOOKUP(A296,Classification!A:D,2,FALSE)</f>
        <v>B1</v>
      </c>
      <c r="D296" s="2" t="str">
        <f>IF(ISERROR(MATCH(A296,'SegEnds_Xtal_Prot#'!B:B, 0)), "NoXtal", "Xtal")</f>
        <v>Xtal</v>
      </c>
      <c r="G296" s="4"/>
      <c r="I296" s="109" t="s">
        <v>25</v>
      </c>
      <c r="O296" s="2" t="s">
        <v>1329</v>
      </c>
      <c r="S296" s="4" t="s">
        <v>12</v>
      </c>
      <c r="U296" s="28" t="str">
        <f>MID(VLOOKUP($A296,Seqs!$A:$B,2,FALSE),VLOOKUP($A296,'SegEnds_NonXtal_Prot#'!A:AL,10,FALSE),1)</f>
        <v>Y</v>
      </c>
      <c r="V296" s="50" t="str">
        <f>MID(VLOOKUP($A296,Seqs!$A:$B,2,FALSE),VLOOKUP($A296,'SegEnds_NonXtal_Prot#'!A:AL,10,FALSE)+6,1)</f>
        <v>I</v>
      </c>
      <c r="W296" s="50" t="str">
        <f>MID(VLOOKUP($A296,Seqs!$A:$B,2,FALSE),VLOOKUP($A296,'SegEnds_NonXtal_Prot#'!A:AL,10,FALSE)+7,1)</f>
        <v>I</v>
      </c>
      <c r="X296" s="50" t="str">
        <f>MID(VLOOKUP($A296,Seqs!$A:$B,2,FALSE),VLOOKUP($A296,'SegEnds_NonXtal_Prot#'!A:AL,10,FALSE)+8,1)</f>
        <v>I</v>
      </c>
      <c r="Y296" s="50" t="str">
        <f>MID(VLOOKUP($A296,Seqs!$A:$B,2,FALSE),VLOOKUP($A296,'SegEnds_NonXtal_Prot#'!A:AL,10,FALSE)+9,1)</f>
        <v>I</v>
      </c>
      <c r="Z296" s="50" t="str">
        <f>MID(VLOOKUP($A296,Seqs!$A:$B,2,FALSE),VLOOKUP($A296,'SegEnds_NonXtal_Prot#'!A:AL,10,FALSE)+10,1)</f>
        <v>H</v>
      </c>
      <c r="AA296" s="28" t="str">
        <f>MID(VLOOKUP($A296,Seqs!$A:$B,2,FALSE),VLOOKUP($A296,'SegEnds_NonXtal_Prot#'!$A:$AL,22,FALSE)+6,1)</f>
        <v>P</v>
      </c>
      <c r="AB296" s="50" t="str">
        <f>MID(VLOOKUP($A296,Seqs!$A:$B,2,FALSE),VLOOKUP($A296,'SegEnds_NonXtal_Prot#'!$A:$AL,22,FALSE)+7,1)</f>
        <v>T</v>
      </c>
      <c r="AC296" s="50" t="str">
        <f>MID(VLOOKUP($A296,Seqs!$A:$B,2,FALSE),VLOOKUP($A296,'SegEnds_NonXtal_Prot#'!$A:$AL,22,FALSE)+8,1)</f>
        <v>T</v>
      </c>
      <c r="AD296" s="50" t="str">
        <f>MID(VLOOKUP($A296,Seqs!$A:$B,2,FALSE),VLOOKUP($A296,'SegEnds_NonXtal_Prot#'!$A:$AL,22,FALSE)+9,1)</f>
        <v>I</v>
      </c>
      <c r="AE296" s="50" t="str">
        <f>MID(VLOOKUP($A296,Seqs!$A:$B,2,FALSE),VLOOKUP($A296,'SegEnds_NonXtal_Prot#'!$A:$AL,22,FALSE)+10,1)</f>
        <v>H</v>
      </c>
      <c r="AF296" s="28" t="str">
        <f>MID(VLOOKUP($A296,Seqs!$A:$B,2,FALSE),VLOOKUP($A296,'SegEnds_NonXtal_Prot#'!$A:$AL,28,FALSE)-4,1)</f>
        <v>P</v>
      </c>
      <c r="AG296" s="50" t="str">
        <f>MID(VLOOKUP($A296,Seqs!$A:$B,2,FALSE),VLOOKUP($A296,'SegEnds_NonXtal_Prot#'!$A:$AL,28,FALSE),1)</f>
        <v>A</v>
      </c>
    </row>
    <row r="297" spans="1:33" s="2" customFormat="1" x14ac:dyDescent="0.2">
      <c r="A297" s="2" t="s">
        <v>402</v>
      </c>
      <c r="B297" s="2" t="str">
        <f>LOWER(VLOOKUP(A297,Xtal_Templ!A:B,2,FALSE))</f>
        <v>calcr_human</v>
      </c>
      <c r="C297" s="2" t="str">
        <f>VLOOKUP(A297,Classification!A:D,2,FALSE)</f>
        <v>B1</v>
      </c>
      <c r="D297" s="2" t="str">
        <f>IF(ISERROR(MATCH(A297,'SegEnds_Xtal_Prot#'!B:B, 0)), "NoXtal", "Xtal")</f>
        <v>NoXtal</v>
      </c>
      <c r="G297" s="4"/>
      <c r="I297" s="109" t="s">
        <v>25</v>
      </c>
      <c r="O297" s="2" t="s">
        <v>1329</v>
      </c>
      <c r="S297" s="4" t="s">
        <v>12</v>
      </c>
      <c r="U297" s="28" t="str">
        <f>MID(VLOOKUP($A297,Seqs!$A:$B,2,FALSE),VLOOKUP($A297,'SegEnds_NonXtal_Prot#'!A:AL,10,FALSE),1)</f>
        <v>F</v>
      </c>
      <c r="V297" s="50" t="str">
        <f>MID(VLOOKUP($A297,Seqs!$A:$B,2,FALSE),VLOOKUP($A297,'SegEnds_NonXtal_Prot#'!A:AL,10,FALSE)+6,1)</f>
        <v>V</v>
      </c>
      <c r="W297" s="50" t="str">
        <f>MID(VLOOKUP($A297,Seqs!$A:$B,2,FALSE),VLOOKUP($A297,'SegEnds_NonXtal_Prot#'!A:AL,10,FALSE)+7,1)</f>
        <v>T</v>
      </c>
      <c r="X297" s="50" t="str">
        <f>MID(VLOOKUP($A297,Seqs!$A:$B,2,FALSE),VLOOKUP($A297,'SegEnds_NonXtal_Prot#'!A:AL,10,FALSE)+8,1)</f>
        <v>I</v>
      </c>
      <c r="Y297" s="50" t="str">
        <f>MID(VLOOKUP($A297,Seqs!$A:$B,2,FALSE),VLOOKUP($A297,'SegEnds_NonXtal_Prot#'!A:AL,10,FALSE)+9,1)</f>
        <v>I</v>
      </c>
      <c r="Z297" s="50" t="str">
        <f>MID(VLOOKUP($A297,Seqs!$A:$B,2,FALSE),VLOOKUP($A297,'SegEnds_NonXtal_Prot#'!A:AL,10,FALSE)+10,1)</f>
        <v>H</v>
      </c>
      <c r="AA297" s="28" t="str">
        <f>MID(VLOOKUP($A297,Seqs!$A:$B,2,FALSE),VLOOKUP($A297,'SegEnds_NonXtal_Prot#'!$A:$AL,22,FALSE)+6,1)</f>
        <v>P</v>
      </c>
      <c r="AB297" s="50" t="str">
        <f>MID(VLOOKUP($A297,Seqs!$A:$B,2,FALSE),VLOOKUP($A297,'SegEnds_NonXtal_Prot#'!$A:$AL,22,FALSE)+7,1)</f>
        <v>A</v>
      </c>
      <c r="AC297" s="50" t="str">
        <f>MID(VLOOKUP($A297,Seqs!$A:$B,2,FALSE),VLOOKUP($A297,'SegEnds_NonXtal_Prot#'!$A:$AL,22,FALSE)+8,1)</f>
        <v>C</v>
      </c>
      <c r="AD297" s="50" t="str">
        <f>MID(VLOOKUP($A297,Seqs!$A:$B,2,FALSE),VLOOKUP($A297,'SegEnds_NonXtal_Prot#'!$A:$AL,22,FALSE)+9,1)</f>
        <v>I</v>
      </c>
      <c r="AE297" s="50" t="str">
        <f>MID(VLOOKUP($A297,Seqs!$A:$B,2,FALSE),VLOOKUP($A297,'SegEnds_NonXtal_Prot#'!$A:$AL,22,FALSE)+10,1)</f>
        <v>H</v>
      </c>
      <c r="AF297" s="28" t="str">
        <f>MID(VLOOKUP($A297,Seqs!$A:$B,2,FALSE),VLOOKUP($A297,'SegEnds_NonXtal_Prot#'!$A:$AL,28,FALSE)-4,1)</f>
        <v>P</v>
      </c>
      <c r="AG297" s="50" t="str">
        <f>MID(VLOOKUP($A297,Seqs!$A:$B,2,FALSE),VLOOKUP($A297,'SegEnds_NonXtal_Prot#'!$A:$AL,28,FALSE),1)</f>
        <v>A</v>
      </c>
    </row>
    <row r="298" spans="1:33" s="2" customFormat="1" x14ac:dyDescent="0.2">
      <c r="A298" s="2" t="s">
        <v>38</v>
      </c>
      <c r="B298" s="2" t="str">
        <f>LOWER(VLOOKUP(A298,Xtal_Templ!A:B,2,FALSE))</f>
        <v>crfr1_human</v>
      </c>
      <c r="C298" s="2" t="str">
        <f>VLOOKUP(A298,Classification!A:D,2,FALSE)</f>
        <v>B1</v>
      </c>
      <c r="D298" s="2" t="str">
        <f>IF(ISERROR(MATCH(A298,'SegEnds_Xtal_Prot#'!B:B, 0)), "NoXtal", "Xtal")</f>
        <v>Xtal</v>
      </c>
      <c r="E298" s="50"/>
      <c r="G298" s="4"/>
      <c r="I298" s="53" t="s">
        <v>25</v>
      </c>
      <c r="J298" s="110"/>
      <c r="O298" s="2" t="s">
        <v>1329</v>
      </c>
      <c r="S298" s="4" t="s">
        <v>12</v>
      </c>
      <c r="U298" s="28" t="str">
        <f>MID(VLOOKUP($A298,Seqs!$A:$B,2,FALSE),VLOOKUP($A298,'SegEnds_NonXtal_Prot#'!A:AL,10,FALSE),1)</f>
        <v>F</v>
      </c>
      <c r="V298" s="50" t="str">
        <f>MID(VLOOKUP($A298,Seqs!$A:$B,2,FALSE),VLOOKUP($A298,'SegEnds_NonXtal_Prot#'!A:AL,10,FALSE)+6,1)</f>
        <v>T</v>
      </c>
      <c r="W298" s="50" t="str">
        <f>MID(VLOOKUP($A298,Seqs!$A:$B,2,FALSE),VLOOKUP($A298,'SegEnds_NonXtal_Prot#'!A:AL,10,FALSE)+7,1)</f>
        <v>W</v>
      </c>
      <c r="X298" s="50" t="str">
        <f>MID(VLOOKUP($A298,Seqs!$A:$B,2,FALSE),VLOOKUP($A298,'SegEnds_NonXtal_Prot#'!A:AL,10,FALSE)+8,1)</f>
        <v>F</v>
      </c>
      <c r="Y298" s="50" t="str">
        <f>MID(VLOOKUP($A298,Seqs!$A:$B,2,FALSE),VLOOKUP($A298,'SegEnds_NonXtal_Prot#'!A:AL,10,FALSE)+9,1)</f>
        <v>V</v>
      </c>
      <c r="Z298" s="50" t="str">
        <f>MID(VLOOKUP($A298,Seqs!$A:$B,2,FALSE),VLOOKUP($A298,'SegEnds_NonXtal_Prot#'!A:AL,10,FALSE)+10,1)</f>
        <v>V</v>
      </c>
      <c r="AA298" s="28" t="str">
        <f>MID(VLOOKUP($A298,Seqs!$A:$B,2,FALSE),VLOOKUP($A298,'SegEnds_NonXtal_Prot#'!$A:$AL,22,FALSE)+6,1)</f>
        <v>I</v>
      </c>
      <c r="AB298" s="50" t="str">
        <f>MID(VLOOKUP($A298,Seqs!$A:$B,2,FALSE),VLOOKUP($A298,'SegEnds_NonXtal_Prot#'!$A:$AL,22,FALSE)+7,1)</f>
        <v>I</v>
      </c>
      <c r="AC298" s="50" t="str">
        <f>MID(VLOOKUP($A298,Seqs!$A:$B,2,FALSE),VLOOKUP($A298,'SegEnds_NonXtal_Prot#'!$A:$AL,22,FALSE)+8,1)</f>
        <v>V</v>
      </c>
      <c r="AD298" s="50" t="str">
        <f>MID(VLOOKUP($A298,Seqs!$A:$B,2,FALSE),VLOOKUP($A298,'SegEnds_NonXtal_Prot#'!$A:$AL,22,FALSE)+9,1)</f>
        <v>A</v>
      </c>
      <c r="AE298" s="50" t="str">
        <f>MID(VLOOKUP($A298,Seqs!$A:$B,2,FALSE),VLOOKUP($A298,'SegEnds_NonXtal_Prot#'!$A:$AL,22,FALSE)+10,1)</f>
        <v>W</v>
      </c>
      <c r="AF298" s="28" t="str">
        <f>MID(VLOOKUP($A298,Seqs!$A:$B,2,FALSE),VLOOKUP($A298,'SegEnds_NonXtal_Prot#'!$A:$AL,28,FALSE)-4,1)</f>
        <v>P</v>
      </c>
      <c r="AG298" s="50" t="str">
        <f>MID(VLOOKUP($A298,Seqs!$A:$B,2,FALSE),VLOOKUP($A298,'SegEnds_NonXtal_Prot#'!$A:$AL,28,FALSE),1)</f>
        <v>V</v>
      </c>
    </row>
    <row r="299" spans="1:33" s="2" customFormat="1" x14ac:dyDescent="0.2">
      <c r="A299" s="2" t="s">
        <v>403</v>
      </c>
      <c r="B299" s="2" t="str">
        <f>LOWER(VLOOKUP(A299,Xtal_Templ!A:B,2,FALSE))</f>
        <v>crfr1_human</v>
      </c>
      <c r="C299" s="2" t="str">
        <f>VLOOKUP(A299,Classification!A:D,2,FALSE)</f>
        <v>B1</v>
      </c>
      <c r="D299" s="2" t="str">
        <f>IF(ISERROR(MATCH(A299,'SegEnds_Xtal_Prot#'!B:B, 0)), "NoXtal", "Xtal")</f>
        <v>NoXtal</v>
      </c>
      <c r="E299" s="50"/>
      <c r="G299" s="4"/>
      <c r="I299" s="109" t="s">
        <v>25</v>
      </c>
      <c r="O299" s="2" t="s">
        <v>1329</v>
      </c>
      <c r="S299" s="4" t="s">
        <v>12</v>
      </c>
      <c r="U299" s="28" t="str">
        <f>MID(VLOOKUP($A299,Seqs!$A:$B,2,FALSE),VLOOKUP($A299,'SegEnds_NonXtal_Prot#'!A:AL,10,FALSE),1)</f>
        <v>F</v>
      </c>
      <c r="V299" s="50" t="str">
        <f>MID(VLOOKUP($A299,Seqs!$A:$B,2,FALSE),VLOOKUP($A299,'SegEnds_NonXtal_Prot#'!A:AL,10,FALSE)+6,1)</f>
        <v>M</v>
      </c>
      <c r="W299" s="50" t="str">
        <f>MID(VLOOKUP($A299,Seqs!$A:$B,2,FALSE),VLOOKUP($A299,'SegEnds_NonXtal_Prot#'!A:AL,10,FALSE)+7,1)</f>
        <v>W</v>
      </c>
      <c r="X299" s="50" t="str">
        <f>MID(VLOOKUP($A299,Seqs!$A:$B,2,FALSE),VLOOKUP($A299,'SegEnds_NonXtal_Prot#'!A:AL,10,FALSE)+8,1)</f>
        <v>F</v>
      </c>
      <c r="Y299" s="50" t="str">
        <f>MID(VLOOKUP($A299,Seqs!$A:$B,2,FALSE),VLOOKUP($A299,'SegEnds_NonXtal_Prot#'!A:AL,10,FALSE)+9,1)</f>
        <v>L</v>
      </c>
      <c r="Z299" s="50" t="str">
        <f>MID(VLOOKUP($A299,Seqs!$A:$B,2,FALSE),VLOOKUP($A299,'SegEnds_NonXtal_Prot#'!A:AL,10,FALSE)+10,1)</f>
        <v>L</v>
      </c>
      <c r="AA299" s="28" t="str">
        <f>MID(VLOOKUP($A299,Seqs!$A:$B,2,FALSE),VLOOKUP($A299,'SegEnds_NonXtal_Prot#'!$A:$AL,22,FALSE)+6,1)</f>
        <v>I</v>
      </c>
      <c r="AB299" s="50" t="str">
        <f>MID(VLOOKUP($A299,Seqs!$A:$B,2,FALSE),VLOOKUP($A299,'SegEnds_NonXtal_Prot#'!$A:$AL,22,FALSE)+7,1)</f>
        <v>I</v>
      </c>
      <c r="AC299" s="50" t="str">
        <f>MID(VLOOKUP($A299,Seqs!$A:$B,2,FALSE),VLOOKUP($A299,'SegEnds_NonXtal_Prot#'!$A:$AL,22,FALSE)+8,1)</f>
        <v>V</v>
      </c>
      <c r="AD299" s="50" t="str">
        <f>MID(VLOOKUP($A299,Seqs!$A:$B,2,FALSE),VLOOKUP($A299,'SegEnds_NonXtal_Prot#'!$A:$AL,22,FALSE)+9,1)</f>
        <v>A</v>
      </c>
      <c r="AE299" s="50" t="str">
        <f>MID(VLOOKUP($A299,Seqs!$A:$B,2,FALSE),VLOOKUP($A299,'SegEnds_NonXtal_Prot#'!$A:$AL,22,FALSE)+10,1)</f>
        <v>W</v>
      </c>
      <c r="AF299" s="28" t="str">
        <f>MID(VLOOKUP($A299,Seqs!$A:$B,2,FALSE),VLOOKUP($A299,'SegEnds_NonXtal_Prot#'!$A:$AL,28,FALSE)-4,1)</f>
        <v>P</v>
      </c>
      <c r="AG299" s="50" t="str">
        <f>MID(VLOOKUP($A299,Seqs!$A:$B,2,FALSE),VLOOKUP($A299,'SegEnds_NonXtal_Prot#'!$A:$AL,28,FALSE),1)</f>
        <v>V</v>
      </c>
    </row>
    <row r="300" spans="1:33" s="2" customFormat="1" x14ac:dyDescent="0.2">
      <c r="A300" s="2" t="s">
        <v>404</v>
      </c>
      <c r="B300" s="2" t="str">
        <f>LOWER(VLOOKUP(A300,Xtal_Templ!A:B,2,FALSE))</f>
        <v>glr_human</v>
      </c>
      <c r="C300" s="2" t="str">
        <f>VLOOKUP(A300,Classification!A:D,2,FALSE)</f>
        <v>B1</v>
      </c>
      <c r="D300" s="2" t="str">
        <f>IF(ISERROR(MATCH(A300,'SegEnds_Xtal_Prot#'!B:B, 0)), "NoXtal", "Xtal")</f>
        <v>NoXtal</v>
      </c>
      <c r="G300" s="4"/>
      <c r="I300" s="109" t="s">
        <v>25</v>
      </c>
      <c r="O300" s="2" t="s">
        <v>1329</v>
      </c>
      <c r="S300" s="4" t="s">
        <v>12</v>
      </c>
      <c r="U300" s="28" t="str">
        <f>MID(VLOOKUP($A300,Seqs!$A:$B,2,FALSE),VLOOKUP($A300,'SegEnds_NonXtal_Prot#'!A:AL,10,FALSE),1)</f>
        <v>F</v>
      </c>
      <c r="V300" s="50" t="str">
        <f>MID(VLOOKUP($A300,Seqs!$A:$B,2,FALSE),VLOOKUP($A300,'SegEnds_NonXtal_Prot#'!A:AL,10,FALSE)+6,1)</f>
        <v>A</v>
      </c>
      <c r="W300" s="50" t="str">
        <f>MID(VLOOKUP($A300,Seqs!$A:$B,2,FALSE),VLOOKUP($A300,'SegEnds_NonXtal_Prot#'!A:AL,10,FALSE)+7,1)</f>
        <v>V</v>
      </c>
      <c r="X300" s="50" t="str">
        <f>MID(VLOOKUP($A300,Seqs!$A:$B,2,FALSE),VLOOKUP($A300,'SegEnds_NonXtal_Prot#'!A:AL,10,FALSE)+8,1)</f>
        <v>F</v>
      </c>
      <c r="Y300" s="50" t="str">
        <f>MID(VLOOKUP($A300,Seqs!$A:$B,2,FALSE),VLOOKUP($A300,'SegEnds_NonXtal_Prot#'!A:AL,10,FALSE)+9,1)</f>
        <v>L</v>
      </c>
      <c r="Z300" s="50" t="str">
        <f>MID(VLOOKUP($A300,Seqs!$A:$B,2,FALSE),VLOOKUP($A300,'SegEnds_NonXtal_Prot#'!A:AL,10,FALSE)+10,1)</f>
        <v>K</v>
      </c>
      <c r="AA300" s="28" t="str">
        <f>MID(VLOOKUP($A300,Seqs!$A:$B,2,FALSE),VLOOKUP($A300,'SegEnds_NonXtal_Prot#'!$A:$AL,22,FALSE)+6,1)</f>
        <v>F</v>
      </c>
      <c r="AB300" s="50" t="str">
        <f>MID(VLOOKUP($A300,Seqs!$A:$B,2,FALSE),VLOOKUP($A300,'SegEnds_NonXtal_Prot#'!$A:$AL,22,FALSE)+7,1)</f>
        <v>T</v>
      </c>
      <c r="AC300" s="50" t="str">
        <f>MID(VLOOKUP($A300,Seqs!$A:$B,2,FALSE),VLOOKUP($A300,'SegEnds_NonXtal_Prot#'!$A:$AL,22,FALSE)+8,1)</f>
        <v>G</v>
      </c>
      <c r="AD300" s="50" t="str">
        <f>MID(VLOOKUP($A300,Seqs!$A:$B,2,FALSE),VLOOKUP($A300,'SegEnds_NonXtal_Prot#'!$A:$AL,22,FALSE)+9,1)</f>
        <v>T</v>
      </c>
      <c r="AE300" s="50" t="str">
        <f>MID(VLOOKUP($A300,Seqs!$A:$B,2,FALSE),VLOOKUP($A300,'SegEnds_NonXtal_Prot#'!$A:$AL,22,FALSE)+10,1)</f>
        <v>W</v>
      </c>
      <c r="AF300" s="28" t="str">
        <f>MID(VLOOKUP($A300,Seqs!$A:$B,2,FALSE),VLOOKUP($A300,'SegEnds_NonXtal_Prot#'!$A:$AL,28,FALSE)-4,1)</f>
        <v>P</v>
      </c>
      <c r="AG300" s="50" t="str">
        <f>MID(VLOOKUP($A300,Seqs!$A:$B,2,FALSE),VLOOKUP($A300,'SegEnds_NonXtal_Prot#'!$A:$AL,28,FALSE),1)</f>
        <v>S</v>
      </c>
    </row>
    <row r="301" spans="1:33" s="2" customFormat="1" x14ac:dyDescent="0.2">
      <c r="A301" s="2" t="s">
        <v>405</v>
      </c>
      <c r="B301" s="2" t="str">
        <f>LOWER(VLOOKUP(A301,Xtal_Templ!A:B,2,FALSE))</f>
        <v>glr_human</v>
      </c>
      <c r="C301" s="2" t="str">
        <f>VLOOKUP(A301,Classification!A:D,2,FALSE)</f>
        <v>B1</v>
      </c>
      <c r="D301" s="2" t="str">
        <f>IF(ISERROR(MATCH(A301,'SegEnds_Xtal_Prot#'!B:B, 0)), "NoXtal", "Xtal")</f>
        <v>NoXtal</v>
      </c>
      <c r="G301" s="4"/>
      <c r="I301" s="109" t="s">
        <v>25</v>
      </c>
      <c r="O301" s="2" t="s">
        <v>1329</v>
      </c>
      <c r="S301" s="4" t="s">
        <v>12</v>
      </c>
      <c r="U301" s="28" t="str">
        <f>MID(VLOOKUP($A301,Seqs!$A:$B,2,FALSE),VLOOKUP($A301,'SegEnds_NonXtal_Prot#'!A:AL,10,FALSE),1)</f>
        <v>F</v>
      </c>
      <c r="V301" s="50" t="str">
        <f>MID(VLOOKUP($A301,Seqs!$A:$B,2,FALSE),VLOOKUP($A301,'SegEnds_NonXtal_Prot#'!A:AL,10,FALSE)+6,1)</f>
        <v>A</v>
      </c>
      <c r="W301" s="50" t="str">
        <f>MID(VLOOKUP($A301,Seqs!$A:$B,2,FALSE),VLOOKUP($A301,'SegEnds_NonXtal_Prot#'!A:AL,10,FALSE)+7,1)</f>
        <v>I</v>
      </c>
      <c r="X301" s="50" t="str">
        <f>MID(VLOOKUP($A301,Seqs!$A:$B,2,FALSE),VLOOKUP($A301,'SegEnds_NonXtal_Prot#'!A:AL,10,FALSE)+8,1)</f>
        <v>L</v>
      </c>
      <c r="Y301" s="50" t="str">
        <f>MID(VLOOKUP($A301,Seqs!$A:$B,2,FALSE),VLOOKUP($A301,'SegEnds_NonXtal_Prot#'!A:AL,10,FALSE)+9,1)</f>
        <v>S</v>
      </c>
      <c r="Z301" s="50" t="str">
        <f>MID(VLOOKUP($A301,Seqs!$A:$B,2,FALSE),VLOOKUP($A301,'SegEnds_NonXtal_Prot#'!A:AL,10,FALSE)+10,1)</f>
        <v>R</v>
      </c>
      <c r="AA301" s="28" t="str">
        <f>MID(VLOOKUP($A301,Seqs!$A:$B,2,FALSE),VLOOKUP($A301,'SegEnds_NonXtal_Prot#'!$A:$AL,22,FALSE)+6,1)</f>
        <v>F</v>
      </c>
      <c r="AB301" s="50" t="str">
        <f>MID(VLOOKUP($A301,Seqs!$A:$B,2,FALSE),VLOOKUP($A301,'SegEnds_NonXtal_Prot#'!$A:$AL,22,FALSE)+7,1)</f>
        <v>V</v>
      </c>
      <c r="AC301" s="50" t="str">
        <f>MID(VLOOKUP($A301,Seqs!$A:$B,2,FALSE),VLOOKUP($A301,'SegEnds_NonXtal_Prot#'!$A:$AL,22,FALSE)+8,1)</f>
        <v>I</v>
      </c>
      <c r="AD301" s="50" t="str">
        <f>MID(VLOOKUP($A301,Seqs!$A:$B,2,FALSE),VLOOKUP($A301,'SegEnds_NonXtal_Prot#'!$A:$AL,22,FALSE)+9,1)</f>
        <v>P</v>
      </c>
      <c r="AE301" s="50" t="str">
        <f>MID(VLOOKUP($A301,Seqs!$A:$B,2,FALSE),VLOOKUP($A301,'SegEnds_NonXtal_Prot#'!$A:$AL,22,FALSE)+10,1)</f>
        <v>W</v>
      </c>
      <c r="AF301" s="28" t="str">
        <f>MID(VLOOKUP($A301,Seqs!$A:$B,2,FALSE),VLOOKUP($A301,'SegEnds_NonXtal_Prot#'!$A:$AL,28,FALSE)-4,1)</f>
        <v>P</v>
      </c>
      <c r="AG301" s="50" t="str">
        <f>MID(VLOOKUP($A301,Seqs!$A:$B,2,FALSE),VLOOKUP($A301,'SegEnds_NonXtal_Prot#'!$A:$AL,28,FALSE),1)</f>
        <v>T</v>
      </c>
    </row>
    <row r="302" spans="1:33" s="2" customFormat="1" x14ac:dyDescent="0.2">
      <c r="A302" s="2" t="s">
        <v>406</v>
      </c>
      <c r="B302" s="2" t="str">
        <f>LOWER(VLOOKUP(A302,Xtal_Templ!A:B,2,FALSE))</f>
        <v>glp1r_human</v>
      </c>
      <c r="C302" s="2" t="str">
        <f>VLOOKUP(A302,Classification!A:D,2,FALSE)</f>
        <v>B1</v>
      </c>
      <c r="D302" s="2" t="str">
        <f>IF(ISERROR(MATCH(A302,'SegEnds_Xtal_Prot#'!B:B, 0)), "NoXtal", "Xtal")</f>
        <v>Xtal</v>
      </c>
      <c r="G302" s="4"/>
      <c r="I302" s="109" t="s">
        <v>25</v>
      </c>
      <c r="O302" s="2" t="s">
        <v>1329</v>
      </c>
      <c r="S302" s="4" t="s">
        <v>12</v>
      </c>
      <c r="U302" s="28" t="str">
        <f>MID(VLOOKUP($A302,Seqs!$A:$B,2,FALSE),VLOOKUP($A302,'SegEnds_NonXtal_Prot#'!A:AL,10,FALSE),1)</f>
        <v>F</v>
      </c>
      <c r="V302" s="50" t="str">
        <f>MID(VLOOKUP($A302,Seqs!$A:$B,2,FALSE),VLOOKUP($A302,'SegEnds_NonXtal_Prot#'!A:AL,10,FALSE)+6,1)</f>
        <v>S</v>
      </c>
      <c r="W302" s="50" t="str">
        <f>MID(VLOOKUP($A302,Seqs!$A:$B,2,FALSE),VLOOKUP($A302,'SegEnds_NonXtal_Prot#'!A:AL,10,FALSE)+7,1)</f>
        <v>V</v>
      </c>
      <c r="X302" s="50" t="str">
        <f>MID(VLOOKUP($A302,Seqs!$A:$B,2,FALSE),VLOOKUP($A302,'SegEnds_NonXtal_Prot#'!A:AL,10,FALSE)+8,1)</f>
        <v>F</v>
      </c>
      <c r="Y302" s="50" t="str">
        <f>MID(VLOOKUP($A302,Seqs!$A:$B,2,FALSE),VLOOKUP($A302,'SegEnds_NonXtal_Prot#'!A:AL,10,FALSE)+9,1)</f>
        <v>I</v>
      </c>
      <c r="Z302" s="50" t="str">
        <f>MID(VLOOKUP($A302,Seqs!$A:$B,2,FALSE),VLOOKUP($A302,'SegEnds_NonXtal_Prot#'!A:AL,10,FALSE)+10,1)</f>
        <v>K</v>
      </c>
      <c r="AA302" s="28" t="str">
        <f>MID(VLOOKUP($A302,Seqs!$A:$B,2,FALSE),VLOOKUP($A302,'SegEnds_NonXtal_Prot#'!$A:$AL,22,FALSE)+6,1)</f>
        <v>F</v>
      </c>
      <c r="AB302" s="50" t="str">
        <f>MID(VLOOKUP($A302,Seqs!$A:$B,2,FALSE),VLOOKUP($A302,'SegEnds_NonXtal_Prot#'!$A:$AL,22,FALSE)+7,1)</f>
        <v>V</v>
      </c>
      <c r="AC302" s="50" t="str">
        <f>MID(VLOOKUP($A302,Seqs!$A:$B,2,FALSE),VLOOKUP($A302,'SegEnds_NonXtal_Prot#'!$A:$AL,22,FALSE)+8,1)</f>
        <v>V</v>
      </c>
      <c r="AD302" s="50" t="str">
        <f>MID(VLOOKUP($A302,Seqs!$A:$B,2,FALSE),VLOOKUP($A302,'SegEnds_NonXtal_Prot#'!$A:$AL,22,FALSE)+9,1)</f>
        <v>P</v>
      </c>
      <c r="AE302" s="50" t="str">
        <f>MID(VLOOKUP($A302,Seqs!$A:$B,2,FALSE),VLOOKUP($A302,'SegEnds_NonXtal_Prot#'!$A:$AL,22,FALSE)+10,1)</f>
        <v>W</v>
      </c>
      <c r="AF302" s="28" t="str">
        <f>MID(VLOOKUP($A302,Seqs!$A:$B,2,FALSE),VLOOKUP($A302,'SegEnds_NonXtal_Prot#'!$A:$AL,28,FALSE)-4,1)</f>
        <v>P</v>
      </c>
      <c r="AG302" s="50" t="str">
        <f>MID(VLOOKUP($A302,Seqs!$A:$B,2,FALSE),VLOOKUP($A302,'SegEnds_NonXtal_Prot#'!$A:$AL,28,FALSE),1)</f>
        <v>A</v>
      </c>
    </row>
    <row r="303" spans="1:33" s="2" customFormat="1" x14ac:dyDescent="0.2">
      <c r="A303" s="2" t="s">
        <v>407</v>
      </c>
      <c r="B303" s="2" t="str">
        <f>LOWER(VLOOKUP(A303,Xtal_Templ!A:B,2,FALSE))</f>
        <v>glr_human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G303" s="4"/>
      <c r="I303" s="109" t="s">
        <v>25</v>
      </c>
      <c r="O303" s="2" t="s">
        <v>1329</v>
      </c>
      <c r="S303" s="4" t="s">
        <v>12</v>
      </c>
      <c r="U303" s="28" t="str">
        <f>MID(VLOOKUP($A303,Seqs!$A:$B,2,FALSE),VLOOKUP($A303,'SegEnds_NonXtal_Prot#'!A:AL,10,FALSE),1)</f>
        <v>F</v>
      </c>
      <c r="V303" s="50" t="str">
        <f>MID(VLOOKUP($A303,Seqs!$A:$B,2,FALSE),VLOOKUP($A303,'SegEnds_NonXtal_Prot#'!A:AL,10,FALSE)+6,1)</f>
        <v>A</v>
      </c>
      <c r="W303" s="50" t="str">
        <f>MID(VLOOKUP($A303,Seqs!$A:$B,2,FALSE),VLOOKUP($A303,'SegEnds_NonXtal_Prot#'!A:AL,10,FALSE)+7,1)</f>
        <v>V</v>
      </c>
      <c r="X303" s="50" t="str">
        <f>MID(VLOOKUP($A303,Seqs!$A:$B,2,FALSE),VLOOKUP($A303,'SegEnds_NonXtal_Prot#'!A:AL,10,FALSE)+8,1)</f>
        <v>L</v>
      </c>
      <c r="Y303" s="50" t="str">
        <f>MID(VLOOKUP($A303,Seqs!$A:$B,2,FALSE),VLOOKUP($A303,'SegEnds_NonXtal_Prot#'!A:AL,10,FALSE)+9,1)</f>
        <v>V</v>
      </c>
      <c r="Z303" s="50" t="str">
        <f>MID(VLOOKUP($A303,Seqs!$A:$B,2,FALSE),VLOOKUP($A303,'SegEnds_NonXtal_Prot#'!A:AL,10,FALSE)+10,1)</f>
        <v>K</v>
      </c>
      <c r="AA303" s="28" t="str">
        <f>MID(VLOOKUP($A303,Seqs!$A:$B,2,FALSE),VLOOKUP($A303,'SegEnds_NonXtal_Prot#'!$A:$AL,22,FALSE)+6,1)</f>
        <v>F</v>
      </c>
      <c r="AB303" s="50" t="str">
        <f>MID(VLOOKUP($A303,Seqs!$A:$B,2,FALSE),VLOOKUP($A303,'SegEnds_NonXtal_Prot#'!$A:$AL,22,FALSE)+7,1)</f>
        <v>V</v>
      </c>
      <c r="AC303" s="50" t="str">
        <f>MID(VLOOKUP($A303,Seqs!$A:$B,2,FALSE),VLOOKUP($A303,'SegEnds_NonXtal_Prot#'!$A:$AL,22,FALSE)+8,1)</f>
        <v>V</v>
      </c>
      <c r="AD303" s="50" t="str">
        <f>MID(VLOOKUP($A303,Seqs!$A:$B,2,FALSE),VLOOKUP($A303,'SegEnds_NonXtal_Prot#'!$A:$AL,22,FALSE)+9,1)</f>
        <v>P</v>
      </c>
      <c r="AE303" s="50" t="str">
        <f>MID(VLOOKUP($A303,Seqs!$A:$B,2,FALSE),VLOOKUP($A303,'SegEnds_NonXtal_Prot#'!$A:$AL,22,FALSE)+10,1)</f>
        <v>W</v>
      </c>
      <c r="AF303" s="28" t="str">
        <f>MID(VLOOKUP($A303,Seqs!$A:$B,2,FALSE),VLOOKUP($A303,'SegEnds_NonXtal_Prot#'!$A:$AL,28,FALSE)-4,1)</f>
        <v>P</v>
      </c>
      <c r="AG303" s="50" t="str">
        <f>MID(VLOOKUP($A303,Seqs!$A:$B,2,FALSE),VLOOKUP($A303,'SegEnds_NonXtal_Prot#'!$A:$AL,28,FALSE),1)</f>
        <v>C</v>
      </c>
    </row>
    <row r="304" spans="1:33" s="2" customFormat="1" x14ac:dyDescent="0.2">
      <c r="A304" s="2" t="s">
        <v>32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Xtal</v>
      </c>
      <c r="G304" s="4"/>
      <c r="I304" s="109" t="s">
        <v>25</v>
      </c>
      <c r="O304" s="2" t="s">
        <v>1329</v>
      </c>
      <c r="S304" s="4" t="s">
        <v>12</v>
      </c>
      <c r="U304" s="28" t="str">
        <f>MID(VLOOKUP($A304,Seqs!$A:$B,2,FALSE),VLOOKUP($A304,'SegEnds_NonXtal_Prot#'!A:AL,10,FALSE),1)</f>
        <v>F</v>
      </c>
      <c r="V304" s="50" t="str">
        <f>MID(VLOOKUP($A304,Seqs!$A:$B,2,FALSE),VLOOKUP($A304,'SegEnds_NonXtal_Prot#'!A:AL,10,FALSE)+6,1)</f>
        <v>S</v>
      </c>
      <c r="W304" s="50" t="str">
        <f>MID(VLOOKUP($A304,Seqs!$A:$B,2,FALSE),VLOOKUP($A304,'SegEnds_NonXtal_Prot#'!A:AL,10,FALSE)+7,1)</f>
        <v>V</v>
      </c>
      <c r="X304" s="50" t="str">
        <f>MID(VLOOKUP($A304,Seqs!$A:$B,2,FALSE),VLOOKUP($A304,'SegEnds_NonXtal_Prot#'!A:AL,10,FALSE)+8,1)</f>
        <v>L</v>
      </c>
      <c r="Y304" s="50" t="str">
        <f>MID(VLOOKUP($A304,Seqs!$A:$B,2,FALSE),VLOOKUP($A304,'SegEnds_NonXtal_Prot#'!A:AL,10,FALSE)+9,1)</f>
        <v>V</v>
      </c>
      <c r="Z304" s="50" t="str">
        <f>MID(VLOOKUP($A304,Seqs!$A:$B,2,FALSE),VLOOKUP($A304,'SegEnds_NonXtal_Prot#'!A:AL,10,FALSE)+10,1)</f>
        <v>I</v>
      </c>
      <c r="AA304" s="28" t="str">
        <f>MID(VLOOKUP($A304,Seqs!$A:$B,2,FALSE),VLOOKUP($A304,'SegEnds_NonXtal_Prot#'!$A:$AL,22,FALSE)+6,1)</f>
        <v>F</v>
      </c>
      <c r="AB304" s="50" t="str">
        <f>MID(VLOOKUP($A304,Seqs!$A:$B,2,FALSE),VLOOKUP($A304,'SegEnds_NonXtal_Prot#'!$A:$AL,22,FALSE)+7,1)</f>
        <v>V</v>
      </c>
      <c r="AC304" s="50" t="str">
        <f>MID(VLOOKUP($A304,Seqs!$A:$B,2,FALSE),VLOOKUP($A304,'SegEnds_NonXtal_Prot#'!$A:$AL,22,FALSE)+8,1)</f>
        <v>V</v>
      </c>
      <c r="AD304" s="50" t="str">
        <f>MID(VLOOKUP($A304,Seqs!$A:$B,2,FALSE),VLOOKUP($A304,'SegEnds_NonXtal_Prot#'!$A:$AL,22,FALSE)+9,1)</f>
        <v>P</v>
      </c>
      <c r="AE304" s="50" t="str">
        <f>MID(VLOOKUP($A304,Seqs!$A:$B,2,FALSE),VLOOKUP($A304,'SegEnds_NonXtal_Prot#'!$A:$AL,22,FALSE)+10,1)</f>
        <v>W</v>
      </c>
      <c r="AF304" s="28" t="str">
        <f>MID(VLOOKUP($A304,Seqs!$A:$B,2,FALSE),VLOOKUP($A304,'SegEnds_NonXtal_Prot#'!$A:$AL,28,FALSE)-4,1)</f>
        <v>P</v>
      </c>
      <c r="AG304" s="50" t="str">
        <f>MID(VLOOKUP($A304,Seqs!$A:$B,2,FALSE),VLOOKUP($A304,'SegEnds_NonXtal_Prot#'!$A:$AL,28,FALSE),1)</f>
        <v>A</v>
      </c>
    </row>
    <row r="305" spans="1:33" s="2" customFormat="1" x14ac:dyDescent="0.2">
      <c r="A305" s="2" t="s">
        <v>408</v>
      </c>
      <c r="B305" s="2" t="str">
        <f>LOWER(VLOOKUP(A305,Xtal_Templ!A:B,2,FALSE))</f>
        <v>glr_human</v>
      </c>
      <c r="C305" s="2" t="str">
        <f>VLOOKUP(A305,Classification!A:D,2,FALSE)</f>
        <v>B1</v>
      </c>
      <c r="D305" s="2" t="str">
        <f>IF(ISERROR(MATCH(A305,'SegEnds_Xtal_Prot#'!B:B, 0)), "NoXtal", "Xtal")</f>
        <v>NoXtal</v>
      </c>
      <c r="G305" s="4"/>
      <c r="I305" s="109" t="s">
        <v>25</v>
      </c>
      <c r="O305" s="2" t="s">
        <v>1329</v>
      </c>
      <c r="S305" s="4" t="s">
        <v>12</v>
      </c>
      <c r="U305" s="28" t="str">
        <f>MID(VLOOKUP($A305,Seqs!$A:$B,2,FALSE),VLOOKUP($A305,'SegEnds_NonXtal_Prot#'!A:AL,10,FALSE),1)</f>
        <v>F</v>
      </c>
      <c r="V305" s="50" t="str">
        <f>MID(VLOOKUP($A305,Seqs!$A:$B,2,FALSE),VLOOKUP($A305,'SegEnds_NonXtal_Prot#'!A:AL,10,FALSE)+6,1)</f>
        <v>S</v>
      </c>
      <c r="W305" s="50" t="str">
        <f>MID(VLOOKUP($A305,Seqs!$A:$B,2,FALSE),VLOOKUP($A305,'SegEnds_NonXtal_Prot#'!A:AL,10,FALSE)+7,1)</f>
        <v>V</v>
      </c>
      <c r="X305" s="50" t="str">
        <f>MID(VLOOKUP($A305,Seqs!$A:$B,2,FALSE),VLOOKUP($A305,'SegEnds_NonXtal_Prot#'!A:AL,10,FALSE)+8,1)</f>
        <v>F</v>
      </c>
      <c r="Y305" s="50" t="str">
        <f>MID(VLOOKUP($A305,Seqs!$A:$B,2,FALSE),VLOOKUP($A305,'SegEnds_NonXtal_Prot#'!A:AL,10,FALSE)+9,1)</f>
        <v>I</v>
      </c>
      <c r="Z305" s="50" t="str">
        <f>MID(VLOOKUP($A305,Seqs!$A:$B,2,FALSE),VLOOKUP($A305,'SegEnds_NonXtal_Prot#'!A:AL,10,FALSE)+10,1)</f>
        <v>K</v>
      </c>
      <c r="AA305" s="28" t="str">
        <f>MID(VLOOKUP($A305,Seqs!$A:$B,2,FALSE),VLOOKUP($A305,'SegEnds_NonXtal_Prot#'!$A:$AL,22,FALSE)+6,1)</f>
        <v>C</v>
      </c>
      <c r="AB305" s="50" t="str">
        <f>MID(VLOOKUP($A305,Seqs!$A:$B,2,FALSE),VLOOKUP($A305,'SegEnds_NonXtal_Prot#'!$A:$AL,22,FALSE)+7,1)</f>
        <v>V</v>
      </c>
      <c r="AC305" s="50" t="str">
        <f>MID(VLOOKUP($A305,Seqs!$A:$B,2,FALSE),VLOOKUP($A305,'SegEnds_NonXtal_Prot#'!$A:$AL,22,FALSE)+8,1)</f>
        <v>T</v>
      </c>
      <c r="AD305" s="50" t="str">
        <f>MID(VLOOKUP($A305,Seqs!$A:$B,2,FALSE),VLOOKUP($A305,'SegEnds_NonXtal_Prot#'!$A:$AL,22,FALSE)+9,1)</f>
        <v>V</v>
      </c>
      <c r="AE305" s="50" t="str">
        <f>MID(VLOOKUP($A305,Seqs!$A:$B,2,FALSE),VLOOKUP($A305,'SegEnds_NonXtal_Prot#'!$A:$AL,22,FALSE)+10,1)</f>
        <v>W</v>
      </c>
      <c r="AF305" s="28" t="str">
        <f>MID(VLOOKUP($A305,Seqs!$A:$B,2,FALSE),VLOOKUP($A305,'SegEnds_NonXtal_Prot#'!$A:$AL,28,FALSE)-4,1)</f>
        <v>P</v>
      </c>
      <c r="AG305" s="50" t="str">
        <f>MID(VLOOKUP($A305,Seqs!$A:$B,2,FALSE),VLOOKUP($A305,'SegEnds_NonXtal_Prot#'!$A:$AL,28,FALSE),1)</f>
        <v>S</v>
      </c>
    </row>
    <row r="306" spans="1:33" s="2" customFormat="1" x14ac:dyDescent="0.2">
      <c r="A306" s="2" t="s">
        <v>409</v>
      </c>
      <c r="B306" s="2" t="str">
        <f>LOWER(VLOOKUP(A306,Xtal_Templ!A:B,2,FALSE))</f>
        <v>glp1r_human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G306" s="4"/>
      <c r="I306" s="109" t="s">
        <v>25</v>
      </c>
      <c r="O306" s="2" t="s">
        <v>1329</v>
      </c>
      <c r="S306" s="4" t="s">
        <v>12</v>
      </c>
      <c r="U306" s="28" t="str">
        <f>MID(VLOOKUP($A306,Seqs!$A:$B,2,FALSE),VLOOKUP($A306,'SegEnds_NonXtal_Prot#'!A:AL,10,FALSE),1)</f>
        <v>F</v>
      </c>
      <c r="V306" s="50" t="str">
        <f>MID(VLOOKUP($A306,Seqs!$A:$B,2,FALSE),VLOOKUP($A306,'SegEnds_NonXtal_Prot#'!A:AL,10,FALSE)+6,1)</f>
        <v>S</v>
      </c>
      <c r="W306" s="50" t="str">
        <f>MID(VLOOKUP($A306,Seqs!$A:$B,2,FALSE),VLOOKUP($A306,'SegEnds_NonXtal_Prot#'!A:AL,10,FALSE)+7,1)</f>
        <v>I</v>
      </c>
      <c r="X306" s="50" t="str">
        <f>MID(VLOOKUP($A306,Seqs!$A:$B,2,FALSE),VLOOKUP($A306,'SegEnds_NonXtal_Prot#'!A:AL,10,FALSE)+8,1)</f>
        <v>F</v>
      </c>
      <c r="Y306" s="50" t="str">
        <f>MID(VLOOKUP($A306,Seqs!$A:$B,2,FALSE),VLOOKUP($A306,'SegEnds_NonXtal_Prot#'!A:AL,10,FALSE)+9,1)</f>
        <v>V</v>
      </c>
      <c r="Z306" s="50" t="str">
        <f>MID(VLOOKUP($A306,Seqs!$A:$B,2,FALSE),VLOOKUP($A306,'SegEnds_NonXtal_Prot#'!A:AL,10,FALSE)+10,1)</f>
        <v>K</v>
      </c>
      <c r="AA306" s="28" t="str">
        <f>MID(VLOOKUP($A306,Seqs!$A:$B,2,FALSE),VLOOKUP($A306,'SegEnds_NonXtal_Prot#'!$A:$AL,22,FALSE)+6,1)</f>
        <v>F</v>
      </c>
      <c r="AB306" s="50" t="str">
        <f>MID(VLOOKUP($A306,Seqs!$A:$B,2,FALSE),VLOOKUP($A306,'SegEnds_NonXtal_Prot#'!$A:$AL,22,FALSE)+7,1)</f>
        <v>V</v>
      </c>
      <c r="AC306" s="50" t="str">
        <f>MID(VLOOKUP($A306,Seqs!$A:$B,2,FALSE),VLOOKUP($A306,'SegEnds_NonXtal_Prot#'!$A:$AL,22,FALSE)+8,1)</f>
        <v>A</v>
      </c>
      <c r="AD306" s="50" t="str">
        <f>MID(VLOOKUP($A306,Seqs!$A:$B,2,FALSE),VLOOKUP($A306,'SegEnds_NonXtal_Prot#'!$A:$AL,22,FALSE)+9,1)</f>
        <v>V</v>
      </c>
      <c r="AE306" s="50" t="str">
        <f>MID(VLOOKUP($A306,Seqs!$A:$B,2,FALSE),VLOOKUP($A306,'SegEnds_NonXtal_Prot#'!$A:$AL,22,FALSE)+10,1)</f>
        <v>W</v>
      </c>
      <c r="AF306" s="28" t="str">
        <f>MID(VLOOKUP($A306,Seqs!$A:$B,2,FALSE),VLOOKUP($A306,'SegEnds_NonXtal_Prot#'!$A:$AL,28,FALSE)-4,1)</f>
        <v>P</v>
      </c>
      <c r="AG306" s="50" t="str">
        <f>MID(VLOOKUP($A306,Seqs!$A:$B,2,FALSE),VLOOKUP($A306,'SegEnds_NonXtal_Prot#'!$A:$AL,28,FALSE),1)</f>
        <v>S</v>
      </c>
    </row>
    <row r="307" spans="1:33" s="2" customFormat="1" x14ac:dyDescent="0.2">
      <c r="A307" s="2" t="s">
        <v>410</v>
      </c>
      <c r="B307" s="2" t="str">
        <f>LOWER(VLOOKUP(A307,Xtal_Templ!A:B,2,FALSE))</f>
        <v>glp1r_human</v>
      </c>
      <c r="C307" s="2" t="str">
        <f>VLOOKUP(A307,Classification!A:D,2,FALSE)</f>
        <v>B1</v>
      </c>
      <c r="D307" s="2" t="str">
        <f>IF(ISERROR(MATCH(A307,'SegEnds_Xtal_Prot#'!B:B, 0)), "NoXtal", "Xtal")</f>
        <v>NoXtal</v>
      </c>
      <c r="G307" s="4"/>
      <c r="I307" s="109" t="s">
        <v>25</v>
      </c>
      <c r="O307" s="2" t="s">
        <v>1329</v>
      </c>
      <c r="S307" s="4" t="s">
        <v>12</v>
      </c>
      <c r="U307" s="28" t="str">
        <f>MID(VLOOKUP($A307,Seqs!$A:$B,2,FALSE),VLOOKUP($A307,'SegEnds_NonXtal_Prot#'!A:AL,10,FALSE),1)</f>
        <v>F</v>
      </c>
      <c r="V307" s="50" t="str">
        <f>MID(VLOOKUP($A307,Seqs!$A:$B,2,FALSE),VLOOKUP($A307,'SegEnds_NonXtal_Prot#'!A:AL,10,FALSE)+6,1)</f>
        <v>S</v>
      </c>
      <c r="W307" s="50" t="str">
        <f>MID(VLOOKUP($A307,Seqs!$A:$B,2,FALSE),VLOOKUP($A307,'SegEnds_NonXtal_Prot#'!A:AL,10,FALSE)+7,1)</f>
        <v>I</v>
      </c>
      <c r="X307" s="50" t="str">
        <f>MID(VLOOKUP($A307,Seqs!$A:$B,2,FALSE),VLOOKUP($A307,'SegEnds_NonXtal_Prot#'!A:AL,10,FALSE)+8,1)</f>
        <v>F</v>
      </c>
      <c r="Y307" s="50" t="str">
        <f>MID(VLOOKUP($A307,Seqs!$A:$B,2,FALSE),VLOOKUP($A307,'SegEnds_NonXtal_Prot#'!A:AL,10,FALSE)+9,1)</f>
        <v>V</v>
      </c>
      <c r="Z307" s="50" t="str">
        <f>MID(VLOOKUP($A307,Seqs!$A:$B,2,FALSE),VLOOKUP($A307,'SegEnds_NonXtal_Prot#'!A:AL,10,FALSE)+10,1)</f>
        <v>K</v>
      </c>
      <c r="AA307" s="28" t="str">
        <f>MID(VLOOKUP($A307,Seqs!$A:$B,2,FALSE),VLOOKUP($A307,'SegEnds_NonXtal_Prot#'!$A:$AL,22,FALSE)+6,1)</f>
        <v>F</v>
      </c>
      <c r="AB307" s="50" t="str">
        <f>MID(VLOOKUP($A307,Seqs!$A:$B,2,FALSE),VLOOKUP($A307,'SegEnds_NonXtal_Prot#'!$A:$AL,22,FALSE)+7,1)</f>
        <v>V</v>
      </c>
      <c r="AC307" s="50" t="str">
        <f>MID(VLOOKUP($A307,Seqs!$A:$B,2,FALSE),VLOOKUP($A307,'SegEnds_NonXtal_Prot#'!$A:$AL,22,FALSE)+8,1)</f>
        <v>A</v>
      </c>
      <c r="AD307" s="50" t="str">
        <f>MID(VLOOKUP($A307,Seqs!$A:$B,2,FALSE),VLOOKUP($A307,'SegEnds_NonXtal_Prot#'!$A:$AL,22,FALSE)+9,1)</f>
        <v>A</v>
      </c>
      <c r="AE307" s="50" t="str">
        <f>MID(VLOOKUP($A307,Seqs!$A:$B,2,FALSE),VLOOKUP($A307,'SegEnds_NonXtal_Prot#'!$A:$AL,22,FALSE)+10,1)</f>
        <v>W</v>
      </c>
      <c r="AF307" s="28" t="str">
        <f>MID(VLOOKUP($A307,Seqs!$A:$B,2,FALSE),VLOOKUP($A307,'SegEnds_NonXtal_Prot#'!$A:$AL,28,FALSE)-4,1)</f>
        <v>P</v>
      </c>
      <c r="AG307" s="50" t="str">
        <f>MID(VLOOKUP($A307,Seqs!$A:$B,2,FALSE),VLOOKUP($A307,'SegEnds_NonXtal_Prot#'!$A:$AL,28,FALSE),1)</f>
        <v>A</v>
      </c>
    </row>
    <row r="308" spans="1:33" s="2" customFormat="1" x14ac:dyDescent="0.2">
      <c r="A308" s="2" t="s">
        <v>411</v>
      </c>
      <c r="B308" s="2" t="str">
        <f>LOWER(VLOOKUP(A308,Xtal_Templ!A:B,2,FALSE))</f>
        <v>glp1r_human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G308" s="4"/>
      <c r="I308" s="109" t="s">
        <v>25</v>
      </c>
      <c r="O308" s="2" t="s">
        <v>1329</v>
      </c>
      <c r="S308" s="4" t="s">
        <v>12</v>
      </c>
      <c r="U308" s="28" t="str">
        <f>MID(VLOOKUP($A308,Seqs!$A:$B,2,FALSE),VLOOKUP($A308,'SegEnds_NonXtal_Prot#'!A:AL,10,FALSE),1)</f>
        <v>F</v>
      </c>
      <c r="V308" s="50" t="str">
        <f>MID(VLOOKUP($A308,Seqs!$A:$B,2,FALSE),VLOOKUP($A308,'SegEnds_NonXtal_Prot#'!A:AL,10,FALSE)+6,1)</f>
        <v>S</v>
      </c>
      <c r="W308" s="50" t="str">
        <f>MID(VLOOKUP($A308,Seqs!$A:$B,2,FALSE),VLOOKUP($A308,'SegEnds_NonXtal_Prot#'!A:AL,10,FALSE)+7,1)</f>
        <v>N</v>
      </c>
      <c r="X308" s="50" t="str">
        <f>MID(VLOOKUP($A308,Seqs!$A:$B,2,FALSE),VLOOKUP($A308,'SegEnds_NonXtal_Prot#'!A:AL,10,FALSE)+8,1)</f>
        <v>F</v>
      </c>
      <c r="Y308" s="50" t="str">
        <f>MID(VLOOKUP($A308,Seqs!$A:$B,2,FALSE),VLOOKUP($A308,'SegEnds_NonXtal_Prot#'!A:AL,10,FALSE)+9,1)</f>
        <v>I</v>
      </c>
      <c r="Z308" s="50" t="str">
        <f>MID(VLOOKUP($A308,Seqs!$A:$B,2,FALSE),VLOOKUP($A308,'SegEnds_NonXtal_Prot#'!A:AL,10,FALSE)+10,1)</f>
        <v>K</v>
      </c>
      <c r="AA308" s="28" t="str">
        <f>MID(VLOOKUP($A308,Seqs!$A:$B,2,FALSE),VLOOKUP($A308,'SegEnds_NonXtal_Prot#'!$A:$AL,22,FALSE)+6,1)</f>
        <v>F</v>
      </c>
      <c r="AB308" s="50" t="str">
        <f>MID(VLOOKUP($A308,Seqs!$A:$B,2,FALSE),VLOOKUP($A308,'SegEnds_NonXtal_Prot#'!$A:$AL,22,FALSE)+7,1)</f>
        <v>V</v>
      </c>
      <c r="AC308" s="50" t="str">
        <f>MID(VLOOKUP($A308,Seqs!$A:$B,2,FALSE),VLOOKUP($A308,'SegEnds_NonXtal_Prot#'!$A:$AL,22,FALSE)+8,1)</f>
        <v>A</v>
      </c>
      <c r="AD308" s="50" t="str">
        <f>MID(VLOOKUP($A308,Seqs!$A:$B,2,FALSE),VLOOKUP($A308,'SegEnds_NonXtal_Prot#'!$A:$AL,22,FALSE)+9,1)</f>
        <v>L</v>
      </c>
      <c r="AE308" s="50" t="str">
        <f>MID(VLOOKUP($A308,Seqs!$A:$B,2,FALSE),VLOOKUP($A308,'SegEnds_NonXtal_Prot#'!$A:$AL,22,FALSE)+10,1)</f>
        <v>W</v>
      </c>
      <c r="AF308" s="28" t="str">
        <f>MID(VLOOKUP($A308,Seqs!$A:$B,2,FALSE),VLOOKUP($A308,'SegEnds_NonXtal_Prot#'!$A:$AL,28,FALSE)-4,1)</f>
        <v>P</v>
      </c>
      <c r="AG308" s="50" t="str">
        <f>MID(VLOOKUP($A308,Seqs!$A:$B,2,FALSE),VLOOKUP($A308,'SegEnds_NonXtal_Prot#'!$A:$AL,28,FALSE),1)</f>
        <v>S</v>
      </c>
    </row>
    <row r="309" spans="1:33" s="2" customFormat="1" x14ac:dyDescent="0.2">
      <c r="A309" s="2" t="s">
        <v>412</v>
      </c>
      <c r="B309" s="2" t="str">
        <f>LOWER(VLOOKUP(A309,Xtal_Templ!A:B,2,FALSE))</f>
        <v>glp1r_human</v>
      </c>
      <c r="C309" s="2" t="str">
        <f>VLOOKUP(A309,Classification!A:D,2,FALSE)</f>
        <v>B1</v>
      </c>
      <c r="D309" s="2" t="str">
        <f>IF(ISERROR(MATCH(A309,'SegEnds_Xtal_Prot#'!B:B, 0)), "NoXtal", "Xtal")</f>
        <v>NoXtal</v>
      </c>
      <c r="G309" s="4"/>
      <c r="I309" s="109" t="s">
        <v>25</v>
      </c>
      <c r="O309" s="2" t="s">
        <v>1329</v>
      </c>
      <c r="S309" s="4" t="s">
        <v>12</v>
      </c>
      <c r="U309" s="28" t="str">
        <f>MID(VLOOKUP($A309,Seqs!$A:$B,2,FALSE),VLOOKUP($A309,'SegEnds_NonXtal_Prot#'!A:AL,10,FALSE),1)</f>
        <v>F</v>
      </c>
      <c r="V309" s="50" t="str">
        <f>MID(VLOOKUP($A309,Seqs!$A:$B,2,FALSE),VLOOKUP($A309,'SegEnds_NonXtal_Prot#'!A:AL,10,FALSE)+6,1)</f>
        <v>A</v>
      </c>
      <c r="W309" s="50" t="str">
        <f>MID(VLOOKUP($A309,Seqs!$A:$B,2,FALSE),VLOOKUP($A309,'SegEnds_NonXtal_Prot#'!A:AL,10,FALSE)+7,1)</f>
        <v>V</v>
      </c>
      <c r="X309" s="50" t="str">
        <f>MID(VLOOKUP($A309,Seqs!$A:$B,2,FALSE),VLOOKUP($A309,'SegEnds_NonXtal_Prot#'!A:AL,10,FALSE)+8,1)</f>
        <v>F</v>
      </c>
      <c r="Y309" s="50" t="str">
        <f>MID(VLOOKUP($A309,Seqs!$A:$B,2,FALSE),VLOOKUP($A309,'SegEnds_NonXtal_Prot#'!A:AL,10,FALSE)+9,1)</f>
        <v>I</v>
      </c>
      <c r="Z309" s="50" t="str">
        <f>MID(VLOOKUP($A309,Seqs!$A:$B,2,FALSE),VLOOKUP($A309,'SegEnds_NonXtal_Prot#'!A:AL,10,FALSE)+10,1)</f>
        <v>K</v>
      </c>
      <c r="AA309" s="28" t="str">
        <f>MID(VLOOKUP($A309,Seqs!$A:$B,2,FALSE),VLOOKUP($A309,'SegEnds_NonXtal_Prot#'!$A:$AL,22,FALSE)+6,1)</f>
        <v>F</v>
      </c>
      <c r="AB309" s="50" t="str">
        <f>MID(VLOOKUP($A309,Seqs!$A:$B,2,FALSE),VLOOKUP($A309,'SegEnds_NonXtal_Prot#'!$A:$AL,22,FALSE)+7,1)</f>
        <v>T</v>
      </c>
      <c r="AC309" s="50" t="str">
        <f>MID(VLOOKUP($A309,Seqs!$A:$B,2,FALSE),VLOOKUP($A309,'SegEnds_NonXtal_Prot#'!$A:$AL,22,FALSE)+8,1)</f>
        <v>M</v>
      </c>
      <c r="AD309" s="50" t="str">
        <f>MID(VLOOKUP($A309,Seqs!$A:$B,2,FALSE),VLOOKUP($A309,'SegEnds_NonXtal_Prot#'!$A:$AL,22,FALSE)+9,1)</f>
        <v>V</v>
      </c>
      <c r="AE309" s="50" t="str">
        <f>MID(VLOOKUP($A309,Seqs!$A:$B,2,FALSE),VLOOKUP($A309,'SegEnds_NonXtal_Prot#'!$A:$AL,22,FALSE)+10,1)</f>
        <v>W</v>
      </c>
      <c r="AF309" s="28" t="str">
        <f>MID(VLOOKUP($A309,Seqs!$A:$B,2,FALSE),VLOOKUP($A309,'SegEnds_NonXtal_Prot#'!$A:$AL,28,FALSE)-4,1)</f>
        <v>P</v>
      </c>
      <c r="AG309" s="50" t="str">
        <f>MID(VLOOKUP($A309,Seqs!$A:$B,2,FALSE),VLOOKUP($A309,'SegEnds_NonXtal_Prot#'!$A:$AL,28,FALSE),1)</f>
        <v>S</v>
      </c>
    </row>
    <row r="310" spans="1:33" s="2" customFormat="1" x14ac:dyDescent="0.2">
      <c r="A310" s="2" t="s">
        <v>413</v>
      </c>
      <c r="B310" s="2" t="str">
        <f>LOWER(VLOOKUP(A310,Xtal_Templ!A:B,2,FALSE))</f>
        <v>glr_human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G310" s="4"/>
      <c r="I310" s="109" t="s">
        <v>25</v>
      </c>
      <c r="O310" s="2" t="s">
        <v>1329</v>
      </c>
      <c r="S310" s="4" t="s">
        <v>12</v>
      </c>
      <c r="U310" s="28" t="str">
        <f>MID(VLOOKUP($A310,Seqs!$A:$B,2,FALSE),VLOOKUP($A310,'SegEnds_NonXtal_Prot#'!A:AL,10,FALSE),1)</f>
        <v>F</v>
      </c>
      <c r="V310" s="50" t="str">
        <f>MID(VLOOKUP($A310,Seqs!$A:$B,2,FALSE),VLOOKUP($A310,'SegEnds_NonXtal_Prot#'!A:AL,10,FALSE)+6,1)</f>
        <v>S</v>
      </c>
      <c r="W310" s="50" t="str">
        <f>MID(VLOOKUP($A310,Seqs!$A:$B,2,FALSE),VLOOKUP($A310,'SegEnds_NonXtal_Prot#'!A:AL,10,FALSE)+7,1)</f>
        <v>V</v>
      </c>
      <c r="X310" s="50" t="str">
        <f>MID(VLOOKUP($A310,Seqs!$A:$B,2,FALSE),VLOOKUP($A310,'SegEnds_NonXtal_Prot#'!A:AL,10,FALSE)+8,1)</f>
        <v>L</v>
      </c>
      <c r="Y310" s="50" t="str">
        <f>MID(VLOOKUP($A310,Seqs!$A:$B,2,FALSE),VLOOKUP($A310,'SegEnds_NonXtal_Prot#'!A:AL,10,FALSE)+9,1)</f>
        <v>V</v>
      </c>
      <c r="Z310" s="50" t="str">
        <f>MID(VLOOKUP($A310,Seqs!$A:$B,2,FALSE),VLOOKUP($A310,'SegEnds_NonXtal_Prot#'!A:AL,10,FALSE)+10,1)</f>
        <v>K</v>
      </c>
      <c r="AA310" s="28" t="str">
        <f>MID(VLOOKUP($A310,Seqs!$A:$B,2,FALSE),VLOOKUP($A310,'SegEnds_NonXtal_Prot#'!$A:$AL,22,FALSE)+6,1)</f>
        <v>C</v>
      </c>
      <c r="AB310" s="50" t="str">
        <f>MID(VLOOKUP($A310,Seqs!$A:$B,2,FALSE),VLOOKUP($A310,'SegEnds_NonXtal_Prot#'!$A:$AL,22,FALSE)+7,1)</f>
        <v>I</v>
      </c>
      <c r="AC310" s="50" t="str">
        <f>MID(VLOOKUP($A310,Seqs!$A:$B,2,FALSE),VLOOKUP($A310,'SegEnds_NonXtal_Prot#'!$A:$AL,22,FALSE)+8,1)</f>
        <v>G</v>
      </c>
      <c r="AD310" s="50" t="str">
        <f>MID(VLOOKUP($A310,Seqs!$A:$B,2,FALSE),VLOOKUP($A310,'SegEnds_NonXtal_Prot#'!$A:$AL,22,FALSE)+9,1)</f>
        <v>A</v>
      </c>
      <c r="AE310" s="50" t="str">
        <f>MID(VLOOKUP($A310,Seqs!$A:$B,2,FALSE),VLOOKUP($A310,'SegEnds_NonXtal_Prot#'!$A:$AL,22,FALSE)+10,1)</f>
        <v>W</v>
      </c>
      <c r="AF310" s="28" t="str">
        <f>MID(VLOOKUP($A310,Seqs!$A:$B,2,FALSE),VLOOKUP($A310,'SegEnds_NonXtal_Prot#'!$A:$AL,28,FALSE)-4,1)</f>
        <v>P</v>
      </c>
      <c r="AG310" s="50" t="str">
        <f>MID(VLOOKUP($A310,Seqs!$A:$B,2,FALSE),VLOOKUP($A310,'SegEnds_NonXtal_Prot#'!$A:$AL,28,FALSE),1)</f>
        <v>S</v>
      </c>
    </row>
    <row r="311" spans="1:33" s="2" customFormat="1" x14ac:dyDescent="0.2">
      <c r="A311" s="2" t="s">
        <v>1430</v>
      </c>
      <c r="B311" s="2" t="str">
        <f>LOWER(VLOOKUP(A311,Xtal_Templ!A:B,2,FALSE))</f>
        <v>g1sgd4_rabit</v>
      </c>
      <c r="C311" s="2" t="str">
        <f>VLOOKUP(A311,Classification!A:D,2,FALSE)</f>
        <v>B1</v>
      </c>
      <c r="D311" s="2" t="str">
        <f>IF(ISERROR(MATCH(A311,'SegEnds_Xtal_Prot#'!B:B, 0)), "NoXtal", "Xtal")</f>
        <v>Xtal</v>
      </c>
      <c r="G311" s="4"/>
      <c r="I311" s="109" t="s">
        <v>25</v>
      </c>
      <c r="O311" s="2" t="s">
        <v>1329</v>
      </c>
      <c r="S311" s="4" t="s">
        <v>12</v>
      </c>
      <c r="U311" s="28" t="str">
        <f>MID(VLOOKUP($A311,Seqs!$A:$B,2,FALSE),VLOOKUP($A311,'SegEnds_NonXtal_Prot#'!A:AL,10,FALSE),1)</f>
        <v>F</v>
      </c>
      <c r="V311" s="50" t="str">
        <f>MID(VLOOKUP($A311,Seqs!$A:$B,2,FALSE),VLOOKUP($A311,'SegEnds_NonXtal_Prot#'!A:AL,10,FALSE)+6,1)</f>
        <v>S</v>
      </c>
      <c r="W311" s="50" t="str">
        <f>MID(VLOOKUP($A311,Seqs!$A:$B,2,FALSE),VLOOKUP($A311,'SegEnds_NonXtal_Prot#'!A:AL,10,FALSE)+7,1)</f>
        <v>V</v>
      </c>
      <c r="X311" s="50" t="str">
        <f>MID(VLOOKUP($A311,Seqs!$A:$B,2,FALSE),VLOOKUP($A311,'SegEnds_NonXtal_Prot#'!A:AL,10,FALSE)+8,1)</f>
        <v>F</v>
      </c>
      <c r="Y311" s="50" t="str">
        <f>MID(VLOOKUP($A311,Seqs!$A:$B,2,FALSE),VLOOKUP($A311,'SegEnds_NonXtal_Prot#'!A:AL,10,FALSE)+9,1)</f>
        <v>I</v>
      </c>
      <c r="Z311" s="50" t="str">
        <f>MID(VLOOKUP($A311,Seqs!$A:$B,2,FALSE),VLOOKUP($A311,'SegEnds_NonXtal_Prot#'!A:AL,10,FALSE)+10,1)</f>
        <v>K</v>
      </c>
      <c r="AA311" s="28" t="str">
        <f>MID(VLOOKUP($A311,Seqs!$A:$B,2,FALSE),VLOOKUP($A311,'SegEnds_NonXtal_Prot#'!$A:$AL,22,FALSE)+6,1)</f>
        <v>F</v>
      </c>
      <c r="AB311" s="50" t="str">
        <f>MID(VLOOKUP($A311,Seqs!$A:$B,2,FALSE),VLOOKUP($A311,'SegEnds_NonXtal_Prot#'!$A:$AL,22,FALSE)+7,1)</f>
        <v>V</v>
      </c>
      <c r="AC311" s="50" t="str">
        <f>MID(VLOOKUP($A311,Seqs!$A:$B,2,FALSE),VLOOKUP($A311,'SegEnds_NonXtal_Prot#'!$A:$AL,22,FALSE)+8,1)</f>
        <v>I</v>
      </c>
      <c r="AD311" s="50" t="str">
        <f>MID(VLOOKUP($A311,Seqs!$A:$B,2,FALSE),VLOOKUP($A311,'SegEnds_NonXtal_Prot#'!$A:$AL,22,FALSE)+9,1)</f>
        <v>P</v>
      </c>
      <c r="AE311" s="50" t="str">
        <f>MID(VLOOKUP($A311,Seqs!$A:$B,2,FALSE),VLOOKUP($A311,'SegEnds_NonXtal_Prot#'!$A:$AL,22,FALSE)+10,1)</f>
        <v>W</v>
      </c>
      <c r="AF311" s="28" t="str">
        <f>MID(VLOOKUP($A311,Seqs!$A:$B,2,FALSE),VLOOKUP($A311,'SegEnds_NonXtal_Prot#'!$A:$AL,28,FALSE)-4,1)</f>
        <v>P</v>
      </c>
      <c r="AG311" s="50" t="str">
        <f>MID(VLOOKUP($A311,Seqs!$A:$B,2,FALSE),VLOOKUP($A311,'SegEnds_NonXtal_Prot#'!$A:$AL,28,FALSE),1)</f>
        <v>A</v>
      </c>
    </row>
    <row r="312" spans="1:33" s="2" customFormat="1" x14ac:dyDescent="0.2">
      <c r="A312" s="2" t="s">
        <v>1177</v>
      </c>
      <c r="B312" s="2" t="str">
        <f>LOWER(VLOOKUP(A312,Xtal_Templ!A:B,2,FALSE))</f>
        <v>crfr1_human</v>
      </c>
      <c r="C312" s="2" t="str">
        <f>VLOOKUP(A312,Classification!A:D,2,FALSE)</f>
        <v>B2</v>
      </c>
      <c r="D312" s="2" t="str">
        <f>IF(ISERROR(MATCH(A312,'SegEnds_Xtal_Prot#'!B:B, 0)), "NoXtal", "Xtal")</f>
        <v>NoXtal</v>
      </c>
      <c r="G312" s="4"/>
      <c r="I312" s="109" t="s">
        <v>25</v>
      </c>
      <c r="S312" s="4" t="s">
        <v>12</v>
      </c>
      <c r="U312" s="28" t="str">
        <f>MID(VLOOKUP($A312,Seqs!$A:$B,2,FALSE),VLOOKUP($A312,'SegEnds_NonXtal_Prot#'!A:AL,10,FALSE),1)</f>
        <v>F</v>
      </c>
      <c r="V312" s="50" t="str">
        <f>MID(VLOOKUP($A312,Seqs!$A:$B,2,FALSE),VLOOKUP($A312,'SegEnds_NonXtal_Prot#'!A:AL,10,FALSE)+6,1)</f>
        <v>F</v>
      </c>
      <c r="W312" s="50" t="str">
        <f>MID(VLOOKUP($A312,Seqs!$A:$B,2,FALSE),VLOOKUP($A312,'SegEnds_NonXtal_Prot#'!A:AL,10,FALSE)+7,1)</f>
        <v>T</v>
      </c>
      <c r="X312" s="50" t="str">
        <f>MID(VLOOKUP($A312,Seqs!$A:$B,2,FALSE),VLOOKUP($A312,'SegEnds_NonXtal_Prot#'!A:AL,10,FALSE)+8,1)</f>
        <v>V</v>
      </c>
      <c r="Y312" s="50" t="str">
        <f>MID(VLOOKUP($A312,Seqs!$A:$B,2,FALSE),VLOOKUP($A312,'SegEnds_NonXtal_Prot#'!A:AL,10,FALSE)+9,1)</f>
        <v>F</v>
      </c>
      <c r="Z312" s="50" t="str">
        <f>MID(VLOOKUP($A312,Seqs!$A:$B,2,FALSE),VLOOKUP($A312,'SegEnds_NonXtal_Prot#'!A:AL,10,FALSE)+10,1)</f>
        <v>A</v>
      </c>
      <c r="AA312" s="28" t="str">
        <f>MID(VLOOKUP($A312,Seqs!$A:$B,2,FALSE),VLOOKUP($A312,'SegEnds_NonXtal_Prot#'!$A:$AL,22,FALSE)+6,1)</f>
        <v>I</v>
      </c>
      <c r="AB312" s="50" t="str">
        <f>MID(VLOOKUP($A312,Seqs!$A:$B,2,FALSE),VLOOKUP($A312,'SegEnds_NonXtal_Prot#'!$A:$AL,22,FALSE)+7,1)</f>
        <v>C</v>
      </c>
      <c r="AC312" s="50" t="str">
        <f>MID(VLOOKUP($A312,Seqs!$A:$B,2,FALSE),VLOOKUP($A312,'SegEnds_NonXtal_Prot#'!$A:$AL,22,FALSE)+8,1)</f>
        <v>G</v>
      </c>
      <c r="AD312" s="50" t="str">
        <f>MID(VLOOKUP($A312,Seqs!$A:$B,2,FALSE),VLOOKUP($A312,'SegEnds_NonXtal_Prot#'!$A:$AL,22,FALSE)+9,1)</f>
        <v>V</v>
      </c>
      <c r="AE312" s="50" t="str">
        <f>MID(VLOOKUP($A312,Seqs!$A:$B,2,FALSE),VLOOKUP($A312,'SegEnds_NonXtal_Prot#'!$A:$AL,22,FALSE)+10,1)</f>
        <v>T</v>
      </c>
      <c r="AF312" s="28" t="str">
        <f>MID(VLOOKUP($A312,Seqs!$A:$B,2,FALSE),VLOOKUP($A312,'SegEnds_NonXtal_Prot#'!$A:$AL,28,FALSE)-4,1)</f>
        <v>P</v>
      </c>
      <c r="AG312" s="50" t="str">
        <f>MID(VLOOKUP($A312,Seqs!$A:$B,2,FALSE),VLOOKUP($A312,'SegEnds_NonXtal_Prot#'!$A:$AL,28,FALSE),1)</f>
        <v>I</v>
      </c>
    </row>
    <row r="313" spans="1:33" s="2" customFormat="1" x14ac:dyDescent="0.2">
      <c r="A313" s="2" t="s">
        <v>1178</v>
      </c>
      <c r="B313" s="2" t="str">
        <f>LOWER(VLOOKUP(A313,Xtal_Templ!A:B,2,FALSE))</f>
        <v>crfr1_human</v>
      </c>
      <c r="C313" s="2" t="str">
        <f>VLOOKUP(A313,Classification!A:D,2,FALSE)</f>
        <v>B2</v>
      </c>
      <c r="D313" s="2" t="str">
        <f>IF(ISERROR(MATCH(A313,'SegEnds_Xtal_Prot#'!B:B, 0)), "NoXtal", "Xtal")</f>
        <v>NoXtal</v>
      </c>
      <c r="G313" s="4"/>
      <c r="I313" s="109" t="s">
        <v>25</v>
      </c>
      <c r="S313" s="4" t="s">
        <v>12</v>
      </c>
      <c r="U313" s="28" t="str">
        <f>MID(VLOOKUP($A313,Seqs!$A:$B,2,FALSE),VLOOKUP($A313,'SegEnds_NonXtal_Prot#'!A:AL,10,FALSE),1)</f>
        <v>F</v>
      </c>
      <c r="V313" s="50" t="str">
        <f>MID(VLOOKUP($A313,Seqs!$A:$B,2,FALSE),VLOOKUP($A313,'SegEnds_NonXtal_Prot#'!A:AL,10,FALSE)+6,1)</f>
        <v>S</v>
      </c>
      <c r="W313" s="50" t="str">
        <f>MID(VLOOKUP($A313,Seqs!$A:$B,2,FALSE),VLOOKUP($A313,'SegEnds_NonXtal_Prot#'!A:AL,10,FALSE)+7,1)</f>
        <v>A</v>
      </c>
      <c r="X313" s="50" t="str">
        <f>MID(VLOOKUP($A313,Seqs!$A:$B,2,FALSE),VLOOKUP($A313,'SegEnds_NonXtal_Prot#'!A:AL,10,FALSE)+8,1)</f>
        <v>V</v>
      </c>
      <c r="Y313" s="50" t="str">
        <f>MID(VLOOKUP($A313,Seqs!$A:$B,2,FALSE),VLOOKUP($A313,'SegEnds_NonXtal_Prot#'!A:AL,10,FALSE)+9,1)</f>
        <v>F</v>
      </c>
      <c r="Z313" s="50" t="str">
        <f>MID(VLOOKUP($A313,Seqs!$A:$B,2,FALSE),VLOOKUP($A313,'SegEnds_NonXtal_Prot#'!A:AL,10,FALSE)+10,1)</f>
        <v>A</v>
      </c>
      <c r="AA313" s="28" t="str">
        <f>MID(VLOOKUP($A313,Seqs!$A:$B,2,FALSE),VLOOKUP($A313,'SegEnds_NonXtal_Prot#'!$A:$AL,22,FALSE)+6,1)</f>
        <v>I</v>
      </c>
      <c r="AB313" s="50" t="str">
        <f>MID(VLOOKUP($A313,Seqs!$A:$B,2,FALSE),VLOOKUP($A313,'SegEnds_NonXtal_Prot#'!$A:$AL,22,FALSE)+7,1)</f>
        <v>C</v>
      </c>
      <c r="AC313" s="50" t="str">
        <f>MID(VLOOKUP($A313,Seqs!$A:$B,2,FALSE),VLOOKUP($A313,'SegEnds_NonXtal_Prot#'!$A:$AL,22,FALSE)+8,1)</f>
        <v>G</v>
      </c>
      <c r="AD313" s="50" t="str">
        <f>MID(VLOOKUP($A313,Seqs!$A:$B,2,FALSE),VLOOKUP($A313,'SegEnds_NonXtal_Prot#'!$A:$AL,22,FALSE)+9,1)</f>
        <v>I</v>
      </c>
      <c r="AE313" s="50" t="str">
        <f>MID(VLOOKUP($A313,Seqs!$A:$B,2,FALSE),VLOOKUP($A313,'SegEnds_NonXtal_Prot#'!$A:$AL,22,FALSE)+10,1)</f>
        <v>T</v>
      </c>
      <c r="AF313" s="28" t="str">
        <f>MID(VLOOKUP($A313,Seqs!$A:$B,2,FALSE),VLOOKUP($A313,'SegEnds_NonXtal_Prot#'!$A:$AL,28,FALSE)-4,1)</f>
        <v>P</v>
      </c>
      <c r="AG313" s="50" t="str">
        <f>MID(VLOOKUP($A313,Seqs!$A:$B,2,FALSE),VLOOKUP($A313,'SegEnds_NonXtal_Prot#'!$A:$AL,28,FALSE),1)</f>
        <v>I</v>
      </c>
    </row>
    <row r="314" spans="1:33" s="2" customFormat="1" x14ac:dyDescent="0.2">
      <c r="A314" s="2" t="s">
        <v>1179</v>
      </c>
      <c r="B314" s="2" t="str">
        <f>LOWER(VLOOKUP(A314,Xtal_Templ!A:B,2,FALSE))</f>
        <v>crfr1_human</v>
      </c>
      <c r="C314" s="2" t="str">
        <f>VLOOKUP(A314,Classification!A:D,2,FALSE)</f>
        <v>B2</v>
      </c>
      <c r="D314" s="2" t="str">
        <f>IF(ISERROR(MATCH(A314,'SegEnds_Xtal_Prot#'!B:B, 0)), "NoXtal", "Xtal")</f>
        <v>NoXtal</v>
      </c>
      <c r="G314" s="4"/>
      <c r="I314" s="109" t="s">
        <v>25</v>
      </c>
      <c r="S314" s="4" t="s">
        <v>12</v>
      </c>
      <c r="U314" s="28" t="str">
        <f>MID(VLOOKUP($A314,Seqs!$A:$B,2,FALSE),VLOOKUP($A314,'SegEnds_NonXtal_Prot#'!A:AL,10,FALSE),1)</f>
        <v>F</v>
      </c>
      <c r="V314" s="50" t="str">
        <f>MID(VLOOKUP($A314,Seqs!$A:$B,2,FALSE),VLOOKUP($A314,'SegEnds_NonXtal_Prot#'!A:AL,10,FALSE)+6,1)</f>
        <v>C</v>
      </c>
      <c r="W314" s="50" t="str">
        <f>MID(VLOOKUP($A314,Seqs!$A:$B,2,FALSE),VLOOKUP($A314,'SegEnds_NonXtal_Prot#'!A:AL,10,FALSE)+7,1)</f>
        <v>V</v>
      </c>
      <c r="X314" s="50" t="str">
        <f>MID(VLOOKUP($A314,Seqs!$A:$B,2,FALSE),VLOOKUP($A314,'SegEnds_NonXtal_Prot#'!A:AL,10,FALSE)+8,1)</f>
        <v>V</v>
      </c>
      <c r="Y314" s="50" t="str">
        <f>MID(VLOOKUP($A314,Seqs!$A:$B,2,FALSE),VLOOKUP($A314,'SegEnds_NonXtal_Prot#'!A:AL,10,FALSE)+9,1)</f>
        <v>F</v>
      </c>
      <c r="Z314" s="50" t="str">
        <f>MID(VLOOKUP($A314,Seqs!$A:$B,2,FALSE),VLOOKUP($A314,'SegEnds_NonXtal_Prot#'!A:AL,10,FALSE)+10,1)</f>
        <v>V</v>
      </c>
      <c r="AA314" s="28" t="str">
        <f>MID(VLOOKUP($A314,Seqs!$A:$B,2,FALSE),VLOOKUP($A314,'SegEnds_NonXtal_Prot#'!$A:$AL,22,FALSE)+6,1)</f>
        <v>V</v>
      </c>
      <c r="AB314" s="50" t="str">
        <f>MID(VLOOKUP($A314,Seqs!$A:$B,2,FALSE),VLOOKUP($A314,'SegEnds_NonXtal_Prot#'!$A:$AL,22,FALSE)+7,1)</f>
        <v>C</v>
      </c>
      <c r="AC314" s="50" t="str">
        <f>MID(VLOOKUP($A314,Seqs!$A:$B,2,FALSE),VLOOKUP($A314,'SegEnds_NonXtal_Prot#'!$A:$AL,22,FALSE)+8,1)</f>
        <v>G</v>
      </c>
      <c r="AD314" s="50" t="str">
        <f>MID(VLOOKUP($A314,Seqs!$A:$B,2,FALSE),VLOOKUP($A314,'SegEnds_NonXtal_Prot#'!$A:$AL,22,FALSE)+9,1)</f>
        <v>I</v>
      </c>
      <c r="AE314" s="50" t="str">
        <f>MID(VLOOKUP($A314,Seqs!$A:$B,2,FALSE),VLOOKUP($A314,'SegEnds_NonXtal_Prot#'!$A:$AL,22,FALSE)+10,1)</f>
        <v>T</v>
      </c>
      <c r="AF314" s="28" t="str">
        <f>MID(VLOOKUP($A314,Seqs!$A:$B,2,FALSE),VLOOKUP($A314,'SegEnds_NonXtal_Prot#'!$A:$AL,28,FALSE)-4,1)</f>
        <v>P</v>
      </c>
      <c r="AG314" s="50" t="str">
        <f>MID(VLOOKUP($A314,Seqs!$A:$B,2,FALSE),VLOOKUP($A314,'SegEnds_NonXtal_Prot#'!$A:$AL,28,FALSE),1)</f>
        <v>I</v>
      </c>
    </row>
    <row r="315" spans="1:33" s="2" customFormat="1" x14ac:dyDescent="0.2">
      <c r="A315" s="2" t="s">
        <v>1180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G315" s="4"/>
      <c r="I315" s="109" t="s">
        <v>25</v>
      </c>
      <c r="S315" s="4" t="s">
        <v>12</v>
      </c>
      <c r="U315" s="28" t="str">
        <f>MID(VLOOKUP($A315,Seqs!$A:$B,2,FALSE),VLOOKUP($A315,'SegEnds_NonXtal_Prot#'!A:AL,10,FALSE),1)</f>
        <v>I</v>
      </c>
      <c r="V315" s="50" t="str">
        <f>MID(VLOOKUP($A315,Seqs!$A:$B,2,FALSE),VLOOKUP($A315,'SegEnds_NonXtal_Prot#'!A:AL,10,FALSE)+6,1)</f>
        <v>L</v>
      </c>
      <c r="W315" s="50" t="str">
        <f>MID(VLOOKUP($A315,Seqs!$A:$B,2,FALSE),VLOOKUP($A315,'SegEnds_NonXtal_Prot#'!A:AL,10,FALSE)+7,1)</f>
        <v>I</v>
      </c>
      <c r="X315" s="50" t="str">
        <f>MID(VLOOKUP($A315,Seqs!$A:$B,2,FALSE),VLOOKUP($A315,'SegEnds_NonXtal_Prot#'!A:AL,10,FALSE)+8,1)</f>
        <v>L</v>
      </c>
      <c r="Y315" s="50" t="str">
        <f>MID(VLOOKUP($A315,Seqs!$A:$B,2,FALSE),VLOOKUP($A315,'SegEnds_NonXtal_Prot#'!A:AL,10,FALSE)+9,1)</f>
        <v>V</v>
      </c>
      <c r="Z315" s="50" t="str">
        <f>MID(VLOOKUP($A315,Seqs!$A:$B,2,FALSE),VLOOKUP($A315,'SegEnds_NonXtal_Prot#'!A:AL,10,FALSE)+10,1)</f>
        <v>G</v>
      </c>
      <c r="AA315" s="28" t="str">
        <f>MID(VLOOKUP($A315,Seqs!$A:$B,2,FALSE),VLOOKUP($A315,'SegEnds_NonXtal_Prot#'!$A:$AL,22,FALSE)+6,1)</f>
        <v>V</v>
      </c>
      <c r="AB315" s="50" t="str">
        <f>MID(VLOOKUP($A315,Seqs!$A:$B,2,FALSE),VLOOKUP($A315,'SegEnds_NonXtal_Prot#'!$A:$AL,22,FALSE)+7,1)</f>
        <v>V</v>
      </c>
      <c r="AC315" s="50" t="str">
        <f>MID(VLOOKUP($A315,Seqs!$A:$B,2,FALSE),VLOOKUP($A315,'SegEnds_NonXtal_Prot#'!$A:$AL,22,FALSE)+8,1)</f>
        <v>A</v>
      </c>
      <c r="AD315" s="50" t="str">
        <f>MID(VLOOKUP($A315,Seqs!$A:$B,2,FALSE),VLOOKUP($A315,'SegEnds_NonXtal_Prot#'!$A:$AL,22,FALSE)+9,1)</f>
        <v>V</v>
      </c>
      <c r="AE315" s="50" t="str">
        <f>MID(VLOOKUP($A315,Seqs!$A:$B,2,FALSE),VLOOKUP($A315,'SegEnds_NonXtal_Prot#'!$A:$AL,22,FALSE)+10,1)</f>
        <v>S</v>
      </c>
      <c r="AF315" s="28" t="str">
        <f>MID(VLOOKUP($A315,Seqs!$A:$B,2,FALSE),VLOOKUP($A315,'SegEnds_NonXtal_Prot#'!$A:$AL,28,FALSE)-4,1)</f>
        <v>P</v>
      </c>
      <c r="AG315" s="50" t="str">
        <f>MID(VLOOKUP($A315,Seqs!$A:$B,2,FALSE),VLOOKUP($A315,'SegEnds_NonXtal_Prot#'!$A:$AL,28,FALSE),1)</f>
        <v>I</v>
      </c>
    </row>
    <row r="316" spans="1:33" s="2" customFormat="1" x14ac:dyDescent="0.2">
      <c r="A316" s="2" t="s">
        <v>1181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G316" s="4"/>
      <c r="I316" s="109" t="s">
        <v>25</v>
      </c>
      <c r="S316" s="4" t="s">
        <v>12</v>
      </c>
      <c r="U316" s="28" t="str">
        <f>MID(VLOOKUP($A316,Seqs!$A:$B,2,FALSE),VLOOKUP($A316,'SegEnds_NonXtal_Prot#'!A:AL,10,FALSE),1)</f>
        <v>I</v>
      </c>
      <c r="V316" s="50" t="str">
        <f>MID(VLOOKUP($A316,Seqs!$A:$B,2,FALSE),VLOOKUP($A316,'SegEnds_NonXtal_Prot#'!A:AL,10,FALSE)+6,1)</f>
        <v>L</v>
      </c>
      <c r="W316" s="50" t="str">
        <f>MID(VLOOKUP($A316,Seqs!$A:$B,2,FALSE),VLOOKUP($A316,'SegEnds_NonXtal_Prot#'!A:AL,10,FALSE)+7,1)</f>
        <v>I</v>
      </c>
      <c r="X316" s="50" t="str">
        <f>MID(VLOOKUP($A316,Seqs!$A:$B,2,FALSE),VLOOKUP($A316,'SegEnds_NonXtal_Prot#'!A:AL,10,FALSE)+8,1)</f>
        <v>L</v>
      </c>
      <c r="Y316" s="50" t="str">
        <f>MID(VLOOKUP($A316,Seqs!$A:$B,2,FALSE),VLOOKUP($A316,'SegEnds_NonXtal_Prot#'!A:AL,10,FALSE)+9,1)</f>
        <v>V</v>
      </c>
      <c r="Z316" s="50" t="str">
        <f>MID(VLOOKUP($A316,Seqs!$A:$B,2,FALSE),VLOOKUP($A316,'SegEnds_NonXtal_Prot#'!A:AL,10,FALSE)+10,1)</f>
        <v>G</v>
      </c>
      <c r="AA316" s="28" t="str">
        <f>MID(VLOOKUP($A316,Seqs!$A:$B,2,FALSE),VLOOKUP($A316,'SegEnds_NonXtal_Prot#'!$A:$AL,22,FALSE)+6,1)</f>
        <v>V</v>
      </c>
      <c r="AB316" s="50" t="str">
        <f>MID(VLOOKUP($A316,Seqs!$A:$B,2,FALSE),VLOOKUP($A316,'SegEnds_NonXtal_Prot#'!$A:$AL,22,FALSE)+7,1)</f>
        <v>V</v>
      </c>
      <c r="AC316" s="50" t="str">
        <f>MID(VLOOKUP($A316,Seqs!$A:$B,2,FALSE),VLOOKUP($A316,'SegEnds_NonXtal_Prot#'!$A:$AL,22,FALSE)+8,1)</f>
        <v>A</v>
      </c>
      <c r="AD316" s="50" t="str">
        <f>MID(VLOOKUP($A316,Seqs!$A:$B,2,FALSE),VLOOKUP($A316,'SegEnds_NonXtal_Prot#'!$A:$AL,22,FALSE)+9,1)</f>
        <v>T</v>
      </c>
      <c r="AE316" s="50" t="str">
        <f>MID(VLOOKUP($A316,Seqs!$A:$B,2,FALSE),VLOOKUP($A316,'SegEnds_NonXtal_Prot#'!$A:$AL,22,FALSE)+10,1)</f>
        <v>S</v>
      </c>
      <c r="AF316" s="28" t="str">
        <f>MID(VLOOKUP($A316,Seqs!$A:$B,2,FALSE),VLOOKUP($A316,'SegEnds_NonXtal_Prot#'!$A:$AL,28,FALSE)-4,1)</f>
        <v>P</v>
      </c>
      <c r="AG316" s="50" t="str">
        <f>MID(VLOOKUP($A316,Seqs!$A:$B,2,FALSE),VLOOKUP($A316,'SegEnds_NonXtal_Prot#'!$A:$AL,28,FALSE),1)</f>
        <v>V</v>
      </c>
    </row>
    <row r="317" spans="1:33" s="2" customFormat="1" x14ac:dyDescent="0.2">
      <c r="A317" s="2" t="s">
        <v>1182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G317" s="4"/>
      <c r="I317" s="109" t="s">
        <v>25</v>
      </c>
      <c r="S317" s="4" t="s">
        <v>12</v>
      </c>
      <c r="U317" s="28" t="str">
        <f>MID(VLOOKUP($A317,Seqs!$A:$B,2,FALSE),VLOOKUP($A317,'SegEnds_NonXtal_Prot#'!A:AL,10,FALSE),1)</f>
        <v>V</v>
      </c>
      <c r="V317" s="50" t="str">
        <f>MID(VLOOKUP($A317,Seqs!$A:$B,2,FALSE),VLOOKUP($A317,'SegEnds_NonXtal_Prot#'!A:AL,10,FALSE)+6,1)</f>
        <v>L</v>
      </c>
      <c r="W317" s="50" t="str">
        <f>MID(VLOOKUP($A317,Seqs!$A:$B,2,FALSE),VLOOKUP($A317,'SegEnds_NonXtal_Prot#'!A:AL,10,FALSE)+7,1)</f>
        <v>L</v>
      </c>
      <c r="X317" s="50" t="str">
        <f>MID(VLOOKUP($A317,Seqs!$A:$B,2,FALSE),VLOOKUP($A317,'SegEnds_NonXtal_Prot#'!A:AL,10,FALSE)+8,1)</f>
        <v>L</v>
      </c>
      <c r="Y317" s="50" t="str">
        <f>MID(VLOOKUP($A317,Seqs!$A:$B,2,FALSE),VLOOKUP($A317,'SegEnds_NonXtal_Prot#'!A:AL,10,FALSE)+9,1)</f>
        <v>I</v>
      </c>
      <c r="Z317" s="50" t="str">
        <f>MID(VLOOKUP($A317,Seqs!$A:$B,2,FALSE),VLOOKUP($A317,'SegEnds_NonXtal_Prot#'!A:AL,10,FALSE)+10,1)</f>
        <v>S</v>
      </c>
      <c r="AA317" s="28" t="str">
        <f>MID(VLOOKUP($A317,Seqs!$A:$B,2,FALSE),VLOOKUP($A317,'SegEnds_NonXtal_Prot#'!$A:$AL,22,FALSE)+6,1)</f>
        <v>I</v>
      </c>
      <c r="AB317" s="50" t="str">
        <f>MID(VLOOKUP($A317,Seqs!$A:$B,2,FALSE),VLOOKUP($A317,'SegEnds_NonXtal_Prot#'!$A:$AL,22,FALSE)+7,1)</f>
        <v>C</v>
      </c>
      <c r="AC317" s="50" t="str">
        <f>MID(VLOOKUP($A317,Seqs!$A:$B,2,FALSE),VLOOKUP($A317,'SegEnds_NonXtal_Prot#'!$A:$AL,22,FALSE)+8,1)</f>
        <v>I</v>
      </c>
      <c r="AD317" s="50" t="str">
        <f>MID(VLOOKUP($A317,Seqs!$A:$B,2,FALSE),VLOOKUP($A317,'SegEnds_NonXtal_Prot#'!$A:$AL,22,FALSE)+9,1)</f>
        <v>I</v>
      </c>
      <c r="AE317" s="50" t="str">
        <f>MID(VLOOKUP($A317,Seqs!$A:$B,2,FALSE),VLOOKUP($A317,'SegEnds_NonXtal_Prot#'!$A:$AL,22,FALSE)+10,1)</f>
        <v>S</v>
      </c>
      <c r="AF317" s="28" t="str">
        <f>MID(VLOOKUP($A317,Seqs!$A:$B,2,FALSE),VLOOKUP($A317,'SegEnds_NonXtal_Prot#'!$A:$AL,28,FALSE)-4,1)</f>
        <v>P</v>
      </c>
      <c r="AG317" s="50" t="str">
        <f>MID(VLOOKUP($A317,Seqs!$A:$B,2,FALSE),VLOOKUP($A317,'SegEnds_NonXtal_Prot#'!$A:$AL,28,FALSE),1)</f>
        <v>V</v>
      </c>
    </row>
    <row r="318" spans="1:33" s="2" customFormat="1" x14ac:dyDescent="0.2">
      <c r="A318" s="2" t="s">
        <v>1183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G318" s="4"/>
      <c r="I318" s="109" t="s">
        <v>25</v>
      </c>
      <c r="S318" s="4" t="s">
        <v>12</v>
      </c>
      <c r="U318" s="28" t="str">
        <f>MID(VLOOKUP($A318,Seqs!$A:$B,2,FALSE),VLOOKUP($A318,'SegEnds_NonXtal_Prot#'!A:AL,10,FALSE),1)</f>
        <v>L</v>
      </c>
      <c r="V318" s="50" t="str">
        <f>MID(VLOOKUP($A318,Seqs!$A:$B,2,FALSE),VLOOKUP($A318,'SegEnds_NonXtal_Prot#'!A:AL,10,FALSE)+6,1)</f>
        <v>F</v>
      </c>
      <c r="W318" s="50" t="str">
        <f>MID(VLOOKUP($A318,Seqs!$A:$B,2,FALSE),VLOOKUP($A318,'SegEnds_NonXtal_Prot#'!A:AL,10,FALSE)+7,1)</f>
        <v>L</v>
      </c>
      <c r="X318" s="50" t="str">
        <f>MID(VLOOKUP($A318,Seqs!$A:$B,2,FALSE),VLOOKUP($A318,'SegEnds_NonXtal_Prot#'!A:AL,10,FALSE)+8,1)</f>
        <v>M</v>
      </c>
      <c r="Y318" s="50" t="str">
        <f>MID(VLOOKUP($A318,Seqs!$A:$B,2,FALSE),VLOOKUP($A318,'SegEnds_NonXtal_Prot#'!A:AL,10,FALSE)+9,1)</f>
        <v>T</v>
      </c>
      <c r="Z318" s="50" t="str">
        <f>MID(VLOOKUP($A318,Seqs!$A:$B,2,FALSE),VLOOKUP($A318,'SegEnds_NonXtal_Prot#'!A:AL,10,FALSE)+10,1)</f>
        <v>S</v>
      </c>
      <c r="AA318" s="28" t="str">
        <f>MID(VLOOKUP($A318,Seqs!$A:$B,2,FALSE),VLOOKUP($A318,'SegEnds_NonXtal_Prot#'!$A:$AL,22,FALSE)+6,1)</f>
        <v>I</v>
      </c>
      <c r="AB318" s="50" t="str">
        <f>MID(VLOOKUP($A318,Seqs!$A:$B,2,FALSE),VLOOKUP($A318,'SegEnds_NonXtal_Prot#'!$A:$AL,22,FALSE)+7,1)</f>
        <v>V</v>
      </c>
      <c r="AC318" s="50" t="str">
        <f>MID(VLOOKUP($A318,Seqs!$A:$B,2,FALSE),VLOOKUP($A318,'SegEnds_NonXtal_Prot#'!$A:$AL,22,FALSE)+8,1)</f>
        <v>A</v>
      </c>
      <c r="AD318" s="50" t="str">
        <f>MID(VLOOKUP($A318,Seqs!$A:$B,2,FALSE),VLOOKUP($A318,'SegEnds_NonXtal_Prot#'!$A:$AL,22,FALSE)+9,1)</f>
        <v>V</v>
      </c>
      <c r="AE318" s="50" t="str">
        <f>MID(VLOOKUP($A318,Seqs!$A:$B,2,FALSE),VLOOKUP($A318,'SegEnds_NonXtal_Prot#'!$A:$AL,22,FALSE)+10,1)</f>
        <v>T</v>
      </c>
      <c r="AF318" s="28" t="str">
        <f>MID(VLOOKUP($A318,Seqs!$A:$B,2,FALSE),VLOOKUP($A318,'SegEnds_NonXtal_Prot#'!$A:$AL,28,FALSE)-4,1)</f>
        <v>P</v>
      </c>
      <c r="AG318" s="50" t="str">
        <f>MID(VLOOKUP($A318,Seqs!$A:$B,2,FALSE),VLOOKUP($A318,'SegEnds_NonXtal_Prot#'!$A:$AL,28,FALSE),1)</f>
        <v>V</v>
      </c>
    </row>
    <row r="319" spans="1:33" s="2" customFormat="1" x14ac:dyDescent="0.2">
      <c r="A319" s="2" t="s">
        <v>1184</v>
      </c>
      <c r="B319" s="2" t="str">
        <f>LOWER(VLOOKUP(A319,Xtal_Templ!A:B,2,FALSE))</f>
        <v>calcr_human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G319" s="4"/>
      <c r="I319" s="109" t="s">
        <v>25</v>
      </c>
      <c r="S319" s="4" t="s">
        <v>12</v>
      </c>
      <c r="U319" s="28" t="str">
        <f>MID(VLOOKUP($A319,Seqs!$A:$B,2,FALSE),VLOOKUP($A319,'SegEnds_NonXtal_Prot#'!A:AL,10,FALSE),1)</f>
        <v>L</v>
      </c>
      <c r="V319" s="50" t="str">
        <f>MID(VLOOKUP($A319,Seqs!$A:$B,2,FALSE),VLOOKUP($A319,'SegEnds_NonXtal_Prot#'!A:AL,10,FALSE)+6,1)</f>
        <v>L</v>
      </c>
      <c r="W319" s="50" t="str">
        <f>MID(VLOOKUP($A319,Seqs!$A:$B,2,FALSE),VLOOKUP($A319,'SegEnds_NonXtal_Prot#'!A:AL,10,FALSE)+7,1)</f>
        <v>F</v>
      </c>
      <c r="X319" s="50" t="str">
        <f>MID(VLOOKUP($A319,Seqs!$A:$B,2,FALSE),VLOOKUP($A319,'SegEnds_NonXtal_Prot#'!A:AL,10,FALSE)+8,1)</f>
        <v>L</v>
      </c>
      <c r="Y319" s="50" t="str">
        <f>MID(VLOOKUP($A319,Seqs!$A:$B,2,FALSE),VLOOKUP($A319,'SegEnds_NonXtal_Prot#'!A:AL,10,FALSE)+9,1)</f>
        <v>A</v>
      </c>
      <c r="Z319" s="50" t="str">
        <f>MID(VLOOKUP($A319,Seqs!$A:$B,2,FALSE),VLOOKUP($A319,'SegEnds_NonXtal_Prot#'!A:AL,10,FALSE)+10,1)</f>
        <v>G</v>
      </c>
      <c r="AA319" s="28" t="str">
        <f>MID(VLOOKUP($A319,Seqs!$A:$B,2,FALSE),VLOOKUP($A319,'SegEnds_NonXtal_Prot#'!$A:$AL,22,FALSE)+6,1)</f>
        <v>V</v>
      </c>
      <c r="AB319" s="50" t="str">
        <f>MID(VLOOKUP($A319,Seqs!$A:$B,2,FALSE),VLOOKUP($A319,'SegEnds_NonXtal_Prot#'!$A:$AL,22,FALSE)+7,1)</f>
        <v>V</v>
      </c>
      <c r="AC319" s="50" t="str">
        <f>MID(VLOOKUP($A319,Seqs!$A:$B,2,FALSE),VLOOKUP($A319,'SegEnds_NonXtal_Prot#'!$A:$AL,22,FALSE)+8,1)</f>
        <v>V</v>
      </c>
      <c r="AD319" s="50" t="str">
        <f>MID(VLOOKUP($A319,Seqs!$A:$B,2,FALSE),VLOOKUP($A319,'SegEnds_NonXtal_Prot#'!$A:$AL,22,FALSE)+9,1)</f>
        <v>I</v>
      </c>
      <c r="AE319" s="50" t="str">
        <f>MID(VLOOKUP($A319,Seqs!$A:$B,2,FALSE),VLOOKUP($A319,'SegEnds_NonXtal_Prot#'!$A:$AL,22,FALSE)+10,1)</f>
        <v>S</v>
      </c>
      <c r="AF319" s="28" t="str">
        <f>MID(VLOOKUP($A319,Seqs!$A:$B,2,FALSE),VLOOKUP($A319,'SegEnds_NonXtal_Prot#'!$A:$AL,28,FALSE)-4,1)</f>
        <v>P</v>
      </c>
      <c r="AG319" s="50" t="str">
        <f>MID(VLOOKUP($A319,Seqs!$A:$B,2,FALSE),VLOOKUP($A319,'SegEnds_NonXtal_Prot#'!$A:$AL,28,FALSE),1)</f>
        <v>V</v>
      </c>
    </row>
    <row r="320" spans="1:33" s="2" customFormat="1" x14ac:dyDescent="0.2">
      <c r="A320" s="2" t="s">
        <v>1185</v>
      </c>
      <c r="B320" s="2" t="str">
        <f>LOWER(VLOOKUP(A320,Xtal_Templ!A:B,2,FALSE))</f>
        <v>glp1r_human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G320" s="4"/>
      <c r="I320" s="109" t="s">
        <v>25</v>
      </c>
      <c r="S320" s="4" t="s">
        <v>12</v>
      </c>
      <c r="U320" s="28" t="str">
        <f>MID(VLOOKUP($A320,Seqs!$A:$B,2,FALSE),VLOOKUP($A320,'SegEnds_NonXtal_Prot#'!A:AL,10,FALSE),1)</f>
        <v>L</v>
      </c>
      <c r="V320" s="50" t="str">
        <f>MID(VLOOKUP($A320,Seqs!$A:$B,2,FALSE),VLOOKUP($A320,'SegEnds_NonXtal_Prot#'!A:AL,10,FALSE)+6,1)</f>
        <v>L</v>
      </c>
      <c r="W320" s="50" t="str">
        <f>MID(VLOOKUP($A320,Seqs!$A:$B,2,FALSE),VLOOKUP($A320,'SegEnds_NonXtal_Prot#'!A:AL,10,FALSE)+7,1)</f>
        <v>F</v>
      </c>
      <c r="X320" s="50" t="str">
        <f>MID(VLOOKUP($A320,Seqs!$A:$B,2,FALSE),VLOOKUP($A320,'SegEnds_NonXtal_Prot#'!A:AL,10,FALSE)+8,1)</f>
        <v>L</v>
      </c>
      <c r="Y320" s="50" t="str">
        <f>MID(VLOOKUP($A320,Seqs!$A:$B,2,FALSE),VLOOKUP($A320,'SegEnds_NonXtal_Prot#'!A:AL,10,FALSE)+9,1)</f>
        <v>V</v>
      </c>
      <c r="Z320" s="50" t="str">
        <f>MID(VLOOKUP($A320,Seqs!$A:$B,2,FALSE),VLOOKUP($A320,'SegEnds_NonXtal_Prot#'!A:AL,10,FALSE)+10,1)</f>
        <v>A</v>
      </c>
      <c r="AA320" s="28" t="str">
        <f>MID(VLOOKUP($A320,Seqs!$A:$B,2,FALSE),VLOOKUP($A320,'SegEnds_NonXtal_Prot#'!$A:$AL,22,FALSE)+6,1)</f>
        <v>T</v>
      </c>
      <c r="AB320" s="50" t="str">
        <f>MID(VLOOKUP($A320,Seqs!$A:$B,2,FALSE),VLOOKUP($A320,'SegEnds_NonXtal_Prot#'!$A:$AL,22,FALSE)+7,1)</f>
        <v>V</v>
      </c>
      <c r="AC320" s="50" t="str">
        <f>MID(VLOOKUP($A320,Seqs!$A:$B,2,FALSE),VLOOKUP($A320,'SegEnds_NonXtal_Prot#'!$A:$AL,22,FALSE)+8,1)</f>
        <v>A</v>
      </c>
      <c r="AD320" s="50" t="str">
        <f>MID(VLOOKUP($A320,Seqs!$A:$B,2,FALSE),VLOOKUP($A320,'SegEnds_NonXtal_Prot#'!$A:$AL,22,FALSE)+9,1)</f>
        <v>I</v>
      </c>
      <c r="AE320" s="50" t="str">
        <f>MID(VLOOKUP($A320,Seqs!$A:$B,2,FALSE),VLOOKUP($A320,'SegEnds_NonXtal_Prot#'!$A:$AL,22,FALSE)+10,1)</f>
        <v>S</v>
      </c>
      <c r="AF320" s="28" t="str">
        <f>MID(VLOOKUP($A320,Seqs!$A:$B,2,FALSE),VLOOKUP($A320,'SegEnds_NonXtal_Prot#'!$A:$AL,28,FALSE)-4,1)</f>
        <v>P</v>
      </c>
      <c r="AG320" s="50" t="str">
        <f>MID(VLOOKUP($A320,Seqs!$A:$B,2,FALSE),VLOOKUP($A320,'SegEnds_NonXtal_Prot#'!$A:$AL,28,FALSE),1)</f>
        <v>I</v>
      </c>
    </row>
    <row r="321" spans="1:33" s="2" customFormat="1" x14ac:dyDescent="0.2">
      <c r="A321" s="2" t="s">
        <v>1186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G321" s="4"/>
      <c r="I321" s="109" t="s">
        <v>25</v>
      </c>
      <c r="S321" s="4" t="s">
        <v>12</v>
      </c>
      <c r="U321" s="28" t="str">
        <f>MID(VLOOKUP($A321,Seqs!$A:$B,2,FALSE),VLOOKUP($A321,'SegEnds_NonXtal_Prot#'!A:AL,10,FALSE),1)</f>
        <v>L</v>
      </c>
      <c r="V321" s="50" t="str">
        <f>MID(VLOOKUP($A321,Seqs!$A:$B,2,FALSE),VLOOKUP($A321,'SegEnds_NonXtal_Prot#'!A:AL,10,FALSE)+6,1)</f>
        <v>L</v>
      </c>
      <c r="W321" s="50" t="str">
        <f>MID(VLOOKUP($A321,Seqs!$A:$B,2,FALSE),VLOOKUP($A321,'SegEnds_NonXtal_Prot#'!A:AL,10,FALSE)+7,1)</f>
        <v>F</v>
      </c>
      <c r="X321" s="50" t="str">
        <f>MID(VLOOKUP($A321,Seqs!$A:$B,2,FALSE),VLOOKUP($A321,'SegEnds_NonXtal_Prot#'!A:AL,10,FALSE)+8,1)</f>
        <v>L</v>
      </c>
      <c r="Y321" s="50" t="str">
        <f>MID(VLOOKUP($A321,Seqs!$A:$B,2,FALSE),VLOOKUP($A321,'SegEnds_NonXtal_Prot#'!A:AL,10,FALSE)+9,1)</f>
        <v>V</v>
      </c>
      <c r="Z321" s="50" t="str">
        <f>MID(VLOOKUP($A321,Seqs!$A:$B,2,FALSE),VLOOKUP($A321,'SegEnds_NonXtal_Prot#'!A:AL,10,FALSE)+10,1)</f>
        <v>G</v>
      </c>
      <c r="AA321" s="28" t="str">
        <f>MID(VLOOKUP($A321,Seqs!$A:$B,2,FALSE),VLOOKUP($A321,'SegEnds_NonXtal_Prot#'!$A:$AL,22,FALSE)+6,1)</f>
        <v>T</v>
      </c>
      <c r="AB321" s="50" t="str">
        <f>MID(VLOOKUP($A321,Seqs!$A:$B,2,FALSE),VLOOKUP($A321,'SegEnds_NonXtal_Prot#'!$A:$AL,22,FALSE)+7,1)</f>
        <v>V</v>
      </c>
      <c r="AC321" s="50" t="str">
        <f>MID(VLOOKUP($A321,Seqs!$A:$B,2,FALSE),VLOOKUP($A321,'SegEnds_NonXtal_Prot#'!$A:$AL,22,FALSE)+8,1)</f>
        <v>A</v>
      </c>
      <c r="AD321" s="50" t="str">
        <f>MID(VLOOKUP($A321,Seqs!$A:$B,2,FALSE),VLOOKUP($A321,'SegEnds_NonXtal_Prot#'!$A:$AL,22,FALSE)+9,1)</f>
        <v>I</v>
      </c>
      <c r="AE321" s="50" t="str">
        <f>MID(VLOOKUP($A321,Seqs!$A:$B,2,FALSE),VLOOKUP($A321,'SegEnds_NonXtal_Prot#'!$A:$AL,22,FALSE)+10,1)</f>
        <v>S</v>
      </c>
      <c r="AF321" s="28" t="str">
        <f>MID(VLOOKUP($A321,Seqs!$A:$B,2,FALSE),VLOOKUP($A321,'SegEnds_NonXtal_Prot#'!$A:$AL,28,FALSE)-4,1)</f>
        <v>P</v>
      </c>
      <c r="AG321" s="50" t="str">
        <f>MID(VLOOKUP($A321,Seqs!$A:$B,2,FALSE),VLOOKUP($A321,'SegEnds_NonXtal_Prot#'!$A:$AL,28,FALSE),1)</f>
        <v>I</v>
      </c>
    </row>
    <row r="322" spans="1:33" s="2" customFormat="1" x14ac:dyDescent="0.2">
      <c r="A322" s="2" t="s">
        <v>1187</v>
      </c>
      <c r="B322" s="2" t="str">
        <f>LOWER(VLOOKUP(A322,Xtal_Templ!A:B,2,FALSE))</f>
        <v>glp1r_human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G322" s="4"/>
      <c r="I322" s="109" t="s">
        <v>25</v>
      </c>
      <c r="S322" s="4" t="s">
        <v>12</v>
      </c>
      <c r="U322" s="28" t="str">
        <f>MID(VLOOKUP($A322,Seqs!$A:$B,2,FALSE),VLOOKUP($A322,'SegEnds_NonXtal_Prot#'!A:AL,10,FALSE),1)</f>
        <v>L</v>
      </c>
      <c r="V322" s="50" t="str">
        <f>MID(VLOOKUP($A322,Seqs!$A:$B,2,FALSE),VLOOKUP($A322,'SegEnds_NonXtal_Prot#'!A:AL,10,FALSE)+6,1)</f>
        <v>L</v>
      </c>
      <c r="W322" s="50" t="str">
        <f>MID(VLOOKUP($A322,Seqs!$A:$B,2,FALSE),VLOOKUP($A322,'SegEnds_NonXtal_Prot#'!A:AL,10,FALSE)+7,1)</f>
        <v>F</v>
      </c>
      <c r="X322" s="50" t="str">
        <f>MID(VLOOKUP($A322,Seqs!$A:$B,2,FALSE),VLOOKUP($A322,'SegEnds_NonXtal_Prot#'!A:AL,10,FALSE)+8,1)</f>
        <v>L</v>
      </c>
      <c r="Y322" s="50" t="str">
        <f>MID(VLOOKUP($A322,Seqs!$A:$B,2,FALSE),VLOOKUP($A322,'SegEnds_NonXtal_Prot#'!A:AL,10,FALSE)+9,1)</f>
        <v>T</v>
      </c>
      <c r="Z322" s="50" t="str">
        <f>MID(VLOOKUP($A322,Seqs!$A:$B,2,FALSE),VLOOKUP($A322,'SegEnds_NonXtal_Prot#'!A:AL,10,FALSE)+10,1)</f>
        <v>G</v>
      </c>
      <c r="AA322" s="28" t="str">
        <f>MID(VLOOKUP($A322,Seqs!$A:$B,2,FALSE),VLOOKUP($A322,'SegEnds_NonXtal_Prot#'!$A:$AL,22,FALSE)+6,1)</f>
        <v>I</v>
      </c>
      <c r="AB322" s="50" t="str">
        <f>MID(VLOOKUP($A322,Seqs!$A:$B,2,FALSE),VLOOKUP($A322,'SegEnds_NonXtal_Prot#'!$A:$AL,22,FALSE)+7,1)</f>
        <v>I</v>
      </c>
      <c r="AC322" s="50" t="str">
        <f>MID(VLOOKUP($A322,Seqs!$A:$B,2,FALSE),VLOOKUP($A322,'SegEnds_NonXtal_Prot#'!$A:$AL,22,FALSE)+8,1)</f>
        <v>A</v>
      </c>
      <c r="AD322" s="50" t="str">
        <f>MID(VLOOKUP($A322,Seqs!$A:$B,2,FALSE),VLOOKUP($A322,'SegEnds_NonXtal_Prot#'!$A:$AL,22,FALSE)+9,1)</f>
        <v>V</v>
      </c>
      <c r="AE322" s="50" t="str">
        <f>MID(VLOOKUP($A322,Seqs!$A:$B,2,FALSE),VLOOKUP($A322,'SegEnds_NonXtal_Prot#'!$A:$AL,22,FALSE)+10,1)</f>
        <v>S</v>
      </c>
      <c r="AF322" s="28" t="str">
        <f>MID(VLOOKUP($A322,Seqs!$A:$B,2,FALSE),VLOOKUP($A322,'SegEnds_NonXtal_Prot#'!$A:$AL,28,FALSE)-4,1)</f>
        <v>P</v>
      </c>
      <c r="AG322" s="50" t="str">
        <f>MID(VLOOKUP($A322,Seqs!$A:$B,2,FALSE),VLOOKUP($A322,'SegEnds_NonXtal_Prot#'!$A:$AL,28,FALSE),1)</f>
        <v>I</v>
      </c>
    </row>
    <row r="323" spans="1:33" s="2" customFormat="1" x14ac:dyDescent="0.2">
      <c r="A323" s="2" t="s">
        <v>1188</v>
      </c>
      <c r="B323" s="2" t="str">
        <f>LOWER(VLOOKUP(A323,Xtal_Templ!A:B,2,FALSE))</f>
        <v>crfr1_human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G323" s="4"/>
      <c r="I323" s="109" t="s">
        <v>25</v>
      </c>
      <c r="S323" s="4" t="s">
        <v>12</v>
      </c>
      <c r="U323" s="28" t="str">
        <f>MID(VLOOKUP($A323,Seqs!$A:$B,2,FALSE),VLOOKUP($A323,'SegEnds_NonXtal_Prot#'!A:AL,10,FALSE),1)</f>
        <v>A</v>
      </c>
      <c r="V323" s="50" t="str">
        <f>MID(VLOOKUP($A323,Seqs!$A:$B,2,FALSE),VLOOKUP($A323,'SegEnds_NonXtal_Prot#'!A:AL,10,FALSE)+6,1)</f>
        <v>A</v>
      </c>
      <c r="W323" s="50" t="str">
        <f>MID(VLOOKUP($A323,Seqs!$A:$B,2,FALSE),VLOOKUP($A323,'SegEnds_NonXtal_Prot#'!A:AL,10,FALSE)+7,1)</f>
        <v>D</v>
      </c>
      <c r="X323" s="50" t="str">
        <f>MID(VLOOKUP($A323,Seqs!$A:$B,2,FALSE),VLOOKUP($A323,'SegEnds_NonXtal_Prot#'!A:AL,10,FALSE)+8,1)</f>
        <v>V</v>
      </c>
      <c r="Y323" s="50" t="str">
        <f>MID(VLOOKUP($A323,Seqs!$A:$B,2,FALSE),VLOOKUP($A323,'SegEnds_NonXtal_Prot#'!A:AL,10,FALSE)+9,1)</f>
        <v>W</v>
      </c>
      <c r="Z323" s="50" t="str">
        <f>MID(VLOOKUP($A323,Seqs!$A:$B,2,FALSE),VLOOKUP($A323,'SegEnds_NonXtal_Prot#'!A:AL,10,FALSE)+10,1)</f>
        <v>F</v>
      </c>
      <c r="AA323" s="28" t="str">
        <f>MID(VLOOKUP($A323,Seqs!$A:$B,2,FALSE),VLOOKUP($A323,'SegEnds_NonXtal_Prot#'!$A:$AL,22,FALSE)+6,1)</f>
        <v>I</v>
      </c>
      <c r="AB323" s="50" t="str">
        <f>MID(VLOOKUP($A323,Seqs!$A:$B,2,FALSE),VLOOKUP($A323,'SegEnds_NonXtal_Prot#'!$A:$AL,22,FALSE)+7,1)</f>
        <v>S</v>
      </c>
      <c r="AC323" s="50" t="str">
        <f>MID(VLOOKUP($A323,Seqs!$A:$B,2,FALSE),VLOOKUP($A323,'SegEnds_NonXtal_Prot#'!$A:$AL,22,FALSE)+8,1)</f>
        <v>V</v>
      </c>
      <c r="AD323" s="50" t="str">
        <f>MID(VLOOKUP($A323,Seqs!$A:$B,2,FALSE),VLOOKUP($A323,'SegEnds_NonXtal_Prot#'!$A:$AL,22,FALSE)+9,1)</f>
        <v>I</v>
      </c>
      <c r="AE323" s="50" t="str">
        <f>MID(VLOOKUP($A323,Seqs!$A:$B,2,FALSE),VLOOKUP($A323,'SegEnds_NonXtal_Prot#'!$A:$AL,22,FALSE)+10,1)</f>
        <v>T</v>
      </c>
      <c r="AF323" s="28" t="str">
        <f>MID(VLOOKUP($A323,Seqs!$A:$B,2,FALSE),VLOOKUP($A323,'SegEnds_NonXtal_Prot#'!$A:$AL,28,FALSE)-4,1)</f>
        <v>P</v>
      </c>
      <c r="AG323" s="50" t="str">
        <f>MID(VLOOKUP($A323,Seqs!$A:$B,2,FALSE),VLOOKUP($A323,'SegEnds_NonXtal_Prot#'!$A:$AL,28,FALSE),1)</f>
        <v>I</v>
      </c>
    </row>
    <row r="324" spans="1:33" s="2" customFormat="1" x14ac:dyDescent="0.2">
      <c r="A324" s="2" t="s">
        <v>1189</v>
      </c>
      <c r="B324" s="2" t="str">
        <f>LOWER(VLOOKUP(A324,Xtal_Templ!A:B,2,FALSE))</f>
        <v>calcr_human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G324" s="4"/>
      <c r="I324" s="109" t="s">
        <v>25</v>
      </c>
      <c r="S324" s="4" t="s">
        <v>12</v>
      </c>
      <c r="U324" s="28" t="str">
        <f>MID(VLOOKUP($A324,Seqs!$A:$B,2,FALSE),VLOOKUP($A324,'SegEnds_NonXtal_Prot#'!A:AL,10,FALSE),1)</f>
        <v>A</v>
      </c>
      <c r="V324" s="50" t="str">
        <f>MID(VLOOKUP($A324,Seqs!$A:$B,2,FALSE),VLOOKUP($A324,'SegEnds_NonXtal_Prot#'!A:AL,10,FALSE)+6,1)</f>
        <v>A</v>
      </c>
      <c r="W324" s="50" t="str">
        <f>MID(VLOOKUP($A324,Seqs!$A:$B,2,FALSE),VLOOKUP($A324,'SegEnds_NonXtal_Prot#'!A:AL,10,FALSE)+7,1)</f>
        <v>D</v>
      </c>
      <c r="X324" s="50" t="str">
        <f>MID(VLOOKUP($A324,Seqs!$A:$B,2,FALSE),VLOOKUP($A324,'SegEnds_NonXtal_Prot#'!A:AL,10,FALSE)+8,1)</f>
        <v>V</v>
      </c>
      <c r="Y324" s="50" t="str">
        <f>MID(VLOOKUP($A324,Seqs!$A:$B,2,FALSE),VLOOKUP($A324,'SegEnds_NonXtal_Prot#'!A:AL,10,FALSE)+9,1)</f>
        <v>W</v>
      </c>
      <c r="Z324" s="50" t="str">
        <f>MID(VLOOKUP($A324,Seqs!$A:$B,2,FALSE),VLOOKUP($A324,'SegEnds_NonXtal_Prot#'!A:AL,10,FALSE)+10,1)</f>
        <v>F</v>
      </c>
      <c r="AA324" s="28" t="str">
        <f>MID(VLOOKUP($A324,Seqs!$A:$B,2,FALSE),VLOOKUP($A324,'SegEnds_NonXtal_Prot#'!$A:$AL,22,FALSE)+6,1)</f>
        <v>I</v>
      </c>
      <c r="AB324" s="50" t="str">
        <f>MID(VLOOKUP($A324,Seqs!$A:$B,2,FALSE),VLOOKUP($A324,'SegEnds_NonXtal_Prot#'!$A:$AL,22,FALSE)+7,1)</f>
        <v>A</v>
      </c>
      <c r="AC324" s="50" t="str">
        <f>MID(VLOOKUP($A324,Seqs!$A:$B,2,FALSE),VLOOKUP($A324,'SegEnds_NonXtal_Prot#'!$A:$AL,22,FALSE)+8,1)</f>
        <v>A</v>
      </c>
      <c r="AD324" s="50" t="str">
        <f>MID(VLOOKUP($A324,Seqs!$A:$B,2,FALSE),VLOOKUP($A324,'SegEnds_NonXtal_Prot#'!$A:$AL,22,FALSE)+9,1)</f>
        <v>I</v>
      </c>
      <c r="AE324" s="50" t="str">
        <f>MID(VLOOKUP($A324,Seqs!$A:$B,2,FALSE),VLOOKUP($A324,'SegEnds_NonXtal_Prot#'!$A:$AL,22,FALSE)+10,1)</f>
        <v>T</v>
      </c>
      <c r="AF324" s="28" t="str">
        <f>MID(VLOOKUP($A324,Seqs!$A:$B,2,FALSE),VLOOKUP($A324,'SegEnds_NonXtal_Prot#'!$A:$AL,28,FALSE)-4,1)</f>
        <v>P</v>
      </c>
      <c r="AG324" s="50" t="str">
        <f>MID(VLOOKUP($A324,Seqs!$A:$B,2,FALSE),VLOOKUP($A324,'SegEnds_NonXtal_Prot#'!$A:$AL,28,FALSE),1)</f>
        <v>I</v>
      </c>
    </row>
    <row r="325" spans="1:33" s="2" customFormat="1" x14ac:dyDescent="0.2">
      <c r="A325" s="2" t="s">
        <v>1190</v>
      </c>
      <c r="B325" s="2" t="str">
        <f>LOWER(VLOOKUP(A325,Xtal_Templ!A:B,2,FALSE))</f>
        <v>crfr1_human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G325" s="4"/>
      <c r="I325" s="109" t="s">
        <v>25</v>
      </c>
      <c r="S325" s="4" t="s">
        <v>12</v>
      </c>
      <c r="U325" s="28" t="str">
        <f>MID(VLOOKUP($A325,Seqs!$A:$B,2,FALSE),VLOOKUP($A325,'SegEnds_NonXtal_Prot#'!A:AL,10,FALSE),1)</f>
        <v>V</v>
      </c>
      <c r="V325" s="50" t="str">
        <f>MID(VLOOKUP($A325,Seqs!$A:$B,2,FALSE),VLOOKUP($A325,'SegEnds_NonXtal_Prot#'!A:AL,10,FALSE)+6,1)</f>
        <v>A</v>
      </c>
      <c r="W325" s="50" t="str">
        <f>MID(VLOOKUP($A325,Seqs!$A:$B,2,FALSE),VLOOKUP($A325,'SegEnds_NonXtal_Prot#'!A:AL,10,FALSE)+7,1)</f>
        <v>D</v>
      </c>
      <c r="X325" s="50" t="str">
        <f>MID(VLOOKUP($A325,Seqs!$A:$B,2,FALSE),VLOOKUP($A325,'SegEnds_NonXtal_Prot#'!A:AL,10,FALSE)+8,1)</f>
        <v>T</v>
      </c>
      <c r="Y325" s="50" t="str">
        <f>MID(VLOOKUP($A325,Seqs!$A:$B,2,FALSE),VLOOKUP($A325,'SegEnds_NonXtal_Prot#'!A:AL,10,FALSE)+9,1)</f>
        <v>C</v>
      </c>
      <c r="Z325" s="50" t="str">
        <f>MID(VLOOKUP($A325,Seqs!$A:$B,2,FALSE),VLOOKUP($A325,'SegEnds_NonXtal_Prot#'!A:AL,10,FALSE)+10,1)</f>
        <v>F</v>
      </c>
      <c r="AA325" s="28" t="str">
        <f>MID(VLOOKUP($A325,Seqs!$A:$B,2,FALSE),VLOOKUP($A325,'SegEnds_NonXtal_Prot#'!$A:$AL,22,FALSE)+6,1)</f>
        <v>L</v>
      </c>
      <c r="AB325" s="50" t="str">
        <f>MID(VLOOKUP($A325,Seqs!$A:$B,2,FALSE),VLOOKUP($A325,'SegEnds_NonXtal_Prot#'!$A:$AL,22,FALSE)+7,1)</f>
        <v>A</v>
      </c>
      <c r="AC325" s="50" t="str">
        <f>MID(VLOOKUP($A325,Seqs!$A:$B,2,FALSE),VLOOKUP($A325,'SegEnds_NonXtal_Prot#'!$A:$AL,22,FALSE)+8,1)</f>
        <v>G</v>
      </c>
      <c r="AD325" s="50" t="str">
        <f>MID(VLOOKUP($A325,Seqs!$A:$B,2,FALSE),VLOOKUP($A325,'SegEnds_NonXtal_Prot#'!$A:$AL,22,FALSE)+9,1)</f>
        <v>V</v>
      </c>
      <c r="AE325" s="50" t="str">
        <f>MID(VLOOKUP($A325,Seqs!$A:$B,2,FALSE),VLOOKUP($A325,'SegEnds_NonXtal_Prot#'!$A:$AL,22,FALSE)+10,1)</f>
        <v>T</v>
      </c>
      <c r="AF325" s="28" t="str">
        <f>MID(VLOOKUP($A325,Seqs!$A:$B,2,FALSE),VLOOKUP($A325,'SegEnds_NonXtal_Prot#'!$A:$AL,28,FALSE)-4,1)</f>
        <v>P</v>
      </c>
      <c r="AG325" s="50" t="str">
        <f>MID(VLOOKUP($A325,Seqs!$A:$B,2,FALSE),VLOOKUP($A325,'SegEnds_NonXtal_Prot#'!$A:$AL,28,FALSE),1)</f>
        <v>I</v>
      </c>
    </row>
    <row r="326" spans="1:33" s="2" customFormat="1" x14ac:dyDescent="0.2">
      <c r="A326" s="2" t="s">
        <v>1191</v>
      </c>
      <c r="B326" s="2" t="str">
        <f>LOWER(VLOOKUP(A326,Xtal_Templ!A:B,2,FALSE))</f>
        <v>crfr1_human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G326" s="4"/>
      <c r="I326" s="109" t="s">
        <v>25</v>
      </c>
      <c r="S326" s="4" t="s">
        <v>12</v>
      </c>
      <c r="U326" s="28" t="str">
        <f>MID(VLOOKUP($A326,Seqs!$A:$B,2,FALSE),VLOOKUP($A326,'SegEnds_NonXtal_Prot#'!A:AL,10,FALSE),1)</f>
        <v>A</v>
      </c>
      <c r="V326" s="50" t="str">
        <f>MID(VLOOKUP($A326,Seqs!$A:$B,2,FALSE),VLOOKUP($A326,'SegEnds_NonXtal_Prot#'!A:AL,10,FALSE)+6,1)</f>
        <v>A</v>
      </c>
      <c r="W326" s="50" t="str">
        <f>MID(VLOOKUP($A326,Seqs!$A:$B,2,FALSE),VLOOKUP($A326,'SegEnds_NonXtal_Prot#'!A:AL,10,FALSE)+7,1)</f>
        <v>N</v>
      </c>
      <c r="X326" s="50" t="str">
        <f>MID(VLOOKUP($A326,Seqs!$A:$B,2,FALSE),VLOOKUP($A326,'SegEnds_NonXtal_Prot#'!A:AL,10,FALSE)+8,1)</f>
        <v>V</v>
      </c>
      <c r="Y326" s="50" t="str">
        <f>MID(VLOOKUP($A326,Seqs!$A:$B,2,FALSE),VLOOKUP($A326,'SegEnds_NonXtal_Prot#'!A:AL,10,FALSE)+9,1)</f>
        <v>W</v>
      </c>
      <c r="Z326" s="50" t="str">
        <f>MID(VLOOKUP($A326,Seqs!$A:$B,2,FALSE),VLOOKUP($A326,'SegEnds_NonXtal_Prot#'!A:AL,10,FALSE)+10,1)</f>
        <v>F</v>
      </c>
      <c r="AA326" s="28" t="str">
        <f>MID(VLOOKUP($A326,Seqs!$A:$B,2,FALSE),VLOOKUP($A326,'SegEnds_NonXtal_Prot#'!$A:$AL,22,FALSE)+6,1)</f>
        <v>I</v>
      </c>
      <c r="AB326" s="50" t="str">
        <f>MID(VLOOKUP($A326,Seqs!$A:$B,2,FALSE),VLOOKUP($A326,'SegEnds_NonXtal_Prot#'!$A:$AL,22,FALSE)+7,1)</f>
        <v>A</v>
      </c>
      <c r="AC326" s="50" t="str">
        <f>MID(VLOOKUP($A326,Seqs!$A:$B,2,FALSE),VLOOKUP($A326,'SegEnds_NonXtal_Prot#'!$A:$AL,22,FALSE)+8,1)</f>
        <v>V</v>
      </c>
      <c r="AD326" s="50" t="str">
        <f>MID(VLOOKUP($A326,Seqs!$A:$B,2,FALSE),VLOOKUP($A326,'SegEnds_NonXtal_Prot#'!$A:$AL,22,FALSE)+9,1)</f>
        <v>T</v>
      </c>
      <c r="AE326" s="50" t="str">
        <f>MID(VLOOKUP($A326,Seqs!$A:$B,2,FALSE),VLOOKUP($A326,'SegEnds_NonXtal_Prot#'!$A:$AL,22,FALSE)+10,1)</f>
        <v>T</v>
      </c>
      <c r="AF326" s="28" t="str">
        <f>MID(VLOOKUP($A326,Seqs!$A:$B,2,FALSE),VLOOKUP($A326,'SegEnds_NonXtal_Prot#'!$A:$AL,28,FALSE)-4,1)</f>
        <v>P</v>
      </c>
      <c r="AG326" s="50" t="str">
        <f>MID(VLOOKUP($A326,Seqs!$A:$B,2,FALSE),VLOOKUP($A326,'SegEnds_NonXtal_Prot#'!$A:$AL,28,FALSE),1)</f>
        <v>I</v>
      </c>
    </row>
    <row r="327" spans="1:33" s="2" customFormat="1" x14ac:dyDescent="0.2">
      <c r="A327" s="2" t="s">
        <v>1192</v>
      </c>
      <c r="B327" s="2" t="str">
        <f>LOWER(VLOOKUP(A327,Xtal_Templ!A:B,2,FALSE))</f>
        <v>crfr1_human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G327" s="4"/>
      <c r="I327" s="109" t="s">
        <v>25</v>
      </c>
      <c r="S327" s="4" t="s">
        <v>12</v>
      </c>
      <c r="U327" s="28" t="str">
        <f>MID(VLOOKUP($A327,Seqs!$A:$B,2,FALSE),VLOOKUP($A327,'SegEnds_NonXtal_Prot#'!A:AL,10,FALSE),1)</f>
        <v>A</v>
      </c>
      <c r="V327" s="50" t="str">
        <f>MID(VLOOKUP($A327,Seqs!$A:$B,2,FALSE),VLOOKUP($A327,'SegEnds_NonXtal_Prot#'!A:AL,10,FALSE)+6,1)</f>
        <v>A</v>
      </c>
      <c r="W327" s="50" t="str">
        <f>MID(VLOOKUP($A327,Seqs!$A:$B,2,FALSE),VLOOKUP($A327,'SegEnds_NonXtal_Prot#'!A:AL,10,FALSE)+7,1)</f>
        <v>N</v>
      </c>
      <c r="X327" s="50" t="str">
        <f>MID(VLOOKUP($A327,Seqs!$A:$B,2,FALSE),VLOOKUP($A327,'SegEnds_NonXtal_Prot#'!A:AL,10,FALSE)+8,1)</f>
        <v>T</v>
      </c>
      <c r="Y327" s="50" t="str">
        <f>MID(VLOOKUP($A327,Seqs!$A:$B,2,FALSE),VLOOKUP($A327,'SegEnds_NonXtal_Prot#'!A:AL,10,FALSE)+9,1)</f>
        <v>W</v>
      </c>
      <c r="Z327" s="50" t="str">
        <f>MID(VLOOKUP($A327,Seqs!$A:$B,2,FALSE),VLOOKUP($A327,'SegEnds_NonXtal_Prot#'!A:AL,10,FALSE)+10,1)</f>
        <v>F</v>
      </c>
      <c r="AA327" s="28" t="str">
        <f>MID(VLOOKUP($A327,Seqs!$A:$B,2,FALSE),VLOOKUP($A327,'SegEnds_NonXtal_Prot#'!$A:$AL,22,FALSE)+6,1)</f>
        <v>I</v>
      </c>
      <c r="AB327" s="50" t="str">
        <f>MID(VLOOKUP($A327,Seqs!$A:$B,2,FALSE),VLOOKUP($A327,'SegEnds_NonXtal_Prot#'!$A:$AL,22,FALSE)+7,1)</f>
        <v>S</v>
      </c>
      <c r="AC327" s="50" t="str">
        <f>MID(VLOOKUP($A327,Seqs!$A:$B,2,FALSE),VLOOKUP($A327,'SegEnds_NonXtal_Prot#'!$A:$AL,22,FALSE)+8,1)</f>
        <v>V</v>
      </c>
      <c r="AD327" s="50" t="str">
        <f>MID(VLOOKUP($A327,Seqs!$A:$B,2,FALSE),VLOOKUP($A327,'SegEnds_NonXtal_Prot#'!$A:$AL,22,FALSE)+9,1)</f>
        <v>I</v>
      </c>
      <c r="AE327" s="50" t="str">
        <f>MID(VLOOKUP($A327,Seqs!$A:$B,2,FALSE),VLOOKUP($A327,'SegEnds_NonXtal_Prot#'!$A:$AL,22,FALSE)+10,1)</f>
        <v>T</v>
      </c>
      <c r="AF327" s="28" t="str">
        <f>MID(VLOOKUP($A327,Seqs!$A:$B,2,FALSE),VLOOKUP($A327,'SegEnds_NonXtal_Prot#'!$A:$AL,28,FALSE)-4,1)</f>
        <v>P</v>
      </c>
      <c r="AG327" s="50" t="str">
        <f>MID(VLOOKUP($A327,Seqs!$A:$B,2,FALSE),VLOOKUP($A327,'SegEnds_NonXtal_Prot#'!$A:$AL,28,FALSE),1)</f>
        <v>I</v>
      </c>
    </row>
    <row r="328" spans="1:33" s="2" customFormat="1" x14ac:dyDescent="0.2">
      <c r="A328" s="2" t="s">
        <v>1193</v>
      </c>
      <c r="B328" s="2" t="str">
        <f>LOWER(VLOOKUP(A328,Xtal_Templ!A:B,2,FALSE))</f>
        <v>crfr1_human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G328" s="4"/>
      <c r="I328" s="109" t="s">
        <v>25</v>
      </c>
      <c r="S328" s="4" t="s">
        <v>12</v>
      </c>
      <c r="U328" s="28" t="str">
        <f>MID(VLOOKUP($A328,Seqs!$A:$B,2,FALSE),VLOOKUP($A328,'SegEnds_NonXtal_Prot#'!A:AL,10,FALSE),1)</f>
        <v>V</v>
      </c>
      <c r="V328" s="50" t="str">
        <f>MID(VLOOKUP($A328,Seqs!$A:$B,2,FALSE),VLOOKUP($A328,'SegEnds_NonXtal_Prot#'!A:AL,10,FALSE)+6,1)</f>
        <v>S</v>
      </c>
      <c r="W328" s="50" t="str">
        <f>MID(VLOOKUP($A328,Seqs!$A:$B,2,FALSE),VLOOKUP($A328,'SegEnds_NonXtal_Prot#'!A:AL,10,FALSE)+7,1)</f>
        <v>F</v>
      </c>
      <c r="X328" s="50" t="str">
        <f>MID(VLOOKUP($A328,Seqs!$A:$B,2,FALSE),VLOOKUP($A328,'SegEnds_NonXtal_Prot#'!A:AL,10,FALSE)+8,1)</f>
        <v>L</v>
      </c>
      <c r="Y328" s="50" t="str">
        <f>MID(VLOOKUP($A328,Seqs!$A:$B,2,FALSE),VLOOKUP($A328,'SegEnds_NonXtal_Prot#'!A:AL,10,FALSE)+9,1)</f>
        <v>L</v>
      </c>
      <c r="Z328" s="50" t="str">
        <f>MID(VLOOKUP($A328,Seqs!$A:$B,2,FALSE),VLOOKUP($A328,'SegEnds_NonXtal_Prot#'!A:AL,10,FALSE)+10,1)</f>
        <v>S</v>
      </c>
      <c r="AA328" s="28" t="str">
        <f>MID(VLOOKUP($A328,Seqs!$A:$B,2,FALSE),VLOOKUP($A328,'SegEnds_NonXtal_Prot#'!$A:$AL,22,FALSE)+6,1)</f>
        <v>L</v>
      </c>
      <c r="AB328" s="50" t="str">
        <f>MID(VLOOKUP($A328,Seqs!$A:$B,2,FALSE),VLOOKUP($A328,'SegEnds_NonXtal_Prot#'!$A:$AL,22,FALSE)+7,1)</f>
        <v>V</v>
      </c>
      <c r="AC328" s="50" t="str">
        <f>MID(VLOOKUP($A328,Seqs!$A:$B,2,FALSE),VLOOKUP($A328,'SegEnds_NonXtal_Prot#'!$A:$AL,22,FALSE)+8,1)</f>
        <v>T</v>
      </c>
      <c r="AD328" s="50" t="str">
        <f>MID(VLOOKUP($A328,Seqs!$A:$B,2,FALSE),VLOOKUP($A328,'SegEnds_NonXtal_Prot#'!$A:$AL,22,FALSE)+9,1)</f>
        <v>L</v>
      </c>
      <c r="AE328" s="50" t="str">
        <f>MID(VLOOKUP($A328,Seqs!$A:$B,2,FALSE),VLOOKUP($A328,'SegEnds_NonXtal_Prot#'!$A:$AL,22,FALSE)+10,1)</f>
        <v>V</v>
      </c>
      <c r="AF328" s="28" t="str">
        <f>MID(VLOOKUP($A328,Seqs!$A:$B,2,FALSE),VLOOKUP($A328,'SegEnds_NonXtal_Prot#'!$A:$AL,28,FALSE)-4,1)</f>
        <v>L</v>
      </c>
      <c r="AG328" s="50" t="str">
        <f>MID(VLOOKUP($A328,Seqs!$A:$B,2,FALSE),VLOOKUP($A328,'SegEnds_NonXtal_Prot#'!$A:$AL,28,FALSE),1)</f>
        <v>V</v>
      </c>
    </row>
    <row r="329" spans="1:33" s="2" customFormat="1" x14ac:dyDescent="0.2">
      <c r="A329" s="2" t="s">
        <v>1194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G329" s="4"/>
      <c r="I329" s="109" t="s">
        <v>25</v>
      </c>
      <c r="S329" s="4" t="s">
        <v>12</v>
      </c>
      <c r="U329" s="28" t="str">
        <f>MID(VLOOKUP($A329,Seqs!$A:$B,2,FALSE),VLOOKUP($A329,'SegEnds_NonXtal_Prot#'!A:AL,10,FALSE),1)</f>
        <v>L</v>
      </c>
      <c r="V329" s="50" t="str">
        <f>MID(VLOOKUP($A329,Seqs!$A:$B,2,FALSE),VLOOKUP($A329,'SegEnds_NonXtal_Prot#'!A:AL,10,FALSE)+6,1)</f>
        <v>V</v>
      </c>
      <c r="W329" s="50" t="str">
        <f>MID(VLOOKUP($A329,Seqs!$A:$B,2,FALSE),VLOOKUP($A329,'SegEnds_NonXtal_Prot#'!A:AL,10,FALSE)+7,1)</f>
        <v>F</v>
      </c>
      <c r="X329" s="50" t="str">
        <f>MID(VLOOKUP($A329,Seqs!$A:$B,2,FALSE),VLOOKUP($A329,'SegEnds_NonXtal_Prot#'!A:AL,10,FALSE)+8,1)</f>
        <v>L</v>
      </c>
      <c r="Y329" s="50" t="str">
        <f>MID(VLOOKUP($A329,Seqs!$A:$B,2,FALSE),VLOOKUP($A329,'SegEnds_NonXtal_Prot#'!A:AL,10,FALSE)+9,1)</f>
        <v>L</v>
      </c>
      <c r="Z329" s="50" t="str">
        <f>MID(VLOOKUP($A329,Seqs!$A:$B,2,FALSE),VLOOKUP($A329,'SegEnds_NonXtal_Prot#'!A:AL,10,FALSE)+10,1)</f>
        <v>D</v>
      </c>
      <c r="AA329" s="28" t="str">
        <f>MID(VLOOKUP($A329,Seqs!$A:$B,2,FALSE),VLOOKUP($A329,'SegEnds_NonXtal_Prot#'!$A:$AL,22,FALSE)+6,1)</f>
        <v>V</v>
      </c>
      <c r="AB329" s="50" t="str">
        <f>MID(VLOOKUP($A329,Seqs!$A:$B,2,FALSE),VLOOKUP($A329,'SegEnds_NonXtal_Prot#'!$A:$AL,22,FALSE)+7,1)</f>
        <v>V</v>
      </c>
      <c r="AC329" s="50" t="str">
        <f>MID(VLOOKUP($A329,Seqs!$A:$B,2,FALSE),VLOOKUP($A329,'SegEnds_NonXtal_Prot#'!$A:$AL,22,FALSE)+8,1)</f>
        <v>T</v>
      </c>
      <c r="AD329" s="50" t="str">
        <f>MID(VLOOKUP($A329,Seqs!$A:$B,2,FALSE),VLOOKUP($A329,'SegEnds_NonXtal_Prot#'!$A:$AL,22,FALSE)+9,1)</f>
        <v>I</v>
      </c>
      <c r="AE329" s="50" t="str">
        <f>MID(VLOOKUP($A329,Seqs!$A:$B,2,FALSE),VLOOKUP($A329,'SegEnds_NonXtal_Prot#'!$A:$AL,22,FALSE)+10,1)</f>
        <v>I</v>
      </c>
      <c r="AF329" s="28" t="str">
        <f>MID(VLOOKUP($A329,Seqs!$A:$B,2,FALSE),VLOOKUP($A329,'SegEnds_NonXtal_Prot#'!$A:$AL,28,FALSE)-4,1)</f>
        <v>Y</v>
      </c>
      <c r="AG329" s="50" t="str">
        <f>MID(VLOOKUP($A329,Seqs!$A:$B,2,FALSE),VLOOKUP($A329,'SegEnds_NonXtal_Prot#'!$A:$AL,28,FALSE),1)</f>
        <v>I</v>
      </c>
    </row>
    <row r="330" spans="1:33" s="2" customFormat="1" x14ac:dyDescent="0.2">
      <c r="A330" s="2" t="s">
        <v>1195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G330" s="4"/>
      <c r="I330" s="109" t="s">
        <v>25</v>
      </c>
      <c r="S330" s="4" t="s">
        <v>12</v>
      </c>
      <c r="U330" s="28" t="str">
        <f>MID(VLOOKUP($A330,Seqs!$A:$B,2,FALSE),VLOOKUP($A330,'SegEnds_NonXtal_Prot#'!A:AL,10,FALSE),1)</f>
        <v>L</v>
      </c>
      <c r="V330" s="50" t="str">
        <f>MID(VLOOKUP($A330,Seqs!$A:$B,2,FALSE),VLOOKUP($A330,'SegEnds_NonXtal_Prot#'!A:AL,10,FALSE)+6,1)</f>
        <v>A</v>
      </c>
      <c r="W330" s="50" t="str">
        <f>MID(VLOOKUP($A330,Seqs!$A:$B,2,FALSE),VLOOKUP($A330,'SegEnds_NonXtal_Prot#'!A:AL,10,FALSE)+7,1)</f>
        <v>F</v>
      </c>
      <c r="X330" s="50" t="str">
        <f>MID(VLOOKUP($A330,Seqs!$A:$B,2,FALSE),VLOOKUP($A330,'SegEnds_NonXtal_Prot#'!A:AL,10,FALSE)+8,1)</f>
        <v>L</v>
      </c>
      <c r="Y330" s="50" t="str">
        <f>MID(VLOOKUP($A330,Seqs!$A:$B,2,FALSE),VLOOKUP($A330,'SegEnds_NonXtal_Prot#'!A:AL,10,FALSE)+9,1)</f>
        <v>V</v>
      </c>
      <c r="Z330" s="50" t="str">
        <f>MID(VLOOKUP($A330,Seqs!$A:$B,2,FALSE),VLOOKUP($A330,'SegEnds_NonXtal_Prot#'!A:AL,10,FALSE)+10,1)</f>
        <v>N</v>
      </c>
      <c r="AA330" s="28" t="str">
        <f>MID(VLOOKUP($A330,Seqs!$A:$B,2,FALSE),VLOOKUP($A330,'SegEnds_NonXtal_Prot#'!$A:$AL,22,FALSE)+6,1)</f>
        <v>M</v>
      </c>
      <c r="AB330" s="50" t="str">
        <f>MID(VLOOKUP($A330,Seqs!$A:$B,2,FALSE),VLOOKUP($A330,'SegEnds_NonXtal_Prot#'!$A:$AL,22,FALSE)+7,1)</f>
        <v>V</v>
      </c>
      <c r="AC330" s="50" t="str">
        <f>MID(VLOOKUP($A330,Seqs!$A:$B,2,FALSE),VLOOKUP($A330,'SegEnds_NonXtal_Prot#'!$A:$AL,22,FALSE)+8,1)</f>
        <v>I</v>
      </c>
      <c r="AD330" s="50" t="str">
        <f>MID(VLOOKUP($A330,Seqs!$A:$B,2,FALSE),VLOOKUP($A330,'SegEnds_NonXtal_Prot#'!$A:$AL,22,FALSE)+9,1)</f>
        <v>G</v>
      </c>
      <c r="AE330" s="50" t="str">
        <f>MID(VLOOKUP($A330,Seqs!$A:$B,2,FALSE),VLOOKUP($A330,'SegEnds_NonXtal_Prot#'!$A:$AL,22,FALSE)+10,1)</f>
        <v>T</v>
      </c>
      <c r="AF330" s="28" t="str">
        <f>MID(VLOOKUP($A330,Seqs!$A:$B,2,FALSE),VLOOKUP($A330,'SegEnds_NonXtal_Prot#'!$A:$AL,28,FALSE)-4,1)</f>
        <v>T</v>
      </c>
      <c r="AG330" s="50" t="str">
        <f>MID(VLOOKUP($A330,Seqs!$A:$B,2,FALSE),VLOOKUP($A330,'SegEnds_NonXtal_Prot#'!$A:$AL,28,FALSE),1)</f>
        <v>Y</v>
      </c>
    </row>
    <row r="331" spans="1:33" s="2" customFormat="1" x14ac:dyDescent="0.2">
      <c r="A331" s="2" t="s">
        <v>1196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G331" s="4"/>
      <c r="I331" s="109" t="s">
        <v>25</v>
      </c>
      <c r="S331" s="4" t="s">
        <v>12</v>
      </c>
      <c r="U331" s="28" t="str">
        <f>MID(VLOOKUP($A331,Seqs!$A:$B,2,FALSE),VLOOKUP($A331,'SegEnds_NonXtal_Prot#'!A:AL,10,FALSE),1)</f>
        <v>L</v>
      </c>
      <c r="V331" s="50" t="str">
        <f>MID(VLOOKUP($A331,Seqs!$A:$B,2,FALSE),VLOOKUP($A331,'SegEnds_NonXtal_Prot#'!A:AL,10,FALSE)+6,1)</f>
        <v>V</v>
      </c>
      <c r="W331" s="50" t="str">
        <f>MID(VLOOKUP($A331,Seqs!$A:$B,2,FALSE),VLOOKUP($A331,'SegEnds_NonXtal_Prot#'!A:AL,10,FALSE)+7,1)</f>
        <v>F</v>
      </c>
      <c r="X331" s="50" t="str">
        <f>MID(VLOOKUP($A331,Seqs!$A:$B,2,FALSE),VLOOKUP($A331,'SegEnds_NonXtal_Prot#'!A:AL,10,FALSE)+8,1)</f>
        <v>L</v>
      </c>
      <c r="Y331" s="50" t="str">
        <f>MID(VLOOKUP($A331,Seqs!$A:$B,2,FALSE),VLOOKUP($A331,'SegEnds_NonXtal_Prot#'!A:AL,10,FALSE)+9,1)</f>
        <v>I</v>
      </c>
      <c r="Z331" s="50" t="str">
        <f>MID(VLOOKUP($A331,Seqs!$A:$B,2,FALSE),VLOOKUP($A331,'SegEnds_NonXtal_Prot#'!A:AL,10,FALSE)+10,1)</f>
        <v>N</v>
      </c>
      <c r="AA331" s="28" t="str">
        <f>MID(VLOOKUP($A331,Seqs!$A:$B,2,FALSE),VLOOKUP($A331,'SegEnds_NonXtal_Prot#'!$A:$AL,22,FALSE)+6,1)</f>
        <v>M</v>
      </c>
      <c r="AB331" s="50" t="str">
        <f>MID(VLOOKUP($A331,Seqs!$A:$B,2,FALSE),VLOOKUP($A331,'SegEnds_NonXtal_Prot#'!$A:$AL,22,FALSE)+7,1)</f>
        <v>V</v>
      </c>
      <c r="AC331" s="50" t="str">
        <f>MID(VLOOKUP($A331,Seqs!$A:$B,2,FALSE),VLOOKUP($A331,'SegEnds_NonXtal_Prot#'!$A:$AL,22,FALSE)+8,1)</f>
        <v>A</v>
      </c>
      <c r="AD331" s="50" t="str">
        <f>MID(VLOOKUP($A331,Seqs!$A:$B,2,FALSE),VLOOKUP($A331,'SegEnds_NonXtal_Prot#'!$A:$AL,22,FALSE)+9,1)</f>
        <v>I</v>
      </c>
      <c r="AE331" s="50" t="str">
        <f>MID(VLOOKUP($A331,Seqs!$A:$B,2,FALSE),VLOOKUP($A331,'SegEnds_NonXtal_Prot#'!$A:$AL,22,FALSE)+10,1)</f>
        <v>T</v>
      </c>
      <c r="AF331" s="28" t="str">
        <f>MID(VLOOKUP($A331,Seqs!$A:$B,2,FALSE),VLOOKUP($A331,'SegEnds_NonXtal_Prot#'!$A:$AL,28,FALSE)-4,1)</f>
        <v>Y</v>
      </c>
      <c r="AG331" s="50" t="str">
        <f>MID(VLOOKUP($A331,Seqs!$A:$B,2,FALSE),VLOOKUP($A331,'SegEnds_NonXtal_Prot#'!$A:$AL,28,FALSE),1)</f>
        <v>I</v>
      </c>
    </row>
    <row r="332" spans="1:33" s="2" customFormat="1" x14ac:dyDescent="0.2">
      <c r="A332" s="2" t="s">
        <v>1197</v>
      </c>
      <c r="B332" s="2" t="str">
        <f>LOWER(VLOOKUP(A332,Xtal_Templ!A:B,2,FALSE))</f>
        <v>glr_human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G332" s="4"/>
      <c r="I332" s="109" t="s">
        <v>25</v>
      </c>
      <c r="S332" s="4" t="s">
        <v>12</v>
      </c>
      <c r="U332" s="28" t="str">
        <f>MID(VLOOKUP($A332,Seqs!$A:$B,2,FALSE),VLOOKUP($A332,'SegEnds_NonXtal_Prot#'!A:AL,10,FALSE),1)</f>
        <v>V</v>
      </c>
      <c r="V332" s="50" t="str">
        <f>MID(VLOOKUP($A332,Seqs!$A:$B,2,FALSE),VLOOKUP($A332,'SegEnds_NonXtal_Prot#'!A:AL,10,FALSE)+6,1)</f>
        <v>A</v>
      </c>
      <c r="W332" s="50" t="str">
        <f>MID(VLOOKUP($A332,Seqs!$A:$B,2,FALSE),VLOOKUP($A332,'SegEnds_NonXtal_Prot#'!A:AL,10,FALSE)+7,1)</f>
        <v>F</v>
      </c>
      <c r="X332" s="50" t="str">
        <f>MID(VLOOKUP($A332,Seqs!$A:$B,2,FALSE),VLOOKUP($A332,'SegEnds_NonXtal_Prot#'!A:AL,10,FALSE)+8,1)</f>
        <v>L</v>
      </c>
      <c r="Y332" s="50" t="str">
        <f>MID(VLOOKUP($A332,Seqs!$A:$B,2,FALSE),VLOOKUP($A332,'SegEnds_NonXtal_Prot#'!A:AL,10,FALSE)+9,1)</f>
        <v>L</v>
      </c>
      <c r="Z332" s="50" t="str">
        <f>MID(VLOOKUP($A332,Seqs!$A:$B,2,FALSE),VLOOKUP($A332,'SegEnds_NonXtal_Prot#'!A:AL,10,FALSE)+10,1)</f>
        <v>S</v>
      </c>
      <c r="AA332" s="28" t="str">
        <f>MID(VLOOKUP($A332,Seqs!$A:$B,2,FALSE),VLOOKUP($A332,'SegEnds_NonXtal_Prot#'!$A:$AL,22,FALSE)+6,1)</f>
        <v>L</v>
      </c>
      <c r="AB332" s="50" t="str">
        <f>MID(VLOOKUP($A332,Seqs!$A:$B,2,FALSE),VLOOKUP($A332,'SegEnds_NonXtal_Prot#'!$A:$AL,22,FALSE)+7,1)</f>
        <v>V</v>
      </c>
      <c r="AC332" s="50" t="str">
        <f>MID(VLOOKUP($A332,Seqs!$A:$B,2,FALSE),VLOOKUP($A332,'SegEnds_NonXtal_Prot#'!$A:$AL,22,FALSE)+8,1)</f>
        <v>L</v>
      </c>
      <c r="AD332" s="50" t="str">
        <f>MID(VLOOKUP($A332,Seqs!$A:$B,2,FALSE),VLOOKUP($A332,'SegEnds_NonXtal_Prot#'!$A:$AL,22,FALSE)+9,1)</f>
        <v>L</v>
      </c>
      <c r="AE332" s="50" t="str">
        <f>MID(VLOOKUP($A332,Seqs!$A:$B,2,FALSE),VLOOKUP($A332,'SegEnds_NonXtal_Prot#'!$A:$AL,22,FALSE)+10,1)</f>
        <v>S</v>
      </c>
      <c r="AF332" s="28" t="str">
        <f>MID(VLOOKUP($A332,Seqs!$A:$B,2,FALSE),VLOOKUP($A332,'SegEnds_NonXtal_Prot#'!$A:$AL,28,FALSE)-4,1)</f>
        <v>Y</v>
      </c>
      <c r="AG332" s="50" t="str">
        <f>MID(VLOOKUP($A332,Seqs!$A:$B,2,FALSE),VLOOKUP($A332,'SegEnds_NonXtal_Prot#'!$A:$AL,28,FALSE),1)</f>
        <v>T</v>
      </c>
    </row>
    <row r="333" spans="1:33" s="2" customFormat="1" x14ac:dyDescent="0.2">
      <c r="A333" s="2" t="s">
        <v>1198</v>
      </c>
      <c r="B333" s="2" t="str">
        <f>LOWER(VLOOKUP(A333,Xtal_Templ!A:B,2,FALSE))</f>
        <v>glp1r_human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G333" s="4"/>
      <c r="I333" s="109" t="s">
        <v>25</v>
      </c>
      <c r="S333" s="4" t="s">
        <v>12</v>
      </c>
      <c r="U333" s="28" t="str">
        <f>MID(VLOOKUP($A333,Seqs!$A:$B,2,FALSE),VLOOKUP($A333,'SegEnds_NonXtal_Prot#'!A:AL,10,FALSE),1)</f>
        <v>M</v>
      </c>
      <c r="V333" s="50" t="str">
        <f>MID(VLOOKUP($A333,Seqs!$A:$B,2,FALSE),VLOOKUP($A333,'SegEnds_NonXtal_Prot#'!A:AL,10,FALSE)+6,1)</f>
        <v>L</v>
      </c>
      <c r="W333" s="50" t="str">
        <f>MID(VLOOKUP($A333,Seqs!$A:$B,2,FALSE),VLOOKUP($A333,'SegEnds_NonXtal_Prot#'!A:AL,10,FALSE)+7,1)</f>
        <v>F</v>
      </c>
      <c r="X333" s="50" t="str">
        <f>MID(VLOOKUP($A333,Seqs!$A:$B,2,FALSE),VLOOKUP($A333,'SegEnds_NonXtal_Prot#'!A:AL,10,FALSE)+8,1)</f>
        <v>V</v>
      </c>
      <c r="Y333" s="50" t="str">
        <f>MID(VLOOKUP($A333,Seqs!$A:$B,2,FALSE),VLOOKUP($A333,'SegEnds_NonXtal_Prot#'!A:AL,10,FALSE)+9,1)</f>
        <v>F</v>
      </c>
      <c r="Z333" s="50" t="str">
        <f>MID(VLOOKUP($A333,Seqs!$A:$B,2,FALSE),VLOOKUP($A333,'SegEnds_NonXtal_Prot#'!A:AL,10,FALSE)+10,1)</f>
        <v>G</v>
      </c>
      <c r="AA333" s="28" t="str">
        <f>MID(VLOOKUP($A333,Seqs!$A:$B,2,FALSE),VLOOKUP($A333,'SegEnds_NonXtal_Prot#'!$A:$AL,22,FALSE)+6,1)</f>
        <v>V</v>
      </c>
      <c r="AB333" s="50" t="str">
        <f>MID(VLOOKUP($A333,Seqs!$A:$B,2,FALSE),VLOOKUP($A333,'SegEnds_NonXtal_Prot#'!$A:$AL,22,FALSE)+7,1)</f>
        <v>V</v>
      </c>
      <c r="AC333" s="50" t="str">
        <f>MID(VLOOKUP($A333,Seqs!$A:$B,2,FALSE),VLOOKUP($A333,'SegEnds_NonXtal_Prot#'!$A:$AL,22,FALSE)+8,1)</f>
        <v>A</v>
      </c>
      <c r="AD333" s="50" t="str">
        <f>MID(VLOOKUP($A333,Seqs!$A:$B,2,FALSE),VLOOKUP($A333,'SegEnds_NonXtal_Prot#'!$A:$AL,22,FALSE)+9,1)</f>
        <v>I</v>
      </c>
      <c r="AE333" s="50" t="str">
        <f>MID(VLOOKUP($A333,Seqs!$A:$B,2,FALSE),VLOOKUP($A333,'SegEnds_NonXtal_Prot#'!$A:$AL,22,FALSE)+10,1)</f>
        <v>T</v>
      </c>
      <c r="AF333" s="28" t="str">
        <f>MID(VLOOKUP($A333,Seqs!$A:$B,2,FALSE),VLOOKUP($A333,'SegEnds_NonXtal_Prot#'!$A:$AL,28,FALSE)-4,1)</f>
        <v>P</v>
      </c>
      <c r="AG333" s="50" t="str">
        <f>MID(VLOOKUP($A333,Seqs!$A:$B,2,FALSE),VLOOKUP($A333,'SegEnds_NonXtal_Prot#'!$A:$AL,28,FALSE),1)</f>
        <v>I</v>
      </c>
    </row>
    <row r="334" spans="1:33" s="2" customFormat="1" x14ac:dyDescent="0.2">
      <c r="A334" s="2" t="s">
        <v>1199</v>
      </c>
      <c r="B334" s="2" t="str">
        <f>LOWER(VLOOKUP(A334,Xtal_Templ!A:B,2,FALSE))</f>
        <v>calcr_human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G334" s="4"/>
      <c r="I334" s="109" t="s">
        <v>25</v>
      </c>
      <c r="S334" s="4" t="s">
        <v>12</v>
      </c>
      <c r="U334" s="28" t="str">
        <f>MID(VLOOKUP($A334,Seqs!$A:$B,2,FALSE),VLOOKUP($A334,'SegEnds_NonXtal_Prot#'!A:AL,10,FALSE),1)</f>
        <v>L</v>
      </c>
      <c r="V334" s="50" t="str">
        <f>MID(VLOOKUP($A334,Seqs!$A:$B,2,FALSE),VLOOKUP($A334,'SegEnds_NonXtal_Prot#'!A:AL,10,FALSE)+6,1)</f>
        <v>L</v>
      </c>
      <c r="W334" s="50" t="str">
        <f>MID(VLOOKUP($A334,Seqs!$A:$B,2,FALSE),VLOOKUP($A334,'SegEnds_NonXtal_Prot#'!A:AL,10,FALSE)+7,1)</f>
        <v>F</v>
      </c>
      <c r="X334" s="50" t="str">
        <f>MID(VLOOKUP($A334,Seqs!$A:$B,2,FALSE),VLOOKUP($A334,'SegEnds_NonXtal_Prot#'!A:AL,10,FALSE)+8,1)</f>
        <v>L</v>
      </c>
      <c r="Y334" s="50" t="str">
        <f>MID(VLOOKUP($A334,Seqs!$A:$B,2,FALSE),VLOOKUP($A334,'SegEnds_NonXtal_Prot#'!A:AL,10,FALSE)+9,1)</f>
        <v>V</v>
      </c>
      <c r="Z334" s="50" t="str">
        <f>MID(VLOOKUP($A334,Seqs!$A:$B,2,FALSE),VLOOKUP($A334,'SegEnds_NonXtal_Prot#'!A:AL,10,FALSE)+10,1)</f>
        <v>G</v>
      </c>
      <c r="AA334" s="28" t="str">
        <f>MID(VLOOKUP($A334,Seqs!$A:$B,2,FALSE),VLOOKUP($A334,'SegEnds_NonXtal_Prot#'!$A:$AL,22,FALSE)+6,1)</f>
        <v>V</v>
      </c>
      <c r="AB334" s="50" t="str">
        <f>MID(VLOOKUP($A334,Seqs!$A:$B,2,FALSE),VLOOKUP($A334,'SegEnds_NonXtal_Prot#'!$A:$AL,22,FALSE)+7,1)</f>
        <v>V</v>
      </c>
      <c r="AC334" s="50" t="str">
        <f>MID(VLOOKUP($A334,Seqs!$A:$B,2,FALSE),VLOOKUP($A334,'SegEnds_NonXtal_Prot#'!$A:$AL,22,FALSE)+8,1)</f>
        <v>G</v>
      </c>
      <c r="AD334" s="50" t="str">
        <f>MID(VLOOKUP($A334,Seqs!$A:$B,2,FALSE),VLOOKUP($A334,'SegEnds_NonXtal_Prot#'!$A:$AL,22,FALSE)+9,1)</f>
        <v>I</v>
      </c>
      <c r="AE334" s="50" t="str">
        <f>MID(VLOOKUP($A334,Seqs!$A:$B,2,FALSE),VLOOKUP($A334,'SegEnds_NonXtal_Prot#'!$A:$AL,22,FALSE)+10,1)</f>
        <v>A</v>
      </c>
      <c r="AF334" s="28" t="str">
        <f>MID(VLOOKUP($A334,Seqs!$A:$B,2,FALSE),VLOOKUP($A334,'SegEnds_NonXtal_Prot#'!$A:$AL,28,FALSE)-4,1)</f>
        <v>P</v>
      </c>
      <c r="AG334" s="50" t="str">
        <f>MID(VLOOKUP($A334,Seqs!$A:$B,2,FALSE),VLOOKUP($A334,'SegEnds_NonXtal_Prot#'!$A:$AL,28,FALSE),1)</f>
        <v>V</v>
      </c>
    </row>
    <row r="335" spans="1:33" s="2" customFormat="1" x14ac:dyDescent="0.2">
      <c r="A335" s="2" t="s">
        <v>1200</v>
      </c>
      <c r="B335" s="2" t="str">
        <f>LOWER(VLOOKUP(A335,Xtal_Templ!A:B,2,FALSE))</f>
        <v>calcr_human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G335" s="4"/>
      <c r="I335" s="109" t="s">
        <v>25</v>
      </c>
      <c r="S335" s="4" t="s">
        <v>12</v>
      </c>
      <c r="U335" s="28" t="str">
        <f>MID(VLOOKUP($A335,Seqs!$A:$B,2,FALSE),VLOOKUP($A335,'SegEnds_NonXtal_Prot#'!A:AL,10,FALSE),1)</f>
        <v>L</v>
      </c>
      <c r="V335" s="50" t="str">
        <f>MID(VLOOKUP($A335,Seqs!$A:$B,2,FALSE),VLOOKUP($A335,'SegEnds_NonXtal_Prot#'!A:AL,10,FALSE)+6,1)</f>
        <v>I</v>
      </c>
      <c r="W335" s="50" t="str">
        <f>MID(VLOOKUP($A335,Seqs!$A:$B,2,FALSE),VLOOKUP($A335,'SegEnds_NonXtal_Prot#'!A:AL,10,FALSE)+7,1)</f>
        <v>F</v>
      </c>
      <c r="X335" s="50" t="str">
        <f>MID(VLOOKUP($A335,Seqs!$A:$B,2,FALSE),VLOOKUP($A335,'SegEnds_NonXtal_Prot#'!A:AL,10,FALSE)+8,1)</f>
        <v>L</v>
      </c>
      <c r="Y335" s="50" t="str">
        <f>MID(VLOOKUP($A335,Seqs!$A:$B,2,FALSE),VLOOKUP($A335,'SegEnds_NonXtal_Prot#'!A:AL,10,FALSE)+9,1)</f>
        <v>I</v>
      </c>
      <c r="Z335" s="50" t="str">
        <f>MID(VLOOKUP($A335,Seqs!$A:$B,2,FALSE),VLOOKUP($A335,'SegEnds_NonXtal_Prot#'!A:AL,10,FALSE)+10,1)</f>
        <v>G</v>
      </c>
      <c r="AA335" s="28" t="str">
        <f>MID(VLOOKUP($A335,Seqs!$A:$B,2,FALSE),VLOOKUP($A335,'SegEnds_NonXtal_Prot#'!$A:$AL,22,FALSE)+6,1)</f>
        <v>V</v>
      </c>
      <c r="AB335" s="50" t="str">
        <f>MID(VLOOKUP($A335,Seqs!$A:$B,2,FALSE),VLOOKUP($A335,'SegEnds_NonXtal_Prot#'!$A:$AL,22,FALSE)+7,1)</f>
        <v>V</v>
      </c>
      <c r="AC335" s="50" t="str">
        <f>MID(VLOOKUP($A335,Seqs!$A:$B,2,FALSE),VLOOKUP($A335,'SegEnds_NonXtal_Prot#'!$A:$AL,22,FALSE)+8,1)</f>
        <v>G</v>
      </c>
      <c r="AD335" s="50" t="str">
        <f>MID(VLOOKUP($A335,Seqs!$A:$B,2,FALSE),VLOOKUP($A335,'SegEnds_NonXtal_Prot#'!$A:$AL,22,FALSE)+9,1)</f>
        <v>V</v>
      </c>
      <c r="AE335" s="50" t="str">
        <f>MID(VLOOKUP($A335,Seqs!$A:$B,2,FALSE),VLOOKUP($A335,'SegEnds_NonXtal_Prot#'!$A:$AL,22,FALSE)+10,1)</f>
        <v>S</v>
      </c>
      <c r="AF335" s="28" t="str">
        <f>MID(VLOOKUP($A335,Seqs!$A:$B,2,FALSE),VLOOKUP($A335,'SegEnds_NonXtal_Prot#'!$A:$AL,28,FALSE)-4,1)</f>
        <v>P</v>
      </c>
      <c r="AG335" s="50" t="str">
        <f>MID(VLOOKUP($A335,Seqs!$A:$B,2,FALSE),VLOOKUP($A335,'SegEnds_NonXtal_Prot#'!$A:$AL,28,FALSE),1)</f>
        <v>I</v>
      </c>
    </row>
    <row r="336" spans="1:33" s="2" customFormat="1" x14ac:dyDescent="0.2">
      <c r="A336" s="2" t="s">
        <v>1201</v>
      </c>
      <c r="B336" s="2" t="str">
        <f>LOWER(VLOOKUP(A336,Xtal_Templ!A:B,2,FALSE))</f>
        <v>crfr1_human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G336" s="4"/>
      <c r="I336" s="109" t="s">
        <v>25</v>
      </c>
      <c r="S336" s="4" t="s">
        <v>12</v>
      </c>
      <c r="U336" s="28" t="str">
        <f>MID(VLOOKUP($A336,Seqs!$A:$B,2,FALSE),VLOOKUP($A336,'SegEnds_NonXtal_Prot#'!A:AL,10,FALSE),1)</f>
        <v>L</v>
      </c>
      <c r="V336" s="50" t="str">
        <f>MID(VLOOKUP($A336,Seqs!$A:$B,2,FALSE),VLOOKUP($A336,'SegEnds_NonXtal_Prot#'!A:AL,10,FALSE)+6,1)</f>
        <v>L</v>
      </c>
      <c r="W336" s="50" t="str">
        <f>MID(VLOOKUP($A336,Seqs!$A:$B,2,FALSE),VLOOKUP($A336,'SegEnds_NonXtal_Prot#'!A:AL,10,FALSE)+7,1)</f>
        <v>F</v>
      </c>
      <c r="X336" s="50" t="str">
        <f>MID(VLOOKUP($A336,Seqs!$A:$B,2,FALSE),VLOOKUP($A336,'SegEnds_NonXtal_Prot#'!A:AL,10,FALSE)+8,1)</f>
        <v>L</v>
      </c>
      <c r="Y336" s="50" t="str">
        <f>MID(VLOOKUP($A336,Seqs!$A:$B,2,FALSE),VLOOKUP($A336,'SegEnds_NonXtal_Prot#'!A:AL,10,FALSE)+9,1)</f>
        <v>I</v>
      </c>
      <c r="Z336" s="50" t="str">
        <f>MID(VLOOKUP($A336,Seqs!$A:$B,2,FALSE),VLOOKUP($A336,'SegEnds_NonXtal_Prot#'!A:AL,10,FALSE)+10,1)</f>
        <v>G</v>
      </c>
      <c r="AA336" s="28" t="str">
        <f>MID(VLOOKUP($A336,Seqs!$A:$B,2,FALSE),VLOOKUP($A336,'SegEnds_NonXtal_Prot#'!$A:$AL,22,FALSE)+6,1)</f>
        <v>I</v>
      </c>
      <c r="AB336" s="50" t="str">
        <f>MID(VLOOKUP($A336,Seqs!$A:$B,2,FALSE),VLOOKUP($A336,'SegEnds_NonXtal_Prot#'!$A:$AL,22,FALSE)+7,1)</f>
        <v>V</v>
      </c>
      <c r="AC336" s="50" t="str">
        <f>MID(VLOOKUP($A336,Seqs!$A:$B,2,FALSE),VLOOKUP($A336,'SegEnds_NonXtal_Prot#'!$A:$AL,22,FALSE)+8,1)</f>
        <v>A</v>
      </c>
      <c r="AD336" s="50" t="str">
        <f>MID(VLOOKUP($A336,Seqs!$A:$B,2,FALSE),VLOOKUP($A336,'SegEnds_NonXtal_Prot#'!$A:$AL,22,FALSE)+9,1)</f>
        <v>V</v>
      </c>
      <c r="AE336" s="50" t="str">
        <f>MID(VLOOKUP($A336,Seqs!$A:$B,2,FALSE),VLOOKUP($A336,'SegEnds_NonXtal_Prot#'!$A:$AL,22,FALSE)+10,1)</f>
        <v>S</v>
      </c>
      <c r="AF336" s="28" t="str">
        <f>MID(VLOOKUP($A336,Seqs!$A:$B,2,FALSE),VLOOKUP($A336,'SegEnds_NonXtal_Prot#'!$A:$AL,28,FALSE)-4,1)</f>
        <v>P</v>
      </c>
      <c r="AG336" s="50" t="str">
        <f>MID(VLOOKUP($A336,Seqs!$A:$B,2,FALSE),VLOOKUP($A336,'SegEnds_NonXtal_Prot#'!$A:$AL,28,FALSE),1)</f>
        <v>I</v>
      </c>
    </row>
    <row r="337" spans="1:33" s="2" customFormat="1" x14ac:dyDescent="0.2">
      <c r="A337" s="2" t="s">
        <v>1202</v>
      </c>
      <c r="B337" s="2" t="str">
        <f>LOWER(VLOOKUP(A337,Xtal_Templ!A:B,2,FALSE))</f>
        <v>crfr1_human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G337" s="4"/>
      <c r="I337" s="109" t="s">
        <v>25</v>
      </c>
      <c r="S337" s="4" t="s">
        <v>12</v>
      </c>
      <c r="U337" s="28" t="str">
        <f>MID(VLOOKUP($A337,Seqs!$A:$B,2,FALSE),VLOOKUP($A337,'SegEnds_NonXtal_Prot#'!A:AL,10,FALSE),1)</f>
        <v>L</v>
      </c>
      <c r="V337" s="50" t="str">
        <f>MID(VLOOKUP($A337,Seqs!$A:$B,2,FALSE),VLOOKUP($A337,'SegEnds_NonXtal_Prot#'!A:AL,10,FALSE)+6,1)</f>
        <v>V</v>
      </c>
      <c r="W337" s="50" t="str">
        <f>MID(VLOOKUP($A337,Seqs!$A:$B,2,FALSE),VLOOKUP($A337,'SegEnds_NonXtal_Prot#'!A:AL,10,FALSE)+7,1)</f>
        <v>F</v>
      </c>
      <c r="X337" s="50" t="str">
        <f>MID(VLOOKUP($A337,Seqs!$A:$B,2,FALSE),VLOOKUP($A337,'SegEnds_NonXtal_Prot#'!A:AL,10,FALSE)+8,1)</f>
        <v>L</v>
      </c>
      <c r="Y337" s="50" t="str">
        <f>MID(VLOOKUP($A337,Seqs!$A:$B,2,FALSE),VLOOKUP($A337,'SegEnds_NonXtal_Prot#'!A:AL,10,FALSE)+9,1)</f>
        <v>V</v>
      </c>
      <c r="Z337" s="50" t="str">
        <f>MID(VLOOKUP($A337,Seqs!$A:$B,2,FALSE),VLOOKUP($A337,'SegEnds_NonXtal_Prot#'!A:AL,10,FALSE)+10,1)</f>
        <v>G</v>
      </c>
      <c r="AA337" s="28" t="str">
        <f>MID(VLOOKUP($A337,Seqs!$A:$B,2,FALSE),VLOOKUP($A337,'SegEnds_NonXtal_Prot#'!$A:$AL,22,FALSE)+6,1)</f>
        <v>V</v>
      </c>
      <c r="AB337" s="50" t="str">
        <f>MID(VLOOKUP($A337,Seqs!$A:$B,2,FALSE),VLOOKUP($A337,'SegEnds_NonXtal_Prot#'!$A:$AL,22,FALSE)+7,1)</f>
        <v>V</v>
      </c>
      <c r="AC337" s="50" t="str">
        <f>MID(VLOOKUP($A337,Seqs!$A:$B,2,FALSE),VLOOKUP($A337,'SegEnds_NonXtal_Prot#'!$A:$AL,22,FALSE)+8,1)</f>
        <v>G</v>
      </c>
      <c r="AD337" s="50" t="str">
        <f>MID(VLOOKUP($A337,Seqs!$A:$B,2,FALSE),VLOOKUP($A337,'SegEnds_NonXtal_Prot#'!$A:$AL,22,FALSE)+9,1)</f>
        <v>F</v>
      </c>
      <c r="AE337" s="50" t="str">
        <f>MID(VLOOKUP($A337,Seqs!$A:$B,2,FALSE),VLOOKUP($A337,'SegEnds_NonXtal_Prot#'!$A:$AL,22,FALSE)+10,1)</f>
        <v>S</v>
      </c>
      <c r="AF337" s="28" t="str">
        <f>MID(VLOOKUP($A337,Seqs!$A:$B,2,FALSE),VLOOKUP($A337,'SegEnds_NonXtal_Prot#'!$A:$AL,28,FALSE)-4,1)</f>
        <v>P</v>
      </c>
      <c r="AG337" s="50" t="str">
        <f>MID(VLOOKUP($A337,Seqs!$A:$B,2,FALSE),VLOOKUP($A337,'SegEnds_NonXtal_Prot#'!$A:$AL,28,FALSE),1)</f>
        <v>I</v>
      </c>
    </row>
    <row r="338" spans="1:33" s="2" customFormat="1" x14ac:dyDescent="0.2">
      <c r="A338" s="2" t="s">
        <v>414</v>
      </c>
      <c r="B338" s="2" t="str">
        <f>LOWER(VLOOKUP(A338,Xtal_Templ!A:B,2,FALSE))</f>
        <v>crfr1_human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G338" s="4"/>
      <c r="I338" s="109" t="s">
        <v>25</v>
      </c>
      <c r="S338" s="4" t="s">
        <v>12</v>
      </c>
      <c r="U338" s="28" t="str">
        <f>MID(VLOOKUP($A338,Seqs!$A:$B,2,FALSE),VLOOKUP($A338,'SegEnds_NonXtal_Prot#'!A:AL,10,FALSE),1)</f>
        <v>I</v>
      </c>
      <c r="V338" s="50" t="str">
        <f>MID(VLOOKUP($A338,Seqs!$A:$B,2,FALSE),VLOOKUP($A338,'SegEnds_NonXtal_Prot#'!A:AL,10,FALSE)+6,1)</f>
        <v>L</v>
      </c>
      <c r="W338" s="50" t="str">
        <f>MID(VLOOKUP($A338,Seqs!$A:$B,2,FALSE),VLOOKUP($A338,'SegEnds_NonXtal_Prot#'!A:AL,10,FALSE)+7,1)</f>
        <v>I</v>
      </c>
      <c r="X338" s="50" t="str">
        <f>MID(VLOOKUP($A338,Seqs!$A:$B,2,FALSE),VLOOKUP($A338,'SegEnds_NonXtal_Prot#'!A:AL,10,FALSE)+8,1)</f>
        <v>L</v>
      </c>
      <c r="Y338" s="50" t="str">
        <f>MID(VLOOKUP($A338,Seqs!$A:$B,2,FALSE),VLOOKUP($A338,'SegEnds_NonXtal_Prot#'!A:AL,10,FALSE)+9,1)</f>
        <v>I</v>
      </c>
      <c r="Z338" s="50" t="str">
        <f>MID(VLOOKUP($A338,Seqs!$A:$B,2,FALSE),VLOOKUP($A338,'SegEnds_NonXtal_Prot#'!A:AL,10,FALSE)+10,1)</f>
        <v>G</v>
      </c>
      <c r="AA338" s="28" t="str">
        <f>MID(VLOOKUP($A338,Seqs!$A:$B,2,FALSE),VLOOKUP($A338,'SegEnds_NonXtal_Prot#'!$A:$AL,22,FALSE)+6,1)</f>
        <v>V</v>
      </c>
      <c r="AB338" s="50" t="str">
        <f>MID(VLOOKUP($A338,Seqs!$A:$B,2,FALSE),VLOOKUP($A338,'SegEnds_NonXtal_Prot#'!$A:$AL,22,FALSE)+7,1)</f>
        <v>V</v>
      </c>
      <c r="AC338" s="50" t="str">
        <f>MID(VLOOKUP($A338,Seqs!$A:$B,2,FALSE),VLOOKUP($A338,'SegEnds_NonXtal_Prot#'!$A:$AL,22,FALSE)+8,1)</f>
        <v>A</v>
      </c>
      <c r="AD338" s="50" t="str">
        <f>MID(VLOOKUP($A338,Seqs!$A:$B,2,FALSE),VLOOKUP($A338,'SegEnds_NonXtal_Prot#'!$A:$AL,22,FALSE)+9,1)</f>
        <v>I</v>
      </c>
      <c r="AE338" s="50" t="str">
        <f>MID(VLOOKUP($A338,Seqs!$A:$B,2,FALSE),VLOOKUP($A338,'SegEnds_NonXtal_Prot#'!$A:$AL,22,FALSE)+10,1)</f>
        <v>S</v>
      </c>
      <c r="AF338" s="28" t="str">
        <f>MID(VLOOKUP($A338,Seqs!$A:$B,2,FALSE),VLOOKUP($A338,'SegEnds_NonXtal_Prot#'!$A:$AL,28,FALSE)-4,1)</f>
        <v>P</v>
      </c>
      <c r="AG338" s="50" t="str">
        <f>MID(VLOOKUP($A338,Seqs!$A:$B,2,FALSE),VLOOKUP($A338,'SegEnds_NonXtal_Prot#'!$A:$AL,28,FALSE),1)</f>
        <v>V</v>
      </c>
    </row>
    <row r="339" spans="1:33" s="2" customFormat="1" x14ac:dyDescent="0.2">
      <c r="A339" s="2" t="s">
        <v>418</v>
      </c>
      <c r="B339" s="2" t="str">
        <f>LOWER(VLOOKUP(A339,Xtal_Templ!A:B,2,FALSE))</f>
        <v>calcr_human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G339" s="4"/>
      <c r="I339" s="109" t="s">
        <v>25</v>
      </c>
      <c r="S339" s="4" t="s">
        <v>12</v>
      </c>
      <c r="U339" s="28" t="str">
        <f>MID(VLOOKUP($A339,Seqs!$A:$B,2,FALSE),VLOOKUP($A339,'SegEnds_NonXtal_Prot#'!A:AL,10,FALSE),1)</f>
        <v>L</v>
      </c>
      <c r="V339" s="50" t="str">
        <f>MID(VLOOKUP($A339,Seqs!$A:$B,2,FALSE),VLOOKUP($A339,'SegEnds_NonXtal_Prot#'!A:AL,10,FALSE)+6,1)</f>
        <v>V</v>
      </c>
      <c r="W339" s="50" t="str">
        <f>MID(VLOOKUP($A339,Seqs!$A:$B,2,FALSE),VLOOKUP($A339,'SegEnds_NonXtal_Prot#'!A:AL,10,FALSE)+7,1)</f>
        <v>F</v>
      </c>
      <c r="X339" s="50" t="str">
        <f>MID(VLOOKUP($A339,Seqs!$A:$B,2,FALSE),VLOOKUP($A339,'SegEnds_NonXtal_Prot#'!A:AL,10,FALSE)+8,1)</f>
        <v>V</v>
      </c>
      <c r="Y339" s="50" t="str">
        <f>MID(VLOOKUP($A339,Seqs!$A:$B,2,FALSE),VLOOKUP($A339,'SegEnds_NonXtal_Prot#'!A:AL,10,FALSE)+9,1)</f>
        <v>I</v>
      </c>
      <c r="Z339" s="50" t="str">
        <f>MID(VLOOKUP($A339,Seqs!$A:$B,2,FALSE),VLOOKUP($A339,'SegEnds_NonXtal_Prot#'!A:AL,10,FALSE)+10,1)</f>
        <v>G</v>
      </c>
      <c r="AA339" s="28" t="str">
        <f>MID(VLOOKUP($A339,Seqs!$A:$B,2,FALSE),VLOOKUP($A339,'SegEnds_NonXtal_Prot#'!$A:$AL,22,FALSE)+6,1)</f>
        <v>V</v>
      </c>
      <c r="AB339" s="50" t="str">
        <f>MID(VLOOKUP($A339,Seqs!$A:$B,2,FALSE),VLOOKUP($A339,'SegEnds_NonXtal_Prot#'!$A:$AL,22,FALSE)+7,1)</f>
        <v>T</v>
      </c>
      <c r="AC339" s="50" t="str">
        <f>MID(VLOOKUP($A339,Seqs!$A:$B,2,FALSE),VLOOKUP($A339,'SegEnds_NonXtal_Prot#'!$A:$AL,22,FALSE)+8,1)</f>
        <v>G</v>
      </c>
      <c r="AD339" s="50" t="str">
        <f>MID(VLOOKUP($A339,Seqs!$A:$B,2,FALSE),VLOOKUP($A339,'SegEnds_NonXtal_Prot#'!$A:$AL,22,FALSE)+9,1)</f>
        <v>L</v>
      </c>
      <c r="AE339" s="50" t="str">
        <f>MID(VLOOKUP($A339,Seqs!$A:$B,2,FALSE),VLOOKUP($A339,'SegEnds_NonXtal_Prot#'!$A:$AL,22,FALSE)+10,1)</f>
        <v>A</v>
      </c>
      <c r="AF339" s="28" t="str">
        <f>MID(VLOOKUP($A339,Seqs!$A:$B,2,FALSE),VLOOKUP($A339,'SegEnds_NonXtal_Prot#'!$A:$AL,28,FALSE)-4,1)</f>
        <v>P</v>
      </c>
      <c r="AG339" s="50" t="str">
        <f>MID(VLOOKUP($A339,Seqs!$A:$B,2,FALSE),VLOOKUP($A339,'SegEnds_NonXtal_Prot#'!$A:$AL,28,FALSE),1)</f>
        <v>V</v>
      </c>
    </row>
    <row r="340" spans="1:33" s="2" customFormat="1" x14ac:dyDescent="0.2">
      <c r="A340" s="2" t="s">
        <v>419</v>
      </c>
      <c r="B340" s="2" t="str">
        <f>LOWER(VLOOKUP(A340,Xtal_Templ!A:B,2,FALSE))</f>
        <v>calcr_human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G340" s="4"/>
      <c r="I340" s="109" t="s">
        <v>25</v>
      </c>
      <c r="S340" s="4" t="s">
        <v>12</v>
      </c>
      <c r="U340" s="28" t="str">
        <f>MID(VLOOKUP($A340,Seqs!$A:$B,2,FALSE),VLOOKUP($A340,'SegEnds_NonXtal_Prot#'!A:AL,10,FALSE),1)</f>
        <v>L</v>
      </c>
      <c r="V340" s="50" t="str">
        <f>MID(VLOOKUP($A340,Seqs!$A:$B,2,FALSE),VLOOKUP($A340,'SegEnds_NonXtal_Prot#'!A:AL,10,FALSE)+6,1)</f>
        <v>V</v>
      </c>
      <c r="W340" s="50" t="str">
        <f>MID(VLOOKUP($A340,Seqs!$A:$B,2,FALSE),VLOOKUP($A340,'SegEnds_NonXtal_Prot#'!A:AL,10,FALSE)+7,1)</f>
        <v>F</v>
      </c>
      <c r="X340" s="50" t="str">
        <f>MID(VLOOKUP($A340,Seqs!$A:$B,2,FALSE),VLOOKUP($A340,'SegEnds_NonXtal_Prot#'!A:AL,10,FALSE)+8,1)</f>
        <v>L</v>
      </c>
      <c r="Y340" s="50" t="str">
        <f>MID(VLOOKUP($A340,Seqs!$A:$B,2,FALSE),VLOOKUP($A340,'SegEnds_NonXtal_Prot#'!A:AL,10,FALSE)+9,1)</f>
        <v>L</v>
      </c>
      <c r="Z340" s="50" t="str">
        <f>MID(VLOOKUP($A340,Seqs!$A:$B,2,FALSE),VLOOKUP($A340,'SegEnds_NonXtal_Prot#'!A:AL,10,FALSE)+10,1)</f>
        <v>G</v>
      </c>
      <c r="AA340" s="28" t="str">
        <f>MID(VLOOKUP($A340,Seqs!$A:$B,2,FALSE),VLOOKUP($A340,'SegEnds_NonXtal_Prot#'!$A:$AL,22,FALSE)+6,1)</f>
        <v>I</v>
      </c>
      <c r="AB340" s="50" t="str">
        <f>MID(VLOOKUP($A340,Seqs!$A:$B,2,FALSE),VLOOKUP($A340,'SegEnds_NonXtal_Prot#'!$A:$AL,22,FALSE)+7,1)</f>
        <v>T</v>
      </c>
      <c r="AC340" s="50" t="str">
        <f>MID(VLOOKUP($A340,Seqs!$A:$B,2,FALSE),VLOOKUP($A340,'SegEnds_NonXtal_Prot#'!$A:$AL,22,FALSE)+8,1)</f>
        <v>G</v>
      </c>
      <c r="AD340" s="50" t="str">
        <f>MID(VLOOKUP($A340,Seqs!$A:$B,2,FALSE),VLOOKUP($A340,'SegEnds_NonXtal_Prot#'!$A:$AL,22,FALSE)+9,1)</f>
        <v>L</v>
      </c>
      <c r="AE340" s="50" t="str">
        <f>MID(VLOOKUP($A340,Seqs!$A:$B,2,FALSE),VLOOKUP($A340,'SegEnds_NonXtal_Prot#'!$A:$AL,22,FALSE)+10,1)</f>
        <v>A</v>
      </c>
      <c r="AF340" s="28" t="str">
        <f>MID(VLOOKUP($A340,Seqs!$A:$B,2,FALSE),VLOOKUP($A340,'SegEnds_NonXtal_Prot#'!$A:$AL,28,FALSE)-4,1)</f>
        <v>P</v>
      </c>
      <c r="AG340" s="50" t="str">
        <f>MID(VLOOKUP($A340,Seqs!$A:$B,2,FALSE),VLOOKUP($A340,'SegEnds_NonXtal_Prot#'!$A:$AL,28,FALSE),1)</f>
        <v>A</v>
      </c>
    </row>
    <row r="341" spans="1:33" s="2" customFormat="1" x14ac:dyDescent="0.2">
      <c r="A341" s="2" t="s">
        <v>1423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G341" s="4"/>
      <c r="I341" s="109" t="s">
        <v>25</v>
      </c>
      <c r="S341" s="4" t="s">
        <v>12</v>
      </c>
      <c r="U341" s="28" t="str">
        <f>MID(VLOOKUP($A341,Seqs!$A:$B,2,FALSE),VLOOKUP($A341,'SegEnds_NonXtal_Prot#'!A:AL,10,FALSE),1)</f>
        <v>L</v>
      </c>
      <c r="V341" s="50" t="str">
        <f>MID(VLOOKUP($A341,Seqs!$A:$B,2,FALSE),VLOOKUP($A341,'SegEnds_NonXtal_Prot#'!A:AL,10,FALSE)+6,1)</f>
        <v>L</v>
      </c>
      <c r="W341" s="50" t="str">
        <f>MID(VLOOKUP($A341,Seqs!$A:$B,2,FALSE),VLOOKUP($A341,'SegEnds_NonXtal_Prot#'!A:AL,10,FALSE)+7,1)</f>
        <v>F</v>
      </c>
      <c r="X341" s="50" t="str">
        <f>MID(VLOOKUP($A341,Seqs!$A:$B,2,FALSE),VLOOKUP($A341,'SegEnds_NonXtal_Prot#'!A:AL,10,FALSE)+8,1)</f>
        <v>L</v>
      </c>
      <c r="Y341" s="50" t="str">
        <f>MID(VLOOKUP($A341,Seqs!$A:$B,2,FALSE),VLOOKUP($A341,'SegEnds_NonXtal_Prot#'!A:AL,10,FALSE)+9,1)</f>
        <v>L</v>
      </c>
      <c r="Z341" s="50" t="str">
        <f>MID(VLOOKUP($A341,Seqs!$A:$B,2,FALSE),VLOOKUP($A341,'SegEnds_NonXtal_Prot#'!A:AL,10,FALSE)+10,1)</f>
        <v>D</v>
      </c>
      <c r="AA341" s="28" t="str">
        <f>MID(VLOOKUP($A341,Seqs!$A:$B,2,FALSE),VLOOKUP($A341,'SegEnds_NonXtal_Prot#'!$A:$AL,22,FALSE)+6,1)</f>
        <v>V</v>
      </c>
      <c r="AB341" s="50" t="str">
        <f>MID(VLOOKUP($A341,Seqs!$A:$B,2,FALSE),VLOOKUP($A341,'SegEnds_NonXtal_Prot#'!$A:$AL,22,FALSE)+7,1)</f>
        <v>V</v>
      </c>
      <c r="AC341" s="50" t="str">
        <f>MID(VLOOKUP($A341,Seqs!$A:$B,2,FALSE),VLOOKUP($A341,'SegEnds_NonXtal_Prot#'!$A:$AL,22,FALSE)+8,1)</f>
        <v>S</v>
      </c>
      <c r="AD341" s="50" t="str">
        <f>MID(VLOOKUP($A341,Seqs!$A:$B,2,FALSE),VLOOKUP($A341,'SegEnds_NonXtal_Prot#'!$A:$AL,22,FALSE)+9,1)</f>
        <v>V</v>
      </c>
      <c r="AE341" s="50" t="str">
        <f>MID(VLOOKUP($A341,Seqs!$A:$B,2,FALSE),VLOOKUP($A341,'SegEnds_NonXtal_Prot#'!$A:$AL,22,FALSE)+10,1)</f>
        <v>V</v>
      </c>
      <c r="AF341" s="28" t="str">
        <f>MID(VLOOKUP($A341,Seqs!$A:$B,2,FALSE),VLOOKUP($A341,'SegEnds_NonXtal_Prot#'!$A:$AL,28,FALSE)-4,1)</f>
        <v>Y</v>
      </c>
      <c r="AG341" s="50" t="str">
        <f>MID(VLOOKUP($A341,Seqs!$A:$B,2,FALSE),VLOOKUP($A341,'SegEnds_NonXtal_Prot#'!$A:$AL,28,FALSE),1)</f>
        <v>M</v>
      </c>
    </row>
    <row r="342" spans="1:33" s="2" customFormat="1" x14ac:dyDescent="0.2">
      <c r="A342" s="2" t="s">
        <v>442</v>
      </c>
      <c r="B342" s="2" t="str">
        <f>LOWER(VLOOKUP(A342,Xtal_Templ!A:B,2,FALSE))</f>
        <v>crfr1_human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G342" s="4"/>
      <c r="I342" s="109" t="s">
        <v>25</v>
      </c>
      <c r="S342" s="4" t="s">
        <v>12</v>
      </c>
      <c r="U342" s="28" t="str">
        <f>MID(VLOOKUP($A342,Seqs!$A:$B,2,FALSE),VLOOKUP($A342,'SegEnds_NonXtal_Prot#'!A:AL,10,FALSE),1)</f>
        <v>S</v>
      </c>
      <c r="V342" s="50" t="str">
        <f>MID(VLOOKUP($A342,Seqs!$A:$B,2,FALSE),VLOOKUP($A342,'SegEnds_NonXtal_Prot#'!A:AL,10,FALSE)+6,1)</f>
        <v>L</v>
      </c>
      <c r="W342" s="50" t="str">
        <f>MID(VLOOKUP($A342,Seqs!$A:$B,2,FALSE),VLOOKUP($A342,'SegEnds_NonXtal_Prot#'!A:AL,10,FALSE)+7,1)</f>
        <v>F</v>
      </c>
      <c r="X342" s="50" t="str">
        <f>MID(VLOOKUP($A342,Seqs!$A:$B,2,FALSE),VLOOKUP($A342,'SegEnds_NonXtal_Prot#'!A:AL,10,FALSE)+8,1)</f>
        <v>L</v>
      </c>
      <c r="Y342" s="50" t="str">
        <f>MID(VLOOKUP($A342,Seqs!$A:$B,2,FALSE),VLOOKUP($A342,'SegEnds_NonXtal_Prot#'!A:AL,10,FALSE)+9,1)</f>
        <v>A</v>
      </c>
      <c r="Z342" s="50" t="str">
        <f>MID(VLOOKUP($A342,Seqs!$A:$B,2,FALSE),VLOOKUP($A342,'SegEnds_NonXtal_Prot#'!A:AL,10,FALSE)+10,1)</f>
        <v>S</v>
      </c>
      <c r="AA342" s="28" t="str">
        <f>MID(VLOOKUP($A342,Seqs!$A:$B,2,FALSE),VLOOKUP($A342,'SegEnds_NonXtal_Prot#'!$A:$AL,22,FALSE)+6,1)</f>
        <v>V</v>
      </c>
      <c r="AB342" s="50" t="str">
        <f>MID(VLOOKUP($A342,Seqs!$A:$B,2,FALSE),VLOOKUP($A342,'SegEnds_NonXtal_Prot#'!$A:$AL,22,FALSE)+7,1)</f>
        <v>V</v>
      </c>
      <c r="AC342" s="50" t="str">
        <f>MID(VLOOKUP($A342,Seqs!$A:$B,2,FALSE),VLOOKUP($A342,'SegEnds_NonXtal_Prot#'!$A:$AL,22,FALSE)+8,1)</f>
        <v>I</v>
      </c>
      <c r="AD342" s="50" t="str">
        <f>MID(VLOOKUP($A342,Seqs!$A:$B,2,FALSE),VLOOKUP($A342,'SegEnds_NonXtal_Prot#'!$A:$AL,22,FALSE)+9,1)</f>
        <v>L</v>
      </c>
      <c r="AE342" s="50" t="str">
        <f>MID(VLOOKUP($A342,Seqs!$A:$B,2,FALSE),VLOOKUP($A342,'SegEnds_NonXtal_Prot#'!$A:$AL,22,FALSE)+10,1)</f>
        <v>L</v>
      </c>
      <c r="AF342" s="28" t="str">
        <f>MID(VLOOKUP($A342,Seqs!$A:$B,2,FALSE),VLOOKUP($A342,'SegEnds_NonXtal_Prot#'!$A:$AL,28,FALSE)-4,1)</f>
        <v>P</v>
      </c>
      <c r="AG342" s="50" t="str">
        <f>MID(VLOOKUP($A342,Seqs!$A:$B,2,FALSE),VLOOKUP($A342,'SegEnds_NonXtal_Prot#'!$A:$AL,28,FALSE),1)</f>
        <v>L</v>
      </c>
    </row>
    <row r="343" spans="1:33" s="2" customFormat="1" x14ac:dyDescent="0.2">
      <c r="A343" s="2" t="s">
        <v>417</v>
      </c>
      <c r="B343" s="2" t="str">
        <f>LOWER(VLOOKUP(A343,Xtal_Templ!A:B,2,FALSE))</f>
        <v>glp1r_human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G343" s="4"/>
      <c r="I343" s="109" t="s">
        <v>25</v>
      </c>
      <c r="S343" s="4" t="s">
        <v>12</v>
      </c>
      <c r="U343" s="28" t="str">
        <f>MID(VLOOKUP($A343,Seqs!$A:$B,2,FALSE),VLOOKUP($A343,'SegEnds_NonXtal_Prot#'!A:AL,10,FALSE),1)</f>
        <v>L</v>
      </c>
      <c r="V343" s="50" t="str">
        <f>MID(VLOOKUP($A343,Seqs!$A:$B,2,FALSE),VLOOKUP($A343,'SegEnds_NonXtal_Prot#'!A:AL,10,FALSE)+6,1)</f>
        <v>I</v>
      </c>
      <c r="W343" s="50" t="str">
        <f>MID(VLOOKUP($A343,Seqs!$A:$B,2,FALSE),VLOOKUP($A343,'SegEnds_NonXtal_Prot#'!A:AL,10,FALSE)+7,1)</f>
        <v>F</v>
      </c>
      <c r="X343" s="50" t="str">
        <f>MID(VLOOKUP($A343,Seqs!$A:$B,2,FALSE),VLOOKUP($A343,'SegEnds_NonXtal_Prot#'!A:AL,10,FALSE)+8,1)</f>
        <v>L</v>
      </c>
      <c r="Y343" s="50" t="str">
        <f>MID(VLOOKUP($A343,Seqs!$A:$B,2,FALSE),VLOOKUP($A343,'SegEnds_NonXtal_Prot#'!A:AL,10,FALSE)+9,1)</f>
        <v>A</v>
      </c>
      <c r="Z343" s="50" t="str">
        <f>MID(VLOOKUP($A343,Seqs!$A:$B,2,FALSE),VLOOKUP($A343,'SegEnds_NonXtal_Prot#'!A:AL,10,FALSE)+10,1)</f>
        <v>G</v>
      </c>
      <c r="AA343" s="28" t="str">
        <f>MID(VLOOKUP($A343,Seqs!$A:$B,2,FALSE),VLOOKUP($A343,'SegEnds_NonXtal_Prot#'!$A:$AL,22,FALSE)+6,1)</f>
        <v>I</v>
      </c>
      <c r="AB343" s="50" t="str">
        <f>MID(VLOOKUP($A343,Seqs!$A:$B,2,FALSE),VLOOKUP($A343,'SegEnds_NonXtal_Prot#'!$A:$AL,22,FALSE)+7,1)</f>
        <v>V</v>
      </c>
      <c r="AC343" s="50" t="str">
        <f>MID(VLOOKUP($A343,Seqs!$A:$B,2,FALSE),VLOOKUP($A343,'SegEnds_NonXtal_Prot#'!$A:$AL,22,FALSE)+8,1)</f>
        <v>G</v>
      </c>
      <c r="AD343" s="50" t="str">
        <f>MID(VLOOKUP($A343,Seqs!$A:$B,2,FALSE),VLOOKUP($A343,'SegEnds_NonXtal_Prot#'!$A:$AL,22,FALSE)+9,1)</f>
        <v>V</v>
      </c>
      <c r="AE343" s="50" t="str">
        <f>MID(VLOOKUP($A343,Seqs!$A:$B,2,FALSE),VLOOKUP($A343,'SegEnds_NonXtal_Prot#'!$A:$AL,22,FALSE)+10,1)</f>
        <v>S</v>
      </c>
      <c r="AF343" s="28" t="str">
        <f>MID(VLOOKUP($A343,Seqs!$A:$B,2,FALSE),VLOOKUP($A343,'SegEnds_NonXtal_Prot#'!$A:$AL,28,FALSE)-4,1)</f>
        <v>P</v>
      </c>
      <c r="AG343" s="50" t="str">
        <f>MID(VLOOKUP($A343,Seqs!$A:$B,2,FALSE),VLOOKUP($A343,'SegEnds_NonXtal_Prot#'!$A:$AL,28,FALSE),1)</f>
        <v>I</v>
      </c>
    </row>
    <row r="344" spans="1:33" s="2" customFormat="1" x14ac:dyDescent="0.2">
      <c r="A344" s="2" t="s">
        <v>420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G344" s="4"/>
      <c r="I344" s="109" t="s">
        <v>25</v>
      </c>
      <c r="S344" s="4" t="s">
        <v>12</v>
      </c>
      <c r="U344" s="28" t="str">
        <f>MID(VLOOKUP($A344,Seqs!$A:$B,2,FALSE),VLOOKUP($A344,'SegEnds_NonXtal_Prot#'!A:AL,10,FALSE),1)</f>
        <v>L</v>
      </c>
      <c r="V344" s="50" t="str">
        <f>MID(VLOOKUP($A344,Seqs!$A:$B,2,FALSE),VLOOKUP($A344,'SegEnds_NonXtal_Prot#'!A:AL,10,FALSE)+6,1)</f>
        <v>L</v>
      </c>
      <c r="W344" s="50" t="str">
        <f>MID(VLOOKUP($A344,Seqs!$A:$B,2,FALSE),VLOOKUP($A344,'SegEnds_NonXtal_Prot#'!A:AL,10,FALSE)+7,1)</f>
        <v>F</v>
      </c>
      <c r="X344" s="50" t="str">
        <f>MID(VLOOKUP($A344,Seqs!$A:$B,2,FALSE),VLOOKUP($A344,'SegEnds_NonXtal_Prot#'!A:AL,10,FALSE)+8,1)</f>
        <v>L</v>
      </c>
      <c r="Y344" s="50" t="str">
        <f>MID(VLOOKUP($A344,Seqs!$A:$B,2,FALSE),VLOOKUP($A344,'SegEnds_NonXtal_Prot#'!A:AL,10,FALSE)+9,1)</f>
        <v>L</v>
      </c>
      <c r="Z344" s="50" t="str">
        <f>MID(VLOOKUP($A344,Seqs!$A:$B,2,FALSE),VLOOKUP($A344,'SegEnds_NonXtal_Prot#'!A:AL,10,FALSE)+10,1)</f>
        <v>G</v>
      </c>
      <c r="AA344" s="28" t="str">
        <f>MID(VLOOKUP($A344,Seqs!$A:$B,2,FALSE),VLOOKUP($A344,'SegEnds_NonXtal_Prot#'!$A:$AL,22,FALSE)+6,1)</f>
        <v>L</v>
      </c>
      <c r="AB344" s="50" t="str">
        <f>MID(VLOOKUP($A344,Seqs!$A:$B,2,FALSE),VLOOKUP($A344,'SegEnds_NonXtal_Prot#'!$A:$AL,22,FALSE)+7,1)</f>
        <v>L</v>
      </c>
      <c r="AC344" s="50" t="str">
        <f>MID(VLOOKUP($A344,Seqs!$A:$B,2,FALSE),VLOOKUP($A344,'SegEnds_NonXtal_Prot#'!$A:$AL,22,FALSE)+8,1)</f>
        <v>G</v>
      </c>
      <c r="AD344" s="50" t="str">
        <f>MID(VLOOKUP($A344,Seqs!$A:$B,2,FALSE),VLOOKUP($A344,'SegEnds_NonXtal_Prot#'!$A:$AL,22,FALSE)+9,1)</f>
        <v>L</v>
      </c>
      <c r="AE344" s="50" t="str">
        <f>MID(VLOOKUP($A344,Seqs!$A:$B,2,FALSE),VLOOKUP($A344,'SegEnds_NonXtal_Prot#'!$A:$AL,22,FALSE)+10,1)</f>
        <v>A</v>
      </c>
      <c r="AF344" s="28" t="str">
        <f>MID(VLOOKUP($A344,Seqs!$A:$B,2,FALSE),VLOOKUP($A344,'SegEnds_NonXtal_Prot#'!$A:$AL,28,FALSE)-4,1)</f>
        <v>P</v>
      </c>
      <c r="AG344" s="50" t="str">
        <f>MID(VLOOKUP($A344,Seqs!$A:$B,2,FALSE),VLOOKUP($A344,'SegEnds_NonXtal_Prot#'!$A:$AL,28,FALSE),1)</f>
        <v>V</v>
      </c>
    </row>
    <row r="345" spans="1:33" s="2" customFormat="1" x14ac:dyDescent="0.2">
      <c r="A345" s="2" t="s">
        <v>106</v>
      </c>
      <c r="B345" s="2" t="str">
        <f>LOWER(VLOOKUP(A345,Xtal_Templ!A:B,2,FALSE))</f>
        <v>grm5_human</v>
      </c>
      <c r="C345" s="2" t="str">
        <f>VLOOKUP(A345,Classification!A:D,2,FALSE)</f>
        <v>C</v>
      </c>
      <c r="D345" s="2" t="str">
        <f>IF(ISERROR(MATCH(A345,'SegEnds_Xtal_Prot#'!B:B, 0)), "NoXtal", "Xtal")</f>
        <v>NoXtal</v>
      </c>
      <c r="G345" s="4"/>
      <c r="T345" s="2" t="s">
        <v>1330</v>
      </c>
      <c r="U345" s="28" t="str">
        <f>MID(VLOOKUP($A345,Seqs!$A:$B,2,FALSE),VLOOKUP($A345,'SegEnds_NonXtal_Prot#'!A:AL,10,FALSE),1)</f>
        <v>C</v>
      </c>
      <c r="V345" s="50" t="str">
        <f>MID(VLOOKUP($A345,Seqs!$A:$B,2,FALSE),VLOOKUP($A345,'SegEnds_NonXtal_Prot#'!A:AL,10,FALSE)+6,1)</f>
        <v>A</v>
      </c>
      <c r="W345" s="50" t="str">
        <f>MID(VLOOKUP($A345,Seqs!$A:$B,2,FALSE),VLOOKUP($A345,'SegEnds_NonXtal_Prot#'!A:AL,10,FALSE)+7,1)</f>
        <v>V</v>
      </c>
      <c r="X345" s="50" t="str">
        <f>MID(VLOOKUP($A345,Seqs!$A:$B,2,FALSE),VLOOKUP($A345,'SegEnds_NonXtal_Prot#'!A:AL,10,FALSE)+8,1)</f>
        <v>F</v>
      </c>
      <c r="Y345" s="50" t="str">
        <f>MID(VLOOKUP($A345,Seqs!$A:$B,2,FALSE),VLOOKUP($A345,'SegEnds_NonXtal_Prot#'!A:AL,10,FALSE)+9,1)</f>
        <v>P</v>
      </c>
      <c r="Z345" s="50" t="str">
        <f>MID(VLOOKUP($A345,Seqs!$A:$B,2,FALSE),VLOOKUP($A345,'SegEnds_NonXtal_Prot#'!A:AL,10,FALSE)+10,1)</f>
        <v>L</v>
      </c>
      <c r="AA345" s="28" t="str">
        <f>MID(VLOOKUP($A345,Seqs!$A:$B,2,FALSE),VLOOKUP($A345,'SegEnds_NonXtal_Prot#'!$A:$AL,22,FALSE)+6,1)</f>
        <v>T</v>
      </c>
      <c r="AB345" s="50" t="str">
        <f>MID(VLOOKUP($A345,Seqs!$A:$B,2,FALSE),VLOOKUP($A345,'SegEnds_NonXtal_Prot#'!$A:$AL,22,FALSE)+7,1)</f>
        <v>L</v>
      </c>
      <c r="AC345" s="50" t="str">
        <f>MID(VLOOKUP($A345,Seqs!$A:$B,2,FALSE),VLOOKUP($A345,'SegEnds_NonXtal_Prot#'!$A:$AL,22,FALSE)+8,1)</f>
        <v>A</v>
      </c>
      <c r="AD345" s="50" t="str">
        <f>MID(VLOOKUP($A345,Seqs!$A:$B,2,FALSE),VLOOKUP($A345,'SegEnds_NonXtal_Prot#'!$A:$AL,22,FALSE)+9,1)</f>
        <v>I</v>
      </c>
      <c r="AE345" s="50" t="str">
        <f>MID(VLOOKUP($A345,Seqs!$A:$B,2,FALSE),VLOOKUP($A345,'SegEnds_NonXtal_Prot#'!$A:$AL,22,FALSE)+10,1)</f>
        <v>W</v>
      </c>
      <c r="AF345" s="28" t="str">
        <f>MID(VLOOKUP($A345,Seqs!$A:$B,2,FALSE),VLOOKUP($A345,'SegEnds_NonXtal_Prot#'!$A:$AL,28,FALSE)-4,1)</f>
        <v>Y</v>
      </c>
      <c r="AG345" s="50" t="str">
        <f>MID(VLOOKUP($A345,Seqs!$A:$B,2,FALSE),VLOOKUP($A345,'SegEnds_NonXtal_Prot#'!$A:$AL,28,FALSE),1)</f>
        <v>L</v>
      </c>
    </row>
    <row r="346" spans="1:33" s="2" customFormat="1" x14ac:dyDescent="0.2">
      <c r="A346" s="2" t="s">
        <v>108</v>
      </c>
      <c r="B346" s="2" t="str">
        <f>LOWER(VLOOKUP(A346,Xtal_Templ!A:B,2,FALSE))</f>
        <v>grm1_human</v>
      </c>
      <c r="C346" s="2" t="str">
        <f>VLOOKUP(A346,Classification!A:D,2,FALSE)</f>
        <v>C</v>
      </c>
      <c r="D346" s="2" t="str">
        <f>IF(ISERROR(MATCH(A346,'SegEnds_Xtal_Prot#'!B:B, 0)), "NoXtal", "Xtal")</f>
        <v>NoXtal</v>
      </c>
      <c r="G346" s="4"/>
      <c r="T346" s="2" t="s">
        <v>1330</v>
      </c>
      <c r="U346" s="28" t="str">
        <f>MID(VLOOKUP($A346,Seqs!$A:$B,2,FALSE),VLOOKUP($A346,'SegEnds_NonXtal_Prot#'!A:AL,10,FALSE),1)</f>
        <v>S</v>
      </c>
      <c r="V346" s="50" t="str">
        <f>MID(VLOOKUP($A346,Seqs!$A:$B,2,FALSE),VLOOKUP($A346,'SegEnds_NonXtal_Prot#'!A:AL,10,FALSE)+6,1)</f>
        <v>S</v>
      </c>
      <c r="W346" s="50" t="str">
        <f>MID(VLOOKUP($A346,Seqs!$A:$B,2,FALSE),VLOOKUP($A346,'SegEnds_NonXtal_Prot#'!A:AL,10,FALSE)+7,1)</f>
        <v>A</v>
      </c>
      <c r="X346" s="50" t="str">
        <f>MID(VLOOKUP($A346,Seqs!$A:$B,2,FALSE),VLOOKUP($A346,'SegEnds_NonXtal_Prot#'!A:AL,10,FALSE)+8,1)</f>
        <v>Y</v>
      </c>
      <c r="Y346" s="50" t="str">
        <f>MID(VLOOKUP($A346,Seqs!$A:$B,2,FALSE),VLOOKUP($A346,'SegEnds_NonXtal_Prot#'!A:AL,10,FALSE)+9,1)</f>
        <v>L</v>
      </c>
      <c r="Z346" s="50" t="str">
        <f>MID(VLOOKUP($A346,Seqs!$A:$B,2,FALSE),VLOOKUP($A346,'SegEnds_NonXtal_Prot#'!A:AL,10,FALSE)+10,1)</f>
        <v>F</v>
      </c>
      <c r="AA346" s="28" t="str">
        <f>MID(VLOOKUP($A346,Seqs!$A:$B,2,FALSE),VLOOKUP($A346,'SegEnds_NonXtal_Prot#'!$A:$AL,22,FALSE)+6,1)</f>
        <v>L</v>
      </c>
      <c r="AB346" s="50" t="str">
        <f>MID(VLOOKUP($A346,Seqs!$A:$B,2,FALSE),VLOOKUP($A346,'SegEnds_NonXtal_Prot#'!$A:$AL,22,FALSE)+7,1)</f>
        <v>L</v>
      </c>
      <c r="AC346" s="50" t="str">
        <f>MID(VLOOKUP($A346,Seqs!$A:$B,2,FALSE),VLOOKUP($A346,'SegEnds_NonXtal_Prot#'!$A:$AL,22,FALSE)+8,1)</f>
        <v>M</v>
      </c>
      <c r="AD346" s="50" t="str">
        <f>MID(VLOOKUP($A346,Seqs!$A:$B,2,FALSE),VLOOKUP($A346,'SegEnds_NonXtal_Prot#'!$A:$AL,22,FALSE)+9,1)</f>
        <v>T</v>
      </c>
      <c r="AE346" s="50" t="str">
        <f>MID(VLOOKUP($A346,Seqs!$A:$B,2,FALSE),VLOOKUP($A346,'SegEnds_NonXtal_Prot#'!$A:$AL,22,FALSE)+10,1)</f>
        <v>W</v>
      </c>
      <c r="AF346" s="28" t="str">
        <f>MID(VLOOKUP($A346,Seqs!$A:$B,2,FALSE),VLOOKUP($A346,'SegEnds_NonXtal_Prot#'!$A:$AL,28,FALSE)-4,1)</f>
        <v>C</v>
      </c>
      <c r="AG346" s="50" t="str">
        <f>MID(VLOOKUP($A346,Seqs!$A:$B,2,FALSE),VLOOKUP($A346,'SegEnds_NonXtal_Prot#'!$A:$AL,28,FALSE),1)</f>
        <v>L</v>
      </c>
    </row>
    <row r="347" spans="1:33" s="2" customFormat="1" x14ac:dyDescent="0.2">
      <c r="A347" s="2" t="s">
        <v>109</v>
      </c>
      <c r="B347" s="2" t="str">
        <f>LOWER(VLOOKUP(A347,Xtal_Templ!A:B,2,FALSE))</f>
        <v>grm1_human</v>
      </c>
      <c r="C347" s="2" t="str">
        <f>VLOOKUP(A347,Classification!A:D,2,FALSE)</f>
        <v>C</v>
      </c>
      <c r="D347" s="2" t="str">
        <f>IF(ISERROR(MATCH(A347,'SegEnds_Xtal_Prot#'!B:B, 0)), "NoXtal", "Xtal")</f>
        <v>NoXtal</v>
      </c>
      <c r="G347" s="4"/>
      <c r="T347" s="2" t="s">
        <v>1330</v>
      </c>
      <c r="U347" s="28" t="str">
        <f>MID(VLOOKUP($A347,Seqs!$A:$B,2,FALSE),VLOOKUP($A347,'SegEnds_NonXtal_Prot#'!A:AL,10,FALSE),1)</f>
        <v>S</v>
      </c>
      <c r="V347" s="50" t="str">
        <f>MID(VLOOKUP($A347,Seqs!$A:$B,2,FALSE),VLOOKUP($A347,'SegEnds_NonXtal_Prot#'!A:AL,10,FALSE)+6,1)</f>
        <v>P</v>
      </c>
      <c r="W347" s="50" t="str">
        <f>MID(VLOOKUP($A347,Seqs!$A:$B,2,FALSE),VLOOKUP($A347,'SegEnds_NonXtal_Prot#'!A:AL,10,FALSE)+7,1)</f>
        <v>V</v>
      </c>
      <c r="X347" s="50" t="str">
        <f>MID(VLOOKUP($A347,Seqs!$A:$B,2,FALSE),VLOOKUP($A347,'SegEnds_NonXtal_Prot#'!A:AL,10,FALSE)+8,1)</f>
        <v>V</v>
      </c>
      <c r="Y347" s="50" t="str">
        <f>MID(VLOOKUP($A347,Seqs!$A:$B,2,FALSE),VLOOKUP($A347,'SegEnds_NonXtal_Prot#'!A:AL,10,FALSE)+9,1)</f>
        <v>I</v>
      </c>
      <c r="Z347" s="50" t="str">
        <f>MID(VLOOKUP($A347,Seqs!$A:$B,2,FALSE),VLOOKUP($A347,'SegEnds_NonXtal_Prot#'!A:AL,10,FALSE)+10,1)</f>
        <v>L</v>
      </c>
      <c r="AA347" s="28" t="str">
        <f>MID(VLOOKUP($A347,Seqs!$A:$B,2,FALSE),VLOOKUP($A347,'SegEnds_NonXtal_Prot#'!$A:$AL,22,FALSE)+6,1)</f>
        <v>L</v>
      </c>
      <c r="AB347" s="50" t="str">
        <f>MID(VLOOKUP($A347,Seqs!$A:$B,2,FALSE),VLOOKUP($A347,'SegEnds_NonXtal_Prot#'!$A:$AL,22,FALSE)+7,1)</f>
        <v>A</v>
      </c>
      <c r="AC347" s="50" t="str">
        <f>MID(VLOOKUP($A347,Seqs!$A:$B,2,FALSE),VLOOKUP($A347,'SegEnds_NonXtal_Prot#'!$A:$AL,22,FALSE)+8,1)</f>
        <v>V</v>
      </c>
      <c r="AD347" s="50" t="str">
        <f>MID(VLOOKUP($A347,Seqs!$A:$B,2,FALSE),VLOOKUP($A347,'SegEnds_NonXtal_Prot#'!$A:$AL,22,FALSE)+9,1)</f>
        <v>I</v>
      </c>
      <c r="AE347" s="50" t="str">
        <f>MID(VLOOKUP($A347,Seqs!$A:$B,2,FALSE),VLOOKUP($A347,'SegEnds_NonXtal_Prot#'!$A:$AL,22,FALSE)+10,1)</f>
        <v>L</v>
      </c>
      <c r="AF347" s="28" t="str">
        <f>MID(VLOOKUP($A347,Seqs!$A:$B,2,FALSE),VLOOKUP($A347,'SegEnds_NonXtal_Prot#'!$A:$AL,28,FALSE)-4,1)</f>
        <v>A</v>
      </c>
      <c r="AG347" s="50" t="str">
        <f>MID(VLOOKUP($A347,Seqs!$A:$B,2,FALSE),VLOOKUP($A347,'SegEnds_NonXtal_Prot#'!$A:$AL,28,FALSE),1)</f>
        <v>F</v>
      </c>
    </row>
    <row r="348" spans="1:33" s="2" customFormat="1" x14ac:dyDescent="0.2">
      <c r="A348" s="2" t="s">
        <v>110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G348" s="4"/>
      <c r="T348" s="2" t="s">
        <v>1330</v>
      </c>
      <c r="U348" s="28" t="str">
        <f>MID(VLOOKUP($A348,Seqs!$A:$B,2,FALSE),VLOOKUP($A348,'SegEnds_NonXtal_Prot#'!A:AL,10,FALSE),1)</f>
        <v>F</v>
      </c>
      <c r="V348" s="50" t="str">
        <f>MID(VLOOKUP($A348,Seqs!$A:$B,2,FALSE),VLOOKUP($A348,'SegEnds_NonXtal_Prot#'!A:AL,10,FALSE)+6,1)</f>
        <v>P</v>
      </c>
      <c r="W348" s="50" t="str">
        <f>MID(VLOOKUP($A348,Seqs!$A:$B,2,FALSE),VLOOKUP($A348,'SegEnds_NonXtal_Prot#'!A:AL,10,FALSE)+7,1)</f>
        <v>V</v>
      </c>
      <c r="X348" s="50" t="str">
        <f>MID(VLOOKUP($A348,Seqs!$A:$B,2,FALSE),VLOOKUP($A348,'SegEnds_NonXtal_Prot#'!A:AL,10,FALSE)+8,1)</f>
        <v>F</v>
      </c>
      <c r="Y348" s="50" t="str">
        <f>MID(VLOOKUP($A348,Seqs!$A:$B,2,FALSE),VLOOKUP($A348,'SegEnds_NonXtal_Prot#'!A:AL,10,FALSE)+9,1)</f>
        <v>I</v>
      </c>
      <c r="Z348" s="50" t="str">
        <f>MID(VLOOKUP($A348,Seqs!$A:$B,2,FALSE),VLOOKUP($A348,'SegEnds_NonXtal_Prot#'!A:AL,10,FALSE)+10,1)</f>
        <v>L</v>
      </c>
      <c r="AA348" s="28" t="str">
        <f>MID(VLOOKUP($A348,Seqs!$A:$B,2,FALSE),VLOOKUP($A348,'SegEnds_NonXtal_Prot#'!$A:$AL,22,FALSE)+6,1)</f>
        <v>L</v>
      </c>
      <c r="AB348" s="50" t="str">
        <f>MID(VLOOKUP($A348,Seqs!$A:$B,2,FALSE),VLOOKUP($A348,'SegEnds_NonXtal_Prot#'!$A:$AL,22,FALSE)+7,1)</f>
        <v>G</v>
      </c>
      <c r="AC348" s="50" t="str">
        <f>MID(VLOOKUP($A348,Seqs!$A:$B,2,FALSE),VLOOKUP($A348,'SegEnds_NonXtal_Prot#'!$A:$AL,22,FALSE)+8,1)</f>
        <v>L</v>
      </c>
      <c r="AD348" s="50" t="str">
        <f>MID(VLOOKUP($A348,Seqs!$A:$B,2,FALSE),VLOOKUP($A348,'SegEnds_NonXtal_Prot#'!$A:$AL,22,FALSE)+9,1)</f>
        <v>L</v>
      </c>
      <c r="AE348" s="50" t="str">
        <f>MID(VLOOKUP($A348,Seqs!$A:$B,2,FALSE),VLOOKUP($A348,'SegEnds_NonXtal_Prot#'!$A:$AL,22,FALSE)+10,1)</f>
        <v>L</v>
      </c>
      <c r="AF348" s="28" t="str">
        <f>MID(VLOOKUP($A348,Seqs!$A:$B,2,FALSE),VLOOKUP($A348,'SegEnds_NonXtal_Prot#'!$A:$AL,28,FALSE)-4,1)</f>
        <v>A</v>
      </c>
      <c r="AG348" s="50" t="str">
        <f>MID(VLOOKUP($A348,Seqs!$A:$B,2,FALSE),VLOOKUP($A348,'SegEnds_NonXtal_Prot#'!$A:$AL,28,FALSE),1)</f>
        <v>L</v>
      </c>
    </row>
    <row r="349" spans="1:33" s="2" customFormat="1" x14ac:dyDescent="0.2">
      <c r="A349" s="2" t="s">
        <v>111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G349" s="4"/>
      <c r="T349" s="2" t="s">
        <v>1330</v>
      </c>
      <c r="U349" s="28" t="str">
        <f>MID(VLOOKUP($A349,Seqs!$A:$B,2,FALSE),VLOOKUP($A349,'SegEnds_NonXtal_Prot#'!A:AL,10,FALSE),1)</f>
        <v>T</v>
      </c>
      <c r="V349" s="50" t="str">
        <f>MID(VLOOKUP($A349,Seqs!$A:$B,2,FALSE),VLOOKUP($A349,'SegEnds_NonXtal_Prot#'!A:AL,10,FALSE)+6,1)</f>
        <v>L</v>
      </c>
      <c r="W349" s="50" t="str">
        <f>MID(VLOOKUP($A349,Seqs!$A:$B,2,FALSE),VLOOKUP($A349,'SegEnds_NonXtal_Prot#'!A:AL,10,FALSE)+7,1)</f>
        <v>T</v>
      </c>
      <c r="X349" s="50" t="str">
        <f>MID(VLOOKUP($A349,Seqs!$A:$B,2,FALSE),VLOOKUP($A349,'SegEnds_NonXtal_Prot#'!A:AL,10,FALSE)+8,1)</f>
        <v>F</v>
      </c>
      <c r="Y349" s="50" t="str">
        <f>MID(VLOOKUP($A349,Seqs!$A:$B,2,FALSE),VLOOKUP($A349,'SegEnds_NonXtal_Prot#'!A:AL,10,FALSE)+9,1)</f>
        <v>A</v>
      </c>
      <c r="Z349" s="50" t="str">
        <f>MID(VLOOKUP($A349,Seqs!$A:$B,2,FALSE),VLOOKUP($A349,'SegEnds_NonXtal_Prot#'!A:AL,10,FALSE)+10,1)</f>
        <v>F</v>
      </c>
      <c r="AA349" s="28" t="str">
        <f>MID(VLOOKUP($A349,Seqs!$A:$B,2,FALSE),VLOOKUP($A349,'SegEnds_NonXtal_Prot#'!$A:$AL,22,FALSE)+6,1)</f>
        <v>I</v>
      </c>
      <c r="AB349" s="50" t="str">
        <f>MID(VLOOKUP($A349,Seqs!$A:$B,2,FALSE),VLOOKUP($A349,'SegEnds_NonXtal_Prot#'!$A:$AL,22,FALSE)+7,1)</f>
        <v>A</v>
      </c>
      <c r="AC349" s="50" t="str">
        <f>MID(VLOOKUP($A349,Seqs!$A:$B,2,FALSE),VLOOKUP($A349,'SegEnds_NonXtal_Prot#'!$A:$AL,22,FALSE)+8,1)</f>
        <v>V</v>
      </c>
      <c r="AD349" s="50" t="str">
        <f>MID(VLOOKUP($A349,Seqs!$A:$B,2,FALSE),VLOOKUP($A349,'SegEnds_NonXtal_Prot#'!$A:$AL,22,FALSE)+9,1)</f>
        <v>E</v>
      </c>
      <c r="AE349" s="50" t="str">
        <f>MID(VLOOKUP($A349,Seqs!$A:$B,2,FALSE),VLOOKUP($A349,'SegEnds_NonXtal_Prot#'!$A:$AL,22,FALSE)+10,1)</f>
        <v>W</v>
      </c>
      <c r="AF349" s="28" t="str">
        <f>MID(VLOOKUP($A349,Seqs!$A:$B,2,FALSE),VLOOKUP($A349,'SegEnds_NonXtal_Prot#'!$A:$AL,28,FALSE)-4,1)</f>
        <v>Y</v>
      </c>
      <c r="AG349" s="50" t="str">
        <f>MID(VLOOKUP($A349,Seqs!$A:$B,2,FALSE),VLOOKUP($A349,'SegEnds_NonXtal_Prot#'!$A:$AL,28,FALSE),1)</f>
        <v>L</v>
      </c>
    </row>
    <row r="350" spans="1:33" s="2" customFormat="1" x14ac:dyDescent="0.2">
      <c r="A350" s="2" t="s">
        <v>112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G350" s="4"/>
      <c r="T350" s="2" t="s">
        <v>1330</v>
      </c>
      <c r="U350" s="28" t="str">
        <f>MID(VLOOKUP($A350,Seqs!$A:$B,2,FALSE),VLOOKUP($A350,'SegEnds_NonXtal_Prot#'!A:AL,10,FALSE),1)</f>
        <v>T</v>
      </c>
      <c r="V350" s="50" t="str">
        <f>MID(VLOOKUP($A350,Seqs!$A:$B,2,FALSE),VLOOKUP($A350,'SegEnds_NonXtal_Prot#'!A:AL,10,FALSE)+6,1)</f>
        <v>L</v>
      </c>
      <c r="W350" s="50" t="str">
        <f>MID(VLOOKUP($A350,Seqs!$A:$B,2,FALSE),VLOOKUP($A350,'SegEnds_NonXtal_Prot#'!A:AL,10,FALSE)+7,1)</f>
        <v>V</v>
      </c>
      <c r="X350" s="50" t="str">
        <f>MID(VLOOKUP($A350,Seqs!$A:$B,2,FALSE),VLOOKUP($A350,'SegEnds_NonXtal_Prot#'!A:AL,10,FALSE)+8,1)</f>
        <v>F</v>
      </c>
      <c r="Y350" s="50" t="str">
        <f>MID(VLOOKUP($A350,Seqs!$A:$B,2,FALSE),VLOOKUP($A350,'SegEnds_NonXtal_Prot#'!A:AL,10,FALSE)+9,1)</f>
        <v>A</v>
      </c>
      <c r="Z350" s="50" t="str">
        <f>MID(VLOOKUP($A350,Seqs!$A:$B,2,FALSE),VLOOKUP($A350,'SegEnds_NonXtal_Prot#'!A:AL,10,FALSE)+10,1)</f>
        <v>C</v>
      </c>
      <c r="AA350" s="28" t="str">
        <f>MID(VLOOKUP($A350,Seqs!$A:$B,2,FALSE),VLOOKUP($A350,'SegEnds_NonXtal_Prot#'!$A:$AL,22,FALSE)+6,1)</f>
        <v>I</v>
      </c>
      <c r="AB350" s="50" t="str">
        <f>MID(VLOOKUP($A350,Seqs!$A:$B,2,FALSE),VLOOKUP($A350,'SegEnds_NonXtal_Prot#'!$A:$AL,22,FALSE)+7,1)</f>
        <v>N</v>
      </c>
      <c r="AC350" s="50" t="str">
        <f>MID(VLOOKUP($A350,Seqs!$A:$B,2,FALSE),VLOOKUP($A350,'SegEnds_NonXtal_Prot#'!$A:$AL,22,FALSE)+8,1)</f>
        <v>T</v>
      </c>
      <c r="AD350" s="50" t="str">
        <f>MID(VLOOKUP($A350,Seqs!$A:$B,2,FALSE),VLOOKUP($A350,'SegEnds_NonXtal_Prot#'!$A:$AL,22,FALSE)+9,1)</f>
        <v>E</v>
      </c>
      <c r="AE350" s="50" t="str">
        <f>MID(VLOOKUP($A350,Seqs!$A:$B,2,FALSE),VLOOKUP($A350,'SegEnds_NonXtal_Prot#'!$A:$AL,22,FALSE)+10,1)</f>
        <v>W</v>
      </c>
      <c r="AF350" s="28" t="str">
        <f>MID(VLOOKUP($A350,Seqs!$A:$B,2,FALSE),VLOOKUP($A350,'SegEnds_NonXtal_Prot#'!$A:$AL,28,FALSE)-4,1)</f>
        <v>Y</v>
      </c>
      <c r="AG350" s="50" t="str">
        <f>MID(VLOOKUP($A350,Seqs!$A:$B,2,FALSE),VLOOKUP($A350,'SegEnds_NonXtal_Prot#'!$A:$AL,28,FALSE),1)</f>
        <v>L</v>
      </c>
    </row>
    <row r="351" spans="1:33" s="2" customFormat="1" x14ac:dyDescent="0.2">
      <c r="A351" s="2" t="s">
        <v>113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G351" s="4"/>
      <c r="T351" s="2" t="s">
        <v>1330</v>
      </c>
      <c r="U351" s="28" t="str">
        <f>MID(VLOOKUP($A351,Seqs!$A:$B,2,FALSE),VLOOKUP($A351,'SegEnds_NonXtal_Prot#'!A:AL,10,FALSE),1)</f>
        <v>V</v>
      </c>
      <c r="V351" s="50" t="str">
        <f>MID(VLOOKUP($A351,Seqs!$A:$B,2,FALSE),VLOOKUP($A351,'SegEnds_NonXtal_Prot#'!A:AL,10,FALSE)+6,1)</f>
        <v>L</v>
      </c>
      <c r="W351" s="50" t="str">
        <f>MID(VLOOKUP($A351,Seqs!$A:$B,2,FALSE),VLOOKUP($A351,'SegEnds_NonXtal_Prot#'!A:AL,10,FALSE)+7,1)</f>
        <v>A</v>
      </c>
      <c r="X351" s="50" t="str">
        <f>MID(VLOOKUP($A351,Seqs!$A:$B,2,FALSE),VLOOKUP($A351,'SegEnds_NonXtal_Prot#'!A:AL,10,FALSE)+8,1)</f>
        <v>F</v>
      </c>
      <c r="Y351" s="50" t="str">
        <f>MID(VLOOKUP($A351,Seqs!$A:$B,2,FALSE),VLOOKUP($A351,'SegEnds_NonXtal_Prot#'!A:AL,10,FALSE)+9,1)</f>
        <v>A</v>
      </c>
      <c r="Z351" s="50" t="str">
        <f>MID(VLOOKUP($A351,Seqs!$A:$B,2,FALSE),VLOOKUP($A351,'SegEnds_NonXtal_Prot#'!A:AL,10,FALSE)+10,1)</f>
        <v>F</v>
      </c>
      <c r="AA351" s="28" t="str">
        <f>MID(VLOOKUP($A351,Seqs!$A:$B,2,FALSE),VLOOKUP($A351,'SegEnds_NonXtal_Prot#'!$A:$AL,22,FALSE)+6,1)</f>
        <v>I</v>
      </c>
      <c r="AB351" s="50" t="str">
        <f>MID(VLOOKUP($A351,Seqs!$A:$B,2,FALSE),VLOOKUP($A351,'SegEnds_NonXtal_Prot#'!$A:$AL,22,FALSE)+7,1)</f>
        <v>A</v>
      </c>
      <c r="AC351" s="50" t="str">
        <f>MID(VLOOKUP($A351,Seqs!$A:$B,2,FALSE),VLOOKUP($A351,'SegEnds_NonXtal_Prot#'!$A:$AL,22,FALSE)+8,1)</f>
        <v>T</v>
      </c>
      <c r="AD351" s="50" t="str">
        <f>MID(VLOOKUP($A351,Seqs!$A:$B,2,FALSE),VLOOKUP($A351,'SegEnds_NonXtal_Prot#'!$A:$AL,22,FALSE)+9,1)</f>
        <v>E</v>
      </c>
      <c r="AE351" s="50" t="str">
        <f>MID(VLOOKUP($A351,Seqs!$A:$B,2,FALSE),VLOOKUP($A351,'SegEnds_NonXtal_Prot#'!$A:$AL,22,FALSE)+10,1)</f>
        <v>Y</v>
      </c>
      <c r="AF351" s="28" t="str">
        <f>MID(VLOOKUP($A351,Seqs!$A:$B,2,FALSE),VLOOKUP($A351,'SegEnds_NonXtal_Prot#'!$A:$AL,28,FALSE)-4,1)</f>
        <v>Y</v>
      </c>
      <c r="AG351" s="50" t="str">
        <f>MID(VLOOKUP($A351,Seqs!$A:$B,2,FALSE),VLOOKUP($A351,'SegEnds_NonXtal_Prot#'!$A:$AL,28,FALSE),1)</f>
        <v>L</v>
      </c>
    </row>
    <row r="352" spans="1:33" s="2" customFormat="1" x14ac:dyDescent="0.2">
      <c r="A352" s="2" t="s">
        <v>114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G352" s="4"/>
      <c r="T352" s="2" t="s">
        <v>1330</v>
      </c>
      <c r="U352" s="28" t="str">
        <f>MID(VLOOKUP($A352,Seqs!$A:$B,2,FALSE),VLOOKUP($A352,'SegEnds_NonXtal_Prot#'!A:AL,10,FALSE),1)</f>
        <v>H</v>
      </c>
      <c r="V352" s="50" t="str">
        <f>MID(VLOOKUP($A352,Seqs!$A:$B,2,FALSE),VLOOKUP($A352,'SegEnds_NonXtal_Prot#'!A:AL,10,FALSE)+6,1)</f>
        <v>S</v>
      </c>
      <c r="W352" s="50" t="str">
        <f>MID(VLOOKUP($A352,Seqs!$A:$B,2,FALSE),VLOOKUP($A352,'SegEnds_NonXtal_Prot#'!A:AL,10,FALSE)+7,1)</f>
        <v>T</v>
      </c>
      <c r="X352" s="50" t="str">
        <f>MID(VLOOKUP($A352,Seqs!$A:$B,2,FALSE),VLOOKUP($A352,'SegEnds_NonXtal_Prot#'!A:AL,10,FALSE)+8,1)</f>
        <v>S</v>
      </c>
      <c r="Y352" s="50" t="str">
        <f>MID(VLOOKUP($A352,Seqs!$A:$B,2,FALSE),VLOOKUP($A352,'SegEnds_NonXtal_Prot#'!A:AL,10,FALSE)+9,1)</f>
        <v>F</v>
      </c>
      <c r="Z352" s="50" t="str">
        <f>MID(VLOOKUP($A352,Seqs!$A:$B,2,FALSE),VLOOKUP($A352,'SegEnds_NonXtal_Prot#'!A:AL,10,FALSE)+10,1)</f>
        <v>F</v>
      </c>
      <c r="AA352" s="28" t="str">
        <f>MID(VLOOKUP($A352,Seqs!$A:$B,2,FALSE),VLOOKUP($A352,'SegEnds_NonXtal_Prot#'!$A:$AL,22,FALSE)+6,1)</f>
        <v>I</v>
      </c>
      <c r="AB352" s="50" t="str">
        <f>MID(VLOOKUP($A352,Seqs!$A:$B,2,FALSE),VLOOKUP($A352,'SegEnds_NonXtal_Prot#'!$A:$AL,22,FALSE)+7,1)</f>
        <v>C</v>
      </c>
      <c r="AC352" s="50" t="str">
        <f>MID(VLOOKUP($A352,Seqs!$A:$B,2,FALSE),VLOOKUP($A352,'SegEnds_NonXtal_Prot#'!$A:$AL,22,FALSE)+8,1)</f>
        <v>T</v>
      </c>
      <c r="AD352" s="50" t="str">
        <f>MID(VLOOKUP($A352,Seqs!$A:$B,2,FALSE),VLOOKUP($A352,'SegEnds_NonXtal_Prot#'!$A:$AL,22,FALSE)+9,1)</f>
        <v>L</v>
      </c>
      <c r="AE352" s="50" t="str">
        <f>MID(VLOOKUP($A352,Seqs!$A:$B,2,FALSE),VLOOKUP($A352,'SegEnds_NonXtal_Prot#'!$A:$AL,22,FALSE)+10,1)</f>
        <v>W</v>
      </c>
      <c r="AF352" s="28" t="str">
        <f>MID(VLOOKUP($A352,Seqs!$A:$B,2,FALSE),VLOOKUP($A352,'SegEnds_NonXtal_Prot#'!$A:$AL,28,FALSE)-4,1)</f>
        <v>Y</v>
      </c>
      <c r="AG352" s="50" t="str">
        <f>MID(VLOOKUP($A352,Seqs!$A:$B,2,FALSE),VLOOKUP($A352,'SegEnds_NonXtal_Prot#'!$A:$AL,28,FALSE),1)</f>
        <v>L</v>
      </c>
    </row>
    <row r="353" spans="1:33" s="2" customFormat="1" x14ac:dyDescent="0.2">
      <c r="A353" s="2" t="s">
        <v>40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Xtal</v>
      </c>
      <c r="G353" s="4"/>
      <c r="T353" s="2" t="s">
        <v>1330</v>
      </c>
      <c r="U353" s="28" t="str">
        <f>MID(VLOOKUP($A353,Seqs!$A:$B,2,FALSE),VLOOKUP($A353,'SegEnds_NonXtal_Prot#'!A:AL,10,FALSE),1)</f>
        <v>I</v>
      </c>
      <c r="V353" s="50" t="str">
        <f>MID(VLOOKUP($A353,Seqs!$A:$B,2,FALSE),VLOOKUP($A353,'SegEnds_NonXtal_Prot#'!A:AL,10,FALSE)+6,1)</f>
        <v>C</v>
      </c>
      <c r="W353" s="50" t="str">
        <f>MID(VLOOKUP($A353,Seqs!$A:$B,2,FALSE),VLOOKUP($A353,'SegEnds_NonXtal_Prot#'!A:AL,10,FALSE)+7,1)</f>
        <v>P</v>
      </c>
      <c r="X353" s="50" t="str">
        <f>MID(VLOOKUP($A353,Seqs!$A:$B,2,FALSE),VLOOKUP($A353,'SegEnds_NonXtal_Prot#'!A:AL,10,FALSE)+8,1)</f>
        <v>F</v>
      </c>
      <c r="Y353" s="50" t="str">
        <f>MID(VLOOKUP($A353,Seqs!$A:$B,2,FALSE),VLOOKUP($A353,'SegEnds_NonXtal_Prot#'!A:AL,10,FALSE)+9,1)</f>
        <v>T</v>
      </c>
      <c r="Z353" s="50" t="str">
        <f>MID(VLOOKUP($A353,Seqs!$A:$B,2,FALSE),VLOOKUP($A353,'SegEnds_NonXtal_Prot#'!A:AL,10,FALSE)+10,1)</f>
        <v>L</v>
      </c>
      <c r="AA353" s="28" t="str">
        <f>MID(VLOOKUP($A353,Seqs!$A:$B,2,FALSE),VLOOKUP($A353,'SegEnds_NonXtal_Prot#'!$A:$AL,22,FALSE)+6,1)</f>
        <v>L</v>
      </c>
      <c r="AB353" s="50" t="str">
        <f>MID(VLOOKUP($A353,Seqs!$A:$B,2,FALSE),VLOOKUP($A353,'SegEnds_NonXtal_Prot#'!$A:$AL,22,FALSE)+7,1)</f>
        <v>V</v>
      </c>
      <c r="AC353" s="50" t="str">
        <f>MID(VLOOKUP($A353,Seqs!$A:$B,2,FALSE),VLOOKUP($A353,'SegEnds_NonXtal_Prot#'!$A:$AL,22,FALSE)+8,1)</f>
        <v>V</v>
      </c>
      <c r="AD353" s="50" t="str">
        <f>MID(VLOOKUP($A353,Seqs!$A:$B,2,FALSE),VLOOKUP($A353,'SegEnds_NonXtal_Prot#'!$A:$AL,22,FALSE)+9,1)</f>
        <v>T</v>
      </c>
      <c r="AE353" s="50" t="str">
        <f>MID(VLOOKUP($A353,Seqs!$A:$B,2,FALSE),VLOOKUP($A353,'SegEnds_NonXtal_Prot#'!$A:$AL,22,FALSE)+10,1)</f>
        <v>L</v>
      </c>
      <c r="AF353" s="28" t="str">
        <f>MID(VLOOKUP($A353,Seqs!$A:$B,2,FALSE),VLOOKUP($A353,'SegEnds_NonXtal_Prot#'!$A:$AL,28,FALSE)-4,1)</f>
        <v>Y</v>
      </c>
      <c r="AG353" s="50" t="str">
        <f>MID(VLOOKUP($A353,Seqs!$A:$B,2,FALSE),VLOOKUP($A353,'SegEnds_NonXtal_Prot#'!$A:$AL,28,FALSE),1)</f>
        <v>L</v>
      </c>
    </row>
    <row r="354" spans="1:33" s="2" customFormat="1" x14ac:dyDescent="0.2">
      <c r="A354" s="2" t="s">
        <v>121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G354" s="4"/>
      <c r="T354" s="2" t="s">
        <v>1330</v>
      </c>
      <c r="U354" s="28" t="str">
        <f>MID(VLOOKUP($A354,Seqs!$A:$B,2,FALSE),VLOOKUP($A354,'SegEnds_NonXtal_Prot#'!A:AL,10,FALSE),1)</f>
        <v>V</v>
      </c>
      <c r="V354" s="50" t="str">
        <f>MID(VLOOKUP($A354,Seqs!$A:$B,2,FALSE),VLOOKUP($A354,'SegEnds_NonXtal_Prot#'!A:AL,10,FALSE)+6,1)</f>
        <v>L</v>
      </c>
      <c r="W354" s="50" t="str">
        <f>MID(VLOOKUP($A354,Seqs!$A:$B,2,FALSE),VLOOKUP($A354,'SegEnds_NonXtal_Prot#'!A:AL,10,FALSE)+7,1)</f>
        <v>T</v>
      </c>
      <c r="X354" s="50" t="str">
        <f>MID(VLOOKUP($A354,Seqs!$A:$B,2,FALSE),VLOOKUP($A354,'SegEnds_NonXtal_Prot#'!A:AL,10,FALSE)+8,1)</f>
        <v>F</v>
      </c>
      <c r="Y354" s="50" t="str">
        <f>MID(VLOOKUP($A354,Seqs!$A:$B,2,FALSE),VLOOKUP($A354,'SegEnds_NonXtal_Prot#'!A:AL,10,FALSE)+9,1)</f>
        <v>A</v>
      </c>
      <c r="Z354" s="50" t="str">
        <f>MID(VLOOKUP($A354,Seqs!$A:$B,2,FALSE),VLOOKUP($A354,'SegEnds_NonXtal_Prot#'!A:AL,10,FALSE)+10,1)</f>
        <v>F</v>
      </c>
      <c r="AA354" s="28" t="str">
        <f>MID(VLOOKUP($A354,Seqs!$A:$B,2,FALSE),VLOOKUP($A354,'SegEnds_NonXtal_Prot#'!$A:$AL,22,FALSE)+6,1)</f>
        <v>I</v>
      </c>
      <c r="AB354" s="50" t="str">
        <f>MID(VLOOKUP($A354,Seqs!$A:$B,2,FALSE),VLOOKUP($A354,'SegEnds_NonXtal_Prot#'!$A:$AL,22,FALSE)+7,1)</f>
        <v>A</v>
      </c>
      <c r="AC354" s="50" t="str">
        <f>MID(VLOOKUP($A354,Seqs!$A:$B,2,FALSE),VLOOKUP($A354,'SegEnds_NonXtal_Prot#'!$A:$AL,22,FALSE)+8,1)</f>
        <v>I</v>
      </c>
      <c r="AD354" s="50" t="str">
        <f>MID(VLOOKUP($A354,Seqs!$A:$B,2,FALSE),VLOOKUP($A354,'SegEnds_NonXtal_Prot#'!$A:$AL,22,FALSE)+9,1)</f>
        <v>E</v>
      </c>
      <c r="AE354" s="50" t="str">
        <f>MID(VLOOKUP($A354,Seqs!$A:$B,2,FALSE),VLOOKUP($A354,'SegEnds_NonXtal_Prot#'!$A:$AL,22,FALSE)+10,1)</f>
        <v>Y</v>
      </c>
      <c r="AF354" s="28" t="str">
        <f>MID(VLOOKUP($A354,Seqs!$A:$B,2,FALSE),VLOOKUP($A354,'SegEnds_NonXtal_Prot#'!$A:$AL,28,FALSE)-4,1)</f>
        <v>Y</v>
      </c>
      <c r="AG354" s="50" t="str">
        <f>MID(VLOOKUP($A354,Seqs!$A:$B,2,FALSE),VLOOKUP($A354,'SegEnds_NonXtal_Prot#'!$A:$AL,28,FALSE),1)</f>
        <v>L</v>
      </c>
    </row>
    <row r="355" spans="1:33" s="2" customFormat="1" x14ac:dyDescent="0.2">
      <c r="A355" s="2" t="s">
        <v>122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G355" s="4"/>
      <c r="T355" s="2" t="s">
        <v>1330</v>
      </c>
      <c r="U355" s="28" t="str">
        <f>MID(VLOOKUP($A355,Seqs!$A:$B,2,FALSE),VLOOKUP($A355,'SegEnds_NonXtal_Prot#'!A:AL,10,FALSE),1)</f>
        <v>L</v>
      </c>
      <c r="V355" s="50" t="str">
        <f>MID(VLOOKUP($A355,Seqs!$A:$B,2,FALSE),VLOOKUP($A355,'SegEnds_NonXtal_Prot#'!A:AL,10,FALSE)+6,1)</f>
        <v>S</v>
      </c>
      <c r="W355" s="50" t="str">
        <f>MID(VLOOKUP($A355,Seqs!$A:$B,2,FALSE),VLOOKUP($A355,'SegEnds_NonXtal_Prot#'!A:AL,10,FALSE)+7,1)</f>
        <v>L</v>
      </c>
      <c r="X355" s="50" t="str">
        <f>MID(VLOOKUP($A355,Seqs!$A:$B,2,FALSE),VLOOKUP($A355,'SegEnds_NonXtal_Prot#'!A:AL,10,FALSE)+8,1)</f>
        <v>Y</v>
      </c>
      <c r="Y355" s="50" t="str">
        <f>MID(VLOOKUP($A355,Seqs!$A:$B,2,FALSE),VLOOKUP($A355,'SegEnds_NonXtal_Prot#'!A:AL,10,FALSE)+9,1)</f>
        <v>G</v>
      </c>
      <c r="Z355" s="50" t="str">
        <f>MID(VLOOKUP($A355,Seqs!$A:$B,2,FALSE),VLOOKUP($A355,'SegEnds_NonXtal_Prot#'!A:AL,10,FALSE)+10,1)</f>
        <v>F</v>
      </c>
      <c r="AA355" s="28" t="str">
        <f>MID(VLOOKUP($A355,Seqs!$A:$B,2,FALSE),VLOOKUP($A355,'SegEnds_NonXtal_Prot#'!$A:$AL,22,FALSE)+6,1)</f>
        <v>I</v>
      </c>
      <c r="AB355" s="50" t="str">
        <f>MID(VLOOKUP($A355,Seqs!$A:$B,2,FALSE),VLOOKUP($A355,'SegEnds_NonXtal_Prot#'!$A:$AL,22,FALSE)+7,1)</f>
        <v>C</v>
      </c>
      <c r="AC355" s="50" t="str">
        <f>MID(VLOOKUP($A355,Seqs!$A:$B,2,FALSE),VLOOKUP($A355,'SegEnds_NonXtal_Prot#'!$A:$AL,22,FALSE)+8,1)</f>
        <v>L</v>
      </c>
      <c r="AD355" s="50" t="str">
        <f>MID(VLOOKUP($A355,Seqs!$A:$B,2,FALSE),VLOOKUP($A355,'SegEnds_NonXtal_Prot#'!$A:$AL,22,FALSE)+9,1)</f>
        <v>T</v>
      </c>
      <c r="AE355" s="50" t="str">
        <f>MID(VLOOKUP($A355,Seqs!$A:$B,2,FALSE),VLOOKUP($A355,'SegEnds_NonXtal_Prot#'!$A:$AL,22,FALSE)+10,1)</f>
        <v>W</v>
      </c>
      <c r="AF355" s="28" t="str">
        <f>MID(VLOOKUP($A355,Seqs!$A:$B,2,FALSE),VLOOKUP($A355,'SegEnds_NonXtal_Prot#'!$A:$AL,28,FALSE)-4,1)</f>
        <v>Y</v>
      </c>
      <c r="AG355" s="50" t="str">
        <f>MID(VLOOKUP($A355,Seqs!$A:$B,2,FALSE),VLOOKUP($A355,'SegEnds_NonXtal_Prot#'!$A:$AL,28,FALSE),1)</f>
        <v>L</v>
      </c>
    </row>
    <row r="356" spans="1:33" s="2" customFormat="1" x14ac:dyDescent="0.2">
      <c r="A356" s="2" t="s">
        <v>123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NoXtal</v>
      </c>
      <c r="G356" s="4"/>
      <c r="T356" s="2" t="s">
        <v>1330</v>
      </c>
      <c r="U356" s="28" t="str">
        <f>MID(VLOOKUP($A356,Seqs!$A:$B,2,FALSE),VLOOKUP($A356,'SegEnds_NonXtal_Prot#'!A:AL,10,FALSE),1)</f>
        <v>L</v>
      </c>
      <c r="V356" s="50" t="str">
        <f>MID(VLOOKUP($A356,Seqs!$A:$B,2,FALSE),VLOOKUP($A356,'SegEnds_NonXtal_Prot#'!A:AL,10,FALSE)+6,1)</f>
        <v>V</v>
      </c>
      <c r="W356" s="50" t="str">
        <f>MID(VLOOKUP($A356,Seqs!$A:$B,2,FALSE),VLOOKUP($A356,'SegEnds_NonXtal_Prot#'!A:AL,10,FALSE)+7,1)</f>
        <v>V</v>
      </c>
      <c r="X356" s="50" t="str">
        <f>MID(VLOOKUP($A356,Seqs!$A:$B,2,FALSE),VLOOKUP($A356,'SegEnds_NonXtal_Prot#'!A:AL,10,FALSE)+8,1)</f>
        <v>P</v>
      </c>
      <c r="Y356" s="50" t="str">
        <f>MID(VLOOKUP($A356,Seqs!$A:$B,2,FALSE),VLOOKUP($A356,'SegEnds_NonXtal_Prot#'!A:AL,10,FALSE)+9,1)</f>
        <v>V</v>
      </c>
      <c r="Z356" s="50" t="str">
        <f>MID(VLOOKUP($A356,Seqs!$A:$B,2,FALSE),VLOOKUP($A356,'SegEnds_NonXtal_Prot#'!A:AL,10,FALSE)+10,1)</f>
        <v>Y</v>
      </c>
      <c r="AA356" s="28" t="str">
        <f>MID(VLOOKUP($A356,Seqs!$A:$B,2,FALSE),VLOOKUP($A356,'SegEnds_NonXtal_Prot#'!$A:$AL,22,FALSE)+6,1)</f>
        <v>I</v>
      </c>
      <c r="AB356" s="50" t="str">
        <f>MID(VLOOKUP($A356,Seqs!$A:$B,2,FALSE),VLOOKUP($A356,'SegEnds_NonXtal_Prot#'!$A:$AL,22,FALSE)+7,1)</f>
        <v>V</v>
      </c>
      <c r="AC356" s="50" t="str">
        <f>MID(VLOOKUP($A356,Seqs!$A:$B,2,FALSE),VLOOKUP($A356,'SegEnds_NonXtal_Prot#'!$A:$AL,22,FALSE)+8,1)</f>
        <v>V</v>
      </c>
      <c r="AD356" s="50" t="str">
        <f>MID(VLOOKUP($A356,Seqs!$A:$B,2,FALSE),VLOOKUP($A356,'SegEnds_NonXtal_Prot#'!$A:$AL,22,FALSE)+9,1)</f>
        <v>I</v>
      </c>
      <c r="AE356" s="50" t="str">
        <f>MID(VLOOKUP($A356,Seqs!$A:$B,2,FALSE),VLOOKUP($A356,'SegEnds_NonXtal_Prot#'!$A:$AL,22,FALSE)+10,1)</f>
        <v>G</v>
      </c>
      <c r="AF356" s="28" t="str">
        <f>MID(VLOOKUP($A356,Seqs!$A:$B,2,FALSE),VLOOKUP($A356,'SegEnds_NonXtal_Prot#'!$A:$AL,28,FALSE)-4,1)</f>
        <v>L</v>
      </c>
      <c r="AG356" s="50" t="str">
        <f>MID(VLOOKUP($A356,Seqs!$A:$B,2,FALSE),VLOOKUP($A356,'SegEnds_NonXtal_Prot#'!$A:$AL,28,FALSE),1)</f>
        <v>L</v>
      </c>
    </row>
    <row r="357" spans="1:33" s="2" customFormat="1" x14ac:dyDescent="0.2">
      <c r="A357" s="2" t="s">
        <v>124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G357" s="4"/>
      <c r="T357" s="2" t="s">
        <v>1330</v>
      </c>
      <c r="U357" s="28" t="str">
        <f>MID(VLOOKUP($A357,Seqs!$A:$B,2,FALSE),VLOOKUP($A357,'SegEnds_NonXtal_Prot#'!A:AL,10,FALSE),1)</f>
        <v>L</v>
      </c>
      <c r="V357" s="50" t="str">
        <f>MID(VLOOKUP($A357,Seqs!$A:$B,2,FALSE),VLOOKUP($A357,'SegEnds_NonXtal_Prot#'!A:AL,10,FALSE)+6,1)</f>
        <v>S</v>
      </c>
      <c r="W357" s="50" t="str">
        <f>MID(VLOOKUP($A357,Seqs!$A:$B,2,FALSE),VLOOKUP($A357,'SegEnds_NonXtal_Prot#'!A:AL,10,FALSE)+7,1)</f>
        <v>V</v>
      </c>
      <c r="X357" s="50" t="str">
        <f>MID(VLOOKUP($A357,Seqs!$A:$B,2,FALSE),VLOOKUP($A357,'SegEnds_NonXtal_Prot#'!A:AL,10,FALSE)+8,1)</f>
        <v>L</v>
      </c>
      <c r="Y357" s="50" t="str">
        <f>MID(VLOOKUP($A357,Seqs!$A:$B,2,FALSE),VLOOKUP($A357,'SegEnds_NonXtal_Prot#'!A:AL,10,FALSE)+9,1)</f>
        <v>L</v>
      </c>
      <c r="Z357" s="50" t="str">
        <f>MID(VLOOKUP($A357,Seqs!$A:$B,2,FALSE),VLOOKUP($A357,'SegEnds_NonXtal_Prot#'!A:AL,10,FALSE)+10,1)</f>
        <v>F</v>
      </c>
      <c r="AA357" s="28" t="str">
        <f>MID(VLOOKUP($A357,Seqs!$A:$B,2,FALSE),VLOOKUP($A357,'SegEnds_NonXtal_Prot#'!$A:$AL,22,FALSE)+6,1)</f>
        <v>L</v>
      </c>
      <c r="AB357" s="50" t="str">
        <f>MID(VLOOKUP($A357,Seqs!$A:$B,2,FALSE),VLOOKUP($A357,'SegEnds_NonXtal_Prot#'!$A:$AL,22,FALSE)+7,1)</f>
        <v>C</v>
      </c>
      <c r="AC357" s="50" t="str">
        <f>MID(VLOOKUP($A357,Seqs!$A:$B,2,FALSE),VLOOKUP($A357,'SegEnds_NonXtal_Prot#'!$A:$AL,22,FALSE)+8,1)</f>
        <v>T</v>
      </c>
      <c r="AD357" s="50" t="str">
        <f>MID(VLOOKUP($A357,Seqs!$A:$B,2,FALSE),VLOOKUP($A357,'SegEnds_NonXtal_Prot#'!$A:$AL,22,FALSE)+9,1)</f>
        <v>W</v>
      </c>
      <c r="AE357" s="50" t="str">
        <f>MID(VLOOKUP($A357,Seqs!$A:$B,2,FALSE),VLOOKUP($A357,'SegEnds_NonXtal_Prot#'!$A:$AL,22,FALSE)+10,1)</f>
        <v>Y</v>
      </c>
      <c r="AF357" s="28" t="str">
        <f>MID(VLOOKUP($A357,Seqs!$A:$B,2,FALSE),VLOOKUP($A357,'SegEnds_NonXtal_Prot#'!$A:$AL,28,FALSE)-4,1)</f>
        <v>T</v>
      </c>
      <c r="AG357" s="50" t="str">
        <f>MID(VLOOKUP($A357,Seqs!$A:$B,2,FALSE),VLOOKUP($A357,'SegEnds_NonXtal_Prot#'!$A:$AL,28,FALSE),1)</f>
        <v>L</v>
      </c>
    </row>
    <row r="358" spans="1:33" s="2" customFormat="1" x14ac:dyDescent="0.2">
      <c r="A358" s="2" t="s">
        <v>105</v>
      </c>
      <c r="B358" s="2" t="str">
        <f>LOWER(VLOOKUP(A358,Xtal_Templ!A:B,2,FALSE))</f>
        <v>grm5_human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G358" s="4"/>
      <c r="T358" s="2" t="s">
        <v>1330</v>
      </c>
      <c r="U358" s="28" t="str">
        <f>MID(VLOOKUP($A358,Seqs!$A:$B,2,FALSE),VLOOKUP($A358,'SegEnds_NonXtal_Prot#'!A:AL,10,FALSE),1)</f>
        <v>L</v>
      </c>
      <c r="V358" s="50" t="str">
        <f>MID(VLOOKUP($A358,Seqs!$A:$B,2,FALSE),VLOOKUP($A358,'SegEnds_NonXtal_Prot#'!A:AL,10,FALSE)+6,1)</f>
        <v>S</v>
      </c>
      <c r="W358" s="50" t="str">
        <f>MID(VLOOKUP($A358,Seqs!$A:$B,2,FALSE),VLOOKUP($A358,'SegEnds_NonXtal_Prot#'!A:AL,10,FALSE)+7,1)</f>
        <v>S</v>
      </c>
      <c r="X358" s="50" t="str">
        <f>MID(VLOOKUP($A358,Seqs!$A:$B,2,FALSE),VLOOKUP($A358,'SegEnds_NonXtal_Prot#'!A:AL,10,FALSE)+8,1)</f>
        <v>L</v>
      </c>
      <c r="Y358" s="50" t="str">
        <f>MID(VLOOKUP($A358,Seqs!$A:$B,2,FALSE),VLOOKUP($A358,'SegEnds_NonXtal_Prot#'!A:AL,10,FALSE)+9,1)</f>
        <v>F</v>
      </c>
      <c r="Z358" s="50" t="str">
        <f>MID(VLOOKUP($A358,Seqs!$A:$B,2,FALSE),VLOOKUP($A358,'SegEnds_NonXtal_Prot#'!A:AL,10,FALSE)+10,1)</f>
        <v>F</v>
      </c>
      <c r="AA358" s="28" t="str">
        <f>MID(VLOOKUP($A358,Seqs!$A:$B,2,FALSE),VLOOKUP($A358,'SegEnds_NonXtal_Prot#'!$A:$AL,22,FALSE)+6,1)</f>
        <v>I</v>
      </c>
      <c r="AB358" s="50" t="str">
        <f>MID(VLOOKUP($A358,Seqs!$A:$B,2,FALSE),VLOOKUP($A358,'SegEnds_NonXtal_Prot#'!$A:$AL,22,FALSE)+7,1)</f>
        <v>C</v>
      </c>
      <c r="AC358" s="50" t="str">
        <f>MID(VLOOKUP($A358,Seqs!$A:$B,2,FALSE),VLOOKUP($A358,'SegEnds_NonXtal_Prot#'!$A:$AL,22,FALSE)+8,1)</f>
        <v>V</v>
      </c>
      <c r="AD358" s="50" t="str">
        <f>MID(VLOOKUP($A358,Seqs!$A:$B,2,FALSE),VLOOKUP($A358,'SegEnds_NonXtal_Prot#'!$A:$AL,22,FALSE)+9,1)</f>
        <v>I</v>
      </c>
      <c r="AE358" s="50" t="str">
        <f>MID(VLOOKUP($A358,Seqs!$A:$B,2,FALSE),VLOOKUP($A358,'SegEnds_NonXtal_Prot#'!$A:$AL,22,FALSE)+10,1)</f>
        <v>W</v>
      </c>
      <c r="AF358" s="28" t="str">
        <f>MID(VLOOKUP($A358,Seqs!$A:$B,2,FALSE),VLOOKUP($A358,'SegEnds_NonXtal_Prot#'!$A:$AL,28,FALSE)-4,1)</f>
        <v>Y</v>
      </c>
      <c r="AG358" s="50" t="str">
        <f>MID(VLOOKUP($A358,Seqs!$A:$B,2,FALSE),VLOOKUP($A358,'SegEnds_NonXtal_Prot#'!$A:$AL,28,FALSE),1)</f>
        <v>L</v>
      </c>
    </row>
    <row r="359" spans="1:33" s="2" customFormat="1" x14ac:dyDescent="0.2">
      <c r="A359" s="2" t="s">
        <v>107</v>
      </c>
      <c r="B359" s="2" t="str">
        <f>LOWER(VLOOKUP(A359,Xtal_Templ!A:B,2,FALSE))</f>
        <v>grm5_human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G359" s="4"/>
      <c r="T359" s="2" t="s">
        <v>1330</v>
      </c>
      <c r="U359" s="28" t="str">
        <f>MID(VLOOKUP($A359,Seqs!$A:$B,2,FALSE),VLOOKUP($A359,'SegEnds_NonXtal_Prot#'!A:AL,10,FALSE),1)</f>
        <v>G</v>
      </c>
      <c r="V359" s="50" t="str">
        <f>MID(VLOOKUP($A359,Seqs!$A:$B,2,FALSE),VLOOKUP($A359,'SegEnds_NonXtal_Prot#'!A:AL,10,FALSE)+6,1)</f>
        <v>S</v>
      </c>
      <c r="W359" s="50" t="str">
        <f>MID(VLOOKUP($A359,Seqs!$A:$B,2,FALSE),VLOOKUP($A359,'SegEnds_NonXtal_Prot#'!A:AL,10,FALSE)+7,1)</f>
        <v>I</v>
      </c>
      <c r="X359" s="50" t="str">
        <f>MID(VLOOKUP($A359,Seqs!$A:$B,2,FALSE),VLOOKUP($A359,'SegEnds_NonXtal_Prot#'!A:AL,10,FALSE)+8,1)</f>
        <v>F</v>
      </c>
      <c r="Y359" s="50" t="str">
        <f>MID(VLOOKUP($A359,Seqs!$A:$B,2,FALSE),VLOOKUP($A359,'SegEnds_NonXtal_Prot#'!A:AL,10,FALSE)+9,1)</f>
        <v>L</v>
      </c>
      <c r="Z359" s="50" t="str">
        <f>MID(VLOOKUP($A359,Seqs!$A:$B,2,FALSE),VLOOKUP($A359,'SegEnds_NonXtal_Prot#'!A:AL,10,FALSE)+10,1)</f>
        <v>F</v>
      </c>
      <c r="AA359" s="28" t="str">
        <f>MID(VLOOKUP($A359,Seqs!$A:$B,2,FALSE),VLOOKUP($A359,'SegEnds_NonXtal_Prot#'!$A:$AL,22,FALSE)+6,1)</f>
        <v>I</v>
      </c>
      <c r="AB359" s="50" t="str">
        <f>MID(VLOOKUP($A359,Seqs!$A:$B,2,FALSE),VLOOKUP($A359,'SegEnds_NonXtal_Prot#'!$A:$AL,22,FALSE)+7,1)</f>
        <v>L</v>
      </c>
      <c r="AC359" s="50" t="str">
        <f>MID(VLOOKUP($A359,Seqs!$A:$B,2,FALSE),VLOOKUP($A359,'SegEnds_NonXtal_Prot#'!$A:$AL,22,FALSE)+8,1)</f>
        <v>I</v>
      </c>
      <c r="AD359" s="50" t="str">
        <f>MID(VLOOKUP($A359,Seqs!$A:$B,2,FALSE),VLOOKUP($A359,'SegEnds_NonXtal_Prot#'!$A:$AL,22,FALSE)+9,1)</f>
        <v>C</v>
      </c>
      <c r="AE359" s="50" t="str">
        <f>MID(VLOOKUP($A359,Seqs!$A:$B,2,FALSE),VLOOKUP($A359,'SegEnds_NonXtal_Prot#'!$A:$AL,22,FALSE)+10,1)</f>
        <v>W</v>
      </c>
      <c r="AF359" s="28" t="str">
        <f>MID(VLOOKUP($A359,Seqs!$A:$B,2,FALSE),VLOOKUP($A359,'SegEnds_NonXtal_Prot#'!$A:$AL,28,FALSE)-4,1)</f>
        <v>Y</v>
      </c>
      <c r="AG359" s="50" t="str">
        <f>MID(VLOOKUP($A359,Seqs!$A:$B,2,FALSE),VLOOKUP($A359,'SegEnds_NonXtal_Prot#'!$A:$AL,28,FALSE),1)</f>
        <v>L</v>
      </c>
    </row>
    <row r="360" spans="1:33" s="2" customFormat="1" x14ac:dyDescent="0.2">
      <c r="A360" s="2" t="s">
        <v>115</v>
      </c>
      <c r="B360" s="2" t="str">
        <f>LOWER(VLOOKUP(A360,Xtal_Templ!A:B,2,FALSE))</f>
        <v>grm5_human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G360" s="4"/>
      <c r="T360" s="2" t="s">
        <v>1330</v>
      </c>
      <c r="U360" s="28" t="str">
        <f>MID(VLOOKUP($A360,Seqs!$A:$B,2,FALSE),VLOOKUP($A360,'SegEnds_NonXtal_Prot#'!A:AL,10,FALSE),1)</f>
        <v>V</v>
      </c>
      <c r="V360" s="50" t="str">
        <f>MID(VLOOKUP($A360,Seqs!$A:$B,2,FALSE),VLOOKUP($A360,'SegEnds_NonXtal_Prot#'!A:AL,10,FALSE)+6,1)</f>
        <v>M</v>
      </c>
      <c r="W360" s="50" t="str">
        <f>MID(VLOOKUP($A360,Seqs!$A:$B,2,FALSE),VLOOKUP($A360,'SegEnds_NonXtal_Prot#'!A:AL,10,FALSE)+7,1)</f>
        <v>T</v>
      </c>
      <c r="X360" s="50" t="str">
        <f>MID(VLOOKUP($A360,Seqs!$A:$B,2,FALSE),VLOOKUP($A360,'SegEnds_NonXtal_Prot#'!A:AL,10,FALSE)+8,1)</f>
        <v>F</v>
      </c>
      <c r="Y360" s="50" t="str">
        <f>MID(VLOOKUP($A360,Seqs!$A:$B,2,FALSE),VLOOKUP($A360,'SegEnds_NonXtal_Prot#'!A:AL,10,FALSE)+9,1)</f>
        <v>I</v>
      </c>
      <c r="Z360" s="50" t="str">
        <f>MID(VLOOKUP($A360,Seqs!$A:$B,2,FALSE),VLOOKUP($A360,'SegEnds_NonXtal_Prot#'!A:AL,10,FALSE)+10,1)</f>
        <v>F</v>
      </c>
      <c r="AA360" s="28" t="str">
        <f>MID(VLOOKUP($A360,Seqs!$A:$B,2,FALSE),VLOOKUP($A360,'SegEnds_NonXtal_Prot#'!$A:$AL,22,FALSE)+6,1)</f>
        <v>I</v>
      </c>
      <c r="AB360" s="50" t="str">
        <f>MID(VLOOKUP($A360,Seqs!$A:$B,2,FALSE),VLOOKUP($A360,'SegEnds_NonXtal_Prot#'!$A:$AL,22,FALSE)+7,1)</f>
        <v>V</v>
      </c>
      <c r="AC360" s="50" t="str">
        <f>MID(VLOOKUP($A360,Seqs!$A:$B,2,FALSE),VLOOKUP($A360,'SegEnds_NonXtal_Prot#'!$A:$AL,22,FALSE)+8,1)</f>
        <v>V</v>
      </c>
      <c r="AD360" s="50" t="str">
        <f>MID(VLOOKUP($A360,Seqs!$A:$B,2,FALSE),VLOOKUP($A360,'SegEnds_NonXtal_Prot#'!$A:$AL,22,FALSE)+9,1)</f>
        <v>A</v>
      </c>
      <c r="AE360" s="50" t="str">
        <f>MID(VLOOKUP($A360,Seqs!$A:$B,2,FALSE),VLOOKUP($A360,'SegEnds_NonXtal_Prot#'!$A:$AL,22,FALSE)+10,1)</f>
        <v>W</v>
      </c>
      <c r="AF360" s="28" t="str">
        <f>MID(VLOOKUP($A360,Seqs!$A:$B,2,FALSE),VLOOKUP($A360,'SegEnds_NonXtal_Prot#'!$A:$AL,28,FALSE)-4,1)</f>
        <v>Y</v>
      </c>
      <c r="AG360" s="50" t="str">
        <f>MID(VLOOKUP($A360,Seqs!$A:$B,2,FALSE),VLOOKUP($A360,'SegEnds_NonXtal_Prot#'!$A:$AL,28,FALSE),1)</f>
        <v>L</v>
      </c>
    </row>
    <row r="361" spans="1:33" s="2" customFormat="1" x14ac:dyDescent="0.2">
      <c r="A361" s="2" t="s">
        <v>116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G361" s="4"/>
      <c r="T361" s="2" t="s">
        <v>1330</v>
      </c>
      <c r="U361" s="28" t="str">
        <f>MID(VLOOKUP($A361,Seqs!$A:$B,2,FALSE),VLOOKUP($A361,'SegEnds_NonXtal_Prot#'!A:AL,10,FALSE),1)</f>
        <v>V</v>
      </c>
      <c r="V361" s="50" t="str">
        <f>MID(VLOOKUP($A361,Seqs!$A:$B,2,FALSE),VLOOKUP($A361,'SegEnds_NonXtal_Prot#'!A:AL,10,FALSE)+6,1)</f>
        <v>M</v>
      </c>
      <c r="W361" s="50" t="str">
        <f>MID(VLOOKUP($A361,Seqs!$A:$B,2,FALSE),VLOOKUP($A361,'SegEnds_NonXtal_Prot#'!A:AL,10,FALSE)+7,1)</f>
        <v>T</v>
      </c>
      <c r="X361" s="50" t="str">
        <f>MID(VLOOKUP($A361,Seqs!$A:$B,2,FALSE),VLOOKUP($A361,'SegEnds_NonXtal_Prot#'!A:AL,10,FALSE)+8,1)</f>
        <v>F</v>
      </c>
      <c r="Y361" s="50" t="str">
        <f>MID(VLOOKUP($A361,Seqs!$A:$B,2,FALSE),VLOOKUP($A361,'SegEnds_NonXtal_Prot#'!A:AL,10,FALSE)+9,1)</f>
        <v>F</v>
      </c>
      <c r="Z361" s="50" t="str">
        <f>MID(VLOOKUP($A361,Seqs!$A:$B,2,FALSE),VLOOKUP($A361,'SegEnds_NonXtal_Prot#'!A:AL,10,FALSE)+10,1)</f>
        <v>F</v>
      </c>
      <c r="AA361" s="28" t="str">
        <f>MID(VLOOKUP($A361,Seqs!$A:$B,2,FALSE),VLOOKUP($A361,'SegEnds_NonXtal_Prot#'!$A:$AL,22,FALSE)+6,1)</f>
        <v>M</v>
      </c>
      <c r="AB361" s="50" t="str">
        <f>MID(VLOOKUP($A361,Seqs!$A:$B,2,FALSE),VLOOKUP($A361,'SegEnds_NonXtal_Prot#'!$A:$AL,22,FALSE)+7,1)</f>
        <v>V</v>
      </c>
      <c r="AC361" s="50" t="str">
        <f>MID(VLOOKUP($A361,Seqs!$A:$B,2,FALSE),VLOOKUP($A361,'SegEnds_NonXtal_Prot#'!$A:$AL,22,FALSE)+8,1)</f>
        <v>S</v>
      </c>
      <c r="AD361" s="50" t="str">
        <f>MID(VLOOKUP($A361,Seqs!$A:$B,2,FALSE),VLOOKUP($A361,'SegEnds_NonXtal_Prot#'!$A:$AL,22,FALSE)+9,1)</f>
        <v>V</v>
      </c>
      <c r="AE361" s="50" t="str">
        <f>MID(VLOOKUP($A361,Seqs!$A:$B,2,FALSE),VLOOKUP($A361,'SegEnds_NonXtal_Prot#'!$A:$AL,22,FALSE)+10,1)</f>
        <v>W</v>
      </c>
      <c r="AF361" s="28" t="str">
        <f>MID(VLOOKUP($A361,Seqs!$A:$B,2,FALSE),VLOOKUP($A361,'SegEnds_NonXtal_Prot#'!$A:$AL,28,FALSE)-4,1)</f>
        <v>Y</v>
      </c>
      <c r="AG361" s="50" t="str">
        <f>MID(VLOOKUP($A361,Seqs!$A:$B,2,FALSE),VLOOKUP($A361,'SegEnds_NonXtal_Prot#'!$A:$AL,28,FALSE),1)</f>
        <v>L</v>
      </c>
    </row>
    <row r="362" spans="1:33" s="2" customFormat="1" x14ac:dyDescent="0.2">
      <c r="A362" s="2" t="s">
        <v>117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G362" s="4"/>
      <c r="T362" s="2" t="s">
        <v>1330</v>
      </c>
      <c r="U362" s="28" t="str">
        <f>MID(VLOOKUP($A362,Seqs!$A:$B,2,FALSE),VLOOKUP($A362,'SegEnds_NonXtal_Prot#'!A:AL,10,FALSE),1)</f>
        <v>I</v>
      </c>
      <c r="V362" s="50" t="str">
        <f>MID(VLOOKUP($A362,Seqs!$A:$B,2,FALSE),VLOOKUP($A362,'SegEnds_NonXtal_Prot#'!A:AL,10,FALSE)+6,1)</f>
        <v>T</v>
      </c>
      <c r="W362" s="50" t="str">
        <f>MID(VLOOKUP($A362,Seqs!$A:$B,2,FALSE),VLOOKUP($A362,'SegEnds_NonXtal_Prot#'!A:AL,10,FALSE)+7,1)</f>
        <v>T</v>
      </c>
      <c r="X362" s="50" t="str">
        <f>MID(VLOOKUP($A362,Seqs!$A:$B,2,FALSE),VLOOKUP($A362,'SegEnds_NonXtal_Prot#'!A:AL,10,FALSE)+8,1)</f>
        <v>F</v>
      </c>
      <c r="Y362" s="50" t="str">
        <f>MID(VLOOKUP($A362,Seqs!$A:$B,2,FALSE),VLOOKUP($A362,'SegEnds_NonXtal_Prot#'!A:AL,10,FALSE)+9,1)</f>
        <v>L</v>
      </c>
      <c r="Z362" s="50" t="str">
        <f>MID(VLOOKUP($A362,Seqs!$A:$B,2,FALSE),VLOOKUP($A362,'SegEnds_NonXtal_Prot#'!A:AL,10,FALSE)+10,1)</f>
        <v>M</v>
      </c>
      <c r="AA362" s="28" t="str">
        <f>MID(VLOOKUP($A362,Seqs!$A:$B,2,FALSE),VLOOKUP($A362,'SegEnds_NonXtal_Prot#'!$A:$AL,22,FALSE)+6,1)</f>
        <v>G</v>
      </c>
      <c r="AB362" s="50" t="str">
        <f>MID(VLOOKUP($A362,Seqs!$A:$B,2,FALSE),VLOOKUP($A362,'SegEnds_NonXtal_Prot#'!$A:$AL,22,FALSE)+7,1)</f>
        <v>I</v>
      </c>
      <c r="AC362" s="50" t="str">
        <f>MID(VLOOKUP($A362,Seqs!$A:$B,2,FALSE),VLOOKUP($A362,'SegEnds_NonXtal_Prot#'!$A:$AL,22,FALSE)+8,1)</f>
        <v>C</v>
      </c>
      <c r="AD362" s="50" t="str">
        <f>MID(VLOOKUP($A362,Seqs!$A:$B,2,FALSE),VLOOKUP($A362,'SegEnds_NonXtal_Prot#'!$A:$AL,22,FALSE)+9,1)</f>
        <v>V</v>
      </c>
      <c r="AE362" s="50" t="str">
        <f>MID(VLOOKUP($A362,Seqs!$A:$B,2,FALSE),VLOOKUP($A362,'SegEnds_NonXtal_Prot#'!$A:$AL,22,FALSE)+10,1)</f>
        <v>W</v>
      </c>
      <c r="AF362" s="28" t="str">
        <f>MID(VLOOKUP($A362,Seqs!$A:$B,2,FALSE),VLOOKUP($A362,'SegEnds_NonXtal_Prot#'!$A:$AL,28,FALSE)-4,1)</f>
        <v>Y</v>
      </c>
      <c r="AG362" s="50" t="str">
        <f>MID(VLOOKUP($A362,Seqs!$A:$B,2,FALSE),VLOOKUP($A362,'SegEnds_NonXtal_Prot#'!$A:$AL,28,FALSE),1)</f>
        <v>L</v>
      </c>
    </row>
    <row r="363" spans="1:33" s="2" customFormat="1" x14ac:dyDescent="0.2">
      <c r="A363" s="2" t="s">
        <v>41</v>
      </c>
      <c r="B363" s="2" t="str">
        <f>LOWER(VLOOKUP(A363,Xtal_Templ!A:B,2,FALSE))</f>
        <v>grm5_human</v>
      </c>
      <c r="C363" s="2" t="str">
        <f>VLOOKUP(A363,Classification!A:D,2,FALSE)</f>
        <v>C</v>
      </c>
      <c r="D363" s="2" t="str">
        <f>IF(ISERROR(MATCH(A363,'SegEnds_Xtal_Prot#'!B:B, 0)), "NoXtal", "Xtal")</f>
        <v>Xtal</v>
      </c>
      <c r="G363" s="4"/>
      <c r="T363" s="2" t="s">
        <v>1330</v>
      </c>
      <c r="U363" s="28" t="str">
        <f>MID(VLOOKUP($A363,Seqs!$A:$B,2,FALSE),VLOOKUP($A363,'SegEnds_NonXtal_Prot#'!A:AL,10,FALSE),1)</f>
        <v>I</v>
      </c>
      <c r="V363" s="50" t="str">
        <f>MID(VLOOKUP($A363,Seqs!$A:$B,2,FALSE),VLOOKUP($A363,'SegEnds_NonXtal_Prot#'!A:AL,10,FALSE)+6,1)</f>
        <v>C</v>
      </c>
      <c r="W363" s="50" t="str">
        <f>MID(VLOOKUP($A363,Seqs!$A:$B,2,FALSE),VLOOKUP($A363,'SegEnds_NonXtal_Prot#'!A:AL,10,FALSE)+7,1)</f>
        <v>T</v>
      </c>
      <c r="X363" s="50" t="str">
        <f>MID(VLOOKUP($A363,Seqs!$A:$B,2,FALSE),VLOOKUP($A363,'SegEnds_NonXtal_Prot#'!A:AL,10,FALSE)+8,1)</f>
        <v>F</v>
      </c>
      <c r="Y363" s="50" t="str">
        <f>MID(VLOOKUP($A363,Seqs!$A:$B,2,FALSE),VLOOKUP($A363,'SegEnds_NonXtal_Prot#'!A:AL,10,FALSE)+9,1)</f>
        <v>C</v>
      </c>
      <c r="Z363" s="50" t="str">
        <f>MID(VLOOKUP($A363,Seqs!$A:$B,2,FALSE),VLOOKUP($A363,'SegEnds_NonXtal_Prot#'!A:AL,10,FALSE)+10,1)</f>
        <v>L</v>
      </c>
      <c r="AA363" s="28" t="str">
        <f>MID(VLOOKUP($A363,Seqs!$A:$B,2,FALSE),VLOOKUP($A363,'SegEnds_NonXtal_Prot#'!$A:$AL,22,FALSE)+6,1)</f>
        <v>I</v>
      </c>
      <c r="AB363" s="50" t="str">
        <f>MID(VLOOKUP($A363,Seqs!$A:$B,2,FALSE),VLOOKUP($A363,'SegEnds_NonXtal_Prot#'!$A:$AL,22,FALSE)+7,1)</f>
        <v>I</v>
      </c>
      <c r="AC363" s="50" t="str">
        <f>MID(VLOOKUP($A363,Seqs!$A:$B,2,FALSE),VLOOKUP($A363,'SegEnds_NonXtal_Prot#'!$A:$AL,22,FALSE)+8,1)</f>
        <v>V</v>
      </c>
      <c r="AD363" s="50" t="str">
        <f>MID(VLOOKUP($A363,Seqs!$A:$B,2,FALSE),VLOOKUP($A363,'SegEnds_NonXtal_Prot#'!$A:$AL,22,FALSE)+9,1)</f>
        <v>A</v>
      </c>
      <c r="AE363" s="50" t="str">
        <f>MID(VLOOKUP($A363,Seqs!$A:$B,2,FALSE),VLOOKUP($A363,'SegEnds_NonXtal_Prot#'!$A:$AL,22,FALSE)+10,1)</f>
        <v>L</v>
      </c>
      <c r="AF363" s="28" t="str">
        <f>MID(VLOOKUP($A363,Seqs!$A:$B,2,FALSE),VLOOKUP($A363,'SegEnds_NonXtal_Prot#'!$A:$AL,28,FALSE)-4,1)</f>
        <v>Y</v>
      </c>
      <c r="AG363" s="50" t="str">
        <f>MID(VLOOKUP($A363,Seqs!$A:$B,2,FALSE),VLOOKUP($A363,'SegEnds_NonXtal_Prot#'!$A:$AL,28,FALSE),1)</f>
        <v>L</v>
      </c>
    </row>
    <row r="364" spans="1:33" s="2" customFormat="1" x14ac:dyDescent="0.2">
      <c r="A364" s="2" t="s">
        <v>118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G364" s="4"/>
      <c r="T364" s="2" t="s">
        <v>1330</v>
      </c>
      <c r="U364" s="28" t="str">
        <f>MID(VLOOKUP($A364,Seqs!$A:$B,2,FALSE),VLOOKUP($A364,'SegEnds_NonXtal_Prot#'!A:AL,10,FALSE),1)</f>
        <v>I</v>
      </c>
      <c r="V364" s="50" t="str">
        <f>MID(VLOOKUP($A364,Seqs!$A:$B,2,FALSE),VLOOKUP($A364,'SegEnds_NonXtal_Prot#'!A:AL,10,FALSE)+6,1)</f>
        <v>I</v>
      </c>
      <c r="W364" s="50" t="str">
        <f>MID(VLOOKUP($A364,Seqs!$A:$B,2,FALSE),VLOOKUP($A364,'SegEnds_NonXtal_Prot#'!A:AL,10,FALSE)+7,1)</f>
        <v>T</v>
      </c>
      <c r="X364" s="50" t="str">
        <f>MID(VLOOKUP($A364,Seqs!$A:$B,2,FALSE),VLOOKUP($A364,'SegEnds_NonXtal_Prot#'!A:AL,10,FALSE)+8,1)</f>
        <v>F</v>
      </c>
      <c r="Y364" s="50" t="str">
        <f>MID(VLOOKUP($A364,Seqs!$A:$B,2,FALSE),VLOOKUP($A364,'SegEnds_NonXtal_Prot#'!A:AL,10,FALSE)+9,1)</f>
        <v>L</v>
      </c>
      <c r="Z364" s="50" t="str">
        <f>MID(VLOOKUP($A364,Seqs!$A:$B,2,FALSE),VLOOKUP($A364,'SegEnds_NonXtal_Prot#'!A:AL,10,FALSE)+10,1)</f>
        <v>M</v>
      </c>
      <c r="AA364" s="28" t="str">
        <f>MID(VLOOKUP($A364,Seqs!$A:$B,2,FALSE),VLOOKUP($A364,'SegEnds_NonXtal_Prot#'!$A:$AL,22,FALSE)+6,1)</f>
        <v>G</v>
      </c>
      <c r="AB364" s="50" t="str">
        <f>MID(VLOOKUP($A364,Seqs!$A:$B,2,FALSE),VLOOKUP($A364,'SegEnds_NonXtal_Prot#'!$A:$AL,22,FALSE)+7,1)</f>
        <v>M</v>
      </c>
      <c r="AC364" s="50" t="str">
        <f>MID(VLOOKUP($A364,Seqs!$A:$B,2,FALSE),VLOOKUP($A364,'SegEnds_NonXtal_Prot#'!$A:$AL,22,FALSE)+8,1)</f>
        <v>I</v>
      </c>
      <c r="AD364" s="50" t="str">
        <f>MID(VLOOKUP($A364,Seqs!$A:$B,2,FALSE),VLOOKUP($A364,'SegEnds_NonXtal_Prot#'!$A:$AL,22,FALSE)+9,1)</f>
        <v>A</v>
      </c>
      <c r="AE364" s="50" t="str">
        <f>MID(VLOOKUP($A364,Seqs!$A:$B,2,FALSE),VLOOKUP($A364,'SegEnds_NonXtal_Prot#'!$A:$AL,22,FALSE)+10,1)</f>
        <v>W</v>
      </c>
      <c r="AF364" s="28" t="str">
        <f>MID(VLOOKUP($A364,Seqs!$A:$B,2,FALSE),VLOOKUP($A364,'SegEnds_NonXtal_Prot#'!$A:$AL,28,FALSE)-4,1)</f>
        <v>Y</v>
      </c>
      <c r="AG364" s="50" t="str">
        <f>MID(VLOOKUP($A364,Seqs!$A:$B,2,FALSE),VLOOKUP($A364,'SegEnds_NonXtal_Prot#'!$A:$AL,28,FALSE),1)</f>
        <v>L</v>
      </c>
    </row>
    <row r="365" spans="1:33" s="2" customFormat="1" ht="17" customHeight="1" x14ac:dyDescent="0.2">
      <c r="A365" s="2" t="s">
        <v>119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G365" s="4"/>
      <c r="T365" s="2" t="s">
        <v>1330</v>
      </c>
      <c r="U365" s="28" t="str">
        <f>MID(VLOOKUP($A365,Seqs!$A:$B,2,FALSE),VLOOKUP($A365,'SegEnds_NonXtal_Prot#'!A:AL,10,FALSE),1)</f>
        <v>I</v>
      </c>
      <c r="V365" s="50" t="str">
        <f>MID(VLOOKUP($A365,Seqs!$A:$B,2,FALSE),VLOOKUP($A365,'SegEnds_NonXtal_Prot#'!A:AL,10,FALSE)+6,1)</f>
        <v>I</v>
      </c>
      <c r="W365" s="50" t="str">
        <f>MID(VLOOKUP($A365,Seqs!$A:$B,2,FALSE),VLOOKUP($A365,'SegEnds_NonXtal_Prot#'!A:AL,10,FALSE)+7,1)</f>
        <v>T</v>
      </c>
      <c r="X365" s="50" t="str">
        <f>MID(VLOOKUP($A365,Seqs!$A:$B,2,FALSE),VLOOKUP($A365,'SegEnds_NonXtal_Prot#'!A:AL,10,FALSE)+8,1)</f>
        <v>F</v>
      </c>
      <c r="Y365" s="50" t="str">
        <f>MID(VLOOKUP($A365,Seqs!$A:$B,2,FALSE),VLOOKUP($A365,'SegEnds_NonXtal_Prot#'!A:AL,10,FALSE)+9,1)</f>
        <v>L</v>
      </c>
      <c r="Z365" s="50" t="str">
        <f>MID(VLOOKUP($A365,Seqs!$A:$B,2,FALSE),VLOOKUP($A365,'SegEnds_NonXtal_Prot#'!A:AL,10,FALSE)+10,1)</f>
        <v>M</v>
      </c>
      <c r="AA365" s="28" t="str">
        <f>MID(VLOOKUP($A365,Seqs!$A:$B,2,FALSE),VLOOKUP($A365,'SegEnds_NonXtal_Prot#'!$A:$AL,22,FALSE)+6,1)</f>
        <v>G</v>
      </c>
      <c r="AB365" s="50" t="str">
        <f>MID(VLOOKUP($A365,Seqs!$A:$B,2,FALSE),VLOOKUP($A365,'SegEnds_NonXtal_Prot#'!$A:$AL,22,FALSE)+7,1)</f>
        <v>V</v>
      </c>
      <c r="AC365" s="50" t="str">
        <f>MID(VLOOKUP($A365,Seqs!$A:$B,2,FALSE),VLOOKUP($A365,'SegEnds_NonXtal_Prot#'!$A:$AL,22,FALSE)+8,1)</f>
        <v>F</v>
      </c>
      <c r="AD365" s="50" t="str">
        <f>MID(VLOOKUP($A365,Seqs!$A:$B,2,FALSE),VLOOKUP($A365,'SegEnds_NonXtal_Prot#'!$A:$AL,22,FALSE)+9,1)</f>
        <v>I</v>
      </c>
      <c r="AE365" s="50" t="str">
        <f>MID(VLOOKUP($A365,Seqs!$A:$B,2,FALSE),VLOOKUP($A365,'SegEnds_NonXtal_Prot#'!$A:$AL,22,FALSE)+10,1)</f>
        <v>W</v>
      </c>
      <c r="AF365" s="28" t="str">
        <f>MID(VLOOKUP($A365,Seqs!$A:$B,2,FALSE),VLOOKUP($A365,'SegEnds_NonXtal_Prot#'!$A:$AL,28,FALSE)-4,1)</f>
        <v>Y</v>
      </c>
      <c r="AG365" s="50" t="str">
        <f>MID(VLOOKUP($A365,Seqs!$A:$B,2,FALSE),VLOOKUP($A365,'SegEnds_NonXtal_Prot#'!$A:$AL,28,FALSE),1)</f>
        <v>L</v>
      </c>
    </row>
    <row r="366" spans="1:33" s="2" customFormat="1" x14ac:dyDescent="0.2">
      <c r="A366" s="2" t="s">
        <v>120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NoXtal</v>
      </c>
      <c r="G366" s="4"/>
      <c r="T366" s="2" t="s">
        <v>1330</v>
      </c>
      <c r="U366" s="28" t="str">
        <f>MID(VLOOKUP($A366,Seqs!$A:$B,2,FALSE),VLOOKUP($A366,'SegEnds_NonXtal_Prot#'!A:AL,10,FALSE),1)</f>
        <v>I</v>
      </c>
      <c r="V366" s="50" t="str">
        <f>MID(VLOOKUP($A366,Seqs!$A:$B,2,FALSE),VLOOKUP($A366,'SegEnds_NonXtal_Prot#'!A:AL,10,FALSE)+6,1)</f>
        <v>I</v>
      </c>
      <c r="W366" s="50" t="str">
        <f>MID(VLOOKUP($A366,Seqs!$A:$B,2,FALSE),VLOOKUP($A366,'SegEnds_NonXtal_Prot#'!A:AL,10,FALSE)+7,1)</f>
        <v>T</v>
      </c>
      <c r="X366" s="50" t="str">
        <f>MID(VLOOKUP($A366,Seqs!$A:$B,2,FALSE),VLOOKUP($A366,'SegEnds_NonXtal_Prot#'!A:AL,10,FALSE)+8,1)</f>
        <v>F</v>
      </c>
      <c r="Y366" s="50" t="str">
        <f>MID(VLOOKUP($A366,Seqs!$A:$B,2,FALSE),VLOOKUP($A366,'SegEnds_NonXtal_Prot#'!A:AL,10,FALSE)+9,1)</f>
        <v>L</v>
      </c>
      <c r="Z366" s="50" t="str">
        <f>MID(VLOOKUP($A366,Seqs!$A:$B,2,FALSE),VLOOKUP($A366,'SegEnds_NonXtal_Prot#'!A:AL,10,FALSE)+10,1)</f>
        <v>M</v>
      </c>
      <c r="AA366" s="28" t="str">
        <f>MID(VLOOKUP($A366,Seqs!$A:$B,2,FALSE),VLOOKUP($A366,'SegEnds_NonXtal_Prot#'!$A:$AL,22,FALSE)+6,1)</f>
        <v>G</v>
      </c>
      <c r="AB366" s="50" t="str">
        <f>MID(VLOOKUP($A366,Seqs!$A:$B,2,FALSE),VLOOKUP($A366,'SegEnds_NonXtal_Prot#'!$A:$AL,22,FALSE)+7,1)</f>
        <v>V</v>
      </c>
      <c r="AC366" s="50" t="str">
        <f>MID(VLOOKUP($A366,Seqs!$A:$B,2,FALSE),VLOOKUP($A366,'SegEnds_NonXtal_Prot#'!$A:$AL,22,FALSE)+8,1)</f>
        <v>F</v>
      </c>
      <c r="AD366" s="50" t="str">
        <f>MID(VLOOKUP($A366,Seqs!$A:$B,2,FALSE),VLOOKUP($A366,'SegEnds_NonXtal_Prot#'!$A:$AL,22,FALSE)+9,1)</f>
        <v>V</v>
      </c>
      <c r="AE366" s="50" t="str">
        <f>MID(VLOOKUP($A366,Seqs!$A:$B,2,FALSE),VLOOKUP($A366,'SegEnds_NonXtal_Prot#'!$A:$AL,22,FALSE)+10,1)</f>
        <v>W</v>
      </c>
      <c r="AF366" s="28" t="str">
        <f>MID(VLOOKUP($A366,Seqs!$A:$B,2,FALSE),VLOOKUP($A366,'SegEnds_NonXtal_Prot#'!$A:$AL,28,FALSE)-4,1)</f>
        <v>Y</v>
      </c>
      <c r="AG366" s="50" t="str">
        <f>MID(VLOOKUP($A366,Seqs!$A:$B,2,FALSE),VLOOKUP($A366,'SegEnds_NonXtal_Prot#'!$A:$AL,28,FALSE),1)</f>
        <v>L</v>
      </c>
    </row>
    <row r="367" spans="1:33" s="2" customFormat="1" x14ac:dyDescent="0.2">
      <c r="A367" s="2" t="s">
        <v>446</v>
      </c>
      <c r="B367" s="2" t="str">
        <f>LOWER(VLOOKUP(A367,Xtal_Templ!A:B,2,FALSE))</f>
        <v>smo_human</v>
      </c>
      <c r="C367" s="2" t="str">
        <f>VLOOKUP(A367,Classification!A:D,2,FALSE)</f>
        <v>F</v>
      </c>
      <c r="D367" s="2" t="str">
        <f>IF(ISERROR(MATCH(A367,'SegEnds_Xtal_Prot#'!B:B, 0)), "NoXtal", "Xtal")</f>
        <v>NoXtal</v>
      </c>
      <c r="G367" s="4"/>
      <c r="O367" s="2" t="s">
        <v>1329</v>
      </c>
      <c r="U367" s="28" t="str">
        <f>MID(VLOOKUP($A367,Seqs!$A:$B,2,FALSE),VLOOKUP($A367,'SegEnds_NonXtal_Prot#'!A:AL,10,FALSE),1)</f>
        <v>G</v>
      </c>
      <c r="V367" s="50" t="str">
        <f>MID(VLOOKUP($A367,Seqs!$A:$B,2,FALSE),VLOOKUP($A367,'SegEnds_NonXtal_Prot#'!A:AL,10,FALSE)+6,1)</f>
        <v>A</v>
      </c>
      <c r="W367" s="50" t="str">
        <f>MID(VLOOKUP($A367,Seqs!$A:$B,2,FALSE),VLOOKUP($A367,'SegEnds_NonXtal_Prot#'!A:AL,10,FALSE)+7,1)</f>
        <v>V</v>
      </c>
      <c r="X367" s="50" t="str">
        <f>MID(VLOOKUP($A367,Seqs!$A:$B,2,FALSE),VLOOKUP($A367,'SegEnds_NonXtal_Prot#'!A:AL,10,FALSE)+8,1)</f>
        <v>A</v>
      </c>
      <c r="Y367" s="50" t="str">
        <f>MID(VLOOKUP($A367,Seqs!$A:$B,2,FALSE),VLOOKUP($A367,'SegEnds_NonXtal_Prot#'!A:AL,10,FALSE)+9,1)</f>
        <v>Y</v>
      </c>
      <c r="Z367" s="50" t="str">
        <f>MID(VLOOKUP($A367,Seqs!$A:$B,2,FALSE),VLOOKUP($A367,'SegEnds_NonXtal_Prot#'!A:AL,10,FALSE)+10,1)</f>
        <v>I</v>
      </c>
      <c r="AA367" s="28" t="str">
        <f>MID(VLOOKUP($A367,Seqs!$A:$B,2,FALSE),VLOOKUP($A367,'SegEnds_NonXtal_Prot#'!$A:$AL,22,FALSE)+6,1)</f>
        <v>K</v>
      </c>
      <c r="AB367" s="50" t="str">
        <f>MID(VLOOKUP($A367,Seqs!$A:$B,2,FALSE),VLOOKUP($A367,'SegEnds_NonXtal_Prot#'!$A:$AL,22,FALSE)+7,1)</f>
        <v>T</v>
      </c>
      <c r="AC367" s="50" t="str">
        <f>MID(VLOOKUP($A367,Seqs!$A:$B,2,FALSE),VLOOKUP($A367,'SegEnds_NonXtal_Prot#'!$A:$AL,22,FALSE)+8,1)</f>
        <v>I</v>
      </c>
      <c r="AD367" s="50" t="str">
        <f>MID(VLOOKUP($A367,Seqs!$A:$B,2,FALSE),VLOOKUP($A367,'SegEnds_NonXtal_Prot#'!$A:$AL,22,FALSE)+9,1)</f>
        <v>T</v>
      </c>
      <c r="AE367" s="50" t="str">
        <f>MID(VLOOKUP($A367,Seqs!$A:$B,2,FALSE),VLOOKUP($A367,'SegEnds_NonXtal_Prot#'!$A:$AL,22,FALSE)+10,1)</f>
        <v>I</v>
      </c>
      <c r="AF367" s="28" t="str">
        <f>MID(VLOOKUP($A367,Seqs!$A:$B,2,FALSE),VLOOKUP($A367,'SegEnds_NonXtal_Prot#'!$A:$AL,28,FALSE)-4,1)</f>
        <v>P</v>
      </c>
      <c r="AG367" s="50" t="str">
        <f>MID(VLOOKUP($A367,Seqs!$A:$B,2,FALSE),VLOOKUP($A367,'SegEnds_NonXtal_Prot#'!$A:$AL,28,FALSE),1)</f>
        <v>Y</v>
      </c>
    </row>
    <row r="368" spans="1:33" s="2" customFormat="1" x14ac:dyDescent="0.2">
      <c r="A368" s="2" t="s">
        <v>447</v>
      </c>
      <c r="B368" s="2" t="str">
        <f>LOWER(VLOOKUP(A368,Xtal_Templ!A:B,2,FALSE))</f>
        <v>smo_human</v>
      </c>
      <c r="C368" s="2" t="str">
        <f>VLOOKUP(A368,Classification!A:D,2,FALSE)</f>
        <v>F</v>
      </c>
      <c r="D368" s="2" t="str">
        <f>IF(ISERROR(MATCH(A368,'SegEnds_Xtal_Prot#'!B:B, 0)), "NoXtal", "Xtal")</f>
        <v>NoXtal</v>
      </c>
      <c r="G368" s="4"/>
      <c r="O368" s="2" t="s">
        <v>1329</v>
      </c>
      <c r="U368" s="28" t="str">
        <f>MID(VLOOKUP($A368,Seqs!$A:$B,2,FALSE),VLOOKUP($A368,'SegEnds_NonXtal_Prot#'!A:AL,10,FALSE),1)</f>
        <v>M</v>
      </c>
      <c r="V368" s="50" t="str">
        <f>MID(VLOOKUP($A368,Seqs!$A:$B,2,FALSE),VLOOKUP($A368,'SegEnds_NonXtal_Prot#'!A:AL,10,FALSE)+6,1)</f>
        <v>S</v>
      </c>
      <c r="W368" s="50" t="str">
        <f>MID(VLOOKUP($A368,Seqs!$A:$B,2,FALSE),VLOOKUP($A368,'SegEnds_NonXtal_Prot#'!A:AL,10,FALSE)+7,1)</f>
        <v>V</v>
      </c>
      <c r="X368" s="50" t="str">
        <f>MID(VLOOKUP($A368,Seqs!$A:$B,2,FALSE),VLOOKUP($A368,'SegEnds_NonXtal_Prot#'!A:AL,10,FALSE)+8,1)</f>
        <v>G</v>
      </c>
      <c r="Y368" s="50" t="str">
        <f>MID(VLOOKUP($A368,Seqs!$A:$B,2,FALSE),VLOOKUP($A368,'SegEnds_NonXtal_Prot#'!A:AL,10,FALSE)+9,1)</f>
        <v>Y</v>
      </c>
      <c r="Z368" s="50" t="str">
        <f>MID(VLOOKUP($A368,Seqs!$A:$B,2,FALSE),VLOOKUP($A368,'SegEnds_NonXtal_Prot#'!A:AL,10,FALSE)+10,1)</f>
        <v>L</v>
      </c>
      <c r="AA368" s="28" t="str">
        <f>MID(VLOOKUP($A368,Seqs!$A:$B,2,FALSE),VLOOKUP($A368,'SegEnds_NonXtal_Prot#'!$A:$AL,22,FALSE)+6,1)</f>
        <v>K</v>
      </c>
      <c r="AB368" s="50" t="str">
        <f>MID(VLOOKUP($A368,Seqs!$A:$B,2,FALSE),VLOOKUP($A368,'SegEnds_NonXtal_Prot#'!$A:$AL,22,FALSE)+7,1)</f>
        <v>T</v>
      </c>
      <c r="AC368" s="50" t="str">
        <f>MID(VLOOKUP($A368,Seqs!$A:$B,2,FALSE),VLOOKUP($A368,'SegEnds_NonXtal_Prot#'!$A:$AL,22,FALSE)+8,1)</f>
        <v>I</v>
      </c>
      <c r="AD368" s="50" t="str">
        <f>MID(VLOOKUP($A368,Seqs!$A:$B,2,FALSE),VLOOKUP($A368,'SegEnds_NonXtal_Prot#'!$A:$AL,22,FALSE)+9,1)</f>
        <v>L</v>
      </c>
      <c r="AE368" s="50" t="str">
        <f>MID(VLOOKUP($A368,Seqs!$A:$B,2,FALSE),VLOOKUP($A368,'SegEnds_NonXtal_Prot#'!$A:$AL,22,FALSE)+10,1)</f>
        <v>I</v>
      </c>
      <c r="AF368" s="28" t="str">
        <f>MID(VLOOKUP($A368,Seqs!$A:$B,2,FALSE),VLOOKUP($A368,'SegEnds_NonXtal_Prot#'!$A:$AL,28,FALSE)-4,1)</f>
        <v>P</v>
      </c>
      <c r="AG368" s="50" t="str">
        <f>MID(VLOOKUP($A368,Seqs!$A:$B,2,FALSE),VLOOKUP($A368,'SegEnds_NonXtal_Prot#'!$A:$AL,28,FALSE),1)</f>
        <v>Y</v>
      </c>
    </row>
    <row r="369" spans="1:33" s="2" customFormat="1" x14ac:dyDescent="0.2">
      <c r="A369" s="2" t="s">
        <v>448</v>
      </c>
      <c r="B369" s="2" t="str">
        <f>LOWER(VLOOKUP(A369,Xtal_Templ!A:B,2,FALSE))</f>
        <v>smo_human</v>
      </c>
      <c r="C369" s="2" t="str">
        <f>VLOOKUP(A369,Classification!A:D,2,FALSE)</f>
        <v>F</v>
      </c>
      <c r="D369" s="2" t="str">
        <f>IF(ISERROR(MATCH(A369,'SegEnds_Xtal_Prot#'!B:B, 0)), "NoXtal", "Xtal")</f>
        <v>NoXtal</v>
      </c>
      <c r="G369" s="4"/>
      <c r="O369" s="2" t="s">
        <v>1329</v>
      </c>
      <c r="U369" s="28" t="str">
        <f>MID(VLOOKUP($A369,Seqs!$A:$B,2,FALSE),VLOOKUP($A369,'SegEnds_NonXtal_Prot#'!A:AL,10,FALSE),1)</f>
        <v>G</v>
      </c>
      <c r="V369" s="50" t="str">
        <f>MID(VLOOKUP($A369,Seqs!$A:$B,2,FALSE),VLOOKUP($A369,'SegEnds_NonXtal_Prot#'!A:AL,10,FALSE)+6,1)</f>
        <v>S</v>
      </c>
      <c r="W369" s="50" t="str">
        <f>MID(VLOOKUP($A369,Seqs!$A:$B,2,FALSE),VLOOKUP($A369,'SegEnds_NonXtal_Prot#'!A:AL,10,FALSE)+7,1)</f>
        <v>V</v>
      </c>
      <c r="X369" s="50" t="str">
        <f>MID(VLOOKUP($A369,Seqs!$A:$B,2,FALSE),VLOOKUP($A369,'SegEnds_NonXtal_Prot#'!A:AL,10,FALSE)+8,1)</f>
        <v>A</v>
      </c>
      <c r="Y369" s="50" t="str">
        <f>MID(VLOOKUP($A369,Seqs!$A:$B,2,FALSE),VLOOKUP($A369,'SegEnds_NonXtal_Prot#'!A:AL,10,FALSE)+9,1)</f>
        <v>Y</v>
      </c>
      <c r="Z369" s="50" t="str">
        <f>MID(VLOOKUP($A369,Seqs!$A:$B,2,FALSE),VLOOKUP($A369,'SegEnds_NonXtal_Prot#'!A:AL,10,FALSE)+10,1)</f>
        <v>I</v>
      </c>
      <c r="AA369" s="28" t="str">
        <f>MID(VLOOKUP($A369,Seqs!$A:$B,2,FALSE),VLOOKUP($A369,'SegEnds_NonXtal_Prot#'!$A:$AL,22,FALSE)+6,1)</f>
        <v>K</v>
      </c>
      <c r="AB369" s="50" t="str">
        <f>MID(VLOOKUP($A369,Seqs!$A:$B,2,FALSE),VLOOKUP($A369,'SegEnds_NonXtal_Prot#'!$A:$AL,22,FALSE)+7,1)</f>
        <v>T</v>
      </c>
      <c r="AC369" s="50" t="str">
        <f>MID(VLOOKUP($A369,Seqs!$A:$B,2,FALSE),VLOOKUP($A369,'SegEnds_NonXtal_Prot#'!$A:$AL,22,FALSE)+8,1)</f>
        <v>I</v>
      </c>
      <c r="AD369" s="50" t="str">
        <f>MID(VLOOKUP($A369,Seqs!$A:$B,2,FALSE),VLOOKUP($A369,'SegEnds_NonXtal_Prot#'!$A:$AL,22,FALSE)+9,1)</f>
        <v>T</v>
      </c>
      <c r="AE369" s="50" t="str">
        <f>MID(VLOOKUP($A369,Seqs!$A:$B,2,FALSE),VLOOKUP($A369,'SegEnds_NonXtal_Prot#'!$A:$AL,22,FALSE)+10,1)</f>
        <v>I</v>
      </c>
      <c r="AF369" s="28" t="str">
        <f>MID(VLOOKUP($A369,Seqs!$A:$B,2,FALSE),VLOOKUP($A369,'SegEnds_NonXtal_Prot#'!$A:$AL,28,FALSE)-4,1)</f>
        <v>P</v>
      </c>
      <c r="AG369" s="50" t="str">
        <f>MID(VLOOKUP($A369,Seqs!$A:$B,2,FALSE),VLOOKUP($A369,'SegEnds_NonXtal_Prot#'!$A:$AL,28,FALSE),1)</f>
        <v>Y</v>
      </c>
    </row>
    <row r="370" spans="1:33" s="2" customFormat="1" x14ac:dyDescent="0.2">
      <c r="A370" s="2" t="s">
        <v>449</v>
      </c>
      <c r="B370" s="2" t="str">
        <f>LOWER(VLOOKUP(A370,Xtal_Templ!A:B,2,FALSE))</f>
        <v>smo_human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G370" s="4"/>
      <c r="O370" s="2" t="s">
        <v>1329</v>
      </c>
      <c r="U370" s="28" t="str">
        <f>MID(VLOOKUP($A370,Seqs!$A:$B,2,FALSE),VLOOKUP($A370,'SegEnds_NonXtal_Prot#'!A:AL,10,FALSE),1)</f>
        <v>V</v>
      </c>
      <c r="V370" s="50" t="str">
        <f>MID(VLOOKUP($A370,Seqs!$A:$B,2,FALSE),VLOOKUP($A370,'SegEnds_NonXtal_Prot#'!A:AL,10,FALSE)+6,1)</f>
        <v>S</v>
      </c>
      <c r="W370" s="50" t="str">
        <f>MID(VLOOKUP($A370,Seqs!$A:$B,2,FALSE),VLOOKUP($A370,'SegEnds_NonXtal_Prot#'!A:AL,10,FALSE)+7,1)</f>
        <v>L</v>
      </c>
      <c r="X370" s="50" t="str">
        <f>MID(VLOOKUP($A370,Seqs!$A:$B,2,FALSE),VLOOKUP($A370,'SegEnds_NonXtal_Prot#'!A:AL,10,FALSE)+8,1)</f>
        <v>I</v>
      </c>
      <c r="Y370" s="50" t="str">
        <f>MID(VLOOKUP($A370,Seqs!$A:$B,2,FALSE),VLOOKUP($A370,'SegEnds_NonXtal_Prot#'!A:AL,10,FALSE)+9,1)</f>
        <v>F</v>
      </c>
      <c r="Z370" s="50" t="str">
        <f>MID(VLOOKUP($A370,Seqs!$A:$B,2,FALSE),VLOOKUP($A370,'SegEnds_NonXtal_Prot#'!A:AL,10,FALSE)+10,1)</f>
        <v>F</v>
      </c>
      <c r="AA370" s="28" t="str">
        <f>MID(VLOOKUP($A370,Seqs!$A:$B,2,FALSE),VLOOKUP($A370,'SegEnds_NonXtal_Prot#'!$A:$AL,22,FALSE)+6,1)</f>
        <v>L</v>
      </c>
      <c r="AB370" s="50" t="str">
        <f>MID(VLOOKUP($A370,Seqs!$A:$B,2,FALSE),VLOOKUP($A370,'SegEnds_NonXtal_Prot#'!$A:$AL,22,FALSE)+7,1)</f>
        <v>T</v>
      </c>
      <c r="AC370" s="50" t="str">
        <f>MID(VLOOKUP($A370,Seqs!$A:$B,2,FALSE),VLOOKUP($A370,'SegEnds_NonXtal_Prot#'!$A:$AL,22,FALSE)+8,1)</f>
        <v>I</v>
      </c>
      <c r="AD370" s="50" t="str">
        <f>MID(VLOOKUP($A370,Seqs!$A:$B,2,FALSE),VLOOKUP($A370,'SegEnds_NonXtal_Prot#'!$A:$AL,22,FALSE)+9,1)</f>
        <v>I</v>
      </c>
      <c r="AE370" s="50" t="str">
        <f>MID(VLOOKUP($A370,Seqs!$A:$B,2,FALSE),VLOOKUP($A370,'SegEnds_NonXtal_Prot#'!$A:$AL,22,FALSE)+10,1)</f>
        <v>L</v>
      </c>
      <c r="AF370" s="28" t="str">
        <f>MID(VLOOKUP($A370,Seqs!$A:$B,2,FALSE),VLOOKUP($A370,'SegEnds_NonXtal_Prot#'!$A:$AL,28,FALSE)-4,1)</f>
        <v>P</v>
      </c>
      <c r="AG370" s="50" t="str">
        <f>MID(VLOOKUP($A370,Seqs!$A:$B,2,FALSE),VLOOKUP($A370,'SegEnds_NonXtal_Prot#'!$A:$AL,28,FALSE),1)</f>
        <v>Y</v>
      </c>
    </row>
    <row r="371" spans="1:33" s="2" customFormat="1" x14ac:dyDescent="0.2">
      <c r="A371" s="2" t="s">
        <v>450</v>
      </c>
      <c r="B371" s="2" t="str">
        <f>LOWER(VLOOKUP(A371,Xtal_Templ!A:B,2,FALSE))</f>
        <v>smo_human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G371" s="4"/>
      <c r="O371" s="2" t="s">
        <v>1329</v>
      </c>
      <c r="U371" s="28" t="str">
        <f>MID(VLOOKUP($A371,Seqs!$A:$B,2,FALSE),VLOOKUP($A371,'SegEnds_NonXtal_Prot#'!A:AL,10,FALSE),1)</f>
        <v>M</v>
      </c>
      <c r="V371" s="50" t="str">
        <f>MID(VLOOKUP($A371,Seqs!$A:$B,2,FALSE),VLOOKUP($A371,'SegEnds_NonXtal_Prot#'!A:AL,10,FALSE)+6,1)</f>
        <v>S</v>
      </c>
      <c r="W371" s="50" t="str">
        <f>MID(VLOOKUP($A371,Seqs!$A:$B,2,FALSE),VLOOKUP($A371,'SegEnds_NonXtal_Prot#'!A:AL,10,FALSE)+7,1)</f>
        <v>I</v>
      </c>
      <c r="X371" s="50" t="str">
        <f>MID(VLOOKUP($A371,Seqs!$A:$B,2,FALSE),VLOOKUP($A371,'SegEnds_NonXtal_Prot#'!A:AL,10,FALSE)+8,1)</f>
        <v>A</v>
      </c>
      <c r="Y371" s="50" t="str">
        <f>MID(VLOOKUP($A371,Seqs!$A:$B,2,FALSE),VLOOKUP($A371,'SegEnds_NonXtal_Prot#'!A:AL,10,FALSE)+9,1)</f>
        <v>Y</v>
      </c>
      <c r="Z371" s="50" t="str">
        <f>MID(VLOOKUP($A371,Seqs!$A:$B,2,FALSE),VLOOKUP($A371,'SegEnds_NonXtal_Prot#'!A:AL,10,FALSE)+10,1)</f>
        <v>I</v>
      </c>
      <c r="AA371" s="28" t="str">
        <f>MID(VLOOKUP($A371,Seqs!$A:$B,2,FALSE),VLOOKUP($A371,'SegEnds_NonXtal_Prot#'!$A:$AL,22,FALSE)+6,1)</f>
        <v>K</v>
      </c>
      <c r="AB371" s="50" t="str">
        <f>MID(VLOOKUP($A371,Seqs!$A:$B,2,FALSE),VLOOKUP($A371,'SegEnds_NonXtal_Prot#'!$A:$AL,22,FALSE)+7,1)</f>
        <v>T</v>
      </c>
      <c r="AC371" s="50" t="str">
        <f>MID(VLOOKUP($A371,Seqs!$A:$B,2,FALSE),VLOOKUP($A371,'SegEnds_NonXtal_Prot#'!$A:$AL,22,FALSE)+8,1)</f>
        <v>I</v>
      </c>
      <c r="AD371" s="50" t="str">
        <f>MID(VLOOKUP($A371,Seqs!$A:$B,2,FALSE),VLOOKUP($A371,'SegEnds_NonXtal_Prot#'!$A:$AL,22,FALSE)+9,1)</f>
        <v>V</v>
      </c>
      <c r="AE371" s="50" t="str">
        <f>MID(VLOOKUP($A371,Seqs!$A:$B,2,FALSE),VLOOKUP($A371,'SegEnds_NonXtal_Prot#'!$A:$AL,22,FALSE)+10,1)</f>
        <v>I</v>
      </c>
      <c r="AF371" s="28" t="str">
        <f>MID(VLOOKUP($A371,Seqs!$A:$B,2,FALSE),VLOOKUP($A371,'SegEnds_NonXtal_Prot#'!$A:$AL,28,FALSE)-4,1)</f>
        <v>P</v>
      </c>
      <c r="AG371" s="50" t="str">
        <f>MID(VLOOKUP($A371,Seqs!$A:$B,2,FALSE),VLOOKUP($A371,'SegEnds_NonXtal_Prot#'!$A:$AL,28,FALSE),1)</f>
        <v>Y</v>
      </c>
    </row>
    <row r="372" spans="1:33" s="2" customFormat="1" x14ac:dyDescent="0.2">
      <c r="A372" s="2" t="s">
        <v>451</v>
      </c>
      <c r="B372" s="2" t="str">
        <f>LOWER(VLOOKUP(A372,Xtal_Templ!A:B,2,FALSE))</f>
        <v>smo_human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G372" s="4"/>
      <c r="O372" s="2" t="s">
        <v>1329</v>
      </c>
      <c r="U372" s="28" t="str">
        <f>MID(VLOOKUP($A372,Seqs!$A:$B,2,FALSE),VLOOKUP($A372,'SegEnds_NonXtal_Prot#'!A:AL,10,FALSE),1)</f>
        <v>A</v>
      </c>
      <c r="V372" s="50" t="str">
        <f>MID(VLOOKUP($A372,Seqs!$A:$B,2,FALSE),VLOOKUP($A372,'SegEnds_NonXtal_Prot#'!A:AL,10,FALSE)+6,1)</f>
        <v>S</v>
      </c>
      <c r="W372" s="50" t="str">
        <f>MID(VLOOKUP($A372,Seqs!$A:$B,2,FALSE),VLOOKUP($A372,'SegEnds_NonXtal_Prot#'!A:AL,10,FALSE)+7,1)</f>
        <v>L</v>
      </c>
      <c r="X372" s="50" t="str">
        <f>MID(VLOOKUP($A372,Seqs!$A:$B,2,FALSE),VLOOKUP($A372,'SegEnds_NonXtal_Prot#'!A:AL,10,FALSE)+8,1)</f>
        <v>G</v>
      </c>
      <c r="Y372" s="50" t="str">
        <f>MID(VLOOKUP($A372,Seqs!$A:$B,2,FALSE),VLOOKUP($A372,'SegEnds_NonXtal_Prot#'!A:AL,10,FALSE)+9,1)</f>
        <v>F</v>
      </c>
      <c r="Z372" s="50" t="str">
        <f>MID(VLOOKUP($A372,Seqs!$A:$B,2,FALSE),VLOOKUP($A372,'SegEnds_NonXtal_Prot#'!A:AL,10,FALSE)+10,1)</f>
        <v>L</v>
      </c>
      <c r="AA372" s="28" t="str">
        <f>MID(VLOOKUP($A372,Seqs!$A:$B,2,FALSE),VLOOKUP($A372,'SegEnds_NonXtal_Prot#'!$A:$AL,22,FALSE)+6,1)</f>
        <v>K</v>
      </c>
      <c r="AB372" s="50" t="str">
        <f>MID(VLOOKUP($A372,Seqs!$A:$B,2,FALSE),VLOOKUP($A372,'SegEnds_NonXtal_Prot#'!$A:$AL,22,FALSE)+7,1)</f>
        <v>S</v>
      </c>
      <c r="AC372" s="50" t="str">
        <f>MID(VLOOKUP($A372,Seqs!$A:$B,2,FALSE),VLOOKUP($A372,'SegEnds_NonXtal_Prot#'!$A:$AL,22,FALSE)+8,1)</f>
        <v>I</v>
      </c>
      <c r="AD372" s="50" t="str">
        <f>MID(VLOOKUP($A372,Seqs!$A:$B,2,FALSE),VLOOKUP($A372,'SegEnds_NonXtal_Prot#'!$A:$AL,22,FALSE)+9,1)</f>
        <v>T</v>
      </c>
      <c r="AE372" s="50" t="str">
        <f>MID(VLOOKUP($A372,Seqs!$A:$B,2,FALSE),VLOOKUP($A372,'SegEnds_NonXtal_Prot#'!$A:$AL,22,FALSE)+10,1)</f>
        <v>A</v>
      </c>
      <c r="AF372" s="28" t="str">
        <f>MID(VLOOKUP($A372,Seqs!$A:$B,2,FALSE),VLOOKUP($A372,'SegEnds_NonXtal_Prot#'!$A:$AL,28,FALSE)-4,1)</f>
        <v>P</v>
      </c>
      <c r="AG372" s="50" t="str">
        <f>MID(VLOOKUP($A372,Seqs!$A:$B,2,FALSE),VLOOKUP($A372,'SegEnds_NonXtal_Prot#'!$A:$AL,28,FALSE),1)</f>
        <v>Y</v>
      </c>
    </row>
    <row r="373" spans="1:33" s="2" customFormat="1" x14ac:dyDescent="0.2">
      <c r="A373" s="2" t="s">
        <v>452</v>
      </c>
      <c r="B373" s="2" t="str">
        <f>LOWER(VLOOKUP(A373,Xtal_Templ!A:B,2,FALSE))</f>
        <v>smo_human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G373" s="4"/>
      <c r="O373" s="2" t="s">
        <v>1329</v>
      </c>
      <c r="U373" s="28" t="str">
        <f>MID(VLOOKUP($A373,Seqs!$A:$B,2,FALSE),VLOOKUP($A373,'SegEnds_NonXtal_Prot#'!A:AL,10,FALSE),1)</f>
        <v>V</v>
      </c>
      <c r="V373" s="50" t="str">
        <f>MID(VLOOKUP($A373,Seqs!$A:$B,2,FALSE),VLOOKUP($A373,'SegEnds_NonXtal_Prot#'!A:AL,10,FALSE)+6,1)</f>
        <v>S</v>
      </c>
      <c r="W373" s="50" t="str">
        <f>MID(VLOOKUP($A373,Seqs!$A:$B,2,FALSE),VLOOKUP($A373,'SegEnds_NonXtal_Prot#'!A:AL,10,FALSE)+7,1)</f>
        <v>L</v>
      </c>
      <c r="X373" s="50" t="str">
        <f>MID(VLOOKUP($A373,Seqs!$A:$B,2,FALSE),VLOOKUP($A373,'SegEnds_NonXtal_Prot#'!A:AL,10,FALSE)+8,1)</f>
        <v>M</v>
      </c>
      <c r="Y373" s="50" t="str">
        <f>MID(VLOOKUP($A373,Seqs!$A:$B,2,FALSE),VLOOKUP($A373,'SegEnds_NonXtal_Prot#'!A:AL,10,FALSE)+9,1)</f>
        <v>Y</v>
      </c>
      <c r="Z373" s="50" t="str">
        <f>MID(VLOOKUP($A373,Seqs!$A:$B,2,FALSE),VLOOKUP($A373,'SegEnds_NonXtal_Prot#'!A:AL,10,FALSE)+10,1)</f>
        <v>F</v>
      </c>
      <c r="AA373" s="28" t="str">
        <f>MID(VLOOKUP($A373,Seqs!$A:$B,2,FALSE),VLOOKUP($A373,'SegEnds_NonXtal_Prot#'!$A:$AL,22,FALSE)+6,1)</f>
        <v>L</v>
      </c>
      <c r="AB373" s="50" t="str">
        <f>MID(VLOOKUP($A373,Seqs!$A:$B,2,FALSE),VLOOKUP($A373,'SegEnds_NonXtal_Prot#'!$A:$AL,22,FALSE)+7,1)</f>
        <v>T</v>
      </c>
      <c r="AC373" s="50" t="str">
        <f>MID(VLOOKUP($A373,Seqs!$A:$B,2,FALSE),VLOOKUP($A373,'SegEnds_NonXtal_Prot#'!$A:$AL,22,FALSE)+8,1)</f>
        <v>V</v>
      </c>
      <c r="AD373" s="50" t="str">
        <f>MID(VLOOKUP($A373,Seqs!$A:$B,2,FALSE),VLOOKUP($A373,'SegEnds_NonXtal_Prot#'!$A:$AL,22,FALSE)+9,1)</f>
        <v>M</v>
      </c>
      <c r="AE373" s="50" t="str">
        <f>MID(VLOOKUP($A373,Seqs!$A:$B,2,FALSE),VLOOKUP($A373,'SegEnds_NonXtal_Prot#'!$A:$AL,22,FALSE)+10,1)</f>
        <v>L</v>
      </c>
      <c r="AF373" s="28" t="str">
        <f>MID(VLOOKUP($A373,Seqs!$A:$B,2,FALSE),VLOOKUP($A373,'SegEnds_NonXtal_Prot#'!$A:$AL,28,FALSE)-4,1)</f>
        <v>P</v>
      </c>
      <c r="AG373" s="50" t="str">
        <f>MID(VLOOKUP($A373,Seqs!$A:$B,2,FALSE),VLOOKUP($A373,'SegEnds_NonXtal_Prot#'!$A:$AL,28,FALSE),1)</f>
        <v>C</v>
      </c>
    </row>
    <row r="374" spans="1:33" s="2" customFormat="1" x14ac:dyDescent="0.2">
      <c r="A374" s="2" t="s">
        <v>453</v>
      </c>
      <c r="B374" s="2" t="str">
        <f>LOWER(VLOOKUP(A374,Xtal_Templ!A:B,2,FALSE))</f>
        <v>smo_human</v>
      </c>
      <c r="C374" s="2" t="str">
        <f>VLOOKUP(A374,Classification!A:D,2,FALSE)</f>
        <v>F</v>
      </c>
      <c r="D374" s="2" t="str">
        <f>IF(ISERROR(MATCH(A374,'SegEnds_Xtal_Prot#'!B:B, 0)), "NoXtal", "Xtal")</f>
        <v>NoXtal</v>
      </c>
      <c r="G374" s="4"/>
      <c r="O374" s="2" t="s">
        <v>1329</v>
      </c>
      <c r="U374" s="28" t="str">
        <f>MID(VLOOKUP($A374,Seqs!$A:$B,2,FALSE),VLOOKUP($A374,'SegEnds_NonXtal_Prot#'!A:AL,10,FALSE),1)</f>
        <v>G</v>
      </c>
      <c r="V374" s="50" t="str">
        <f>MID(VLOOKUP($A374,Seqs!$A:$B,2,FALSE),VLOOKUP($A374,'SegEnds_NonXtal_Prot#'!A:AL,10,FALSE)+6,1)</f>
        <v>A</v>
      </c>
      <c r="W374" s="50" t="str">
        <f>MID(VLOOKUP($A374,Seqs!$A:$B,2,FALSE),VLOOKUP($A374,'SegEnds_NonXtal_Prot#'!A:AL,10,FALSE)+7,1)</f>
        <v>V</v>
      </c>
      <c r="X374" s="50" t="str">
        <f>MID(VLOOKUP($A374,Seqs!$A:$B,2,FALSE),VLOOKUP($A374,'SegEnds_NonXtal_Prot#'!A:AL,10,FALSE)+8,1)</f>
        <v>A</v>
      </c>
      <c r="Y374" s="50" t="str">
        <f>MID(VLOOKUP($A374,Seqs!$A:$B,2,FALSE),VLOOKUP($A374,'SegEnds_NonXtal_Prot#'!A:AL,10,FALSE)+9,1)</f>
        <v>H</v>
      </c>
      <c r="Z374" s="50" t="str">
        <f>MID(VLOOKUP($A374,Seqs!$A:$B,2,FALSE),VLOOKUP($A374,'SegEnds_NonXtal_Prot#'!A:AL,10,FALSE)+10,1)</f>
        <v>V</v>
      </c>
      <c r="AA374" s="28" t="str">
        <f>MID(VLOOKUP($A374,Seqs!$A:$B,2,FALSE),VLOOKUP($A374,'SegEnds_NonXtal_Prot#'!$A:$AL,22,FALSE)+6,1)</f>
        <v>K</v>
      </c>
      <c r="AB374" s="50" t="str">
        <f>MID(VLOOKUP($A374,Seqs!$A:$B,2,FALSE),VLOOKUP($A374,'SegEnds_NonXtal_Prot#'!$A:$AL,22,FALSE)+7,1)</f>
        <v>T</v>
      </c>
      <c r="AC374" s="50" t="str">
        <f>MID(VLOOKUP($A374,Seqs!$A:$B,2,FALSE),VLOOKUP($A374,'SegEnds_NonXtal_Prot#'!$A:$AL,22,FALSE)+8,1)</f>
        <v>I</v>
      </c>
      <c r="AD374" s="50" t="str">
        <f>MID(VLOOKUP($A374,Seqs!$A:$B,2,FALSE),VLOOKUP($A374,'SegEnds_NonXtal_Prot#'!$A:$AL,22,FALSE)+9,1)</f>
        <v>T</v>
      </c>
      <c r="AE374" s="50" t="str">
        <f>MID(VLOOKUP($A374,Seqs!$A:$B,2,FALSE),VLOOKUP($A374,'SegEnds_NonXtal_Prot#'!$A:$AL,22,FALSE)+10,1)</f>
        <v>I</v>
      </c>
      <c r="AF374" s="28" t="str">
        <f>MID(VLOOKUP($A374,Seqs!$A:$B,2,FALSE),VLOOKUP($A374,'SegEnds_NonXtal_Prot#'!$A:$AL,28,FALSE)-4,1)</f>
        <v>P</v>
      </c>
      <c r="AG374" s="50" t="str">
        <f>MID(VLOOKUP($A374,Seqs!$A:$B,2,FALSE),VLOOKUP($A374,'SegEnds_NonXtal_Prot#'!$A:$AL,28,FALSE),1)</f>
        <v>Y</v>
      </c>
    </row>
    <row r="375" spans="1:33" s="2" customFormat="1" x14ac:dyDescent="0.2">
      <c r="A375" s="2" t="s">
        <v>454</v>
      </c>
      <c r="B375" s="2" t="str">
        <f>LOWER(VLOOKUP(A375,Xtal_Templ!A:B,2,FALSE))</f>
        <v>smo_human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G375" s="4"/>
      <c r="O375" s="2" t="s">
        <v>1329</v>
      </c>
      <c r="U375" s="28" t="str">
        <f>MID(VLOOKUP($A375,Seqs!$A:$B,2,FALSE),VLOOKUP($A375,'SegEnds_NonXtal_Prot#'!A:AL,10,FALSE),1)</f>
        <v>A</v>
      </c>
      <c r="V375" s="50" t="str">
        <f>MID(VLOOKUP($A375,Seqs!$A:$B,2,FALSE),VLOOKUP($A375,'SegEnds_NonXtal_Prot#'!A:AL,10,FALSE)+6,1)</f>
        <v>S</v>
      </c>
      <c r="W375" s="50" t="str">
        <f>MID(VLOOKUP($A375,Seqs!$A:$B,2,FALSE),VLOOKUP($A375,'SegEnds_NonXtal_Prot#'!A:AL,10,FALSE)+7,1)</f>
        <v>V</v>
      </c>
      <c r="X375" s="50" t="str">
        <f>MID(VLOOKUP($A375,Seqs!$A:$B,2,FALSE),VLOOKUP($A375,'SegEnds_NonXtal_Prot#'!A:AL,10,FALSE)+8,1)</f>
        <v>G</v>
      </c>
      <c r="Y375" s="50" t="str">
        <f>MID(VLOOKUP($A375,Seqs!$A:$B,2,FALSE),VLOOKUP($A375,'SegEnds_NonXtal_Prot#'!A:AL,10,FALSE)+9,1)</f>
        <v>Y</v>
      </c>
      <c r="Z375" s="50" t="str">
        <f>MID(VLOOKUP($A375,Seqs!$A:$B,2,FALSE),VLOOKUP($A375,'SegEnds_NonXtal_Prot#'!A:AL,10,FALSE)+10,1)</f>
        <v>L</v>
      </c>
      <c r="AA375" s="28" t="str">
        <f>MID(VLOOKUP($A375,Seqs!$A:$B,2,FALSE),VLOOKUP($A375,'SegEnds_NonXtal_Prot#'!$A:$AL,22,FALSE)+6,1)</f>
        <v>K</v>
      </c>
      <c r="AB375" s="50" t="str">
        <f>MID(VLOOKUP($A375,Seqs!$A:$B,2,FALSE),VLOOKUP($A375,'SegEnds_NonXtal_Prot#'!$A:$AL,22,FALSE)+7,1)</f>
        <v>S</v>
      </c>
      <c r="AC375" s="50" t="str">
        <f>MID(VLOOKUP($A375,Seqs!$A:$B,2,FALSE),VLOOKUP($A375,'SegEnds_NonXtal_Prot#'!$A:$AL,22,FALSE)+8,1)</f>
        <v>I</v>
      </c>
      <c r="AD375" s="50" t="str">
        <f>MID(VLOOKUP($A375,Seqs!$A:$B,2,FALSE),VLOOKUP($A375,'SegEnds_NonXtal_Prot#'!$A:$AL,22,FALSE)+9,1)</f>
        <v>A</v>
      </c>
      <c r="AE375" s="50" t="str">
        <f>MID(VLOOKUP($A375,Seqs!$A:$B,2,FALSE),VLOOKUP($A375,'SegEnds_NonXtal_Prot#'!$A:$AL,22,FALSE)+10,1)</f>
        <v>V</v>
      </c>
      <c r="AF375" s="28" t="str">
        <f>MID(VLOOKUP($A375,Seqs!$A:$B,2,FALSE),VLOOKUP($A375,'SegEnds_NonXtal_Prot#'!$A:$AL,28,FALSE)-4,1)</f>
        <v>P</v>
      </c>
      <c r="AG375" s="50" t="str">
        <f>MID(VLOOKUP($A375,Seqs!$A:$B,2,FALSE),VLOOKUP($A375,'SegEnds_NonXtal_Prot#'!$A:$AL,28,FALSE),1)</f>
        <v>Y</v>
      </c>
    </row>
    <row r="376" spans="1:33" s="2" customFormat="1" x14ac:dyDescent="0.2">
      <c r="A376" s="2" t="s">
        <v>455</v>
      </c>
      <c r="B376" s="2" t="str">
        <f>LOWER(VLOOKUP(A376,Xtal_Templ!A:B,2,FALSE))</f>
        <v>smo_human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G376" s="4"/>
      <c r="O376" s="2" t="s">
        <v>1329</v>
      </c>
      <c r="U376" s="28" t="str">
        <f>MID(VLOOKUP($A376,Seqs!$A:$B,2,FALSE),VLOOKUP($A376,'SegEnds_NonXtal_Prot#'!A:AL,10,FALSE),1)</f>
        <v>M</v>
      </c>
      <c r="V376" s="50" t="str">
        <f>MID(VLOOKUP($A376,Seqs!$A:$B,2,FALSE),VLOOKUP($A376,'SegEnds_NonXtal_Prot#'!A:AL,10,FALSE)+6,1)</f>
        <v>S</v>
      </c>
      <c r="W376" s="50" t="str">
        <f>MID(VLOOKUP($A376,Seqs!$A:$B,2,FALSE),VLOOKUP($A376,'SegEnds_NonXtal_Prot#'!A:AL,10,FALSE)+7,1)</f>
        <v>L</v>
      </c>
      <c r="X376" s="50" t="str">
        <f>MID(VLOOKUP($A376,Seqs!$A:$B,2,FALSE),VLOOKUP($A376,'SegEnds_NonXtal_Prot#'!A:AL,10,FALSE)+8,1)</f>
        <v>A</v>
      </c>
      <c r="Y376" s="50" t="str">
        <f>MID(VLOOKUP($A376,Seqs!$A:$B,2,FALSE),VLOOKUP($A376,'SegEnds_NonXtal_Prot#'!A:AL,10,FALSE)+9,1)</f>
        <v>F</v>
      </c>
      <c r="Z376" s="50" t="str">
        <f>MID(VLOOKUP($A376,Seqs!$A:$B,2,FALSE),VLOOKUP($A376,'SegEnds_NonXtal_Prot#'!A:AL,10,FALSE)+10,1)</f>
        <v>L</v>
      </c>
      <c r="AA376" s="28" t="str">
        <f>MID(VLOOKUP($A376,Seqs!$A:$B,2,FALSE),VLOOKUP($A376,'SegEnds_NonXtal_Prot#'!$A:$AL,22,FALSE)+6,1)</f>
        <v>K</v>
      </c>
      <c r="AB376" s="50" t="str">
        <f>MID(VLOOKUP($A376,Seqs!$A:$B,2,FALSE),VLOOKUP($A376,'SegEnds_NonXtal_Prot#'!$A:$AL,22,FALSE)+7,1)</f>
        <v>T</v>
      </c>
      <c r="AC376" s="50" t="str">
        <f>MID(VLOOKUP($A376,Seqs!$A:$B,2,FALSE),VLOOKUP($A376,'SegEnds_NonXtal_Prot#'!$A:$AL,22,FALSE)+8,1)</f>
        <v>I</v>
      </c>
      <c r="AD376" s="50" t="str">
        <f>MID(VLOOKUP($A376,Seqs!$A:$B,2,FALSE),VLOOKUP($A376,'SegEnds_NonXtal_Prot#'!$A:$AL,22,FALSE)+9,1)</f>
        <v>V</v>
      </c>
      <c r="AE376" s="50" t="str">
        <f>MID(VLOOKUP($A376,Seqs!$A:$B,2,FALSE),VLOOKUP($A376,'SegEnds_NonXtal_Prot#'!$A:$AL,22,FALSE)+10,1)</f>
        <v>I</v>
      </c>
      <c r="AF376" s="28" t="str">
        <f>MID(VLOOKUP($A376,Seqs!$A:$B,2,FALSE),VLOOKUP($A376,'SegEnds_NonXtal_Prot#'!$A:$AL,28,FALSE)-4,1)</f>
        <v>P</v>
      </c>
      <c r="AG376" s="50" t="str">
        <f>MID(VLOOKUP($A376,Seqs!$A:$B,2,FALSE),VLOOKUP($A376,'SegEnds_NonXtal_Prot#'!$A:$AL,28,FALSE),1)</f>
        <v>Y</v>
      </c>
    </row>
    <row r="377" spans="1:33" s="2" customFormat="1" x14ac:dyDescent="0.2">
      <c r="A377" s="2" t="s">
        <v>33</v>
      </c>
      <c r="B377" s="2" t="str">
        <f>LOWER(VLOOKUP(A377,Xtal_Templ!A:B,2,FALSE))</f>
        <v>smo_human</v>
      </c>
      <c r="C377" s="2" t="str">
        <f>VLOOKUP(A377,Classification!A:D,2,FALSE)</f>
        <v>F</v>
      </c>
      <c r="D377" s="2" t="str">
        <f>IF(ISERROR(MATCH(A377,'SegEnds_Xtal_Prot#'!B:B, 0)), "NoXtal", "Xtal")</f>
        <v>Xtal</v>
      </c>
      <c r="G377" s="4"/>
      <c r="O377" s="2" t="s">
        <v>1329</v>
      </c>
      <c r="U377" s="28" t="str">
        <f>MID(VLOOKUP($A377,Seqs!$A:$B,2,FALSE),VLOOKUP($A377,'SegEnds_NonXtal_Prot#'!A:AL,10,FALSE),1)</f>
        <v>A</v>
      </c>
      <c r="V377" s="50" t="str">
        <f>MID(VLOOKUP($A377,Seqs!$A:$B,2,FALSE),VLOOKUP($A377,'SegEnds_NonXtal_Prot#'!A:AL,10,FALSE)+6,1)</f>
        <v>S</v>
      </c>
      <c r="W377" s="50" t="str">
        <f>MID(VLOOKUP($A377,Seqs!$A:$B,2,FALSE),VLOOKUP($A377,'SegEnds_NonXtal_Prot#'!A:AL,10,FALSE)+7,1)</f>
        <v>I</v>
      </c>
      <c r="X377" s="50" t="str">
        <f>MID(VLOOKUP($A377,Seqs!$A:$B,2,FALSE),VLOOKUP($A377,'SegEnds_NonXtal_Prot#'!A:AL,10,FALSE)+8,1)</f>
        <v>G</v>
      </c>
      <c r="Y377" s="50" t="str">
        <f>MID(VLOOKUP($A377,Seqs!$A:$B,2,FALSE),VLOOKUP($A377,'SegEnds_NonXtal_Prot#'!A:AL,10,FALSE)+9,1)</f>
        <v>W</v>
      </c>
      <c r="Z377" s="50" t="str">
        <f>MID(VLOOKUP($A377,Seqs!$A:$B,2,FALSE),VLOOKUP($A377,'SegEnds_NonXtal_Prot#'!A:AL,10,FALSE)+10,1)</f>
        <v>L</v>
      </c>
      <c r="AA377" s="28" t="str">
        <f>MID(VLOOKUP($A377,Seqs!$A:$B,2,FALSE),VLOOKUP($A377,'SegEnds_NonXtal_Prot#'!$A:$AL,22,FALSE)+6,1)</f>
        <v>L</v>
      </c>
      <c r="AB377" s="50" t="str">
        <f>MID(VLOOKUP($A377,Seqs!$A:$B,2,FALSE),VLOOKUP($A377,'SegEnds_NonXtal_Prot#'!$A:$AL,22,FALSE)+7,1)</f>
        <v>T</v>
      </c>
      <c r="AC377" s="50" t="str">
        <f>MID(VLOOKUP($A377,Seqs!$A:$B,2,FALSE),VLOOKUP($A377,'SegEnds_NonXtal_Prot#'!$A:$AL,22,FALSE)+8,1)</f>
        <v>V</v>
      </c>
      <c r="AD377" s="50" t="str">
        <f>MID(VLOOKUP($A377,Seqs!$A:$B,2,FALSE),VLOOKUP($A377,'SegEnds_NonXtal_Prot#'!$A:$AL,22,FALSE)+9,1)</f>
        <v>A</v>
      </c>
      <c r="AE377" s="50" t="str">
        <f>MID(VLOOKUP($A377,Seqs!$A:$B,2,FALSE),VLOOKUP($A377,'SegEnds_NonXtal_Prot#'!$A:$AL,22,FALSE)+10,1)</f>
        <v>I</v>
      </c>
      <c r="AF377" s="28" t="str">
        <f>MID(VLOOKUP($A377,Seqs!$A:$B,2,FALSE),VLOOKUP($A377,'SegEnds_NonXtal_Prot#'!$A:$AL,28,FALSE)-4,1)</f>
        <v>P</v>
      </c>
      <c r="AG377" s="50" t="str">
        <f>MID(VLOOKUP($A377,Seqs!$A:$B,2,FALSE),VLOOKUP($A377,'SegEnds_NonXtal_Prot#'!$A:$AL,28,FALSE),1)</f>
        <v>V</v>
      </c>
    </row>
    <row r="378" spans="1:33" s="2" customFormat="1" x14ac:dyDescent="0.2">
      <c r="A378" s="2" t="s">
        <v>485</v>
      </c>
      <c r="B378" s="2" t="str">
        <f>LOWER(VLOOKUP(A378,Xtal_Templ!A:B,2,FALSE))</f>
        <v>aa2ar_human</v>
      </c>
      <c r="C378" s="2" t="str">
        <f>VLOOKUP(A378,Classification!A:D,2,FALSE)</f>
        <v>O</v>
      </c>
      <c r="D378" s="2" t="str">
        <f>IF(ISERROR(MATCH(A378,'SegEnds_Xtal_Prot#'!B:B, 0)), "NoXtal", "Xtal")</f>
        <v>NoXtal</v>
      </c>
      <c r="G378" s="4"/>
      <c r="U378" s="28" t="str">
        <f>MID(VLOOKUP($A378,Seqs!$A:$B,2,FALSE),VLOOKUP($A378,'SegEnds_NonXtal_Prot#'!A:AL,10,FALSE),1)</f>
        <v>D</v>
      </c>
      <c r="V378" s="50" t="str">
        <f>MID(VLOOKUP($A378,Seqs!$A:$B,2,FALSE),VLOOKUP($A378,'SegEnds_NonXtal_Prot#'!A:AL,10,FALSE)+6,1)</f>
        <v>G</v>
      </c>
      <c r="W378" s="50" t="str">
        <f>MID(VLOOKUP($A378,Seqs!$A:$B,2,FALSE),VLOOKUP($A378,'SegEnds_NonXtal_Prot#'!A:AL,10,FALSE)+7,1)</f>
        <v>M</v>
      </c>
      <c r="X378" s="50" t="str">
        <f>MID(VLOOKUP($A378,Seqs!$A:$B,2,FALSE),VLOOKUP($A378,'SegEnds_NonXtal_Prot#'!A:AL,10,FALSE)+8,1)</f>
        <v>V</v>
      </c>
      <c r="Y378" s="50" t="str">
        <f>MID(VLOOKUP($A378,Seqs!$A:$B,2,FALSE),VLOOKUP($A378,'SegEnds_NonXtal_Prot#'!A:AL,10,FALSE)+9,1)</f>
        <v>I</v>
      </c>
      <c r="Z378" s="50" t="str">
        <f>MID(VLOOKUP($A378,Seqs!$A:$B,2,FALSE),VLOOKUP($A378,'SegEnds_NonXtal_Prot#'!A:AL,10,FALSE)+10,1)</f>
        <v>R</v>
      </c>
      <c r="AA378" s="28" t="str">
        <f>MID(VLOOKUP($A378,Seqs!$A:$B,2,FALSE),VLOOKUP($A378,'SegEnds_NonXtal_Prot#'!$A:$AL,22,FALSE)+6,1)</f>
        <v>L</v>
      </c>
      <c r="AB378" s="50" t="str">
        <f>MID(VLOOKUP($A378,Seqs!$A:$B,2,FALSE),VLOOKUP($A378,'SegEnds_NonXtal_Prot#'!$A:$AL,22,FALSE)+7,1)</f>
        <v>C</v>
      </c>
      <c r="AC378" s="50" t="str">
        <f>MID(VLOOKUP($A378,Seqs!$A:$B,2,FALSE),VLOOKUP($A378,'SegEnds_NonXtal_Prot#'!$A:$AL,22,FALSE)+8,1)</f>
        <v>V</v>
      </c>
      <c r="AD378" s="50" t="str">
        <f>MID(VLOOKUP($A378,Seqs!$A:$B,2,FALSE),VLOOKUP($A378,'SegEnds_NonXtal_Prot#'!$A:$AL,22,FALSE)+9,1)</f>
        <v>E</v>
      </c>
      <c r="AE378" s="50" t="str">
        <f>MID(VLOOKUP($A378,Seqs!$A:$B,2,FALSE),VLOOKUP($A378,'SegEnds_NonXtal_Prot#'!$A:$AL,22,FALSE)+10,1)</f>
        <v>G</v>
      </c>
      <c r="AF378" s="28" t="str">
        <f>MID(VLOOKUP($A378,Seqs!$A:$B,2,FALSE),VLOOKUP($A378,'SegEnds_NonXtal_Prot#'!$A:$AL,28,FALSE)-4,1)</f>
        <v>T</v>
      </c>
      <c r="AG378" s="50" t="str">
        <f>MID(VLOOKUP($A378,Seqs!$A:$B,2,FALSE),VLOOKUP($A378,'SegEnds_NonXtal_Prot#'!$A:$AL,28,FALSE),1)</f>
        <v>P</v>
      </c>
    </row>
    <row r="379" spans="1:33" s="2" customFormat="1" x14ac:dyDescent="0.2">
      <c r="A379" s="2" t="s">
        <v>481</v>
      </c>
      <c r="B379" s="2" t="str">
        <f>LOWER(VLOOKUP(A379,Xtal_Templ!A:B,2,FALSE))</f>
        <v>agtr1_human</v>
      </c>
      <c r="C379" s="2" t="str">
        <f>VLOOKUP(A379,Classification!A:D,2,FALSE)</f>
        <v>O</v>
      </c>
      <c r="D379" s="2" t="str">
        <f>IF(ISERROR(MATCH(A379,'SegEnds_Xtal_Prot#'!B:B, 0)), "NoXtal", "Xtal")</f>
        <v>NoXtal</v>
      </c>
      <c r="G379" s="4"/>
      <c r="U379" s="28" t="str">
        <f>MID(VLOOKUP($A379,Seqs!$A:$B,2,FALSE),VLOOKUP($A379,'SegEnds_NonXtal_Prot#'!A:AL,10,FALSE),1)</f>
        <v>A</v>
      </c>
      <c r="V379" s="50" t="str">
        <f>MID(VLOOKUP($A379,Seqs!$A:$B,2,FALSE),VLOOKUP($A379,'SegEnds_NonXtal_Prot#'!A:AL,10,FALSE)+6,1)</f>
        <v>F</v>
      </c>
      <c r="W379" s="50" t="str">
        <f>MID(VLOOKUP($A379,Seqs!$A:$B,2,FALSE),VLOOKUP($A379,'SegEnds_NonXtal_Prot#'!A:AL,10,FALSE)+7,1)</f>
        <v>S</v>
      </c>
      <c r="X379" s="50" t="str">
        <f>MID(VLOOKUP($A379,Seqs!$A:$B,2,FALSE),VLOOKUP($A379,'SegEnds_NonXtal_Prot#'!A:AL,10,FALSE)+8,1)</f>
        <v>F</v>
      </c>
      <c r="Y379" s="50" t="str">
        <f>MID(VLOOKUP($A379,Seqs!$A:$B,2,FALSE),VLOOKUP($A379,'SegEnds_NonXtal_Prot#'!A:AL,10,FALSE)+9,1)</f>
        <v>Y</v>
      </c>
      <c r="Z379" s="50" t="str">
        <f>MID(VLOOKUP($A379,Seqs!$A:$B,2,FALSE),VLOOKUP($A379,'SegEnds_NonXtal_Prot#'!A:AL,10,FALSE)+10,1)</f>
        <v>F</v>
      </c>
      <c r="AA379" s="28" t="str">
        <f>MID(VLOOKUP($A379,Seqs!$A:$B,2,FALSE),VLOOKUP($A379,'SegEnds_NonXtal_Prot#'!$A:$AL,22,FALSE)+6,1)</f>
        <v>A</v>
      </c>
      <c r="AB379" s="50" t="str">
        <f>MID(VLOOKUP($A379,Seqs!$A:$B,2,FALSE),VLOOKUP($A379,'SegEnds_NonXtal_Prot#'!$A:$AL,22,FALSE)+7,1)</f>
        <v>A</v>
      </c>
      <c r="AC379" s="50" t="str">
        <f>MID(VLOOKUP($A379,Seqs!$A:$B,2,FALSE),VLOOKUP($A379,'SegEnds_NonXtal_Prot#'!$A:$AL,22,FALSE)+8,1)</f>
        <v>C</v>
      </c>
      <c r="AD379" s="50" t="str">
        <f>MID(VLOOKUP($A379,Seqs!$A:$B,2,FALSE),VLOOKUP($A379,'SegEnds_NonXtal_Prot#'!$A:$AL,22,FALSE)+9,1)</f>
        <v>L</v>
      </c>
      <c r="AE379" s="50" t="str">
        <f>MID(VLOOKUP($A379,Seqs!$A:$B,2,FALSE),VLOOKUP($A379,'SegEnds_NonXtal_Prot#'!$A:$AL,22,FALSE)+10,1)</f>
        <v>C</v>
      </c>
      <c r="AF379" s="28" t="str">
        <f>MID(VLOOKUP($A379,Seqs!$A:$B,2,FALSE),VLOOKUP($A379,'SegEnds_NonXtal_Prot#'!$A:$AL,28,FALSE)-4,1)</f>
        <v>L</v>
      </c>
      <c r="AG379" s="50" t="str">
        <f>MID(VLOOKUP($A379,Seqs!$A:$B,2,FALSE),VLOOKUP($A379,'SegEnds_NonXtal_Prot#'!$A:$AL,28,FALSE),1)</f>
        <v>L</v>
      </c>
    </row>
    <row r="380" spans="1:33" s="2" customFormat="1" x14ac:dyDescent="0.2">
      <c r="A380" s="2" t="s">
        <v>484</v>
      </c>
      <c r="B380" s="2" t="str">
        <f>LOWER(VLOOKUP(A380,Xtal_Templ!A:B,2,FALSE))</f>
        <v>oprk_human</v>
      </c>
      <c r="C380" s="2" t="str">
        <f>VLOOKUP(A380,Classification!A:D,2,FALSE)</f>
        <v>O</v>
      </c>
      <c r="D380" s="2" t="str">
        <f>IF(ISERROR(MATCH(A380,'SegEnds_Xtal_Prot#'!B:B, 0)), "NoXtal", "Xtal")</f>
        <v>NoXtal</v>
      </c>
      <c r="G380" s="4"/>
      <c r="U380" s="28" t="str">
        <f>MID(VLOOKUP($A380,Seqs!$A:$B,2,FALSE),VLOOKUP($A380,'SegEnds_NonXtal_Prot#'!A:AL,10,FALSE),1)</f>
        <v>A</v>
      </c>
      <c r="V380" s="50" t="str">
        <f>MID(VLOOKUP($A380,Seqs!$A:$B,2,FALSE),VLOOKUP($A380,'SegEnds_NonXtal_Prot#'!A:AL,10,FALSE)+6,1)</f>
        <v>M</v>
      </c>
      <c r="W380" s="50" t="str">
        <f>MID(VLOOKUP($A380,Seqs!$A:$B,2,FALSE),VLOOKUP($A380,'SegEnds_NonXtal_Prot#'!A:AL,10,FALSE)+7,1)</f>
        <v>T</v>
      </c>
      <c r="X380" s="50" t="str">
        <f>MID(VLOOKUP($A380,Seqs!$A:$B,2,FALSE),VLOOKUP($A380,'SegEnds_NonXtal_Prot#'!A:AL,10,FALSE)+8,1)</f>
        <v>V</v>
      </c>
      <c r="Y380" s="50" t="str">
        <f>MID(VLOOKUP($A380,Seqs!$A:$B,2,FALSE),VLOOKUP($A380,'SegEnds_NonXtal_Prot#'!A:AL,10,FALSE)+9,1)</f>
        <v>S</v>
      </c>
      <c r="Z380" s="50" t="str">
        <f>MID(VLOOKUP($A380,Seqs!$A:$B,2,FALSE),VLOOKUP($A380,'SegEnds_NonXtal_Prot#'!A:AL,10,FALSE)+10,1)</f>
        <v>T</v>
      </c>
      <c r="AA380" s="28" t="str">
        <f>MID(VLOOKUP($A380,Seqs!$A:$B,2,FALSE),VLOOKUP($A380,'SegEnds_NonXtal_Prot#'!$A:$AL,22,FALSE)+6,1)</f>
        <v>L</v>
      </c>
      <c r="AB380" s="50" t="str">
        <f>MID(VLOOKUP($A380,Seqs!$A:$B,2,FALSE),VLOOKUP($A380,'SegEnds_NonXtal_Prot#'!$A:$AL,22,FALSE)+7,1)</f>
        <v>S</v>
      </c>
      <c r="AC380" s="50" t="str">
        <f>MID(VLOOKUP($A380,Seqs!$A:$B,2,FALSE),VLOOKUP($A380,'SegEnds_NonXtal_Prot#'!$A:$AL,22,FALSE)+8,1)</f>
        <v>A</v>
      </c>
      <c r="AD380" s="50" t="str">
        <f>MID(VLOOKUP($A380,Seqs!$A:$B,2,FALSE),VLOOKUP($A380,'SegEnds_NonXtal_Prot#'!$A:$AL,22,FALSE)+9,1)</f>
        <v>E</v>
      </c>
      <c r="AE380" s="50" t="str">
        <f>MID(VLOOKUP($A380,Seqs!$A:$B,2,FALSE),VLOOKUP($A380,'SegEnds_NonXtal_Prot#'!$A:$AL,22,FALSE)+10,1)</f>
        <v>D</v>
      </c>
      <c r="AF380" s="28" t="str">
        <f>MID(VLOOKUP($A380,Seqs!$A:$B,2,FALSE),VLOOKUP($A380,'SegEnds_NonXtal_Prot#'!$A:$AL,28,FALSE)-4,1)</f>
        <v>F</v>
      </c>
      <c r="AG380" s="50" t="str">
        <f>MID(VLOOKUP($A380,Seqs!$A:$B,2,FALSE),VLOOKUP($A380,'SegEnds_NonXtal_Prot#'!$A:$AL,28,FALSE),1)</f>
        <v>S</v>
      </c>
    </row>
    <row r="381" spans="1:33" s="2" customFormat="1" x14ac:dyDescent="0.2">
      <c r="A381" s="2" t="s">
        <v>486</v>
      </c>
      <c r="B381" s="2" t="str">
        <f>LOWER(VLOOKUP(A381,Xtal_Templ!A:B,2,FALSE))</f>
        <v>5ht2b_human</v>
      </c>
      <c r="C381" s="2" t="str">
        <f>VLOOKUP(A381,Classification!A:D,2,FALSE)</f>
        <v>O</v>
      </c>
      <c r="D381" s="2" t="str">
        <f>IF(ISERROR(MATCH(A381,'SegEnds_Xtal_Prot#'!B:B, 0)), "NoXtal", "Xtal")</f>
        <v>NoXtal</v>
      </c>
      <c r="G381" s="4"/>
      <c r="U381" s="28" t="str">
        <f>MID(VLOOKUP($A381,Seqs!$A:$B,2,FALSE),VLOOKUP($A381,'SegEnds_NonXtal_Prot#'!A:AL,10,FALSE),1)</f>
        <v>D</v>
      </c>
      <c r="V381" s="50" t="str">
        <f>MID(VLOOKUP($A381,Seqs!$A:$B,2,FALSE),VLOOKUP($A381,'SegEnds_NonXtal_Prot#'!A:AL,10,FALSE)+6,1)</f>
        <v>S</v>
      </c>
      <c r="W381" s="50" t="str">
        <f>MID(VLOOKUP($A381,Seqs!$A:$B,2,FALSE),VLOOKUP($A381,'SegEnds_NonXtal_Prot#'!A:AL,10,FALSE)+7,1)</f>
        <v>Y</v>
      </c>
      <c r="X381" s="50" t="str">
        <f>MID(VLOOKUP($A381,Seqs!$A:$B,2,FALSE),VLOOKUP($A381,'SegEnds_NonXtal_Prot#'!A:AL,10,FALSE)+8,1)</f>
        <v>F</v>
      </c>
      <c r="Y381" s="50" t="str">
        <f>MID(VLOOKUP($A381,Seqs!$A:$B,2,FALSE),VLOOKUP($A381,'SegEnds_NonXtal_Prot#'!A:AL,10,FALSE)+9,1)</f>
        <v>Y</v>
      </c>
      <c r="Z381" s="50" t="str">
        <f>MID(VLOOKUP($A381,Seqs!$A:$B,2,FALSE),VLOOKUP($A381,'SegEnds_NonXtal_Prot#'!A:AL,10,FALSE)+10,1)</f>
        <v>G</v>
      </c>
      <c r="AA381" s="28" t="str">
        <f>MID(VLOOKUP($A381,Seqs!$A:$B,2,FALSE),VLOOKUP($A381,'SegEnds_NonXtal_Prot#'!$A:$AL,22,FALSE)+6,1)</f>
        <v>A</v>
      </c>
      <c r="AB381" s="50" t="str">
        <f>MID(VLOOKUP($A381,Seqs!$A:$B,2,FALSE),VLOOKUP($A381,'SegEnds_NonXtal_Prot#'!$A:$AL,22,FALSE)+7,1)</f>
        <v>L</v>
      </c>
      <c r="AC381" s="50" t="str">
        <f>MID(VLOOKUP($A381,Seqs!$A:$B,2,FALSE),VLOOKUP($A381,'SegEnds_NonXtal_Prot#'!$A:$AL,22,FALSE)+8,1)</f>
        <v>K</v>
      </c>
      <c r="AD381" s="50" t="str">
        <f>MID(VLOOKUP($A381,Seqs!$A:$B,2,FALSE),VLOOKUP($A381,'SegEnds_NonXtal_Prot#'!$A:$AL,22,FALSE)+9,1)</f>
        <v>K</v>
      </c>
      <c r="AE381" s="50" t="str">
        <f>MID(VLOOKUP($A381,Seqs!$A:$B,2,FALSE),VLOOKUP($A381,'SegEnds_NonXtal_Prot#'!$A:$AL,22,FALSE)+10,1)</f>
        <v>I</v>
      </c>
      <c r="AF381" s="28" t="str">
        <f>MID(VLOOKUP($A381,Seqs!$A:$B,2,FALSE),VLOOKUP($A381,'SegEnds_NonXtal_Prot#'!$A:$AL,28,FALSE)-4,1)</f>
        <v>D</v>
      </c>
      <c r="AG381" s="50" t="str">
        <f>MID(VLOOKUP($A381,Seqs!$A:$B,2,FALSE),VLOOKUP($A381,'SegEnds_NonXtal_Prot#'!$A:$AL,28,FALSE),1)</f>
        <v>K</v>
      </c>
    </row>
    <row r="382" spans="1:33" s="2" customFormat="1" x14ac:dyDescent="0.2">
      <c r="A382" s="2" t="s">
        <v>482</v>
      </c>
      <c r="B382" s="2" t="str">
        <f>LOWER(VLOOKUP(A382,Xtal_Templ!A:B,2,FALSE))</f>
        <v>ccr9_human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G382" s="4"/>
      <c r="U382" s="28" t="str">
        <f>MID(VLOOKUP($A382,Seqs!$A:$B,2,FALSE),VLOOKUP($A382,'SegEnds_NonXtal_Prot#'!A:AL,10,FALSE),1)</f>
        <v>W</v>
      </c>
      <c r="V382" s="50" t="str">
        <f>MID(VLOOKUP($A382,Seqs!$A:$B,2,FALSE),VLOOKUP($A382,'SegEnds_NonXtal_Prot#'!A:AL,10,FALSE)+6,1)</f>
        <v>K</v>
      </c>
      <c r="W382" s="50" t="str">
        <f>MID(VLOOKUP($A382,Seqs!$A:$B,2,FALSE),VLOOKUP($A382,'SegEnds_NonXtal_Prot#'!A:AL,10,FALSE)+7,1)</f>
        <v>R</v>
      </c>
      <c r="X382" s="50" t="str">
        <f>MID(VLOOKUP($A382,Seqs!$A:$B,2,FALSE),VLOOKUP($A382,'SegEnds_NonXtal_Prot#'!A:AL,10,FALSE)+8,1)</f>
        <v>R</v>
      </c>
      <c r="Y382" s="50" t="str">
        <f>MID(VLOOKUP($A382,Seqs!$A:$B,2,FALSE),VLOOKUP($A382,'SegEnds_NonXtal_Prot#'!A:AL,10,FALSE)+9,1)</f>
        <v>N</v>
      </c>
      <c r="Z382" s="50" t="str">
        <f>MID(VLOOKUP($A382,Seqs!$A:$B,2,FALSE),VLOOKUP($A382,'SegEnds_NonXtal_Prot#'!A:AL,10,FALSE)+10,1)</f>
        <v>D</v>
      </c>
      <c r="AA382" s="28" t="str">
        <f>MID(VLOOKUP($A382,Seqs!$A:$B,2,FALSE),VLOOKUP($A382,'SegEnds_NonXtal_Prot#'!$A:$AL,22,FALSE)+6,1)</f>
        <v>Y</v>
      </c>
      <c r="AB382" s="50" t="str">
        <f>MID(VLOOKUP($A382,Seqs!$A:$B,2,FALSE),VLOOKUP($A382,'SegEnds_NonXtal_Prot#'!$A:$AL,22,FALSE)+7,1)</f>
        <v>G</v>
      </c>
      <c r="AC382" s="50" t="str">
        <f>MID(VLOOKUP($A382,Seqs!$A:$B,2,FALSE),VLOOKUP($A382,'SegEnds_NonXtal_Prot#'!$A:$AL,22,FALSE)+8,1)</f>
        <v>L</v>
      </c>
      <c r="AD382" s="50" t="str">
        <f>MID(VLOOKUP($A382,Seqs!$A:$B,2,FALSE),VLOOKUP($A382,'SegEnds_NonXtal_Prot#'!$A:$AL,22,FALSE)+9,1)</f>
        <v>W</v>
      </c>
      <c r="AE382" s="50" t="str">
        <f>MID(VLOOKUP($A382,Seqs!$A:$B,2,FALSE),VLOOKUP($A382,'SegEnds_NonXtal_Prot#'!$A:$AL,22,FALSE)+10,1)</f>
        <v>K</v>
      </c>
      <c r="AF382" s="28" t="str">
        <f>MID(VLOOKUP($A382,Seqs!$A:$B,2,FALSE),VLOOKUP($A382,'SegEnds_NonXtal_Prot#'!$A:$AL,28,FALSE)-4,1)</f>
        <v>A</v>
      </c>
      <c r="AG382" s="50" t="str">
        <f>MID(VLOOKUP($A382,Seqs!$A:$B,2,FALSE),VLOOKUP($A382,'SegEnds_NonXtal_Prot#'!$A:$AL,28,FALSE),1)</f>
        <v>P</v>
      </c>
    </row>
    <row r="383" spans="1:33" s="2" customFormat="1" x14ac:dyDescent="0.2">
      <c r="A383" s="2" t="s">
        <v>472</v>
      </c>
      <c r="B383" s="2" t="str">
        <f>LOWER(VLOOKUP(A383,Xtal_Templ!A:B,2,FALSE))</f>
        <v>oprk_human</v>
      </c>
      <c r="C383" s="2" t="str">
        <f>VLOOKUP(A383,Classification!A:D,2,FALSE)</f>
        <v>T</v>
      </c>
      <c r="D383" s="2" t="str">
        <f>IF(ISERROR(MATCH(A383,'SegEnds_Xtal_Prot#'!B:B, 0)), "NoXtal", "Xtal")</f>
        <v>NoXtal</v>
      </c>
      <c r="G383" s="4"/>
      <c r="U383" s="28" t="str">
        <f>MID(VLOOKUP($A383,Seqs!$A:$B,2,FALSE),VLOOKUP($A383,'SegEnds_NonXtal_Prot#'!A:AL,10,FALSE),1)</f>
        <v>R</v>
      </c>
      <c r="V383" s="50" t="str">
        <f>MID(VLOOKUP($A383,Seqs!$A:$B,2,FALSE),VLOOKUP($A383,'SegEnds_NonXtal_Prot#'!A:AL,10,FALSE)+6,1)</f>
        <v>V</v>
      </c>
      <c r="W383" s="50" t="str">
        <f>MID(VLOOKUP($A383,Seqs!$A:$B,2,FALSE),VLOOKUP($A383,'SegEnds_NonXtal_Prot#'!A:AL,10,FALSE)+7,1)</f>
        <v>V</v>
      </c>
      <c r="X383" s="50" t="str">
        <f>MID(VLOOKUP($A383,Seqs!$A:$B,2,FALSE),VLOOKUP($A383,'SegEnds_NonXtal_Prot#'!A:AL,10,FALSE)+8,1)</f>
        <v>M</v>
      </c>
      <c r="Y383" s="50" t="str">
        <f>MID(VLOOKUP($A383,Seqs!$A:$B,2,FALSE),VLOOKUP($A383,'SegEnds_NonXtal_Prot#'!A:AL,10,FALSE)+9,1)</f>
        <v>G</v>
      </c>
      <c r="Z383" s="50" t="str">
        <f>MID(VLOOKUP($A383,Seqs!$A:$B,2,FALSE),VLOOKUP($A383,'SegEnds_NonXtal_Prot#'!A:AL,10,FALSE)+10,1)</f>
        <v>K</v>
      </c>
      <c r="AA383" s="28" t="str">
        <f>MID(VLOOKUP($A383,Seqs!$A:$B,2,FALSE),VLOOKUP($A383,'SegEnds_NonXtal_Prot#'!$A:$AL,22,FALSE)+6,1)</f>
        <v>S</v>
      </c>
      <c r="AB383" s="50" t="str">
        <f>MID(VLOOKUP($A383,Seqs!$A:$B,2,FALSE),VLOOKUP($A383,'SegEnds_NonXtal_Prot#'!$A:$AL,22,FALSE)+7,1)</f>
        <v>F</v>
      </c>
      <c r="AC383" s="50" t="str">
        <f>MID(VLOOKUP($A383,Seqs!$A:$B,2,FALSE),VLOOKUP($A383,'SegEnds_NonXtal_Prot#'!$A:$AL,22,FALSE)+8,1)</f>
        <v>T</v>
      </c>
      <c r="AD383" s="50" t="str">
        <f>MID(VLOOKUP($A383,Seqs!$A:$B,2,FALSE),VLOOKUP($A383,'SegEnds_NonXtal_Prot#'!$A:$AL,22,FALSE)+9,1)</f>
        <v>T</v>
      </c>
      <c r="AE383" s="50" t="str">
        <f>MID(VLOOKUP($A383,Seqs!$A:$B,2,FALSE),VLOOKUP($A383,'SegEnds_NonXtal_Prot#'!$A:$AL,22,FALSE)+10,1)</f>
        <v>I</v>
      </c>
      <c r="AF383" s="28" t="str">
        <f>MID(VLOOKUP($A383,Seqs!$A:$B,2,FALSE),VLOOKUP($A383,'SegEnds_NonXtal_Prot#'!$A:$AL,28,FALSE)-4,1)</f>
        <v>T</v>
      </c>
      <c r="AG383" s="50" t="str">
        <f>MID(VLOOKUP($A383,Seqs!$A:$B,2,FALSE),VLOOKUP($A383,'SegEnds_NonXtal_Prot#'!$A:$AL,28,FALSE),1)</f>
        <v>P</v>
      </c>
    </row>
    <row r="384" spans="1:33" s="2" customFormat="1" x14ac:dyDescent="0.2">
      <c r="A384" s="2" t="s">
        <v>457</v>
      </c>
      <c r="B384" s="2" t="str">
        <f>LOWER(VLOOKUP(A384,Xtal_Templ!A:B,2,FALSE))</f>
        <v>apj_human</v>
      </c>
      <c r="C384" s="2" t="str">
        <f>VLOOKUP(A384,Classification!A:D,2,FALSE)</f>
        <v>T</v>
      </c>
      <c r="D384" s="2" t="str">
        <f>IF(ISERROR(MATCH(A384,'SegEnds_Xtal_Prot#'!B:B, 0)), "NoXtal", "Xtal")</f>
        <v>NoXtal</v>
      </c>
      <c r="G384" s="4"/>
      <c r="U384" s="28" t="str">
        <f>MID(VLOOKUP($A384,Seqs!$A:$B,2,FALSE),VLOOKUP($A384,'SegEnds_NonXtal_Prot#'!A:AL,10,FALSE),1)</f>
        <v>R</v>
      </c>
      <c r="V384" s="50" t="str">
        <f>MID(VLOOKUP($A384,Seqs!$A:$B,2,FALSE),VLOOKUP($A384,'SegEnds_NonXtal_Prot#'!A:AL,10,FALSE)+6,1)</f>
        <v>E</v>
      </c>
      <c r="W384" s="50" t="str">
        <f>MID(VLOOKUP($A384,Seqs!$A:$B,2,FALSE),VLOOKUP($A384,'SegEnds_NonXtal_Prot#'!A:AL,10,FALSE)+7,1)</f>
        <v>I</v>
      </c>
      <c r="X384" s="50" t="str">
        <f>MID(VLOOKUP($A384,Seqs!$A:$B,2,FALSE),VLOOKUP($A384,'SegEnds_NonXtal_Prot#'!A:AL,10,FALSE)+8,1)</f>
        <v>L</v>
      </c>
      <c r="Y384" s="50" t="str">
        <f>MID(VLOOKUP($A384,Seqs!$A:$B,2,FALSE),VLOOKUP($A384,'SegEnds_NonXtal_Prot#'!A:AL,10,FALSE)+9,1)</f>
        <v>V</v>
      </c>
      <c r="Z384" s="50" t="str">
        <f>MID(VLOOKUP($A384,Seqs!$A:$B,2,FALSE),VLOOKUP($A384,'SegEnds_NonXtal_Prot#'!A:AL,10,FALSE)+10,1)</f>
        <v>S</v>
      </c>
      <c r="AA384" s="28" t="str">
        <f>MID(VLOOKUP($A384,Seqs!$A:$B,2,FALSE),VLOOKUP($A384,'SegEnds_NonXtal_Prot#'!$A:$AL,22,FALSE)+6,1)</f>
        <v>F</v>
      </c>
      <c r="AB384" s="50" t="str">
        <f>MID(VLOOKUP($A384,Seqs!$A:$B,2,FALSE),VLOOKUP($A384,'SegEnds_NonXtal_Prot#'!$A:$AL,22,FALSE)+7,1)</f>
        <v>L</v>
      </c>
      <c r="AC384" s="50" t="str">
        <f>MID(VLOOKUP($A384,Seqs!$A:$B,2,FALSE),VLOOKUP($A384,'SegEnds_NonXtal_Prot#'!$A:$AL,22,FALSE)+8,1)</f>
        <v>N</v>
      </c>
      <c r="AD384" s="50" t="str">
        <f>MID(VLOOKUP($A384,Seqs!$A:$B,2,FALSE),VLOOKUP($A384,'SegEnds_NonXtal_Prot#'!$A:$AL,22,FALSE)+9,1)</f>
        <v>L</v>
      </c>
      <c r="AE384" s="50" t="str">
        <f>MID(VLOOKUP($A384,Seqs!$A:$B,2,FALSE),VLOOKUP($A384,'SegEnds_NonXtal_Prot#'!$A:$AL,22,FALSE)+10,1)</f>
        <v>I</v>
      </c>
      <c r="AF384" s="28" t="str">
        <f>MID(VLOOKUP($A384,Seqs!$A:$B,2,FALSE),VLOOKUP($A384,'SegEnds_NonXtal_Prot#'!$A:$AL,28,FALSE)-4,1)</f>
        <v>F</v>
      </c>
      <c r="AG384" s="50" t="str">
        <f>MID(VLOOKUP($A384,Seqs!$A:$B,2,FALSE),VLOOKUP($A384,'SegEnds_NonXtal_Prot#'!$A:$AL,28,FALSE),1)</f>
        <v>P</v>
      </c>
    </row>
    <row r="385" spans="1:33" s="2" customFormat="1" x14ac:dyDescent="0.2">
      <c r="A385" s="2" t="s">
        <v>476</v>
      </c>
      <c r="B385" s="2" t="str">
        <f>LOWER(VLOOKUP(A385,Xtal_Templ!A:B,2,FALSE))</f>
        <v>5ht1b_human</v>
      </c>
      <c r="C385" s="2" t="str">
        <f>VLOOKUP(A385,Classification!A:D,2,FALSE)</f>
        <v>T</v>
      </c>
      <c r="D385" s="2" t="str">
        <f>IF(ISERROR(MATCH(A385,'SegEnds_Xtal_Prot#'!B:B, 0)), "NoXtal", "Xtal")</f>
        <v>NoXtal</v>
      </c>
      <c r="G385" s="4"/>
      <c r="U385" s="28" t="str">
        <f>MID(VLOOKUP($A385,Seqs!$A:$B,2,FALSE),VLOOKUP($A385,'SegEnds_NonXtal_Prot#'!A:AL,10,FALSE),1)</f>
        <v>R</v>
      </c>
      <c r="V385" s="50" t="str">
        <f>MID(VLOOKUP($A385,Seqs!$A:$B,2,FALSE),VLOOKUP($A385,'SegEnds_NonXtal_Prot#'!A:AL,10,FALSE)+6,1)</f>
        <v>L</v>
      </c>
      <c r="W385" s="50" t="str">
        <f>MID(VLOOKUP($A385,Seqs!$A:$B,2,FALSE),VLOOKUP($A385,'SegEnds_NonXtal_Prot#'!A:AL,10,FALSE)+7,1)</f>
        <v>F</v>
      </c>
      <c r="X385" s="50" t="str">
        <f>MID(VLOOKUP($A385,Seqs!$A:$B,2,FALSE),VLOOKUP($A385,'SegEnds_NonXtal_Prot#'!A:AL,10,FALSE)+8,1)</f>
        <v>L</v>
      </c>
      <c r="Y385" s="50" t="str">
        <f>MID(VLOOKUP($A385,Seqs!$A:$B,2,FALSE),VLOOKUP($A385,'SegEnds_NonXtal_Prot#'!A:AL,10,FALSE)+9,1)</f>
        <v>V</v>
      </c>
      <c r="Z385" s="50" t="str">
        <f>MID(VLOOKUP($A385,Seqs!$A:$B,2,FALSE),VLOOKUP($A385,'SegEnds_NonXtal_Prot#'!A:AL,10,FALSE)+10,1)</f>
        <v>N</v>
      </c>
      <c r="AA385" s="28" t="str">
        <f>MID(VLOOKUP($A385,Seqs!$A:$B,2,FALSE),VLOOKUP($A385,'SegEnds_NonXtal_Prot#'!$A:$AL,22,FALSE)+6,1)</f>
        <v>A</v>
      </c>
      <c r="AB385" s="50" t="str">
        <f>MID(VLOOKUP($A385,Seqs!$A:$B,2,FALSE),VLOOKUP($A385,'SegEnds_NonXtal_Prot#'!$A:$AL,22,FALSE)+7,1)</f>
        <v>F</v>
      </c>
      <c r="AC385" s="50" t="str">
        <f>MID(VLOOKUP($A385,Seqs!$A:$B,2,FALSE),VLOOKUP($A385,'SegEnds_NonXtal_Prot#'!$A:$AL,22,FALSE)+8,1)</f>
        <v>T</v>
      </c>
      <c r="AD385" s="50" t="str">
        <f>MID(VLOOKUP($A385,Seqs!$A:$B,2,FALSE),VLOOKUP($A385,'SegEnds_NonXtal_Prot#'!$A:$AL,22,FALSE)+9,1)</f>
        <v>T</v>
      </c>
      <c r="AE385" s="50" t="str">
        <f>MID(VLOOKUP($A385,Seqs!$A:$B,2,FALSE),VLOOKUP($A385,'SegEnds_NonXtal_Prot#'!$A:$AL,22,FALSE)+10,1)</f>
        <v>C</v>
      </c>
      <c r="AF385" s="28" t="str">
        <f>MID(VLOOKUP($A385,Seqs!$A:$B,2,FALSE),VLOOKUP($A385,'SegEnds_NonXtal_Prot#'!$A:$AL,28,FALSE)-4,1)</f>
        <v>S</v>
      </c>
      <c r="AG385" s="50" t="str">
        <f>MID(VLOOKUP($A385,Seqs!$A:$B,2,FALSE),VLOOKUP($A385,'SegEnds_NonXtal_Prot#'!$A:$AL,28,FALSE),1)</f>
        <v>Q</v>
      </c>
    </row>
    <row r="386" spans="1:33" s="2" customFormat="1" x14ac:dyDescent="0.2">
      <c r="A386" s="2" t="s">
        <v>465</v>
      </c>
      <c r="B386" s="2" t="str">
        <f>LOWER(VLOOKUP(A386,Xtal_Templ!A:B,2,FALSE))</f>
        <v>agtr1_human</v>
      </c>
      <c r="C386" s="2" t="str">
        <f>VLOOKUP(A386,Classification!A:D,2,FALSE)</f>
        <v>T</v>
      </c>
      <c r="D386" s="2" t="str">
        <f>IF(ISERROR(MATCH(A386,'SegEnds_Xtal_Prot#'!B:B, 0)), "NoXtal", "Xtal")</f>
        <v>NoXtal</v>
      </c>
      <c r="G386" s="4"/>
      <c r="U386" s="28" t="str">
        <f>MID(VLOOKUP($A386,Seqs!$A:$B,2,FALSE),VLOOKUP($A386,'SegEnds_NonXtal_Prot#'!A:AL,10,FALSE),1)</f>
        <v>R</v>
      </c>
      <c r="V386" s="50" t="str">
        <f>MID(VLOOKUP($A386,Seqs!$A:$B,2,FALSE),VLOOKUP($A386,'SegEnds_NonXtal_Prot#'!A:AL,10,FALSE)+6,1)</f>
        <v>L</v>
      </c>
      <c r="W386" s="50" t="str">
        <f>MID(VLOOKUP($A386,Seqs!$A:$B,2,FALSE),VLOOKUP($A386,'SegEnds_NonXtal_Prot#'!A:AL,10,FALSE)+7,1)</f>
        <v>M</v>
      </c>
      <c r="X386" s="50" t="str">
        <f>MID(VLOOKUP($A386,Seqs!$A:$B,2,FALSE),VLOOKUP($A386,'SegEnds_NonXtal_Prot#'!A:AL,10,FALSE)+8,1)</f>
        <v>M</v>
      </c>
      <c r="Y386" s="50" t="str">
        <f>MID(VLOOKUP($A386,Seqs!$A:$B,2,FALSE),VLOOKUP($A386,'SegEnds_NonXtal_Prot#'!A:AL,10,FALSE)+9,1)</f>
        <v>L</v>
      </c>
      <c r="Z386" s="50" t="str">
        <f>MID(VLOOKUP($A386,Seqs!$A:$B,2,FALSE),VLOOKUP($A386,'SegEnds_NonXtal_Prot#'!A:AL,10,FALSE)+10,1)</f>
        <v>E</v>
      </c>
      <c r="AA386" s="28" t="str">
        <f>MID(VLOOKUP($A386,Seqs!$A:$B,2,FALSE),VLOOKUP($A386,'SegEnds_NonXtal_Prot#'!$A:$AL,22,FALSE)+6,1)</f>
        <v>F</v>
      </c>
      <c r="AB386" s="50" t="str">
        <f>MID(VLOOKUP($A386,Seqs!$A:$B,2,FALSE),VLOOKUP($A386,'SegEnds_NonXtal_Prot#'!$A:$AL,22,FALSE)+7,1)</f>
        <v>S</v>
      </c>
      <c r="AC386" s="50" t="str">
        <f>MID(VLOOKUP($A386,Seqs!$A:$B,2,FALSE),VLOOKUP($A386,'SegEnds_NonXtal_Prot#'!$A:$AL,22,FALSE)+8,1)</f>
        <v>H</v>
      </c>
      <c r="AD386" s="50" t="str">
        <f>MID(VLOOKUP($A386,Seqs!$A:$B,2,FALSE),VLOOKUP($A386,'SegEnds_NonXtal_Prot#'!$A:$AL,22,FALSE)+9,1)</f>
        <v>S</v>
      </c>
      <c r="AE386" s="50" t="str">
        <f>MID(VLOOKUP($A386,Seqs!$A:$B,2,FALSE),VLOOKUP($A386,'SegEnds_NonXtal_Prot#'!$A:$AL,22,FALSE)+10,1)</f>
        <v>M</v>
      </c>
      <c r="AF386" s="28" t="str">
        <f>MID(VLOOKUP($A386,Seqs!$A:$B,2,FALSE),VLOOKUP($A386,'SegEnds_NonXtal_Prot#'!$A:$AL,28,FALSE)-4,1)</f>
        <v>G</v>
      </c>
      <c r="AG386" s="50" t="str">
        <f>MID(VLOOKUP($A386,Seqs!$A:$B,2,FALSE),VLOOKUP($A386,'SegEnds_NonXtal_Prot#'!$A:$AL,28,FALSE),1)</f>
        <v>P</v>
      </c>
    </row>
    <row r="387" spans="1:33" s="2" customFormat="1" x14ac:dyDescent="0.2">
      <c r="A387" s="2" t="s">
        <v>460</v>
      </c>
      <c r="B387" s="2" t="str">
        <f>LOWER(VLOOKUP(A387,Xtal_Templ!A:B,2,FALSE))</f>
        <v>acm2_human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G387" s="4"/>
      <c r="U387" s="28" t="str">
        <f>MID(VLOOKUP($A387,Seqs!$A:$B,2,FALSE),VLOOKUP($A387,'SegEnds_NonXtal_Prot#'!A:AL,10,FALSE),1)</f>
        <v>R</v>
      </c>
      <c r="V387" s="50" t="str">
        <f>MID(VLOOKUP($A387,Seqs!$A:$B,2,FALSE),VLOOKUP($A387,'SegEnds_NonXtal_Prot#'!A:AL,10,FALSE)+6,1)</f>
        <v>V</v>
      </c>
      <c r="W387" s="50" t="str">
        <f>MID(VLOOKUP($A387,Seqs!$A:$B,2,FALSE),VLOOKUP($A387,'SegEnds_NonXtal_Prot#'!A:AL,10,FALSE)+7,1)</f>
        <v>M</v>
      </c>
      <c r="X387" s="50" t="str">
        <f>MID(VLOOKUP($A387,Seqs!$A:$B,2,FALSE),VLOOKUP($A387,'SegEnds_NonXtal_Prot#'!A:AL,10,FALSE)+8,1)</f>
        <v>L</v>
      </c>
      <c r="Y387" s="50" t="str">
        <f>MID(VLOOKUP($A387,Seqs!$A:$B,2,FALSE),VLOOKUP($A387,'SegEnds_NonXtal_Prot#'!A:AL,10,FALSE)+9,1)</f>
        <v>F</v>
      </c>
      <c r="Z387" s="50" t="str">
        <f>MID(VLOOKUP($A387,Seqs!$A:$B,2,FALSE),VLOOKUP($A387,'SegEnds_NonXtal_Prot#'!A:AL,10,FALSE)+10,1)</f>
        <v>L</v>
      </c>
      <c r="AA387" s="28" t="str">
        <f>MID(VLOOKUP($A387,Seqs!$A:$B,2,FALSE),VLOOKUP($A387,'SegEnds_NonXtal_Prot#'!$A:$AL,22,FALSE)+6,1)</f>
        <v>I</v>
      </c>
      <c r="AB387" s="50" t="str">
        <f>MID(VLOOKUP($A387,Seqs!$A:$B,2,FALSE),VLOOKUP($A387,'SegEnds_NonXtal_Prot#'!$A:$AL,22,FALSE)+7,1)</f>
        <v>C</v>
      </c>
      <c r="AC387" s="50" t="str">
        <f>MID(VLOOKUP($A387,Seqs!$A:$B,2,FALSE),VLOOKUP($A387,'SegEnds_NonXtal_Prot#'!$A:$AL,22,FALSE)+8,1)</f>
        <v>N</v>
      </c>
      <c r="AD387" s="50" t="str">
        <f>MID(VLOOKUP($A387,Seqs!$A:$B,2,FALSE),VLOOKUP($A387,'SegEnds_NonXtal_Prot#'!$A:$AL,22,FALSE)+9,1)</f>
        <v>L</v>
      </c>
      <c r="AE387" s="50" t="str">
        <f>MID(VLOOKUP($A387,Seqs!$A:$B,2,FALSE),VLOOKUP($A387,'SegEnds_NonXtal_Prot#'!$A:$AL,22,FALSE)+10,1)</f>
        <v>A</v>
      </c>
      <c r="AF387" s="28" t="str">
        <f>MID(VLOOKUP($A387,Seqs!$A:$B,2,FALSE),VLOOKUP($A387,'SegEnds_NonXtal_Prot#'!$A:$AL,28,FALSE)-4,1)</f>
        <v>A</v>
      </c>
      <c r="AG387" s="50" t="str">
        <f>MID(VLOOKUP($A387,Seqs!$A:$B,2,FALSE),VLOOKUP($A387,'SegEnds_NonXtal_Prot#'!$A:$AL,28,FALSE),1)</f>
        <v>P</v>
      </c>
    </row>
    <row r="388" spans="1:33" s="2" customFormat="1" x14ac:dyDescent="0.2">
      <c r="A388" s="2" t="s">
        <v>461</v>
      </c>
      <c r="B388" s="2" t="str">
        <f>LOWER(VLOOKUP(A388,Xtal_Templ!A:B,2,FALSE))</f>
        <v>5ht2b_human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G388" s="4"/>
      <c r="U388" s="28" t="str">
        <f>MID(VLOOKUP($A388,Seqs!$A:$B,2,FALSE),VLOOKUP($A388,'SegEnds_NonXtal_Prot#'!A:AL,10,FALSE),1)</f>
        <v>R</v>
      </c>
      <c r="V388" s="50" t="str">
        <f>MID(VLOOKUP($A388,Seqs!$A:$B,2,FALSE),VLOOKUP($A388,'SegEnds_NonXtal_Prot#'!A:AL,10,FALSE)+6,1)</f>
        <v>V</v>
      </c>
      <c r="W388" s="50" t="str">
        <f>MID(VLOOKUP($A388,Seqs!$A:$B,2,FALSE),VLOOKUP($A388,'SegEnds_NonXtal_Prot#'!A:AL,10,FALSE)+7,1)</f>
        <v>I</v>
      </c>
      <c r="X388" s="50" t="str">
        <f>MID(VLOOKUP($A388,Seqs!$A:$B,2,FALSE),VLOOKUP($A388,'SegEnds_NonXtal_Prot#'!A:AL,10,FALSE)+8,1)</f>
        <v>L</v>
      </c>
      <c r="Y388" s="50" t="str">
        <f>MID(VLOOKUP($A388,Seqs!$A:$B,2,FALSE),VLOOKUP($A388,'SegEnds_NonXtal_Prot#'!A:AL,10,FALSE)+9,1)</f>
        <v>L</v>
      </c>
      <c r="Z388" s="50" t="str">
        <f>MID(VLOOKUP($A388,Seqs!$A:$B,2,FALSE),VLOOKUP($A388,'SegEnds_NonXtal_Prot#'!A:AL,10,FALSE)+10,1)</f>
        <v>H</v>
      </c>
      <c r="AA388" s="28" t="str">
        <f>MID(VLOOKUP($A388,Seqs!$A:$B,2,FALSE),VLOOKUP($A388,'SegEnds_NonXtal_Prot#'!$A:$AL,22,FALSE)+6,1)</f>
        <v>V</v>
      </c>
      <c r="AB388" s="50" t="str">
        <f>MID(VLOOKUP($A388,Seqs!$A:$B,2,FALSE),VLOOKUP($A388,'SegEnds_NonXtal_Prot#'!$A:$AL,22,FALSE)+7,1)</f>
        <v>C</v>
      </c>
      <c r="AC388" s="50" t="str">
        <f>MID(VLOOKUP($A388,Seqs!$A:$B,2,FALSE),VLOOKUP($A388,'SegEnds_NonXtal_Prot#'!$A:$AL,22,FALSE)+8,1)</f>
        <v>H</v>
      </c>
      <c r="AD388" s="50" t="str">
        <f>MID(VLOOKUP($A388,Seqs!$A:$B,2,FALSE),VLOOKUP($A388,'SegEnds_NonXtal_Prot#'!$A:$AL,22,FALSE)+9,1)</f>
        <v>L</v>
      </c>
      <c r="AE388" s="50" t="str">
        <f>MID(VLOOKUP($A388,Seqs!$A:$B,2,FALSE),VLOOKUP($A388,'SegEnds_NonXtal_Prot#'!$A:$AL,22,FALSE)+10,1)</f>
        <v>V</v>
      </c>
      <c r="AF388" s="28" t="str">
        <f>MID(VLOOKUP($A388,Seqs!$A:$B,2,FALSE),VLOOKUP($A388,'SegEnds_NonXtal_Prot#'!$A:$AL,28,FALSE)-4,1)</f>
        <v>A</v>
      </c>
      <c r="AG388" s="50" t="str">
        <f>MID(VLOOKUP($A388,Seqs!$A:$B,2,FALSE),VLOOKUP($A388,'SegEnds_NonXtal_Prot#'!$A:$AL,28,FALSE),1)</f>
        <v>P</v>
      </c>
    </row>
    <row r="389" spans="1:33" s="2" customFormat="1" x14ac:dyDescent="0.2">
      <c r="A389" s="2" t="s">
        <v>462</v>
      </c>
      <c r="B389" s="2" t="str">
        <f>LOWER(VLOOKUP(A389,Xtal_Templ!A:B,2,FALSE))</f>
        <v>5ht2b_human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G389" s="4"/>
      <c r="U389" s="28" t="str">
        <f>MID(VLOOKUP($A389,Seqs!$A:$B,2,FALSE),VLOOKUP($A389,'SegEnds_NonXtal_Prot#'!A:AL,10,FALSE),1)</f>
        <v>R</v>
      </c>
      <c r="V389" s="50" t="str">
        <f>MID(VLOOKUP($A389,Seqs!$A:$B,2,FALSE),VLOOKUP($A389,'SegEnds_NonXtal_Prot#'!A:AL,10,FALSE)+6,1)</f>
        <v>V</v>
      </c>
      <c r="W389" s="50" t="str">
        <f>MID(VLOOKUP($A389,Seqs!$A:$B,2,FALSE),VLOOKUP($A389,'SegEnds_NonXtal_Prot#'!A:AL,10,FALSE)+7,1)</f>
        <v>L</v>
      </c>
      <c r="X389" s="50" t="str">
        <f>MID(VLOOKUP($A389,Seqs!$A:$B,2,FALSE),VLOOKUP($A389,'SegEnds_NonXtal_Prot#'!A:AL,10,FALSE)+8,1)</f>
        <v>L</v>
      </c>
      <c r="Y389" s="50" t="str">
        <f>MID(VLOOKUP($A389,Seqs!$A:$B,2,FALSE),VLOOKUP($A389,'SegEnds_NonXtal_Prot#'!A:AL,10,FALSE)+9,1)</f>
        <v>L</v>
      </c>
      <c r="Z389" s="50" t="str">
        <f>MID(VLOOKUP($A389,Seqs!$A:$B,2,FALSE),VLOOKUP($A389,'SegEnds_NonXtal_Prot#'!A:AL,10,FALSE)+10,1)</f>
        <v>H</v>
      </c>
      <c r="AA389" s="28" t="str">
        <f>MID(VLOOKUP($A389,Seqs!$A:$B,2,FALSE),VLOOKUP($A389,'SegEnds_NonXtal_Prot#'!$A:$AL,22,FALSE)+6,1)</f>
        <v>V</v>
      </c>
      <c r="AB389" s="50" t="str">
        <f>MID(VLOOKUP($A389,Seqs!$A:$B,2,FALSE),VLOOKUP($A389,'SegEnds_NonXtal_Prot#'!$A:$AL,22,FALSE)+7,1)</f>
        <v>C</v>
      </c>
      <c r="AC389" s="50" t="str">
        <f>MID(VLOOKUP($A389,Seqs!$A:$B,2,FALSE),VLOOKUP($A389,'SegEnds_NonXtal_Prot#'!$A:$AL,22,FALSE)+8,1)</f>
        <v>H</v>
      </c>
      <c r="AD389" s="50" t="str">
        <f>MID(VLOOKUP($A389,Seqs!$A:$B,2,FALSE),VLOOKUP($A389,'SegEnds_NonXtal_Prot#'!$A:$AL,22,FALSE)+9,1)</f>
        <v>L</v>
      </c>
      <c r="AE389" s="50" t="str">
        <f>MID(VLOOKUP($A389,Seqs!$A:$B,2,FALSE),VLOOKUP($A389,'SegEnds_NonXtal_Prot#'!$A:$AL,22,FALSE)+10,1)</f>
        <v>F</v>
      </c>
      <c r="AF389" s="28" t="str">
        <f>MID(VLOOKUP($A389,Seqs!$A:$B,2,FALSE),VLOOKUP($A389,'SegEnds_NonXtal_Prot#'!$A:$AL,28,FALSE)-4,1)</f>
        <v>A</v>
      </c>
      <c r="AG389" s="50" t="str">
        <f>MID(VLOOKUP($A389,Seqs!$A:$B,2,FALSE),VLOOKUP($A389,'SegEnds_NonXtal_Prot#'!$A:$AL,28,FALSE),1)</f>
        <v>P</v>
      </c>
    </row>
    <row r="390" spans="1:33" s="2" customFormat="1" x14ac:dyDescent="0.2">
      <c r="A390" s="2" t="s">
        <v>463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G390" s="4"/>
      <c r="U390" s="28" t="str">
        <f>MID(VLOOKUP($A390,Seqs!$A:$B,2,FALSE),VLOOKUP($A390,'SegEnds_NonXtal_Prot#'!A:AL,10,FALSE),1)</f>
        <v>R</v>
      </c>
      <c r="V390" s="50" t="str">
        <f>MID(VLOOKUP($A390,Seqs!$A:$B,2,FALSE),VLOOKUP($A390,'SegEnds_NonXtal_Prot#'!A:AL,10,FALSE)+6,1)</f>
        <v>V</v>
      </c>
      <c r="W390" s="50" t="str">
        <f>MID(VLOOKUP($A390,Seqs!$A:$B,2,FALSE),VLOOKUP($A390,'SegEnds_NonXtal_Prot#'!A:AL,10,FALSE)+7,1)</f>
        <v>L</v>
      </c>
      <c r="X390" s="50" t="str">
        <f>MID(VLOOKUP($A390,Seqs!$A:$B,2,FALSE),VLOOKUP($A390,'SegEnds_NonXtal_Prot#'!A:AL,10,FALSE)+8,1)</f>
        <v>L</v>
      </c>
      <c r="Y390" s="50" t="str">
        <f>MID(VLOOKUP($A390,Seqs!$A:$B,2,FALSE),VLOOKUP($A390,'SegEnds_NonXtal_Prot#'!A:AL,10,FALSE)+9,1)</f>
        <v>L</v>
      </c>
      <c r="Z390" s="50" t="str">
        <f>MID(VLOOKUP($A390,Seqs!$A:$B,2,FALSE),VLOOKUP($A390,'SegEnds_NonXtal_Prot#'!A:AL,10,FALSE)+10,1)</f>
        <v>N</v>
      </c>
      <c r="AA390" s="28" t="str">
        <f>MID(VLOOKUP($A390,Seqs!$A:$B,2,FALSE),VLOOKUP($A390,'SegEnds_NonXtal_Prot#'!$A:$AL,22,FALSE)+6,1)</f>
        <v>A</v>
      </c>
      <c r="AB390" s="50" t="str">
        <f>MID(VLOOKUP($A390,Seqs!$A:$B,2,FALSE),VLOOKUP($A390,'SegEnds_NonXtal_Prot#'!$A:$AL,22,FALSE)+7,1)</f>
        <v>C</v>
      </c>
      <c r="AC390" s="50" t="str">
        <f>MID(VLOOKUP($A390,Seqs!$A:$B,2,FALSE),VLOOKUP($A390,'SegEnds_NonXtal_Prot#'!$A:$AL,22,FALSE)+8,1)</f>
        <v>Q</v>
      </c>
      <c r="AD390" s="50" t="str">
        <f>MID(VLOOKUP($A390,Seqs!$A:$B,2,FALSE),VLOOKUP($A390,'SegEnds_NonXtal_Prot#'!$A:$AL,22,FALSE)+9,1)</f>
        <v>L</v>
      </c>
      <c r="AE390" s="50" t="str">
        <f>MID(VLOOKUP($A390,Seqs!$A:$B,2,FALSE),VLOOKUP($A390,'SegEnds_NonXtal_Prot#'!$A:$AL,22,FALSE)+10,1)</f>
        <v>F</v>
      </c>
      <c r="AF390" s="28" t="str">
        <f>MID(VLOOKUP($A390,Seqs!$A:$B,2,FALSE),VLOOKUP($A390,'SegEnds_NonXtal_Prot#'!$A:$AL,28,FALSE)-4,1)</f>
        <v>G</v>
      </c>
      <c r="AG390" s="50" t="str">
        <f>MID(VLOOKUP($A390,Seqs!$A:$B,2,FALSE),VLOOKUP($A390,'SegEnds_NonXtal_Prot#'!$A:$AL,28,FALSE),1)</f>
        <v>P</v>
      </c>
    </row>
    <row r="391" spans="1:33" s="2" customFormat="1" x14ac:dyDescent="0.2">
      <c r="A391" s="2" t="s">
        <v>464</v>
      </c>
      <c r="B391" s="2" t="str">
        <f>LOWER(VLOOKUP(A391,Xtal_Templ!A:B,2,FALSE))</f>
        <v>agtr1_human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G391" s="4"/>
      <c r="U391" s="28" t="str">
        <f>MID(VLOOKUP($A391,Seqs!$A:$B,2,FALSE),VLOOKUP($A391,'SegEnds_NonXtal_Prot#'!A:AL,10,FALSE),1)</f>
        <v>R</v>
      </c>
      <c r="V391" s="50" t="str">
        <f>MID(VLOOKUP($A391,Seqs!$A:$B,2,FALSE),VLOOKUP($A391,'SegEnds_NonXtal_Prot#'!A:AL,10,FALSE)+6,1)</f>
        <v>L</v>
      </c>
      <c r="W391" s="50" t="str">
        <f>MID(VLOOKUP($A391,Seqs!$A:$B,2,FALSE),VLOOKUP($A391,'SegEnds_NonXtal_Prot#'!A:AL,10,FALSE)+7,1)</f>
        <v>L</v>
      </c>
      <c r="X391" s="50" t="str">
        <f>MID(VLOOKUP($A391,Seqs!$A:$B,2,FALSE),VLOOKUP($A391,'SegEnds_NonXtal_Prot#'!A:AL,10,FALSE)+8,1)</f>
        <v>F</v>
      </c>
      <c r="Y391" s="50" t="str">
        <f>MID(VLOOKUP($A391,Seqs!$A:$B,2,FALSE),VLOOKUP($A391,'SegEnds_NonXtal_Prot#'!A:AL,10,FALSE)+9,1)</f>
        <v>L</v>
      </c>
      <c r="Z391" s="50" t="str">
        <f>MID(VLOOKUP($A391,Seqs!$A:$B,2,FALSE),VLOOKUP($A391,'SegEnds_NonXtal_Prot#'!A:AL,10,FALSE)+10,1)</f>
        <v>S</v>
      </c>
      <c r="AA391" s="28" t="str">
        <f>MID(VLOOKUP($A391,Seqs!$A:$B,2,FALSE),VLOOKUP($A391,'SegEnds_NonXtal_Prot#'!$A:$AL,22,FALSE)+6,1)</f>
        <v>C</v>
      </c>
      <c r="AB391" s="50" t="str">
        <f>MID(VLOOKUP($A391,Seqs!$A:$B,2,FALSE),VLOOKUP($A391,'SegEnds_NonXtal_Prot#'!$A:$AL,22,FALSE)+7,1)</f>
        <v>I</v>
      </c>
      <c r="AC391" s="50" t="str">
        <f>MID(VLOOKUP($A391,Seqs!$A:$B,2,FALSE),VLOOKUP($A391,'SegEnds_NonXtal_Prot#'!$A:$AL,22,FALSE)+8,1)</f>
        <v>C</v>
      </c>
      <c r="AD391" s="50" t="str">
        <f>MID(VLOOKUP($A391,Seqs!$A:$B,2,FALSE),VLOOKUP($A391,'SegEnds_NonXtal_Prot#'!$A:$AL,22,FALSE)+9,1)</f>
        <v>T</v>
      </c>
      <c r="AE391" s="50" t="str">
        <f>MID(VLOOKUP($A391,Seqs!$A:$B,2,FALSE),VLOOKUP($A391,'SegEnds_NonXtal_Prot#'!$A:$AL,22,FALSE)+10,1)</f>
        <v>V</v>
      </c>
      <c r="AF391" s="28" t="str">
        <f>MID(VLOOKUP($A391,Seqs!$A:$B,2,FALSE),VLOOKUP($A391,'SegEnds_NonXtal_Prot#'!$A:$AL,28,FALSE)-4,1)</f>
        <v>W</v>
      </c>
      <c r="AG391" s="50" t="str">
        <f>MID(VLOOKUP($A391,Seqs!$A:$B,2,FALSE),VLOOKUP($A391,'SegEnds_NonXtal_Prot#'!$A:$AL,28,FALSE),1)</f>
        <v>P</v>
      </c>
    </row>
    <row r="392" spans="1:33" s="2" customFormat="1" x14ac:dyDescent="0.2">
      <c r="A392" s="2" t="s">
        <v>467</v>
      </c>
      <c r="B392" s="2" t="str">
        <f>LOWER(VLOOKUP(A392,Xtal_Templ!A:B,2,FALSE))</f>
        <v>hrh1_human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G392" s="4"/>
      <c r="U392" s="28" t="str">
        <f>MID(VLOOKUP($A392,Seqs!$A:$B,2,FALSE),VLOOKUP($A392,'SegEnds_NonXtal_Prot#'!A:AL,10,FALSE),1)</f>
        <v>R</v>
      </c>
      <c r="V392" s="50" t="str">
        <f>MID(VLOOKUP($A392,Seqs!$A:$B,2,FALSE),VLOOKUP($A392,'SegEnds_NonXtal_Prot#'!A:AL,10,FALSE)+6,1)</f>
        <v>V</v>
      </c>
      <c r="W392" s="50" t="str">
        <f>MID(VLOOKUP($A392,Seqs!$A:$B,2,FALSE),VLOOKUP($A392,'SegEnds_NonXtal_Prot#'!A:AL,10,FALSE)+7,1)</f>
        <v>G</v>
      </c>
      <c r="X392" s="50" t="str">
        <f>MID(VLOOKUP($A392,Seqs!$A:$B,2,FALSE),VLOOKUP($A392,'SegEnds_NonXtal_Prot#'!A:AL,10,FALSE)+8,1)</f>
        <v>T</v>
      </c>
      <c r="Y392" s="50" t="str">
        <f>MID(VLOOKUP($A392,Seqs!$A:$B,2,FALSE),VLOOKUP($A392,'SegEnds_NonXtal_Prot#'!A:AL,10,FALSE)+9,1)</f>
        <v>V</v>
      </c>
      <c r="Z392" s="50" t="str">
        <f>MID(VLOOKUP($A392,Seqs!$A:$B,2,FALSE),VLOOKUP($A392,'SegEnds_NonXtal_Prot#'!A:AL,10,FALSE)+10,1)</f>
        <v>H</v>
      </c>
      <c r="AA392" s="28" t="str">
        <f>MID(VLOOKUP($A392,Seqs!$A:$B,2,FALSE),VLOOKUP($A392,'SegEnds_NonXtal_Prot#'!$A:$AL,22,FALSE)+6,1)</f>
        <v>F</v>
      </c>
      <c r="AB392" s="50" t="str">
        <f>MID(VLOOKUP($A392,Seqs!$A:$B,2,FALSE),VLOOKUP($A392,'SegEnds_NonXtal_Prot#'!$A:$AL,22,FALSE)+7,1)</f>
        <v>I</v>
      </c>
      <c r="AC392" s="50" t="str">
        <f>MID(VLOOKUP($A392,Seqs!$A:$B,2,FALSE),VLOOKUP($A392,'SegEnds_NonXtal_Prot#'!$A:$AL,22,FALSE)+8,1)</f>
        <v>I</v>
      </c>
      <c r="AD392" s="50" t="str">
        <f>MID(VLOOKUP($A392,Seqs!$A:$B,2,FALSE),VLOOKUP($A392,'SegEnds_NonXtal_Prot#'!$A:$AL,22,FALSE)+9,1)</f>
        <v>T</v>
      </c>
      <c r="AE392" s="50" t="str">
        <f>MID(VLOOKUP($A392,Seqs!$A:$B,2,FALSE),VLOOKUP($A392,'SegEnds_NonXtal_Prot#'!$A:$AL,22,FALSE)+10,1)</f>
        <v>L</v>
      </c>
      <c r="AF392" s="28" t="str">
        <f>MID(VLOOKUP($A392,Seqs!$A:$B,2,FALSE),VLOOKUP($A392,'SegEnds_NonXtal_Prot#'!$A:$AL,28,FALSE)-4,1)</f>
        <v>I</v>
      </c>
      <c r="AG392" s="50" t="str">
        <f>MID(VLOOKUP($A392,Seqs!$A:$B,2,FALSE),VLOOKUP($A392,'SegEnds_NonXtal_Prot#'!$A:$AL,28,FALSE),1)</f>
        <v>P</v>
      </c>
    </row>
    <row r="393" spans="1:33" s="2" customFormat="1" x14ac:dyDescent="0.2">
      <c r="A393" s="2" t="s">
        <v>468</v>
      </c>
      <c r="B393" s="2" t="str">
        <f>LOWER(VLOOKUP(A393,Xtal_Templ!A:B,2,FALSE))</f>
        <v>hrh1_human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G393" s="4"/>
      <c r="U393" s="28" t="str">
        <f>MID(VLOOKUP($A393,Seqs!$A:$B,2,FALSE),VLOOKUP($A393,'SegEnds_NonXtal_Prot#'!A:AL,10,FALSE),1)</f>
        <v>T</v>
      </c>
      <c r="V393" s="50" t="str">
        <f>MID(VLOOKUP($A393,Seqs!$A:$B,2,FALSE),VLOOKUP($A393,'SegEnds_NonXtal_Prot#'!A:AL,10,FALSE)+6,1)</f>
        <v>V</v>
      </c>
      <c r="W393" s="50" t="str">
        <f>MID(VLOOKUP($A393,Seqs!$A:$B,2,FALSE),VLOOKUP($A393,'SegEnds_NonXtal_Prot#'!A:AL,10,FALSE)+7,1)</f>
        <v>I</v>
      </c>
      <c r="X393" s="50" t="str">
        <f>MID(VLOOKUP($A393,Seqs!$A:$B,2,FALSE),VLOOKUP($A393,'SegEnds_NonXtal_Prot#'!A:AL,10,FALSE)+8,1)</f>
        <v>L</v>
      </c>
      <c r="Y393" s="50" t="str">
        <f>MID(VLOOKUP($A393,Seqs!$A:$B,2,FALSE),VLOOKUP($A393,'SegEnds_NonXtal_Prot#'!A:AL,10,FALSE)+9,1)</f>
        <v>F</v>
      </c>
      <c r="Z393" s="50" t="str">
        <f>MID(VLOOKUP($A393,Seqs!$A:$B,2,FALSE),VLOOKUP($A393,'SegEnds_NonXtal_Prot#'!A:AL,10,FALSE)+10,1)</f>
        <v>D</v>
      </c>
      <c r="AA393" s="28" t="str">
        <f>MID(VLOOKUP($A393,Seqs!$A:$B,2,FALSE),VLOOKUP($A393,'SegEnds_NonXtal_Prot#'!$A:$AL,22,FALSE)+6,1)</f>
        <v>I</v>
      </c>
      <c r="AB393" s="50" t="str">
        <f>MID(VLOOKUP($A393,Seqs!$A:$B,2,FALSE),VLOOKUP($A393,'SegEnds_NonXtal_Prot#'!$A:$AL,22,FALSE)+7,1)</f>
        <v>F</v>
      </c>
      <c r="AC393" s="50" t="str">
        <f>MID(VLOOKUP($A393,Seqs!$A:$B,2,FALSE),VLOOKUP($A393,'SegEnds_NonXtal_Prot#'!$A:$AL,22,FALSE)+8,1)</f>
        <v>D</v>
      </c>
      <c r="AD393" s="50" t="str">
        <f>MID(VLOOKUP($A393,Seqs!$A:$B,2,FALSE),VLOOKUP($A393,'SegEnds_NonXtal_Prot#'!$A:$AL,22,FALSE)+9,1)</f>
        <v>S</v>
      </c>
      <c r="AE393" s="50" t="str">
        <f>MID(VLOOKUP($A393,Seqs!$A:$B,2,FALSE),VLOOKUP($A393,'SegEnds_NonXtal_Prot#'!$A:$AL,22,FALSE)+10,1)</f>
        <v>L</v>
      </c>
      <c r="AF393" s="28" t="str">
        <f>MID(VLOOKUP($A393,Seqs!$A:$B,2,FALSE),VLOOKUP($A393,'SegEnds_NonXtal_Prot#'!$A:$AL,28,FALSE)-4,1)</f>
        <v>T</v>
      </c>
      <c r="AG393" s="50" t="str">
        <f>MID(VLOOKUP($A393,Seqs!$A:$B,2,FALSE),VLOOKUP($A393,'SegEnds_NonXtal_Prot#'!$A:$AL,28,FALSE),1)</f>
        <v>P</v>
      </c>
    </row>
    <row r="394" spans="1:33" s="2" customFormat="1" x14ac:dyDescent="0.2">
      <c r="A394" s="2" t="s">
        <v>469</v>
      </c>
      <c r="B394" s="2" t="str">
        <f>LOWER(VLOOKUP(A394,Xtal_Templ!A:B,2,FALSE))</f>
        <v>agtr1_human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G394" s="4"/>
      <c r="U394" s="28" t="str">
        <f>MID(VLOOKUP($A394,Seqs!$A:$B,2,FALSE),VLOOKUP($A394,'SegEnds_NonXtal_Prot#'!A:AL,10,FALSE),1)</f>
        <v>R</v>
      </c>
      <c r="V394" s="50" t="str">
        <f>MID(VLOOKUP($A394,Seqs!$A:$B,2,FALSE),VLOOKUP($A394,'SegEnds_NonXtal_Prot#'!A:AL,10,FALSE)+6,1)</f>
        <v>V</v>
      </c>
      <c r="W394" s="50" t="str">
        <f>MID(VLOOKUP($A394,Seqs!$A:$B,2,FALSE),VLOOKUP($A394,'SegEnds_NonXtal_Prot#'!A:AL,10,FALSE)+7,1)</f>
        <v>L</v>
      </c>
      <c r="X394" s="50" t="str">
        <f>MID(VLOOKUP($A394,Seqs!$A:$B,2,FALSE),VLOOKUP($A394,'SegEnds_NonXtal_Prot#'!A:AL,10,FALSE)+8,1)</f>
        <v>L</v>
      </c>
      <c r="Y394" s="50" t="str">
        <f>MID(VLOOKUP($A394,Seqs!$A:$B,2,FALSE),VLOOKUP($A394,'SegEnds_NonXtal_Prot#'!A:AL,10,FALSE)+9,1)</f>
        <v>L</v>
      </c>
      <c r="Z394" s="50" t="str">
        <f>MID(VLOOKUP($A394,Seqs!$A:$B,2,FALSE),VLOOKUP($A394,'SegEnds_NonXtal_Prot#'!A:AL,10,FALSE)+10,1)</f>
        <v>N</v>
      </c>
      <c r="AA394" s="28" t="str">
        <f>MID(VLOOKUP($A394,Seqs!$A:$B,2,FALSE),VLOOKUP($A394,'SegEnds_NonXtal_Prot#'!$A:$AL,22,FALSE)+6,1)</f>
        <v>A</v>
      </c>
      <c r="AB394" s="50" t="str">
        <f>MID(VLOOKUP($A394,Seqs!$A:$B,2,FALSE),VLOOKUP($A394,'SegEnds_NonXtal_Prot#'!$A:$AL,22,FALSE)+7,1)</f>
        <v>C</v>
      </c>
      <c r="AC394" s="50" t="str">
        <f>MID(VLOOKUP($A394,Seqs!$A:$B,2,FALSE),VLOOKUP($A394,'SegEnds_NonXtal_Prot#'!$A:$AL,22,FALSE)+8,1)</f>
        <v>H</v>
      </c>
      <c r="AD394" s="50" t="str">
        <f>MID(VLOOKUP($A394,Seqs!$A:$B,2,FALSE),VLOOKUP($A394,'SegEnds_NonXtal_Prot#'!$A:$AL,22,FALSE)+9,1)</f>
        <v>L</v>
      </c>
      <c r="AE394" s="50" t="str">
        <f>MID(VLOOKUP($A394,Seqs!$A:$B,2,FALSE),VLOOKUP($A394,'SegEnds_NonXtal_Prot#'!$A:$AL,22,FALSE)+10,1)</f>
        <v>F</v>
      </c>
      <c r="AF394" s="28" t="str">
        <f>MID(VLOOKUP($A394,Seqs!$A:$B,2,FALSE),VLOOKUP($A394,'SegEnds_NonXtal_Prot#'!$A:$AL,28,FALSE)-4,1)</f>
        <v>A</v>
      </c>
      <c r="AG394" s="50" t="str">
        <f>MID(VLOOKUP($A394,Seqs!$A:$B,2,FALSE),VLOOKUP($A394,'SegEnds_NonXtal_Prot#'!$A:$AL,28,FALSE),1)</f>
        <v>P</v>
      </c>
    </row>
    <row r="395" spans="1:33" s="2" customFormat="1" x14ac:dyDescent="0.2">
      <c r="A395" s="2" t="s">
        <v>930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G395" s="4"/>
      <c r="U395" s="28" t="str">
        <f>MID(VLOOKUP($A395,Seqs!$A:$B,2,FALSE),VLOOKUP($A395,'SegEnds_NonXtal_Prot#'!A:AL,10,FALSE),1)</f>
        <v>R</v>
      </c>
      <c r="V395" s="50" t="str">
        <f>MID(VLOOKUP($A395,Seqs!$A:$B,2,FALSE),VLOOKUP($A395,'SegEnds_NonXtal_Prot#'!A:AL,10,FALSE)+6,1)</f>
        <v>V</v>
      </c>
      <c r="W395" s="50" t="str">
        <f>MID(VLOOKUP($A395,Seqs!$A:$B,2,FALSE),VLOOKUP($A395,'SegEnds_NonXtal_Prot#'!A:AL,10,FALSE)+7,1)</f>
        <v>L</v>
      </c>
      <c r="X395" s="50" t="str">
        <f>MID(VLOOKUP($A395,Seqs!$A:$B,2,FALSE),VLOOKUP($A395,'SegEnds_NonXtal_Prot#'!A:AL,10,FALSE)+8,1)</f>
        <v>L</v>
      </c>
      <c r="Y395" s="50" t="str">
        <f>MID(VLOOKUP($A395,Seqs!$A:$B,2,FALSE),VLOOKUP($A395,'SegEnds_NonXtal_Prot#'!A:AL,10,FALSE)+9,1)</f>
        <v>L</v>
      </c>
      <c r="Z395" s="50" t="str">
        <f>MID(VLOOKUP($A395,Seqs!$A:$B,2,FALSE),VLOOKUP($A395,'SegEnds_NonXtal_Prot#'!A:AL,10,FALSE)+10,1)</f>
        <v>N</v>
      </c>
      <c r="AA395" s="28" t="str">
        <f>MID(VLOOKUP($A395,Seqs!$A:$B,2,FALSE),VLOOKUP($A395,'SegEnds_NonXtal_Prot#'!$A:$AL,22,FALSE)+6,1)</f>
        <v>A</v>
      </c>
      <c r="AB395" s="50" t="str">
        <f>MID(VLOOKUP($A395,Seqs!$A:$B,2,FALSE),VLOOKUP($A395,'SegEnds_NonXtal_Prot#'!$A:$AL,22,FALSE)+7,1)</f>
        <v>C</v>
      </c>
      <c r="AC395" s="50" t="str">
        <f>MID(VLOOKUP($A395,Seqs!$A:$B,2,FALSE),VLOOKUP($A395,'SegEnds_NonXtal_Prot#'!$A:$AL,22,FALSE)+8,1)</f>
        <v>H</v>
      </c>
      <c r="AD395" s="50" t="str">
        <f>MID(VLOOKUP($A395,Seqs!$A:$B,2,FALSE),VLOOKUP($A395,'SegEnds_NonXtal_Prot#'!$A:$AL,22,FALSE)+9,1)</f>
        <v>L</v>
      </c>
      <c r="AE395" s="50" t="str">
        <f>MID(VLOOKUP($A395,Seqs!$A:$B,2,FALSE),VLOOKUP($A395,'SegEnds_NonXtal_Prot#'!$A:$AL,22,FALSE)+10,1)</f>
        <v>F</v>
      </c>
      <c r="AF395" s="28" t="str">
        <f>MID(VLOOKUP($A395,Seqs!$A:$B,2,FALSE),VLOOKUP($A395,'SegEnds_NonXtal_Prot#'!$A:$AL,28,FALSE)-4,1)</f>
        <v>A</v>
      </c>
      <c r="AG395" s="50" t="str">
        <f>MID(VLOOKUP($A395,Seqs!$A:$B,2,FALSE),VLOOKUP($A395,'SegEnds_NonXtal_Prot#'!$A:$AL,28,FALSE),1)</f>
        <v>P</v>
      </c>
    </row>
    <row r="396" spans="1:33" s="2" customFormat="1" x14ac:dyDescent="0.2">
      <c r="A396" s="2" t="s">
        <v>470</v>
      </c>
      <c r="B396" s="2" t="str">
        <f>LOWER(VLOOKUP(A396,Xtal_Templ!A:B,2,FALSE))</f>
        <v>agtr1_human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G396" s="4"/>
      <c r="U396" s="28" t="str">
        <f>MID(VLOOKUP($A396,Seqs!$A:$B,2,FALSE),VLOOKUP($A396,'SegEnds_NonXtal_Prot#'!A:AL,10,FALSE),1)</f>
        <v>R</v>
      </c>
      <c r="V396" s="50" t="str">
        <f>MID(VLOOKUP($A396,Seqs!$A:$B,2,FALSE),VLOOKUP($A396,'SegEnds_NonXtal_Prot#'!A:AL,10,FALSE)+6,1)</f>
        <v>V</v>
      </c>
      <c r="W396" s="50" t="str">
        <f>MID(VLOOKUP($A396,Seqs!$A:$B,2,FALSE),VLOOKUP($A396,'SegEnds_NonXtal_Prot#'!A:AL,10,FALSE)+7,1)</f>
        <v>L</v>
      </c>
      <c r="X396" s="50" t="str">
        <f>MID(VLOOKUP($A396,Seqs!$A:$B,2,FALSE),VLOOKUP($A396,'SegEnds_NonXtal_Prot#'!A:AL,10,FALSE)+8,1)</f>
        <v>V</v>
      </c>
      <c r="Y396" s="50" t="str">
        <f>MID(VLOOKUP($A396,Seqs!$A:$B,2,FALSE),VLOOKUP($A396,'SegEnds_NonXtal_Prot#'!A:AL,10,FALSE)+9,1)</f>
        <v>L</v>
      </c>
      <c r="Z396" s="50" t="str">
        <f>MID(VLOOKUP($A396,Seqs!$A:$B,2,FALSE),VLOOKUP($A396,'SegEnds_NonXtal_Prot#'!A:AL,10,FALSE)+10,1)</f>
        <v>N</v>
      </c>
      <c r="AA396" s="28" t="str">
        <f>MID(VLOOKUP($A396,Seqs!$A:$B,2,FALSE),VLOOKUP($A396,'SegEnds_NonXtal_Prot#'!$A:$AL,22,FALSE)+6,1)</f>
        <v>V</v>
      </c>
      <c r="AB396" s="50" t="str">
        <f>MID(VLOOKUP($A396,Seqs!$A:$B,2,FALSE),VLOOKUP($A396,'SegEnds_NonXtal_Prot#'!$A:$AL,22,FALSE)+7,1)</f>
        <v>C</v>
      </c>
      <c r="AC396" s="50" t="str">
        <f>MID(VLOOKUP($A396,Seqs!$A:$B,2,FALSE),VLOOKUP($A396,'SegEnds_NonXtal_Prot#'!$A:$AL,22,FALSE)+8,1)</f>
        <v>H</v>
      </c>
      <c r="AD396" s="50" t="str">
        <f>MID(VLOOKUP($A396,Seqs!$A:$B,2,FALSE),VLOOKUP($A396,'SegEnds_NonXtal_Prot#'!$A:$AL,22,FALSE)+9,1)</f>
        <v>L</v>
      </c>
      <c r="AE396" s="50" t="str">
        <f>MID(VLOOKUP($A396,Seqs!$A:$B,2,FALSE),VLOOKUP($A396,'SegEnds_NonXtal_Prot#'!$A:$AL,22,FALSE)+10,1)</f>
        <v>F</v>
      </c>
      <c r="AF396" s="28" t="str">
        <f>MID(VLOOKUP($A396,Seqs!$A:$B,2,FALSE),VLOOKUP($A396,'SegEnds_NonXtal_Prot#'!$A:$AL,28,FALSE)-4,1)</f>
        <v>A</v>
      </c>
      <c r="AG396" s="50" t="str">
        <f>MID(VLOOKUP($A396,Seqs!$A:$B,2,FALSE),VLOOKUP($A396,'SegEnds_NonXtal_Prot#'!$A:$AL,28,FALSE),1)</f>
        <v>P</v>
      </c>
    </row>
    <row r="397" spans="1:33" s="2" customFormat="1" x14ac:dyDescent="0.2">
      <c r="A397" s="2" t="s">
        <v>471</v>
      </c>
      <c r="B397" s="2" t="str">
        <f>LOWER(VLOOKUP(A397,Xtal_Templ!A:B,2,FALSE))</f>
        <v>drd3_human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G397" s="4"/>
      <c r="U397" s="28" t="str">
        <f>MID(VLOOKUP($A397,Seqs!$A:$B,2,FALSE),VLOOKUP($A397,'SegEnds_NonXtal_Prot#'!A:AL,10,FALSE),1)</f>
        <v>R</v>
      </c>
      <c r="V397" s="50" t="str">
        <f>MID(VLOOKUP($A397,Seqs!$A:$B,2,FALSE),VLOOKUP($A397,'SegEnds_NonXtal_Prot#'!A:AL,10,FALSE)+6,1)</f>
        <v>A</v>
      </c>
      <c r="W397" s="50" t="str">
        <f>MID(VLOOKUP($A397,Seqs!$A:$B,2,FALSE),VLOOKUP($A397,'SegEnds_NonXtal_Prot#'!A:AL,10,FALSE)+7,1)</f>
        <v>L</v>
      </c>
      <c r="X397" s="50" t="str">
        <f>MID(VLOOKUP($A397,Seqs!$A:$B,2,FALSE),VLOOKUP($A397,'SegEnds_NonXtal_Prot#'!A:AL,10,FALSE)+8,1)</f>
        <v>L</v>
      </c>
      <c r="Y397" s="50" t="str">
        <f>MID(VLOOKUP($A397,Seqs!$A:$B,2,FALSE),VLOOKUP($A397,'SegEnds_NonXtal_Prot#'!A:AL,10,FALSE)+9,1)</f>
        <v>L</v>
      </c>
      <c r="Z397" s="50" t="str">
        <f>MID(VLOOKUP($A397,Seqs!$A:$B,2,FALSE),VLOOKUP($A397,'SegEnds_NonXtal_Prot#'!A:AL,10,FALSE)+10,1)</f>
        <v>N</v>
      </c>
      <c r="AA397" s="28" t="str">
        <f>MID(VLOOKUP($A397,Seqs!$A:$B,2,FALSE),VLOOKUP($A397,'SegEnds_NonXtal_Prot#'!$A:$AL,22,FALSE)+6,1)</f>
        <v>V</v>
      </c>
      <c r="AB397" s="50" t="str">
        <f>MID(VLOOKUP($A397,Seqs!$A:$B,2,FALSE),VLOOKUP($A397,'SegEnds_NonXtal_Prot#'!$A:$AL,22,FALSE)+7,1)</f>
        <v>C</v>
      </c>
      <c r="AC397" s="50" t="str">
        <f>MID(VLOOKUP($A397,Seqs!$A:$B,2,FALSE),VLOOKUP($A397,'SegEnds_NonXtal_Prot#'!$A:$AL,22,FALSE)+8,1)</f>
        <v>H</v>
      </c>
      <c r="AD397" s="50" t="str">
        <f>MID(VLOOKUP($A397,Seqs!$A:$B,2,FALSE),VLOOKUP($A397,'SegEnds_NonXtal_Prot#'!$A:$AL,22,FALSE)+9,1)</f>
        <v>L</v>
      </c>
      <c r="AE397" s="50" t="str">
        <f>MID(VLOOKUP($A397,Seqs!$A:$B,2,FALSE),VLOOKUP($A397,'SegEnds_NonXtal_Prot#'!$A:$AL,22,FALSE)+10,1)</f>
        <v>L</v>
      </c>
      <c r="AF397" s="28" t="str">
        <f>MID(VLOOKUP($A397,Seqs!$A:$B,2,FALSE),VLOOKUP($A397,'SegEnds_NonXtal_Prot#'!$A:$AL,28,FALSE)-4,1)</f>
        <v>W</v>
      </c>
      <c r="AG397" s="50" t="str">
        <f>MID(VLOOKUP($A397,Seqs!$A:$B,2,FALSE),VLOOKUP($A397,'SegEnds_NonXtal_Prot#'!$A:$AL,28,FALSE),1)</f>
        <v>P</v>
      </c>
    </row>
    <row r="398" spans="1:33" s="2" customFormat="1" x14ac:dyDescent="0.2">
      <c r="A398" s="2" t="s">
        <v>475</v>
      </c>
      <c r="B398" s="2" t="str">
        <f>LOWER(VLOOKUP(A398,Xtal_Templ!A:B,2,FALSE))</f>
        <v>agtr1_human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G398" s="4"/>
      <c r="U398" s="28" t="str">
        <f>MID(VLOOKUP($A398,Seqs!$A:$B,2,FALSE),VLOOKUP($A398,'SegEnds_NonXtal_Prot#'!A:AL,10,FALSE),1)</f>
        <v>R</v>
      </c>
      <c r="V398" s="50" t="str">
        <f>MID(VLOOKUP($A398,Seqs!$A:$B,2,FALSE),VLOOKUP($A398,'SegEnds_NonXtal_Prot#'!A:AL,10,FALSE)+6,1)</f>
        <v>I</v>
      </c>
      <c r="W398" s="50" t="str">
        <f>MID(VLOOKUP($A398,Seqs!$A:$B,2,FALSE),VLOOKUP($A398,'SegEnds_NonXtal_Prot#'!A:AL,10,FALSE)+7,1)</f>
        <v>I</v>
      </c>
      <c r="X398" s="50" t="str">
        <f>MID(VLOOKUP($A398,Seqs!$A:$B,2,FALSE),VLOOKUP($A398,'SegEnds_NonXtal_Prot#'!A:AL,10,FALSE)+8,1)</f>
        <v>L</v>
      </c>
      <c r="Y398" s="50" t="str">
        <f>MID(VLOOKUP($A398,Seqs!$A:$B,2,FALSE),VLOOKUP($A398,'SegEnds_NonXtal_Prot#'!A:AL,10,FALSE)+9,1)</f>
        <v>T</v>
      </c>
      <c r="Z398" s="50" t="str">
        <f>MID(VLOOKUP($A398,Seqs!$A:$B,2,FALSE),VLOOKUP($A398,'SegEnds_NonXtal_Prot#'!A:AL,10,FALSE)+10,1)</f>
        <v>D</v>
      </c>
      <c r="AA398" s="28" t="str">
        <f>MID(VLOOKUP($A398,Seqs!$A:$B,2,FALSE),VLOOKUP($A398,'SegEnds_NonXtal_Prot#'!$A:$AL,22,FALSE)+6,1)</f>
        <v>C</v>
      </c>
      <c r="AB398" s="50" t="str">
        <f>MID(VLOOKUP($A398,Seqs!$A:$B,2,FALSE),VLOOKUP($A398,'SegEnds_NonXtal_Prot#'!$A:$AL,22,FALSE)+7,1)</f>
        <v>G</v>
      </c>
      <c r="AC398" s="50" t="str">
        <f>MID(VLOOKUP($A398,Seqs!$A:$B,2,FALSE),VLOOKUP($A398,'SegEnds_NonXtal_Prot#'!$A:$AL,22,FALSE)+8,1)</f>
        <v>S</v>
      </c>
      <c r="AD398" s="50" t="str">
        <f>MID(VLOOKUP($A398,Seqs!$A:$B,2,FALSE),VLOOKUP($A398,'SegEnds_NonXtal_Prot#'!$A:$AL,22,FALSE)+9,1)</f>
        <v>T</v>
      </c>
      <c r="AE398" s="50" t="str">
        <f>MID(VLOOKUP($A398,Seqs!$A:$B,2,FALSE),VLOOKUP($A398,'SegEnds_NonXtal_Prot#'!$A:$AL,22,FALSE)+10,1)</f>
        <v>A</v>
      </c>
      <c r="AF398" s="28" t="str">
        <f>MID(VLOOKUP($A398,Seqs!$A:$B,2,FALSE),VLOOKUP($A398,'SegEnds_NonXtal_Prot#'!$A:$AL,28,FALSE)-4,1)</f>
        <v>W</v>
      </c>
      <c r="AG398" s="50" t="str">
        <f>MID(VLOOKUP($A398,Seqs!$A:$B,2,FALSE),VLOOKUP($A398,'SegEnds_NonXtal_Prot#'!$A:$AL,28,FALSE),1)</f>
        <v>P</v>
      </c>
    </row>
    <row r="399" spans="1:33" s="2" customFormat="1" x14ac:dyDescent="0.2">
      <c r="A399" s="2" t="s">
        <v>478</v>
      </c>
      <c r="B399" s="2" t="str">
        <f>LOWER(VLOOKUP(A399,Xtal_Templ!A:B,2,FALSE))</f>
        <v>ednrb_human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G399" s="4"/>
      <c r="U399" s="28" t="str">
        <f>MID(VLOOKUP($A399,Seqs!$A:$B,2,FALSE),VLOOKUP($A399,'SegEnds_NonXtal_Prot#'!A:AL,10,FALSE),1)</f>
        <v>R</v>
      </c>
      <c r="V399" s="50" t="str">
        <f>MID(VLOOKUP($A399,Seqs!$A:$B,2,FALSE),VLOOKUP($A399,'SegEnds_NonXtal_Prot#'!A:AL,10,FALSE)+6,1)</f>
        <v>V</v>
      </c>
      <c r="W399" s="50" t="str">
        <f>MID(VLOOKUP($A399,Seqs!$A:$B,2,FALSE),VLOOKUP($A399,'SegEnds_NonXtal_Prot#'!A:AL,10,FALSE)+7,1)</f>
        <v>I</v>
      </c>
      <c r="X399" s="50" t="str">
        <f>MID(VLOOKUP($A399,Seqs!$A:$B,2,FALSE),VLOOKUP($A399,'SegEnds_NonXtal_Prot#'!A:AL,10,FALSE)+8,1)</f>
        <v>L</v>
      </c>
      <c r="Y399" s="50" t="str">
        <f>MID(VLOOKUP($A399,Seqs!$A:$B,2,FALSE),VLOOKUP($A399,'SegEnds_NonXtal_Prot#'!A:AL,10,FALSE)+9,1)</f>
        <v>L</v>
      </c>
      <c r="Z399" s="50" t="str">
        <f>MID(VLOOKUP($A399,Seqs!$A:$B,2,FALSE),VLOOKUP($A399,'SegEnds_NonXtal_Prot#'!A:AL,10,FALSE)+10,1)</f>
        <v>D</v>
      </c>
      <c r="AA399" s="28" t="str">
        <f>MID(VLOOKUP($A399,Seqs!$A:$B,2,FALSE),VLOOKUP($A399,'SegEnds_NonXtal_Prot#'!$A:$AL,22,FALSE)+6,1)</f>
        <v>V</v>
      </c>
      <c r="AB399" s="50" t="str">
        <f>MID(VLOOKUP($A399,Seqs!$A:$B,2,FALSE),VLOOKUP($A399,'SegEnds_NonXtal_Prot#'!$A:$AL,22,FALSE)+7,1)</f>
        <v>F</v>
      </c>
      <c r="AC399" s="50" t="str">
        <f>MID(VLOOKUP($A399,Seqs!$A:$B,2,FALSE),VLOOKUP($A399,'SegEnds_NonXtal_Prot#'!$A:$AL,22,FALSE)+8,1)</f>
        <v>I</v>
      </c>
      <c r="AD399" s="50" t="str">
        <f>MID(VLOOKUP($A399,Seqs!$A:$B,2,FALSE),VLOOKUP($A399,'SegEnds_NonXtal_Prot#'!$A:$AL,22,FALSE)+9,1)</f>
        <v>S</v>
      </c>
      <c r="AE399" s="50" t="str">
        <f>MID(VLOOKUP($A399,Seqs!$A:$B,2,FALSE),VLOOKUP($A399,'SegEnds_NonXtal_Prot#'!$A:$AL,22,FALSE)+10,1)</f>
        <v>L</v>
      </c>
      <c r="AF399" s="28" t="str">
        <f>MID(VLOOKUP($A399,Seqs!$A:$B,2,FALSE),VLOOKUP($A399,'SegEnds_NonXtal_Prot#'!$A:$AL,28,FALSE)-4,1)</f>
        <v>A</v>
      </c>
      <c r="AG399" s="50" t="str">
        <f>MID(VLOOKUP($A399,Seqs!$A:$B,2,FALSE),VLOOKUP($A399,'SegEnds_NonXtal_Prot#'!$A:$AL,28,FALSE),1)</f>
        <v>P</v>
      </c>
    </row>
    <row r="400" spans="1:33" s="2" customFormat="1" x14ac:dyDescent="0.2">
      <c r="A400" s="2" t="s">
        <v>479</v>
      </c>
      <c r="B400" s="2" t="str">
        <f>LOWER(VLOOKUP(A400,Xtal_Templ!A:B,2,FALSE))</f>
        <v>agtr1_human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G400" s="4"/>
      <c r="U400" s="28" t="str">
        <f>MID(VLOOKUP($A400,Seqs!$A:$B,2,FALSE),VLOOKUP($A400,'SegEnds_NonXtal_Prot#'!A:AL,10,FALSE),1)</f>
        <v>R</v>
      </c>
      <c r="V400" s="50" t="str">
        <f>MID(VLOOKUP($A400,Seqs!$A:$B,2,FALSE),VLOOKUP($A400,'SegEnds_NonXtal_Prot#'!A:AL,10,FALSE)+6,1)</f>
        <v>V</v>
      </c>
      <c r="W400" s="50" t="str">
        <f>MID(VLOOKUP($A400,Seqs!$A:$B,2,FALSE),VLOOKUP($A400,'SegEnds_NonXtal_Prot#'!A:AL,10,FALSE)+7,1)</f>
        <v>M</v>
      </c>
      <c r="X400" s="50" t="str">
        <f>MID(VLOOKUP($A400,Seqs!$A:$B,2,FALSE),VLOOKUP($A400,'SegEnds_NonXtal_Prot#'!A:AL,10,FALSE)+8,1)</f>
        <v>V</v>
      </c>
      <c r="Y400" s="50" t="str">
        <f>MID(VLOOKUP($A400,Seqs!$A:$B,2,FALSE),VLOOKUP($A400,'SegEnds_NonXtal_Prot#'!A:AL,10,FALSE)+9,1)</f>
        <v>V</v>
      </c>
      <c r="Z400" s="50" t="str">
        <f>MID(VLOOKUP($A400,Seqs!$A:$B,2,FALSE),VLOOKUP($A400,'SegEnds_NonXtal_Prot#'!A:AL,10,FALSE)+10,1)</f>
        <v>N</v>
      </c>
      <c r="AA400" s="28" t="str">
        <f>MID(VLOOKUP($A400,Seqs!$A:$B,2,FALSE),VLOOKUP($A400,'SegEnds_NonXtal_Prot#'!$A:$AL,22,FALSE)+6,1)</f>
        <v>L</v>
      </c>
      <c r="AB400" s="50" t="str">
        <f>MID(VLOOKUP($A400,Seqs!$A:$B,2,FALSE),VLOOKUP($A400,'SegEnds_NonXtal_Prot#'!$A:$AL,22,FALSE)+7,1)</f>
        <v>L</v>
      </c>
      <c r="AC400" s="50" t="str">
        <f>MID(VLOOKUP($A400,Seqs!$A:$B,2,FALSE),VLOOKUP($A400,'SegEnds_NonXtal_Prot#'!$A:$AL,22,FALSE)+8,1)</f>
        <v>V</v>
      </c>
      <c r="AD400" s="50" t="str">
        <f>MID(VLOOKUP($A400,Seqs!$A:$B,2,FALSE),VLOOKUP($A400,'SegEnds_NonXtal_Prot#'!$A:$AL,22,FALSE)+9,1)</f>
        <v>S</v>
      </c>
      <c r="AE400" s="50" t="str">
        <f>MID(VLOOKUP($A400,Seqs!$A:$B,2,FALSE),VLOOKUP($A400,'SegEnds_NonXtal_Prot#'!$A:$AL,22,FALSE)+10,1)</f>
        <v>L</v>
      </c>
      <c r="AF400" s="28" t="str">
        <f>MID(VLOOKUP($A400,Seqs!$A:$B,2,FALSE),VLOOKUP($A400,'SegEnds_NonXtal_Prot#'!$A:$AL,28,FALSE)-4,1)</f>
        <v>F</v>
      </c>
      <c r="AG400" s="50" t="str">
        <f>MID(VLOOKUP($A400,Seqs!$A:$B,2,FALSE),VLOOKUP($A400,'SegEnds_NonXtal_Prot#'!$A:$AL,28,FALSE),1)</f>
        <v>P</v>
      </c>
    </row>
    <row r="401" spans="1:33" s="2" customFormat="1" x14ac:dyDescent="0.2">
      <c r="A401" s="2" t="s">
        <v>480</v>
      </c>
      <c r="B401" s="2" t="str">
        <f>LOWER(VLOOKUP(A401,Xtal_Templ!A:B,2,FALSE))</f>
        <v>agtr1_human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G401" s="4"/>
      <c r="U401" s="28" t="str">
        <f>MID(VLOOKUP($A401,Seqs!$A:$B,2,FALSE),VLOOKUP($A401,'SegEnds_NonXtal_Prot#'!A:AL,10,FALSE),1)</f>
        <v>R</v>
      </c>
      <c r="V401" s="50" t="str">
        <f>MID(VLOOKUP($A401,Seqs!$A:$B,2,FALSE),VLOOKUP($A401,'SegEnds_NonXtal_Prot#'!A:AL,10,FALSE)+6,1)</f>
        <v>V</v>
      </c>
      <c r="W401" s="50" t="str">
        <f>MID(VLOOKUP($A401,Seqs!$A:$B,2,FALSE),VLOOKUP($A401,'SegEnds_NonXtal_Prot#'!A:AL,10,FALSE)+7,1)</f>
        <v>I</v>
      </c>
      <c r="X401" s="50" t="str">
        <f>MID(VLOOKUP($A401,Seqs!$A:$B,2,FALSE),VLOOKUP($A401,'SegEnds_NonXtal_Prot#'!A:AL,10,FALSE)+8,1)</f>
        <v>S</v>
      </c>
      <c r="Y401" s="50" t="str">
        <f>MID(VLOOKUP($A401,Seqs!$A:$B,2,FALSE),VLOOKUP($A401,'SegEnds_NonXtal_Prot#'!A:AL,10,FALSE)+9,1)</f>
        <v>L</v>
      </c>
      <c r="Z401" s="50" t="str">
        <f>MID(VLOOKUP($A401,Seqs!$A:$B,2,FALSE),VLOOKUP($A401,'SegEnds_NonXtal_Prot#'!A:AL,10,FALSE)+10,1)</f>
        <v>D</v>
      </c>
      <c r="AA401" s="28" t="str">
        <f>MID(VLOOKUP($A401,Seqs!$A:$B,2,FALSE),VLOOKUP($A401,'SegEnds_NonXtal_Prot#'!$A:$AL,22,FALSE)+6,1)</f>
        <v>L</v>
      </c>
      <c r="AB401" s="50" t="str">
        <f>MID(VLOOKUP($A401,Seqs!$A:$B,2,FALSE),VLOOKUP($A401,'SegEnds_NonXtal_Prot#'!$A:$AL,22,FALSE)+7,1)</f>
        <v>I</v>
      </c>
      <c r="AC401" s="50" t="str">
        <f>MID(VLOOKUP($A401,Seqs!$A:$B,2,FALSE),VLOOKUP($A401,'SegEnds_NonXtal_Prot#'!$A:$AL,22,FALSE)+8,1)</f>
        <v>I</v>
      </c>
      <c r="AD401" s="50" t="str">
        <f>MID(VLOOKUP($A401,Seqs!$A:$B,2,FALSE),VLOOKUP($A401,'SegEnds_NonXtal_Prot#'!$A:$AL,22,FALSE)+9,1)</f>
        <v>S</v>
      </c>
      <c r="AE401" s="50" t="str">
        <f>MID(VLOOKUP($A401,Seqs!$A:$B,2,FALSE),VLOOKUP($A401,'SegEnds_NonXtal_Prot#'!$A:$AL,22,FALSE)+10,1)</f>
        <v>V</v>
      </c>
      <c r="AF401" s="28" t="str">
        <f>MID(VLOOKUP($A401,Seqs!$A:$B,2,FALSE),VLOOKUP($A401,'SegEnds_NonXtal_Prot#'!$A:$AL,28,FALSE)-4,1)</f>
        <v>G</v>
      </c>
      <c r="AG401" s="50" t="str">
        <f>MID(VLOOKUP($A401,Seqs!$A:$B,2,FALSE),VLOOKUP($A401,'SegEnds_NonXtal_Prot#'!$A:$AL,28,FALSE),1)</f>
        <v>P</v>
      </c>
    </row>
    <row r="402" spans="1:33" s="2" customFormat="1" x14ac:dyDescent="0.2">
      <c r="A402" s="2" t="s">
        <v>466</v>
      </c>
      <c r="B402" s="2" t="str">
        <f>LOWER(VLOOKUP(A402,Xtal_Templ!A:B,2,FALSE))</f>
        <v>cxcr4_human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G402" s="4"/>
      <c r="U402" s="28" t="str">
        <f>MID(VLOOKUP($A402,Seqs!$A:$B,2,FALSE),VLOOKUP($A402,'SegEnds_NonXtal_Prot#'!A:AL,10,FALSE),1)</f>
        <v>R</v>
      </c>
      <c r="V402" s="50" t="str">
        <f>MID(VLOOKUP($A402,Seqs!$A:$B,2,FALSE),VLOOKUP($A402,'SegEnds_NonXtal_Prot#'!A:AL,10,FALSE)+6,1)</f>
        <v>W</v>
      </c>
      <c r="W402" s="50" t="str">
        <f>MID(VLOOKUP($A402,Seqs!$A:$B,2,FALSE),VLOOKUP($A402,'SegEnds_NonXtal_Prot#'!A:AL,10,FALSE)+7,1)</f>
        <v>M</v>
      </c>
      <c r="X402" s="50" t="str">
        <f>MID(VLOOKUP($A402,Seqs!$A:$B,2,FALSE),VLOOKUP($A402,'SegEnds_NonXtal_Prot#'!A:AL,10,FALSE)+8,1)</f>
        <v>M</v>
      </c>
      <c r="Y402" s="50" t="str">
        <f>MID(VLOOKUP($A402,Seqs!$A:$B,2,FALSE),VLOOKUP($A402,'SegEnds_NonXtal_Prot#'!A:AL,10,FALSE)+9,1)</f>
        <v>L</v>
      </c>
      <c r="Z402" s="50" t="str">
        <f>MID(VLOOKUP($A402,Seqs!$A:$B,2,FALSE),VLOOKUP($A402,'SegEnds_NonXtal_Prot#'!A:AL,10,FALSE)+10,1)</f>
        <v>E</v>
      </c>
      <c r="AA402" s="28" t="str">
        <f>MID(VLOOKUP($A402,Seqs!$A:$B,2,FALSE),VLOOKUP($A402,'SegEnds_NonXtal_Prot#'!$A:$AL,22,FALSE)+6,1)</f>
        <v>L</v>
      </c>
      <c r="AB402" s="50" t="str">
        <f>MID(VLOOKUP($A402,Seqs!$A:$B,2,FALSE),VLOOKUP($A402,'SegEnds_NonXtal_Prot#'!$A:$AL,22,FALSE)+7,1)</f>
        <v>S</v>
      </c>
      <c r="AC402" s="50" t="str">
        <f>MID(VLOOKUP($A402,Seqs!$A:$B,2,FALSE),VLOOKUP($A402,'SegEnds_NonXtal_Prot#'!$A:$AL,22,FALSE)+8,1)</f>
        <v>F</v>
      </c>
      <c r="AD402" s="50" t="str">
        <f>MID(VLOOKUP($A402,Seqs!$A:$B,2,FALSE),VLOOKUP($A402,'SegEnds_NonXtal_Prot#'!$A:$AL,22,FALSE)+9,1)</f>
        <v>S</v>
      </c>
      <c r="AE402" s="50" t="str">
        <f>MID(VLOOKUP($A402,Seqs!$A:$B,2,FALSE),VLOOKUP($A402,'SegEnds_NonXtal_Prot#'!$A:$AL,22,FALSE)+10,1)</f>
        <v>F</v>
      </c>
      <c r="AF402" s="28" t="str">
        <f>MID(VLOOKUP($A402,Seqs!$A:$B,2,FALSE),VLOOKUP($A402,'SegEnds_NonXtal_Prot#'!$A:$AL,28,FALSE)-4,1)</f>
        <v>G</v>
      </c>
      <c r="AG402" s="50" t="str">
        <f>MID(VLOOKUP($A402,Seqs!$A:$B,2,FALSE),VLOOKUP($A402,'SegEnds_NonXtal_Prot#'!$A:$AL,28,FALSE),1)</f>
        <v>P</v>
      </c>
    </row>
    <row r="403" spans="1:33" s="2" customFormat="1" x14ac:dyDescent="0.2">
      <c r="A403" s="2" t="s">
        <v>474</v>
      </c>
      <c r="B403" s="2" t="str">
        <f>LOWER(VLOOKUP(A403,Xtal_Templ!A:B,2,FALSE))</f>
        <v>cxcr4_human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G403" s="4"/>
      <c r="U403" s="28" t="str">
        <f>MID(VLOOKUP($A403,Seqs!$A:$B,2,FALSE),VLOOKUP($A403,'SegEnds_NonXtal_Prot#'!A:AL,10,FALSE),1)</f>
        <v>R</v>
      </c>
      <c r="V403" s="50" t="str">
        <f>MID(VLOOKUP($A403,Seqs!$A:$B,2,FALSE),VLOOKUP($A403,'SegEnds_NonXtal_Prot#'!A:AL,10,FALSE)+6,1)</f>
        <v>F</v>
      </c>
      <c r="W403" s="50" t="str">
        <f>MID(VLOOKUP($A403,Seqs!$A:$B,2,FALSE),VLOOKUP($A403,'SegEnds_NonXtal_Prot#'!A:AL,10,FALSE)+7,1)</f>
        <v>I</v>
      </c>
      <c r="X403" s="50" t="str">
        <f>MID(VLOOKUP($A403,Seqs!$A:$B,2,FALSE),VLOOKUP($A403,'SegEnds_NonXtal_Prot#'!A:AL,10,FALSE)+8,1)</f>
        <v>F</v>
      </c>
      <c r="Y403" s="50" t="str">
        <f>MID(VLOOKUP($A403,Seqs!$A:$B,2,FALSE),VLOOKUP($A403,'SegEnds_NonXtal_Prot#'!A:AL,10,FALSE)+9,1)</f>
        <v>Y</v>
      </c>
      <c r="Z403" s="50" t="str">
        <f>MID(VLOOKUP($A403,Seqs!$A:$B,2,FALSE),VLOOKUP($A403,'SegEnds_NonXtal_Prot#'!A:AL,10,FALSE)+10,1)</f>
        <v>V</v>
      </c>
      <c r="AA403" s="28" t="str">
        <f>MID(VLOOKUP($A403,Seqs!$A:$B,2,FALSE),VLOOKUP($A403,'SegEnds_NonXtal_Prot#'!$A:$AL,22,FALSE)+6,1)</f>
        <v>S</v>
      </c>
      <c r="AB403" s="50" t="str">
        <f>MID(VLOOKUP($A403,Seqs!$A:$B,2,FALSE),VLOOKUP($A403,'SegEnds_NonXtal_Prot#'!$A:$AL,22,FALSE)+7,1)</f>
        <v>M</v>
      </c>
      <c r="AC403" s="50" t="str">
        <f>MID(VLOOKUP($A403,Seqs!$A:$B,2,FALSE),VLOOKUP($A403,'SegEnds_NonXtal_Prot#'!$A:$AL,22,FALSE)+8,1)</f>
        <v>I</v>
      </c>
      <c r="AD403" s="50" t="str">
        <f>MID(VLOOKUP($A403,Seqs!$A:$B,2,FALSE),VLOOKUP($A403,'SegEnds_NonXtal_Prot#'!$A:$AL,22,FALSE)+9,1)</f>
        <v>C</v>
      </c>
      <c r="AE403" s="50" t="str">
        <f>MID(VLOOKUP($A403,Seqs!$A:$B,2,FALSE),VLOOKUP($A403,'SegEnds_NonXtal_Prot#'!$A:$AL,22,FALSE)+10,1)</f>
        <v>V</v>
      </c>
      <c r="AF403" s="28" t="str">
        <f>MID(VLOOKUP($A403,Seqs!$A:$B,2,FALSE),VLOOKUP($A403,'SegEnds_NonXtal_Prot#'!$A:$AL,28,FALSE)-4,1)</f>
        <v>E</v>
      </c>
      <c r="AG403" s="50" t="str">
        <f>MID(VLOOKUP($A403,Seqs!$A:$B,2,FALSE),VLOOKUP($A403,'SegEnds_NonXtal_Prot#'!$A:$AL,28,FALSE),1)</f>
        <v>P</v>
      </c>
    </row>
    <row r="404" spans="1:33" s="2" customFormat="1" x14ac:dyDescent="0.2">
      <c r="A404" s="2" t="s">
        <v>459</v>
      </c>
      <c r="B404" s="2" t="str">
        <f>LOWER(VLOOKUP(A404,Xtal_Templ!A:B,2,FALSE))</f>
        <v>cxcr4_human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G404" s="4"/>
      <c r="U404" s="28" t="str">
        <f>MID(VLOOKUP($A404,Seqs!$A:$B,2,FALSE),VLOOKUP($A404,'SegEnds_NonXtal_Prot#'!A:AL,10,FALSE),1)</f>
        <v>R</v>
      </c>
      <c r="V404" s="50" t="str">
        <f>MID(VLOOKUP($A404,Seqs!$A:$B,2,FALSE),VLOOKUP($A404,'SegEnds_NonXtal_Prot#'!A:AL,10,FALSE)+6,1)</f>
        <v>A</v>
      </c>
      <c r="W404" s="50" t="str">
        <f>MID(VLOOKUP($A404,Seqs!$A:$B,2,FALSE),VLOOKUP($A404,'SegEnds_NonXtal_Prot#'!A:AL,10,FALSE)+7,1)</f>
        <v>S</v>
      </c>
      <c r="X404" s="50" t="str">
        <f>MID(VLOOKUP($A404,Seqs!$A:$B,2,FALSE),VLOOKUP($A404,'SegEnds_NonXtal_Prot#'!A:AL,10,FALSE)+8,1)</f>
        <v>M</v>
      </c>
      <c r="Y404" s="50" t="str">
        <f>MID(VLOOKUP($A404,Seqs!$A:$B,2,FALSE),VLOOKUP($A404,'SegEnds_NonXtal_Prot#'!A:AL,10,FALSE)+9,1)</f>
        <v>L</v>
      </c>
      <c r="Z404" s="50" t="str">
        <f>MID(VLOOKUP($A404,Seqs!$A:$B,2,FALSE),VLOOKUP($A404,'SegEnds_NonXtal_Prot#'!A:AL,10,FALSE)+10,1)</f>
        <v>N</v>
      </c>
      <c r="AA404" s="28" t="str">
        <f>MID(VLOOKUP($A404,Seqs!$A:$B,2,FALSE),VLOOKUP($A404,'SegEnds_NonXtal_Prot#'!$A:$AL,22,FALSE)+6,1)</f>
        <v>C</v>
      </c>
      <c r="AB404" s="50" t="str">
        <f>MID(VLOOKUP($A404,Seqs!$A:$B,2,FALSE),VLOOKUP($A404,'SegEnds_NonXtal_Prot#'!$A:$AL,22,FALSE)+7,1)</f>
        <v>V</v>
      </c>
      <c r="AC404" s="50" t="str">
        <f>MID(VLOOKUP($A404,Seqs!$A:$B,2,FALSE),VLOOKUP($A404,'SegEnds_NonXtal_Prot#'!$A:$AL,22,FALSE)+8,1)</f>
        <v>T</v>
      </c>
      <c r="AD404" s="50" t="str">
        <f>MID(VLOOKUP($A404,Seqs!$A:$B,2,FALSE),VLOOKUP($A404,'SegEnds_NonXtal_Prot#'!$A:$AL,22,FALSE)+9,1)</f>
        <v>I</v>
      </c>
      <c r="AE404" s="50" t="str">
        <f>MID(VLOOKUP($A404,Seqs!$A:$B,2,FALSE),VLOOKUP($A404,'SegEnds_NonXtal_Prot#'!$A:$AL,22,FALSE)+10,1)</f>
        <v>I</v>
      </c>
      <c r="AF404" s="28" t="str">
        <f>MID(VLOOKUP($A404,Seqs!$A:$B,2,FALSE),VLOOKUP($A404,'SegEnds_NonXtal_Prot#'!$A:$AL,28,FALSE)-4,1)</f>
        <v>A</v>
      </c>
      <c r="AG404" s="50" t="str">
        <f>MID(VLOOKUP($A404,Seqs!$A:$B,2,FALSE),VLOOKUP($A404,'SegEnds_NonXtal_Prot#'!$A:$AL,28,FALSE),1)</f>
        <v>P</v>
      </c>
    </row>
    <row r="405" spans="1:33" s="2" customFormat="1" x14ac:dyDescent="0.2">
      <c r="A405" s="2" t="s">
        <v>458</v>
      </c>
      <c r="B405" s="2" t="str">
        <f>LOWER(VLOOKUP(A405,Xtal_Templ!A:B,2,FALSE))</f>
        <v>apj_human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G405" s="4"/>
      <c r="U405" s="28" t="str">
        <f>MID(VLOOKUP($A405,Seqs!$A:$B,2,FALSE),VLOOKUP($A405,'SegEnds_NonXtal_Prot#'!A:AL,10,FALSE),1)</f>
        <v>R</v>
      </c>
      <c r="V405" s="50" t="str">
        <f>MID(VLOOKUP($A405,Seqs!$A:$B,2,FALSE),VLOOKUP($A405,'SegEnds_NonXtal_Prot#'!A:AL,10,FALSE)+6,1)</f>
        <v>L</v>
      </c>
      <c r="W405" s="50" t="str">
        <f>MID(VLOOKUP($A405,Seqs!$A:$B,2,FALSE),VLOOKUP($A405,'SegEnds_NonXtal_Prot#'!A:AL,10,FALSE)+7,1)</f>
        <v>I</v>
      </c>
      <c r="X405" s="50" t="str">
        <f>MID(VLOOKUP($A405,Seqs!$A:$B,2,FALSE),VLOOKUP($A405,'SegEnds_NonXtal_Prot#'!A:AL,10,FALSE)+8,1)</f>
        <v>F</v>
      </c>
      <c r="Y405" s="50" t="str">
        <f>MID(VLOOKUP($A405,Seqs!$A:$B,2,FALSE),VLOOKUP($A405,'SegEnds_NonXtal_Prot#'!A:AL,10,FALSE)+9,1)</f>
        <v>G</v>
      </c>
      <c r="Z405" s="50" t="str">
        <f>MID(VLOOKUP($A405,Seqs!$A:$B,2,FALSE),VLOOKUP($A405,'SegEnds_NonXtal_Prot#'!A:AL,10,FALSE)+10,1)</f>
        <v>S</v>
      </c>
      <c r="AA405" s="28" t="str">
        <f>MID(VLOOKUP($A405,Seqs!$A:$B,2,FALSE),VLOOKUP($A405,'SegEnds_NonXtal_Prot#'!$A:$AL,22,FALSE)+6,1)</f>
        <v>F</v>
      </c>
      <c r="AB405" s="50" t="str">
        <f>MID(VLOOKUP($A405,Seqs!$A:$B,2,FALSE),VLOOKUP($A405,'SegEnds_NonXtal_Prot#'!$A:$AL,22,FALSE)+7,1)</f>
        <v>L</v>
      </c>
      <c r="AC405" s="50" t="str">
        <f>MID(VLOOKUP($A405,Seqs!$A:$B,2,FALSE),VLOOKUP($A405,'SegEnds_NonXtal_Prot#'!$A:$AL,22,FALSE)+8,1)</f>
        <v>N</v>
      </c>
      <c r="AD405" s="50" t="str">
        <f>MID(VLOOKUP($A405,Seqs!$A:$B,2,FALSE),VLOOKUP($A405,'SegEnds_NonXtal_Prot#'!$A:$AL,22,FALSE)+9,1)</f>
        <v>I</v>
      </c>
      <c r="AE405" s="50" t="str">
        <f>MID(VLOOKUP($A405,Seqs!$A:$B,2,FALSE),VLOOKUP($A405,'SegEnds_NonXtal_Prot#'!$A:$AL,22,FALSE)+10,1)</f>
        <v>A</v>
      </c>
      <c r="AF405" s="28" t="str">
        <f>MID(VLOOKUP($A405,Seqs!$A:$B,2,FALSE),VLOOKUP($A405,'SegEnds_NonXtal_Prot#'!$A:$AL,28,FALSE)-4,1)</f>
        <v>F</v>
      </c>
      <c r="AG405" s="50" t="str">
        <f>MID(VLOOKUP($A405,Seqs!$A:$B,2,FALSE),VLOOKUP($A405,'SegEnds_NonXtal_Prot#'!$A:$AL,28,FALSE),1)</f>
        <v>P</v>
      </c>
    </row>
    <row r="406" spans="1:33" s="2" customFormat="1" x14ac:dyDescent="0.2">
      <c r="A406" s="2" t="s">
        <v>456</v>
      </c>
      <c r="B406" s="2" t="str">
        <f>LOWER(VLOOKUP(A406,Xtal_Templ!A:B,2,FALSE))</f>
        <v>aa2ar_human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G406" s="4"/>
      <c r="U406" s="28" t="str">
        <f>MID(VLOOKUP($A406,Seqs!$A:$B,2,FALSE),VLOOKUP($A406,'SegEnds_NonXtal_Prot#'!A:AL,10,FALSE),1)</f>
        <v>R</v>
      </c>
      <c r="V406" s="50" t="str">
        <f>MID(VLOOKUP($A406,Seqs!$A:$B,2,FALSE),VLOOKUP($A406,'SegEnds_NonXtal_Prot#'!A:AL,10,FALSE)+6,1)</f>
        <v>I</v>
      </c>
      <c r="W406" s="50" t="str">
        <f>MID(VLOOKUP($A406,Seqs!$A:$B,2,FALSE),VLOOKUP($A406,'SegEnds_NonXtal_Prot#'!A:AL,10,FALSE)+7,1)</f>
        <v>I</v>
      </c>
      <c r="X406" s="50" t="str">
        <f>MID(VLOOKUP($A406,Seqs!$A:$B,2,FALSE),VLOOKUP($A406,'SegEnds_NonXtal_Prot#'!A:AL,10,FALSE)+8,1)</f>
        <v>I</v>
      </c>
      <c r="Y406" s="50" t="str">
        <f>MID(VLOOKUP($A406,Seqs!$A:$B,2,FALSE),VLOOKUP($A406,'SegEnds_NonXtal_Prot#'!A:AL,10,FALSE)+9,1)</f>
        <v>T</v>
      </c>
      <c r="Z406" s="50" t="str">
        <f>MID(VLOOKUP($A406,Seqs!$A:$B,2,FALSE),VLOOKUP($A406,'SegEnds_NonXtal_Prot#'!A:AL,10,FALSE)+10,1)</f>
        <v>D</v>
      </c>
      <c r="AA406" s="28" t="str">
        <f>MID(VLOOKUP($A406,Seqs!$A:$B,2,FALSE),VLOOKUP($A406,'SegEnds_NonXtal_Prot#'!$A:$AL,22,FALSE)+6,1)</f>
        <v>L</v>
      </c>
      <c r="AB406" s="50" t="str">
        <f>MID(VLOOKUP($A406,Seqs!$A:$B,2,FALSE),VLOOKUP($A406,'SegEnds_NonXtal_Prot#'!$A:$AL,22,FALSE)+7,1)</f>
        <v>L</v>
      </c>
      <c r="AC406" s="50" t="str">
        <f>MID(VLOOKUP($A406,Seqs!$A:$B,2,FALSE),VLOOKUP($A406,'SegEnds_NonXtal_Prot#'!$A:$AL,22,FALSE)+8,1)</f>
        <v>N</v>
      </c>
      <c r="AD406" s="50" t="str">
        <f>MID(VLOOKUP($A406,Seqs!$A:$B,2,FALSE),VLOOKUP($A406,'SegEnds_NonXtal_Prot#'!$A:$AL,22,FALSE)+9,1)</f>
        <v>F</v>
      </c>
      <c r="AE406" s="50" t="str">
        <f>MID(VLOOKUP($A406,Seqs!$A:$B,2,FALSE),VLOOKUP($A406,'SegEnds_NonXtal_Prot#'!$A:$AL,22,FALSE)+10,1)</f>
        <v>A</v>
      </c>
      <c r="AF406" s="28" t="str">
        <f>MID(VLOOKUP($A406,Seqs!$A:$B,2,FALSE),VLOOKUP($A406,'SegEnds_NonXtal_Prot#'!$A:$AL,28,FALSE)-4,1)</f>
        <v>G</v>
      </c>
      <c r="AG406" s="50" t="str">
        <f>MID(VLOOKUP($A406,Seqs!$A:$B,2,FALSE),VLOOKUP($A406,'SegEnds_NonXtal_Prot#'!$A:$AL,28,FALSE),1)</f>
        <v>F</v>
      </c>
    </row>
    <row r="407" spans="1:33" s="2" customFormat="1" x14ac:dyDescent="0.2">
      <c r="A407" s="2" t="s">
        <v>477</v>
      </c>
      <c r="B407" s="2" t="str">
        <f>LOWER(VLOOKUP(A407,Xtal_Templ!A:B,2,FALSE))</f>
        <v>hrh1_human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G407" s="4"/>
      <c r="U407" s="28" t="str">
        <f>MID(VLOOKUP($A407,Seqs!$A:$B,2,FALSE),VLOOKUP($A407,'SegEnds_NonXtal_Prot#'!A:AL,10,FALSE),1)</f>
        <v>R</v>
      </c>
      <c r="V407" s="50" t="str">
        <f>MID(VLOOKUP($A407,Seqs!$A:$B,2,FALSE),VLOOKUP($A407,'SegEnds_NonXtal_Prot#'!A:AL,10,FALSE)+6,1)</f>
        <v>L</v>
      </c>
      <c r="W407" s="50" t="str">
        <f>MID(VLOOKUP($A407,Seqs!$A:$B,2,FALSE),VLOOKUP($A407,'SegEnds_NonXtal_Prot#'!A:AL,10,FALSE)+7,1)</f>
        <v>I</v>
      </c>
      <c r="X407" s="50" t="str">
        <f>MID(VLOOKUP($A407,Seqs!$A:$B,2,FALSE),VLOOKUP($A407,'SegEnds_NonXtal_Prot#'!A:AL,10,FALSE)+8,1)</f>
        <v>I</v>
      </c>
      <c r="Y407" s="50" t="str">
        <f>MID(VLOOKUP($A407,Seqs!$A:$B,2,FALSE),VLOOKUP($A407,'SegEnds_NonXtal_Prot#'!A:AL,10,FALSE)+9,1)</f>
        <v>L</v>
      </c>
      <c r="Z407" s="50" t="str">
        <f>MID(VLOOKUP($A407,Seqs!$A:$B,2,FALSE),VLOOKUP($A407,'SegEnds_NonXtal_Prot#'!A:AL,10,FALSE)+10,1)</f>
        <v>D</v>
      </c>
      <c r="AA407" s="28" t="str">
        <f>MID(VLOOKUP($A407,Seqs!$A:$B,2,FALSE),VLOOKUP($A407,'SegEnds_NonXtal_Prot#'!$A:$AL,22,FALSE)+6,1)</f>
        <v>L</v>
      </c>
      <c r="AB407" s="50" t="str">
        <f>MID(VLOOKUP($A407,Seqs!$A:$B,2,FALSE),VLOOKUP($A407,'SegEnds_NonXtal_Prot#'!$A:$AL,22,FALSE)+7,1)</f>
        <v>L</v>
      </c>
      <c r="AC407" s="50" t="str">
        <f>MID(VLOOKUP($A407,Seqs!$A:$B,2,FALSE),VLOOKUP($A407,'SegEnds_NonXtal_Prot#'!$A:$AL,22,FALSE)+8,1)</f>
        <v>L</v>
      </c>
      <c r="AD407" s="50" t="str">
        <f>MID(VLOOKUP($A407,Seqs!$A:$B,2,FALSE),VLOOKUP($A407,'SegEnds_NonXtal_Prot#'!$A:$AL,22,FALSE)+9,1)</f>
        <v>T</v>
      </c>
      <c r="AE407" s="50" t="str">
        <f>MID(VLOOKUP($A407,Seqs!$A:$B,2,FALSE),VLOOKUP($A407,'SegEnds_NonXtal_Prot#'!$A:$AL,22,FALSE)+10,1)</f>
        <v>V</v>
      </c>
      <c r="AF407" s="28" t="str">
        <f>MID(VLOOKUP($A407,Seqs!$A:$B,2,FALSE),VLOOKUP($A407,'SegEnds_NonXtal_Prot#'!$A:$AL,28,FALSE)-4,1)</f>
        <v>G</v>
      </c>
      <c r="AG407" s="50" t="str">
        <f>MID(VLOOKUP($A407,Seqs!$A:$B,2,FALSE),VLOOKUP($A407,'SegEnds_NonXtal_Prot#'!$A:$AL,28,FALSE),1)</f>
        <v>P</v>
      </c>
    </row>
    <row r="408" spans="1:33" s="2" customFormat="1" x14ac:dyDescent="0.2">
      <c r="G408" s="4"/>
      <c r="U408" s="28"/>
      <c r="V408" s="50"/>
      <c r="W408" s="50"/>
      <c r="X408" s="50"/>
      <c r="Y408" s="50"/>
      <c r="Z408" s="50"/>
      <c r="AA408" s="28"/>
      <c r="AB408" s="50"/>
      <c r="AC408" s="50"/>
      <c r="AD408" s="50"/>
      <c r="AF408" s="16"/>
    </row>
    <row r="409" spans="1:33" s="2" customFormat="1" x14ac:dyDescent="0.2">
      <c r="G409" s="4"/>
      <c r="U409" s="28"/>
      <c r="V409" s="50"/>
      <c r="W409" s="50"/>
      <c r="X409" s="50"/>
      <c r="Y409" s="50"/>
      <c r="Z409" s="50"/>
      <c r="AA409" s="28"/>
      <c r="AB409" s="50"/>
      <c r="AC409" s="50"/>
      <c r="AD409" s="50"/>
      <c r="AF409" s="16"/>
    </row>
    <row r="410" spans="1:33" s="2" customFormat="1" x14ac:dyDescent="0.2">
      <c r="G410" s="4"/>
      <c r="U410" s="28"/>
      <c r="V410" s="50"/>
      <c r="W410" s="50"/>
      <c r="X410" s="50"/>
      <c r="Y410" s="50"/>
      <c r="Z410" s="50"/>
      <c r="AA410" s="28"/>
      <c r="AB410" s="50"/>
      <c r="AC410" s="50"/>
      <c r="AD410" s="50"/>
      <c r="AF410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D1:AE1048576">
    <cfRule type="cellIs" dxfId="6" priority="4" operator="equal">
      <formula>"P"</formula>
    </cfRule>
  </conditionalFormatting>
  <conditionalFormatting sqref="AB1:AB1048576">
    <cfRule type="cellIs" dxfId="5" priority="2" operator="equal">
      <formula>"W"</formula>
    </cfRule>
    <cfRule type="cellIs" dxfId="4" priority="3" operator="equal">
      <formula>"G"</formula>
    </cfRule>
  </conditionalFormatting>
  <conditionalFormatting sqref="AF2:AG407">
    <cfRule type="cellIs" dxfId="3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E409"/>
  <sheetViews>
    <sheetView workbookViewId="0">
      <pane ySplit="1" topLeftCell="A77" activePane="bottomLeft" state="frozenSplit"/>
      <selection pane="bottomLeft" activeCell="D114" sqref="D114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5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NoXtal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x14ac:dyDescent="0.2">
      <c r="A44" t="s">
        <v>40</v>
      </c>
      <c r="B44" t="s">
        <v>850</v>
      </c>
      <c r="C44" t="str">
        <f>IF(ISERROR(MATCH(A44,'SegEnds_Xtal_Prot#'!B:B, 0)), "NoXtal", "Xtal")</f>
        <v>Xtal</v>
      </c>
      <c r="D44" t="str">
        <f t="shared" si="0"/>
        <v>human</v>
      </c>
      <c r="E44" t="str">
        <f>VLOOKUP(A44,Classification!A:B,2,FALSE)</f>
        <v>C</v>
      </c>
    </row>
    <row r="45" spans="1:5" x14ac:dyDescent="0.2">
      <c r="A45" t="s">
        <v>41</v>
      </c>
      <c r="B45" t="s">
        <v>854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x14ac:dyDescent="0.2">
      <c r="A46" t="s">
        <v>111</v>
      </c>
      <c r="B46" t="s">
        <v>845</v>
      </c>
      <c r="C46" t="str">
        <f>IF(ISERROR(MATCH(A46,'SegEnds_Xtal_Prot#'!B:B, 0)), "NoXtal", "Xtal")</f>
        <v>NoXtal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106</v>
      </c>
      <c r="B47" t="s">
        <v>846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105</v>
      </c>
      <c r="B48" t="s">
        <v>847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114</v>
      </c>
      <c r="B49" t="s">
        <v>848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107</v>
      </c>
      <c r="B50" t="s">
        <v>849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115</v>
      </c>
      <c r="B51" t="s">
        <v>851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116</v>
      </c>
      <c r="B52" t="s">
        <v>852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117</v>
      </c>
      <c r="B53" t="s">
        <v>853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118</v>
      </c>
      <c r="B54" t="s">
        <v>855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119</v>
      </c>
      <c r="B55" t="s">
        <v>856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120</v>
      </c>
      <c r="B56" t="s">
        <v>857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122</v>
      </c>
      <c r="B57" t="s">
        <v>858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123</v>
      </c>
      <c r="B58" t="s">
        <v>859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124</v>
      </c>
      <c r="B59" t="s">
        <v>860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108</v>
      </c>
      <c r="B60" t="s">
        <v>861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109</v>
      </c>
      <c r="B61" t="s">
        <v>862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110</v>
      </c>
      <c r="B62" t="s">
        <v>863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121</v>
      </c>
      <c r="B63" t="s">
        <v>864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112</v>
      </c>
      <c r="B64" t="s">
        <v>865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113</v>
      </c>
      <c r="B65" t="s">
        <v>866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1177</v>
      </c>
      <c r="B66" t="s">
        <v>812</v>
      </c>
      <c r="C66" t="str">
        <f>IF(ISERROR(MATCH(A66,'SegEnds_Xtal_Prot#'!B:B, 0)), "NoXtal", "Xtal")</f>
        <v>NoXtal</v>
      </c>
      <c r="D66" t="str">
        <f t="shared" ref="D66:D130" si="1">MID(A66,FIND("_",A66)+1,LEN(A66)-FIND("_",A66))</f>
        <v>human</v>
      </c>
      <c r="E66" t="str">
        <f>VLOOKUP(A66,Classification!A:B,2,FALSE)</f>
        <v>B2</v>
      </c>
    </row>
    <row r="67" spans="1:5" x14ac:dyDescent="0.2">
      <c r="A67" t="s">
        <v>1178</v>
      </c>
      <c r="B67" t="s">
        <v>813</v>
      </c>
      <c r="C67" t="str">
        <f>IF(ISERROR(MATCH(A67,'SegEnds_Xtal_Prot#'!B:B, 0)), "NoXtal", "Xtal")</f>
        <v>NoXtal</v>
      </c>
      <c r="D67" t="str">
        <f t="shared" si="1"/>
        <v>human</v>
      </c>
      <c r="E67" t="str">
        <f>VLOOKUP(A67,Classification!A:B,2,FALSE)</f>
        <v>B2</v>
      </c>
    </row>
    <row r="68" spans="1:5" x14ac:dyDescent="0.2">
      <c r="A68" t="s">
        <v>1179</v>
      </c>
      <c r="B68" t="s">
        <v>814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414</v>
      </c>
      <c r="B69" t="s">
        <v>815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1180</v>
      </c>
      <c r="B70" t="s">
        <v>816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1181</v>
      </c>
      <c r="B71" t="s">
        <v>817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418</v>
      </c>
      <c r="B72" t="s">
        <v>818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419</v>
      </c>
      <c r="B73" t="s">
        <v>819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420</v>
      </c>
      <c r="B74" t="s">
        <v>820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1182</v>
      </c>
      <c r="B75" t="s">
        <v>821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1183</v>
      </c>
      <c r="B76" t="s">
        <v>822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1184</v>
      </c>
      <c r="B77" t="s">
        <v>823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1185</v>
      </c>
      <c r="B78" t="s">
        <v>824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1186</v>
      </c>
      <c r="B79" t="s">
        <v>825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1187</v>
      </c>
      <c r="B80" t="s">
        <v>826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417</v>
      </c>
      <c r="B81" t="s">
        <v>827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1188</v>
      </c>
      <c r="B82" t="s">
        <v>828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1189</v>
      </c>
      <c r="B83" t="s">
        <v>829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1190</v>
      </c>
      <c r="B84" t="s">
        <v>830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1191</v>
      </c>
      <c r="B85" t="s">
        <v>831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1192</v>
      </c>
      <c r="B86" t="s">
        <v>832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1193</v>
      </c>
      <c r="B87" t="s">
        <v>833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1194</v>
      </c>
      <c r="B88" t="s">
        <v>834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1195</v>
      </c>
      <c r="B89" t="s">
        <v>835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1196</v>
      </c>
      <c r="B90" t="s">
        <v>836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1197</v>
      </c>
      <c r="B91" t="s">
        <v>837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1423</v>
      </c>
      <c r="B92" t="s">
        <v>838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1198</v>
      </c>
      <c r="B93" t="s">
        <v>839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1199</v>
      </c>
      <c r="B94" t="s">
        <v>840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1200</v>
      </c>
      <c r="B95" t="s">
        <v>841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1201</v>
      </c>
      <c r="B96" t="s">
        <v>842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1202</v>
      </c>
      <c r="B97" t="s">
        <v>843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442</v>
      </c>
      <c r="B98" t="s">
        <v>844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38</v>
      </c>
      <c r="B99" t="s">
        <v>1332</v>
      </c>
      <c r="C99" t="str">
        <f>IF(ISERROR(MATCH(A99,'SegEnds_Xtal_Prot#'!B:B, 0)), "NoXtal", "Xtal")</f>
        <v>Xtal</v>
      </c>
      <c r="D99" t="str">
        <f t="shared" si="1"/>
        <v>human</v>
      </c>
      <c r="E99" t="str">
        <f>VLOOKUP(A99,Classification!A:B,2,FALSE)</f>
        <v>B1</v>
      </c>
    </row>
    <row r="100" spans="1:5" x14ac:dyDescent="0.2">
      <c r="A100" t="s">
        <v>32</v>
      </c>
      <c r="B100" t="s">
        <v>805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401</v>
      </c>
      <c r="B101" t="s">
        <v>1410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402</v>
      </c>
      <c r="B102" t="s">
        <v>799</v>
      </c>
      <c r="C102" t="str">
        <f>IF(ISERROR(MATCH(A102,'SegEnds_Xtal_Prot#'!B:B, 0)), "NoXtal", "Xtal")</f>
        <v>NoXtal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403</v>
      </c>
      <c r="B103" t="s">
        <v>800</v>
      </c>
      <c r="C103" t="str">
        <f>IF(ISERROR(MATCH(A103,'SegEnds_Xtal_Prot#'!B:B, 0)), "NoXtal", "Xtal")</f>
        <v>NoXtal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404</v>
      </c>
      <c r="B104" t="s">
        <v>801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405</v>
      </c>
      <c r="B105" t="s">
        <v>802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406</v>
      </c>
      <c r="B106" t="s">
        <v>803</v>
      </c>
      <c r="C106" t="str">
        <f>IF(ISERROR(MATCH(A106,'SegEnds_Xtal_Prot#'!B:B, 0)), "NoXtal", "Xtal")</f>
        <v>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407</v>
      </c>
      <c r="B107" t="s">
        <v>804</v>
      </c>
      <c r="C107" t="str">
        <f>IF(ISERROR(MATCH(A107,'SegEnds_Xtal_Prot#'!B:B, 0)), "NoXtal", "Xtal")</f>
        <v>NoXtal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411</v>
      </c>
      <c r="B108" t="s">
        <v>806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409</v>
      </c>
      <c r="B109" t="s">
        <v>807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410</v>
      </c>
      <c r="B110" t="s">
        <v>808</v>
      </c>
      <c r="C110" t="str">
        <f>IF(ISERROR(MATCH(A110,'SegEnds_Xtal_Prot#'!B:B, 0)), "NoXtal", "Xtal")</f>
        <v>NoXtal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408</v>
      </c>
      <c r="B111" t="s">
        <v>809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412</v>
      </c>
      <c r="B112" t="s">
        <v>810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5" x14ac:dyDescent="0.2">
      <c r="A113" t="s">
        <v>413</v>
      </c>
      <c r="B113" t="s">
        <v>811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5" x14ac:dyDescent="0.2">
      <c r="A114" t="s">
        <v>1430</v>
      </c>
      <c r="B114" t="s">
        <v>1429</v>
      </c>
      <c r="C114" t="str">
        <f>IF(ISERROR(MATCH(A114,'SegEnds_Xtal_Prot#'!B:B, 0)), "NoXtal", "Xtal")</f>
        <v>Xtal</v>
      </c>
      <c r="D114" t="str">
        <f t="shared" ref="D114" si="2">MID(A114,FIND("_",A114)+1,LEN(A114)-FIND("_",A114))</f>
        <v>rabit</v>
      </c>
      <c r="E114" t="str">
        <f>VLOOKUP(A114,Classification!A:B,2,FALSE)</f>
        <v>B1</v>
      </c>
    </row>
    <row r="115" spans="1:5" x14ac:dyDescent="0.2">
      <c r="A115" t="s">
        <v>912</v>
      </c>
      <c r="B115" t="s">
        <v>913</v>
      </c>
      <c r="C115" t="str">
        <f>IF(ISERROR(MATCH(A115,'SegEnds_Xtal_Prot#'!B:B, 0)), "NoXtal", "Xtal")</f>
        <v>Xtal</v>
      </c>
      <c r="D115" t="str">
        <f t="shared" si="1"/>
        <v>melga</v>
      </c>
      <c r="E115" t="str">
        <f>VLOOKUP(A115,Classification!A:B,2,FALSE)</f>
        <v>A</v>
      </c>
    </row>
    <row r="116" spans="1:5" x14ac:dyDescent="0.2">
      <c r="A116" t="s">
        <v>916</v>
      </c>
      <c r="B116" t="s">
        <v>917</v>
      </c>
      <c r="C116" t="str">
        <f>IF(ISERROR(MATCH(A116,'SegEnds_Xtal_Prot#'!B:B, 0)), "NoXtal", "Xtal")</f>
        <v>Xtal</v>
      </c>
      <c r="D116" t="str">
        <f t="shared" si="1"/>
        <v>mouse</v>
      </c>
      <c r="E116" t="str">
        <f>VLOOKUP(A116,Classification!A:B,2,FALSE)</f>
        <v>A</v>
      </c>
    </row>
    <row r="117" spans="1:5" x14ac:dyDescent="0.2">
      <c r="A117" t="s">
        <v>918</v>
      </c>
      <c r="B117" t="s">
        <v>919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5" x14ac:dyDescent="0.2">
      <c r="A118" t="s">
        <v>910</v>
      </c>
      <c r="B118" t="s">
        <v>911</v>
      </c>
      <c r="C118" t="str">
        <f>IF(ISERROR(MATCH(A118,'SegEnds_Xtal_Prot#'!B:B, 0)), "NoXtal", "Xtal")</f>
        <v>Xtal</v>
      </c>
      <c r="D118" t="str">
        <f t="shared" si="1"/>
        <v>rat</v>
      </c>
      <c r="E118" t="str">
        <f>VLOOKUP(A118,Classification!A:B,2,FALSE)</f>
        <v>A</v>
      </c>
    </row>
    <row r="119" spans="1:5" x14ac:dyDescent="0.2">
      <c r="A119" t="s">
        <v>914</v>
      </c>
      <c r="B119" t="s">
        <v>915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</row>
    <row r="120" spans="1:5" x14ac:dyDescent="0.2">
      <c r="A120" t="s">
        <v>922</v>
      </c>
      <c r="B120" t="s">
        <v>923</v>
      </c>
      <c r="C120" t="str">
        <f>IF(ISERROR(MATCH(A120,'SegEnds_Xtal_Prot#'!B:B, 0)), "NoXtal", "Xtal")</f>
        <v>Xtal</v>
      </c>
      <c r="D120" t="str">
        <f t="shared" si="1"/>
        <v>todpa</v>
      </c>
      <c r="E120" t="str">
        <f>VLOOKUP(A120,Classification!A:B,2,FALSE)</f>
        <v>A</v>
      </c>
    </row>
    <row r="121" spans="1:5" x14ac:dyDescent="0.2">
      <c r="A121" t="s">
        <v>920</v>
      </c>
      <c r="B121" t="s">
        <v>921</v>
      </c>
      <c r="C121" t="str">
        <f>IF(ISERROR(MATCH(A121,'SegEnds_Xtal_Prot#'!B:B, 0)), "NoXtal", "Xtal")</f>
        <v>Xtal</v>
      </c>
      <c r="D121" t="str">
        <f t="shared" si="1"/>
        <v>bovin</v>
      </c>
      <c r="E121" t="str">
        <f>VLOOKUP(A121,Classification!A:B,2,FALSE)</f>
        <v>A</v>
      </c>
    </row>
    <row r="122" spans="1:5" x14ac:dyDescent="0.2">
      <c r="A122" t="s">
        <v>924</v>
      </c>
      <c r="B122" t="s">
        <v>925</v>
      </c>
      <c r="C122" t="str">
        <f>IF(ISERROR(MATCH(A122,'SegEnds_Xtal_Prot#'!B:B, 0)), "NoXtal", "Xtal")</f>
        <v>Xtal</v>
      </c>
      <c r="D122" t="str">
        <f t="shared" si="1"/>
        <v>hcmva</v>
      </c>
      <c r="E122" t="str">
        <f>VLOOKUP(A122,Classification!A:B,2,FALSE)</f>
        <v>A</v>
      </c>
    </row>
    <row r="123" spans="1:5" x14ac:dyDescent="0.2">
      <c r="A123" t="s">
        <v>34</v>
      </c>
      <c r="B123" t="s">
        <v>488</v>
      </c>
      <c r="C123" t="str">
        <f>IF(ISERROR(MATCH(A123,'SegEnds_Xtal_Prot#'!B:B, 0)), "NoXtal", "Xtal")</f>
        <v>Xtal</v>
      </c>
      <c r="D123" t="str">
        <f t="shared" si="1"/>
        <v>human</v>
      </c>
      <c r="E123" t="str">
        <f>VLOOKUP(A123,Classification!A:B,2,FALSE)</f>
        <v>A</v>
      </c>
    </row>
    <row r="124" spans="1:5" x14ac:dyDescent="0.2">
      <c r="A124" t="s">
        <v>35</v>
      </c>
      <c r="B124" t="s">
        <v>493</v>
      </c>
      <c r="C124" t="str">
        <f>IF(ISERROR(MATCH(A124,'SegEnds_Xtal_Prot#'!B:B, 0)), "NoXtal", "Xtal")</f>
        <v>Xtal</v>
      </c>
      <c r="D124" t="str">
        <f t="shared" si="1"/>
        <v>human</v>
      </c>
      <c r="E124" t="str">
        <f>VLOOKUP(A124,Classification!A:B,2,FALSE)</f>
        <v>A</v>
      </c>
    </row>
    <row r="125" spans="1:5" x14ac:dyDescent="0.2">
      <c r="A125" t="s">
        <v>146</v>
      </c>
      <c r="B125" t="s">
        <v>499</v>
      </c>
      <c r="C125" t="str">
        <f>IF(ISERROR(MATCH(A125,'SegEnds_Xtal_Prot#'!B:B, 0)), "NoXtal", "Xtal")</f>
        <v>Xtal</v>
      </c>
      <c r="D125" t="str">
        <f t="shared" si="1"/>
        <v>human</v>
      </c>
      <c r="E125" t="str">
        <f>VLOOKUP(A125,Classification!A:B,2,FALSE)</f>
        <v>A</v>
      </c>
    </row>
    <row r="126" spans="1:5" x14ac:dyDescent="0.2">
      <c r="A126" t="s">
        <v>147</v>
      </c>
      <c r="B126" t="s">
        <v>500</v>
      </c>
      <c r="C126" t="str">
        <f>IF(ISERROR(MATCH(A126,'SegEnds_Xtal_Prot#'!B:B, 0)), "NoXtal", "Xtal")</f>
        <v>Xtal</v>
      </c>
      <c r="D126" t="str">
        <f t="shared" si="1"/>
        <v>human</v>
      </c>
      <c r="E126" t="str">
        <f>VLOOKUP(A126,Classification!A:B,2,FALSE)</f>
        <v>A</v>
      </c>
    </row>
    <row r="127" spans="1:5" x14ac:dyDescent="0.2">
      <c r="A127" t="s">
        <v>149</v>
      </c>
      <c r="B127" t="s">
        <v>503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5" x14ac:dyDescent="0.2">
      <c r="A128" t="s">
        <v>126</v>
      </c>
      <c r="B128" t="s">
        <v>512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192</v>
      </c>
      <c r="B129" t="s">
        <v>515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278</v>
      </c>
      <c r="B130" t="s">
        <v>518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158</v>
      </c>
      <c r="B131" t="s">
        <v>523</v>
      </c>
      <c r="C131" t="str">
        <f>IF(ISERROR(MATCH(A131,'SegEnds_Xtal_Prot#'!B:B, 0)), "NoXtal", "Xtal")</f>
        <v>Xtal</v>
      </c>
      <c r="D131" t="str">
        <f t="shared" ref="D131:D194" si="3">MID(A131,FIND("_",A131)+1,LEN(A131)-FIND("_",A131))</f>
        <v>human</v>
      </c>
      <c r="E131" t="str">
        <f>VLOOKUP(A131,Classification!A:B,2,FALSE)</f>
        <v>A</v>
      </c>
    </row>
    <row r="132" spans="1:5" x14ac:dyDescent="0.2">
      <c r="A132" t="s">
        <v>335</v>
      </c>
      <c r="B132" t="s">
        <v>571</v>
      </c>
      <c r="C132" t="str">
        <f>IF(ISERROR(MATCH(A132,'SegEnds_Xtal_Prot#'!B:B, 0)), "NoXtal", "Xtal")</f>
        <v>Xtal</v>
      </c>
      <c r="D132" t="str">
        <f t="shared" si="3"/>
        <v>human</v>
      </c>
      <c r="E132" t="str">
        <f>VLOOKUP(A132,Classification!A:B,2,FALSE)</f>
        <v>A</v>
      </c>
    </row>
    <row r="133" spans="1:5" x14ac:dyDescent="0.2">
      <c r="A133" t="s">
        <v>336</v>
      </c>
      <c r="B133" t="s">
        <v>572</v>
      </c>
      <c r="C133" t="str">
        <f>IF(ISERROR(MATCH(A133,'SegEnds_Xtal_Prot#'!B:B, 0)), "NoXtal", "Xtal")</f>
        <v>Xtal</v>
      </c>
      <c r="D133" t="str">
        <f t="shared" si="3"/>
        <v>human</v>
      </c>
      <c r="E133" t="str">
        <f>VLOOKUP(A133,Classification!A:B,2,FALSE)</f>
        <v>A</v>
      </c>
    </row>
    <row r="134" spans="1:5" x14ac:dyDescent="0.2">
      <c r="A134" t="s">
        <v>1174</v>
      </c>
      <c r="B134" t="s">
        <v>574</v>
      </c>
      <c r="C134" t="str">
        <f>IF(ISERROR(MATCH(A134,'SegEnds_Xtal_Prot#'!B:B, 0)), "NoXtal", "Xtal")</f>
        <v>Xtal</v>
      </c>
      <c r="D134" t="str">
        <f t="shared" si="3"/>
        <v>human</v>
      </c>
      <c r="E134" t="str">
        <f>VLOOKUP(A134,Classification!A:B,2,FALSE)</f>
        <v>A</v>
      </c>
    </row>
    <row r="135" spans="1:5" x14ac:dyDescent="0.2">
      <c r="A135" t="s">
        <v>1175</v>
      </c>
      <c r="B135" t="s">
        <v>575</v>
      </c>
      <c r="C135" t="str">
        <f>IF(ISERROR(MATCH(A135,'SegEnds_Xtal_Prot#'!B:B, 0)), "NoXtal", "Xtal")</f>
        <v>Xtal</v>
      </c>
      <c r="D135" t="str">
        <f t="shared" si="3"/>
        <v>human</v>
      </c>
      <c r="E135" t="str">
        <f>VLOOKUP(A135,Classification!A:B,2,FALSE)</f>
        <v>A</v>
      </c>
    </row>
    <row r="136" spans="1:5" x14ac:dyDescent="0.2">
      <c r="A136" t="s">
        <v>1176</v>
      </c>
      <c r="B136" t="s">
        <v>576</v>
      </c>
      <c r="C136" t="str">
        <f>IF(ISERROR(MATCH(A136,'SegEnds_Xtal_Prot#'!B:B, 0)), "NoXtal", "Xtal")</f>
        <v>Xtal</v>
      </c>
      <c r="D136" t="str">
        <f t="shared" si="3"/>
        <v>human</v>
      </c>
      <c r="E136" t="str">
        <f>VLOOKUP(A136,Classification!A:B,2,FALSE)</f>
        <v>A</v>
      </c>
    </row>
    <row r="137" spans="1:5" x14ac:dyDescent="0.2">
      <c r="A137" t="s">
        <v>355</v>
      </c>
      <c r="B137" t="s">
        <v>579</v>
      </c>
      <c r="C137" t="str">
        <f>IF(ISERROR(MATCH(A137,'SegEnds_Xtal_Prot#'!B:B, 0)), "NoXtal", "Xtal")</f>
        <v>Xtal</v>
      </c>
      <c r="D137" t="str">
        <f t="shared" si="3"/>
        <v>human</v>
      </c>
      <c r="E137" t="str">
        <f>VLOOKUP(A137,Classification!A:B,2,FALSE)</f>
        <v>A</v>
      </c>
    </row>
    <row r="138" spans="1:5" x14ac:dyDescent="0.2">
      <c r="A138" t="s">
        <v>173</v>
      </c>
      <c r="B138" t="s">
        <v>607</v>
      </c>
      <c r="C138" t="str">
        <f>IF(ISERROR(MATCH(A138,'SegEnds_Xtal_Prot#'!B:B, 0)), "NoXtal", "Xtal")</f>
        <v>Xtal</v>
      </c>
      <c r="D138" t="str">
        <f t="shared" si="3"/>
        <v>human</v>
      </c>
      <c r="E138" t="str">
        <f>VLOOKUP(A138,Classification!A:B,2,FALSE)</f>
        <v>A</v>
      </c>
    </row>
    <row r="139" spans="1:5" x14ac:dyDescent="0.2">
      <c r="A139" t="s">
        <v>1172</v>
      </c>
      <c r="B139" t="s">
        <v>617</v>
      </c>
      <c r="C139" t="str">
        <f>IF(ISERROR(MATCH(A139,'SegEnds_Xtal_Prot#'!B:B, 0)), "NoXtal", "Xtal")</f>
        <v>Xtal</v>
      </c>
      <c r="D139" t="str">
        <f t="shared" si="3"/>
        <v>human</v>
      </c>
      <c r="E139" t="str">
        <f>VLOOKUP(A139,Classification!A:B,2,FALSE)</f>
        <v>A</v>
      </c>
    </row>
    <row r="140" spans="1:5" x14ac:dyDescent="0.2">
      <c r="A140" t="s">
        <v>1173</v>
      </c>
      <c r="B140" t="s">
        <v>633</v>
      </c>
      <c r="C140" t="str">
        <f>IF(ISERROR(MATCH(A140,'SegEnds_Xtal_Prot#'!B:B, 0)), "NoXtal", "Xtal")</f>
        <v>Xtal</v>
      </c>
      <c r="D140" t="str">
        <f t="shared" si="3"/>
        <v>human</v>
      </c>
      <c r="E140" t="str">
        <f>VLOOKUP(A140,Classification!A:B,2,FALSE)</f>
        <v>A</v>
      </c>
    </row>
    <row r="141" spans="1:5" x14ac:dyDescent="0.2">
      <c r="A141" t="s">
        <v>103</v>
      </c>
      <c r="B141" t="s">
        <v>643</v>
      </c>
      <c r="C141" t="str">
        <f>IF(ISERROR(MATCH(A141,'SegEnds_Xtal_Prot#'!B:B, 0)), "NoXtal", "Xtal")</f>
        <v>Xtal</v>
      </c>
      <c r="D141" t="str">
        <f t="shared" si="3"/>
        <v>human</v>
      </c>
      <c r="E141" t="str">
        <f>VLOOKUP(A141,Classification!A:B,2,FALSE)</f>
        <v>A</v>
      </c>
    </row>
    <row r="142" spans="1:5" x14ac:dyDescent="0.2">
      <c r="A142" t="s">
        <v>104</v>
      </c>
      <c r="B142" t="s">
        <v>649</v>
      </c>
      <c r="C142" t="str">
        <f>IF(ISERROR(MATCH(A142,'SegEnds_Xtal_Prot#'!B:B, 0)), "NoXtal", "Xtal")</f>
        <v>Xtal</v>
      </c>
      <c r="D142" t="str">
        <f t="shared" si="3"/>
        <v>human</v>
      </c>
      <c r="E142" t="str">
        <f>VLOOKUP(A142,Classification!A:B,2,FALSE)</f>
        <v>A</v>
      </c>
    </row>
    <row r="143" spans="1:5" x14ac:dyDescent="0.2">
      <c r="A143" t="s">
        <v>139</v>
      </c>
      <c r="B143" t="s">
        <v>672</v>
      </c>
      <c r="C143" t="str">
        <f>IF(ISERROR(MATCH(A143,'SegEnds_Xtal_Prot#'!B:B, 0)), "NoXtal", "Xtal")</f>
        <v>Xtal</v>
      </c>
      <c r="D143" t="str">
        <f t="shared" si="3"/>
        <v>human</v>
      </c>
      <c r="E143" t="str">
        <f>VLOOKUP(A143,Classification!A:B,2,FALSE)</f>
        <v>A</v>
      </c>
    </row>
    <row r="144" spans="1:5" x14ac:dyDescent="0.2">
      <c r="A144" t="s">
        <v>345</v>
      </c>
      <c r="B144" t="s">
        <v>675</v>
      </c>
      <c r="C144" t="str">
        <f>IF(ISERROR(MATCH(A144,'SegEnds_Xtal_Prot#'!B:B, 0)), "NoXtal", "Xtal")</f>
        <v>Xtal</v>
      </c>
      <c r="D144" t="str">
        <f t="shared" si="3"/>
        <v>human</v>
      </c>
      <c r="E144" t="str">
        <f>VLOOKUP(A144,Classification!A:B,2,FALSE)</f>
        <v>A</v>
      </c>
    </row>
    <row r="145" spans="1:5" x14ac:dyDescent="0.2">
      <c r="A145" t="s">
        <v>352</v>
      </c>
      <c r="B145" t="s">
        <v>680</v>
      </c>
      <c r="C145" t="str">
        <f>IF(ISERROR(MATCH(A145,'SegEnds_Xtal_Prot#'!B:B, 0)), "NoXtal", "Xtal")</f>
        <v>Xtal</v>
      </c>
      <c r="D145" t="str">
        <f t="shared" si="3"/>
        <v>human</v>
      </c>
      <c r="E145" t="str">
        <f>VLOOKUP(A145,Classification!A:B,2,FALSE)</f>
        <v>A</v>
      </c>
    </row>
    <row r="146" spans="1:5" x14ac:dyDescent="0.2">
      <c r="A146" t="s">
        <v>339</v>
      </c>
      <c r="B146" t="s">
        <v>690</v>
      </c>
      <c r="C146" t="str">
        <f>IF(ISERROR(MATCH(A146,'SegEnds_Xtal_Prot#'!B:B, 0)), "NoXtal", "Xtal")</f>
        <v>Xtal</v>
      </c>
      <c r="D146" t="str">
        <f t="shared" si="3"/>
        <v>human</v>
      </c>
      <c r="E146" t="str">
        <f>VLOOKUP(A146,Classification!A:B,2,FALSE)</f>
        <v>A</v>
      </c>
    </row>
    <row r="147" spans="1:5" x14ac:dyDescent="0.2">
      <c r="A147" t="s">
        <v>128</v>
      </c>
      <c r="B147" t="s">
        <v>487</v>
      </c>
      <c r="C147" t="str">
        <f>IF(ISERROR(MATCH(A147,'SegEnds_Xtal_Prot#'!B:B, 0)), "NoXtal", "Xtal")</f>
        <v>NoXtal</v>
      </c>
      <c r="D147" t="str">
        <f t="shared" si="3"/>
        <v>human</v>
      </c>
      <c r="E147" t="str">
        <f>VLOOKUP(A147,Classification!A:B,2,FALSE)</f>
        <v>A</v>
      </c>
    </row>
    <row r="148" spans="1:5" x14ac:dyDescent="0.2">
      <c r="A148" t="s">
        <v>129</v>
      </c>
      <c r="B148" t="s">
        <v>489</v>
      </c>
      <c r="C148" t="str">
        <f>IF(ISERROR(MATCH(A148,'SegEnds_Xtal_Prot#'!B:B, 0)), "NoXtal", "Xtal")</f>
        <v>NoXtal</v>
      </c>
      <c r="D148" t="str">
        <f t="shared" si="3"/>
        <v>human</v>
      </c>
      <c r="E148" t="str">
        <f>VLOOKUP(A148,Classification!A:B,2,FALSE)</f>
        <v>A</v>
      </c>
    </row>
    <row r="149" spans="1:5" x14ac:dyDescent="0.2">
      <c r="A149" t="s">
        <v>130</v>
      </c>
      <c r="B149" t="s">
        <v>490</v>
      </c>
      <c r="C149" t="str">
        <f>IF(ISERROR(MATCH(A149,'SegEnds_Xtal_Prot#'!B:B, 0)), "NoXtal", "Xtal")</f>
        <v>NoXtal</v>
      </c>
      <c r="D149" t="str">
        <f t="shared" si="3"/>
        <v>human</v>
      </c>
      <c r="E149" t="str">
        <f>VLOOKUP(A149,Classification!A:B,2,FALSE)</f>
        <v>A</v>
      </c>
    </row>
    <row r="150" spans="1:5" x14ac:dyDescent="0.2">
      <c r="A150" t="s">
        <v>131</v>
      </c>
      <c r="B150" t="s">
        <v>491</v>
      </c>
      <c r="C150" t="str">
        <f>IF(ISERROR(MATCH(A150,'SegEnds_Xtal_Prot#'!B:B, 0)), "NoXtal", "Xtal")</f>
        <v>NoXtal</v>
      </c>
      <c r="D150" t="str">
        <f t="shared" si="3"/>
        <v>human</v>
      </c>
      <c r="E150" t="str">
        <f>VLOOKUP(A150,Classification!A:B,2,FALSE)</f>
        <v>A</v>
      </c>
    </row>
    <row r="151" spans="1:5" x14ac:dyDescent="0.2">
      <c r="A151" t="s">
        <v>132</v>
      </c>
      <c r="B151" t="s">
        <v>492</v>
      </c>
      <c r="C151" t="str">
        <f>IF(ISERROR(MATCH(A151,'SegEnds_Xtal_Prot#'!B:B, 0)), "NoXtal", "Xtal")</f>
        <v>NoXtal</v>
      </c>
      <c r="D151" t="str">
        <f t="shared" si="3"/>
        <v>human</v>
      </c>
      <c r="E151" t="str">
        <f>VLOOKUP(A151,Classification!A:B,2,FALSE)</f>
        <v>A</v>
      </c>
    </row>
    <row r="152" spans="1:5" x14ac:dyDescent="0.2">
      <c r="A152" t="s">
        <v>133</v>
      </c>
      <c r="B152" t="s">
        <v>494</v>
      </c>
      <c r="C152" t="str">
        <f>IF(ISERROR(MATCH(A152,'SegEnds_Xtal_Prot#'!B:B, 0)), "NoXtal", "Xtal")</f>
        <v>NoXtal</v>
      </c>
      <c r="D152" t="str">
        <f t="shared" si="3"/>
        <v>human</v>
      </c>
      <c r="E152" t="str">
        <f>VLOOKUP(A152,Classification!A:B,2,FALSE)</f>
        <v>A</v>
      </c>
    </row>
    <row r="153" spans="1:5" x14ac:dyDescent="0.2">
      <c r="A153" t="s">
        <v>134</v>
      </c>
      <c r="B153" t="s">
        <v>495</v>
      </c>
      <c r="C153" t="str">
        <f>IF(ISERROR(MATCH(A153,'SegEnds_Xtal_Prot#'!B:B, 0)), "NoXtal", "Xtal")</f>
        <v>NoXtal</v>
      </c>
      <c r="D153" t="str">
        <f t="shared" si="3"/>
        <v>human</v>
      </c>
      <c r="E153" t="str">
        <f>VLOOKUP(A153,Classification!A:B,2,FALSE)</f>
        <v>A</v>
      </c>
    </row>
    <row r="154" spans="1:5" x14ac:dyDescent="0.2">
      <c r="A154" t="s">
        <v>135</v>
      </c>
      <c r="B154" t="s">
        <v>496</v>
      </c>
      <c r="C154" t="str">
        <f>IF(ISERROR(MATCH(A154,'SegEnds_Xtal_Prot#'!B:B, 0)), "NoXtal", "Xtal")</f>
        <v>NoXtal</v>
      </c>
      <c r="D154" t="str">
        <f t="shared" si="3"/>
        <v>human</v>
      </c>
      <c r="E154" t="str">
        <f>VLOOKUP(A154,Classification!A:B,2,FALSE)</f>
        <v>A</v>
      </c>
    </row>
    <row r="155" spans="1:5" x14ac:dyDescent="0.2">
      <c r="A155" t="s">
        <v>136</v>
      </c>
      <c r="B155" t="s">
        <v>497</v>
      </c>
      <c r="C155" t="str">
        <f>IF(ISERROR(MATCH(A155,'SegEnds_Xtal_Prot#'!B:B, 0)), "NoXtal", "Xtal")</f>
        <v>NoXtal</v>
      </c>
      <c r="D155" t="str">
        <f t="shared" si="3"/>
        <v>human</v>
      </c>
      <c r="E155" t="str">
        <f>VLOOKUP(A155,Classification!A:B,2,FALSE)</f>
        <v>A</v>
      </c>
    </row>
    <row r="156" spans="1:5" x14ac:dyDescent="0.2">
      <c r="A156" t="s">
        <v>137</v>
      </c>
      <c r="B156" t="s">
        <v>498</v>
      </c>
      <c r="C156" t="str">
        <f>IF(ISERROR(MATCH(A156,'SegEnds_Xtal_Prot#'!B:B, 0)), "NoXtal", "Xtal")</f>
        <v>NoXtal</v>
      </c>
      <c r="D156" t="str">
        <f t="shared" si="3"/>
        <v>human</v>
      </c>
      <c r="E156" t="str">
        <f>VLOOKUP(A156,Classification!A:B,2,FALSE)</f>
        <v>A</v>
      </c>
    </row>
    <row r="157" spans="1:5" x14ac:dyDescent="0.2">
      <c r="A157" t="s">
        <v>191</v>
      </c>
      <c r="B157" t="s">
        <v>501</v>
      </c>
      <c r="C157" t="str">
        <f>IF(ISERROR(MATCH(A157,'SegEnds_Xtal_Prot#'!B:B, 0)), "NoXtal", "Xtal")</f>
        <v>NoXtal</v>
      </c>
      <c r="D157" t="str">
        <f t="shared" si="3"/>
        <v>human</v>
      </c>
      <c r="E157" t="str">
        <f>VLOOKUP(A157,Classification!A:B,2,FALSE)</f>
        <v>A</v>
      </c>
    </row>
    <row r="158" spans="1:5" x14ac:dyDescent="0.2">
      <c r="A158" t="s">
        <v>148</v>
      </c>
      <c r="B158" t="s">
        <v>502</v>
      </c>
      <c r="C158" t="str">
        <f>IF(ISERROR(MATCH(A158,'SegEnds_Xtal_Prot#'!B:B, 0)), "NoXtal", "Xtal")</f>
        <v>NoXtal</v>
      </c>
      <c r="D158" t="str">
        <f t="shared" si="3"/>
        <v>human</v>
      </c>
      <c r="E158" t="str">
        <f>VLOOKUP(A158,Classification!A:B,2,FALSE)</f>
        <v>A</v>
      </c>
    </row>
    <row r="159" spans="1:5" x14ac:dyDescent="0.2">
      <c r="A159" t="s">
        <v>150</v>
      </c>
      <c r="B159" t="s">
        <v>504</v>
      </c>
      <c r="C159" t="str">
        <f>IF(ISERROR(MATCH(A159,'SegEnds_Xtal_Prot#'!B:B, 0)), "NoXtal", "Xtal")</f>
        <v>NoXtal</v>
      </c>
      <c r="D159" t="str">
        <f t="shared" si="3"/>
        <v>human</v>
      </c>
      <c r="E159" t="str">
        <f>VLOOKUP(A159,Classification!A:B,2,FALSE)</f>
        <v>A</v>
      </c>
    </row>
    <row r="160" spans="1:5" x14ac:dyDescent="0.2">
      <c r="A160" t="s">
        <v>152</v>
      </c>
      <c r="B160" t="s">
        <v>505</v>
      </c>
      <c r="C160" t="str">
        <f>IF(ISERROR(MATCH(A160,'SegEnds_Xtal_Prot#'!B:B, 0)), "NoXtal", "Xtal")</f>
        <v>NoXtal</v>
      </c>
      <c r="D160" t="str">
        <f t="shared" si="3"/>
        <v>human</v>
      </c>
      <c r="E160" t="str">
        <f>VLOOKUP(A160,Classification!A:B,2,FALSE)</f>
        <v>A</v>
      </c>
    </row>
    <row r="161" spans="1:5" x14ac:dyDescent="0.2">
      <c r="A161" t="s">
        <v>153</v>
      </c>
      <c r="B161" t="s">
        <v>506</v>
      </c>
      <c r="C161" t="str">
        <f>IF(ISERROR(MATCH(A161,'SegEnds_Xtal_Prot#'!B:B, 0)), "NoXtal", "Xtal")</f>
        <v>NoXtal</v>
      </c>
      <c r="D161" t="str">
        <f t="shared" si="3"/>
        <v>human</v>
      </c>
      <c r="E161" t="str">
        <f>VLOOKUP(A161,Classification!A:B,2,FALSE)</f>
        <v>A</v>
      </c>
    </row>
    <row r="162" spans="1:5" x14ac:dyDescent="0.2">
      <c r="A162" t="s">
        <v>154</v>
      </c>
      <c r="B162" t="s">
        <v>507</v>
      </c>
      <c r="C162" t="str">
        <f>IF(ISERROR(MATCH(A162,'SegEnds_Xtal_Prot#'!B:B, 0)), "NoXtal", "Xtal")</f>
        <v>NoXtal</v>
      </c>
      <c r="D162" t="str">
        <f t="shared" si="3"/>
        <v>human</v>
      </c>
      <c r="E162" t="str">
        <f>VLOOKUP(A162,Classification!A:B,2,FALSE)</f>
        <v>A</v>
      </c>
    </row>
    <row r="163" spans="1:5" x14ac:dyDescent="0.2">
      <c r="A163" t="s">
        <v>155</v>
      </c>
      <c r="B163" t="s">
        <v>508</v>
      </c>
      <c r="C163" t="str">
        <f>IF(ISERROR(MATCH(A163,'SegEnds_Xtal_Prot#'!B:B, 0)), "NoXtal", "Xtal")</f>
        <v>NoXtal</v>
      </c>
      <c r="D163" t="str">
        <f t="shared" si="3"/>
        <v>human</v>
      </c>
      <c r="E163" t="str">
        <f>VLOOKUP(A163,Classification!A:B,2,FALSE)</f>
        <v>A</v>
      </c>
    </row>
    <row r="164" spans="1:5" x14ac:dyDescent="0.2">
      <c r="A164" t="s">
        <v>156</v>
      </c>
      <c r="B164" t="s">
        <v>509</v>
      </c>
      <c r="C164" t="str">
        <f>IF(ISERROR(MATCH(A164,'SegEnds_Xtal_Prot#'!B:B, 0)), "NoXtal", "Xtal")</f>
        <v>NoXtal</v>
      </c>
      <c r="D164" t="str">
        <f t="shared" si="3"/>
        <v>human</v>
      </c>
      <c r="E164" t="str">
        <f>VLOOKUP(A164,Classification!A:B,2,FALSE)</f>
        <v>A</v>
      </c>
    </row>
    <row r="165" spans="1:5" x14ac:dyDescent="0.2">
      <c r="A165" t="s">
        <v>157</v>
      </c>
      <c r="B165" t="s">
        <v>510</v>
      </c>
      <c r="C165" t="str">
        <f>IF(ISERROR(MATCH(A165,'SegEnds_Xtal_Prot#'!B:B, 0)), "NoXtal", "Xtal")</f>
        <v>NoXtal</v>
      </c>
      <c r="D165" t="str">
        <f t="shared" si="3"/>
        <v>human</v>
      </c>
      <c r="E165" t="str">
        <f>VLOOKUP(A165,Classification!A:B,2,FALSE)</f>
        <v>A</v>
      </c>
    </row>
    <row r="166" spans="1:5" x14ac:dyDescent="0.2">
      <c r="A166" t="s">
        <v>125</v>
      </c>
      <c r="B166" t="s">
        <v>511</v>
      </c>
      <c r="C166" t="str">
        <f>IF(ISERROR(MATCH(A166,'SegEnds_Xtal_Prot#'!B:B, 0)), "NoXtal", "Xtal")</f>
        <v>NoXtal</v>
      </c>
      <c r="D166" t="str">
        <f t="shared" si="3"/>
        <v>human</v>
      </c>
      <c r="E166" t="str">
        <f>VLOOKUP(A166,Classification!A:B,2,FALSE)</f>
        <v>A</v>
      </c>
    </row>
    <row r="167" spans="1:5" x14ac:dyDescent="0.2">
      <c r="A167" t="s">
        <v>102</v>
      </c>
      <c r="B167" t="s">
        <v>513</v>
      </c>
      <c r="C167" t="str">
        <f>IF(ISERROR(MATCH(A167,'SegEnds_Xtal_Prot#'!B:B, 0)), "NoXtal", "Xtal")</f>
        <v>NoXtal</v>
      </c>
      <c r="D167" t="str">
        <f t="shared" si="3"/>
        <v>human</v>
      </c>
      <c r="E167" t="str">
        <f>VLOOKUP(A167,Classification!A:B,2,FALSE)</f>
        <v>A</v>
      </c>
    </row>
    <row r="168" spans="1:5" x14ac:dyDescent="0.2">
      <c r="A168" t="s">
        <v>190</v>
      </c>
      <c r="B168" t="s">
        <v>514</v>
      </c>
      <c r="C168" t="str">
        <f>IF(ISERROR(MATCH(A168,'SegEnds_Xtal_Prot#'!B:B, 0)), "NoXtal", "Xtal")</f>
        <v>NoXtal</v>
      </c>
      <c r="D168" t="str">
        <f t="shared" si="3"/>
        <v>human</v>
      </c>
      <c r="E168" t="str">
        <f>VLOOKUP(A168,Classification!A:B,2,FALSE)</f>
        <v>A</v>
      </c>
    </row>
    <row r="169" spans="1:5" x14ac:dyDescent="0.2">
      <c r="A169" t="s">
        <v>193</v>
      </c>
      <c r="B169" t="s">
        <v>516</v>
      </c>
      <c r="C169" t="str">
        <f>IF(ISERROR(MATCH(A169,'SegEnds_Xtal_Prot#'!B:B, 0)), "NoXtal", "Xtal")</f>
        <v>NoXtal</v>
      </c>
      <c r="D169" t="str">
        <f t="shared" si="3"/>
        <v>human</v>
      </c>
      <c r="E169" t="str">
        <f>VLOOKUP(A169,Classification!A:B,2,FALSE)</f>
        <v>A</v>
      </c>
    </row>
    <row r="170" spans="1:5" x14ac:dyDescent="0.2">
      <c r="A170" t="s">
        <v>194</v>
      </c>
      <c r="B170" t="s">
        <v>517</v>
      </c>
      <c r="C170" t="str">
        <f>IF(ISERROR(MATCH(A170,'SegEnds_Xtal_Prot#'!B:B, 0)), "NoXtal", "Xtal")</f>
        <v>NoXtal</v>
      </c>
      <c r="D170" t="str">
        <f t="shared" si="3"/>
        <v>human</v>
      </c>
      <c r="E170" t="str">
        <f>VLOOKUP(A170,Classification!A:B,2,FALSE)</f>
        <v>A</v>
      </c>
    </row>
    <row r="171" spans="1:5" x14ac:dyDescent="0.2">
      <c r="A171" t="s">
        <v>279</v>
      </c>
      <c r="B171" t="s">
        <v>519</v>
      </c>
      <c r="C171" t="str">
        <f>IF(ISERROR(MATCH(A171,'SegEnds_Xtal_Prot#'!B:B, 0)), "NoXtal", "Xtal")</f>
        <v>NoXtal</v>
      </c>
      <c r="D171" t="str">
        <f t="shared" si="3"/>
        <v>human</v>
      </c>
      <c r="E171" t="str">
        <f>VLOOKUP(A171,Classification!A:B,2,FALSE)</f>
        <v>A</v>
      </c>
    </row>
    <row r="172" spans="1:5" x14ac:dyDescent="0.2">
      <c r="A172" t="s">
        <v>280</v>
      </c>
      <c r="B172" t="s">
        <v>520</v>
      </c>
      <c r="C172" t="str">
        <f>IF(ISERROR(MATCH(A172,'SegEnds_Xtal_Prot#'!B:B, 0)), "NoXtal", "Xtal")</f>
        <v>NoXtal</v>
      </c>
      <c r="D172" t="str">
        <f t="shared" si="3"/>
        <v>human</v>
      </c>
      <c r="E172" t="str">
        <f>VLOOKUP(A172,Classification!A:B,2,FALSE)</f>
        <v>A</v>
      </c>
    </row>
    <row r="173" spans="1:5" x14ac:dyDescent="0.2">
      <c r="A173" t="s">
        <v>281</v>
      </c>
      <c r="B173" t="s">
        <v>521</v>
      </c>
      <c r="C173" t="str">
        <f>IF(ISERROR(MATCH(A173,'SegEnds_Xtal_Prot#'!B:B, 0)), "NoXtal", "Xtal")</f>
        <v>NoXtal</v>
      </c>
      <c r="D173" t="str">
        <f t="shared" si="3"/>
        <v>human</v>
      </c>
      <c r="E173" t="str">
        <f>VLOOKUP(A173,Classification!A:B,2,FALSE)</f>
        <v>A</v>
      </c>
    </row>
    <row r="174" spans="1:5" x14ac:dyDescent="0.2">
      <c r="A174" t="s">
        <v>387</v>
      </c>
      <c r="B174" t="s">
        <v>522</v>
      </c>
      <c r="C174" t="str">
        <f>IF(ISERROR(MATCH(A174,'SegEnds_Xtal_Prot#'!B:B, 0)), "NoXtal", "Xtal")</f>
        <v>NoXtal</v>
      </c>
      <c r="D174" t="str">
        <f t="shared" si="3"/>
        <v>human</v>
      </c>
      <c r="E174" t="str">
        <f>VLOOKUP(A174,Classification!A:B,2,FALSE)</f>
        <v>A</v>
      </c>
    </row>
    <row r="175" spans="1:5" x14ac:dyDescent="0.2">
      <c r="A175" t="s">
        <v>159</v>
      </c>
      <c r="B175" t="s">
        <v>524</v>
      </c>
      <c r="C175" t="str">
        <f>IF(ISERROR(MATCH(A175,'SegEnds_Xtal_Prot#'!B:B, 0)), "NoXtal", "Xtal")</f>
        <v>Xtal</v>
      </c>
      <c r="D175" t="str">
        <f t="shared" si="3"/>
        <v>human</v>
      </c>
      <c r="E175" t="str">
        <f>VLOOKUP(A175,Classification!A:B,2,FALSE)</f>
        <v>A</v>
      </c>
    </row>
    <row r="176" spans="1:5" x14ac:dyDescent="0.2">
      <c r="A176" t="s">
        <v>160</v>
      </c>
      <c r="B176" t="s">
        <v>525</v>
      </c>
      <c r="C176" t="str">
        <f>IF(ISERROR(MATCH(A176,'SegEnds_Xtal_Prot#'!B:B, 0)), "NoXtal", "Xtal")</f>
        <v>Xtal</v>
      </c>
      <c r="D176" t="str">
        <f t="shared" si="3"/>
        <v>human</v>
      </c>
      <c r="E176" t="str">
        <f>VLOOKUP(A176,Classification!A:B,2,FALSE)</f>
        <v>A</v>
      </c>
    </row>
    <row r="177" spans="1:5" x14ac:dyDescent="0.2">
      <c r="A177" t="s">
        <v>317</v>
      </c>
      <c r="B177" t="s">
        <v>526</v>
      </c>
      <c r="C177" t="str">
        <f>IF(ISERROR(MATCH(A177,'SegEnds_Xtal_Prot#'!B:B, 0)), "NoXtal", "Xtal")</f>
        <v>NoXtal</v>
      </c>
      <c r="D177" t="str">
        <f t="shared" si="3"/>
        <v>human</v>
      </c>
      <c r="E177" t="str">
        <f>VLOOKUP(A177,Classification!A:B,2,FALSE)</f>
        <v>A</v>
      </c>
    </row>
    <row r="178" spans="1:5" x14ac:dyDescent="0.2">
      <c r="A178" t="s">
        <v>274</v>
      </c>
      <c r="B178" t="s">
        <v>527</v>
      </c>
      <c r="C178" t="str">
        <f>IF(ISERROR(MATCH(A178,'SegEnds_Xtal_Prot#'!B:B, 0)), "NoXtal", "Xtal")</f>
        <v>NoXtal</v>
      </c>
      <c r="D178" t="str">
        <f t="shared" si="3"/>
        <v>human</v>
      </c>
      <c r="E178" t="str">
        <f>VLOOKUP(A178,Classification!A:B,2,FALSE)</f>
        <v>A</v>
      </c>
    </row>
    <row r="179" spans="1:5" x14ac:dyDescent="0.2">
      <c r="A179" t="s">
        <v>163</v>
      </c>
      <c r="B179" t="s">
        <v>528</v>
      </c>
      <c r="C179" t="str">
        <f>IF(ISERROR(MATCH(A179,'SegEnds_Xtal_Prot#'!B:B, 0)), "NoXtal", "Xtal")</f>
        <v>NoXtal</v>
      </c>
      <c r="D179" t="str">
        <f t="shared" si="3"/>
        <v>human</v>
      </c>
      <c r="E179" t="str">
        <f>VLOOKUP(A179,Classification!A:B,2,FALSE)</f>
        <v>A</v>
      </c>
    </row>
    <row r="180" spans="1:5" x14ac:dyDescent="0.2">
      <c r="A180" t="s">
        <v>161</v>
      </c>
      <c r="B180" t="s">
        <v>529</v>
      </c>
      <c r="C180" t="str">
        <f>IF(ISERROR(MATCH(A180,'SegEnds_Xtal_Prot#'!B:B, 0)), "NoXtal", "Xtal")</f>
        <v>NoXtal</v>
      </c>
      <c r="D180" t="str">
        <f t="shared" si="3"/>
        <v>human</v>
      </c>
      <c r="E180" t="str">
        <f>VLOOKUP(A180,Classification!A:B,2,FALSE)</f>
        <v>A</v>
      </c>
    </row>
    <row r="181" spans="1:5" x14ac:dyDescent="0.2">
      <c r="A181" t="s">
        <v>162</v>
      </c>
      <c r="B181" t="s">
        <v>530</v>
      </c>
      <c r="C181" t="str">
        <f>IF(ISERROR(MATCH(A181,'SegEnds_Xtal_Prot#'!B:B, 0)), "NoXtal", "Xtal")</f>
        <v>NoXtal</v>
      </c>
      <c r="D181" t="str">
        <f t="shared" si="3"/>
        <v>human</v>
      </c>
      <c r="E181" t="str">
        <f>VLOOKUP(A181,Classification!A:B,2,FALSE)</f>
        <v>A</v>
      </c>
    </row>
    <row r="182" spans="1:5" x14ac:dyDescent="0.2">
      <c r="A182" t="s">
        <v>167</v>
      </c>
      <c r="B182" t="s">
        <v>531</v>
      </c>
      <c r="C182" t="str">
        <f>IF(ISERROR(MATCH(A182,'SegEnds_Xtal_Prot#'!B:B, 0)), "NoXtal", "Xtal")</f>
        <v>NoXtal</v>
      </c>
      <c r="D182" t="str">
        <f t="shared" si="3"/>
        <v>human</v>
      </c>
      <c r="E182" t="str">
        <f>VLOOKUP(A182,Classification!A:B,2,FALSE)</f>
        <v>A</v>
      </c>
    </row>
    <row r="183" spans="1:5" x14ac:dyDescent="0.2">
      <c r="A183" t="s">
        <v>208</v>
      </c>
      <c r="B183" t="s">
        <v>532</v>
      </c>
      <c r="C183" t="str">
        <f>IF(ISERROR(MATCH(A183,'SegEnds_Xtal_Prot#'!B:B, 0)), "NoXtal", "Xtal")</f>
        <v>NoXtal</v>
      </c>
      <c r="D183" t="str">
        <f t="shared" si="3"/>
        <v>human</v>
      </c>
      <c r="E183" t="str">
        <f>VLOOKUP(A183,Classification!A:B,2,FALSE)</f>
        <v>A</v>
      </c>
    </row>
    <row r="184" spans="1:5" x14ac:dyDescent="0.2">
      <c r="A184" t="s">
        <v>164</v>
      </c>
      <c r="B184" t="s">
        <v>533</v>
      </c>
      <c r="C184" t="str">
        <f>IF(ISERROR(MATCH(A184,'SegEnds_Xtal_Prot#'!B:B, 0)), "NoXtal", "Xtal")</f>
        <v>NoXtal</v>
      </c>
      <c r="D184" t="str">
        <f t="shared" si="3"/>
        <v>human</v>
      </c>
      <c r="E184" t="str">
        <f>VLOOKUP(A184,Classification!A:B,2,FALSE)</f>
        <v>A</v>
      </c>
    </row>
    <row r="185" spans="1:5" x14ac:dyDescent="0.2">
      <c r="A185" t="s">
        <v>165</v>
      </c>
      <c r="B185" t="s">
        <v>534</v>
      </c>
      <c r="C185" t="str">
        <f>IF(ISERROR(MATCH(A185,'SegEnds_Xtal_Prot#'!B:B, 0)), "NoXtal", "Xtal")</f>
        <v>NoXtal</v>
      </c>
      <c r="D185" t="str">
        <f t="shared" si="3"/>
        <v>human</v>
      </c>
      <c r="E185" t="str">
        <f>VLOOKUP(A185,Classification!A:B,2,FALSE)</f>
        <v>A</v>
      </c>
    </row>
    <row r="186" spans="1:5" x14ac:dyDescent="0.2">
      <c r="A186" t="s">
        <v>166</v>
      </c>
      <c r="B186" t="s">
        <v>535</v>
      </c>
      <c r="C186" t="str">
        <f>IF(ISERROR(MATCH(A186,'SegEnds_Xtal_Prot#'!B:B, 0)), "NoXtal", "Xtal")</f>
        <v>NoXtal</v>
      </c>
      <c r="D186" t="str">
        <f t="shared" si="3"/>
        <v>human</v>
      </c>
      <c r="E186" t="str">
        <f>VLOOKUP(A186,Classification!A:B,2,FALSE)</f>
        <v>A</v>
      </c>
    </row>
    <row r="187" spans="1:5" x14ac:dyDescent="0.2">
      <c r="A187" t="s">
        <v>195</v>
      </c>
      <c r="B187" t="s">
        <v>536</v>
      </c>
      <c r="C187" t="str">
        <f>IF(ISERROR(MATCH(A187,'SegEnds_Xtal_Prot#'!B:B, 0)), "NoXtal", "Xtal")</f>
        <v>NoXtal</v>
      </c>
      <c r="D187" t="str">
        <f t="shared" si="3"/>
        <v>human</v>
      </c>
      <c r="E187" t="str">
        <f>VLOOKUP(A187,Classification!A:B,2,FALSE)</f>
        <v>A</v>
      </c>
    </row>
    <row r="188" spans="1:5" x14ac:dyDescent="0.2">
      <c r="A188" t="s">
        <v>196</v>
      </c>
      <c r="B188" t="s">
        <v>537</v>
      </c>
      <c r="C188" t="str">
        <f>IF(ISERROR(MATCH(A188,'SegEnds_Xtal_Prot#'!B:B, 0)), "NoXtal", "Xtal")</f>
        <v>Xtal</v>
      </c>
      <c r="D188" t="str">
        <f t="shared" si="3"/>
        <v>human</v>
      </c>
      <c r="E188" t="str">
        <f>VLOOKUP(A188,Classification!A:B,2,FALSE)</f>
        <v>A</v>
      </c>
    </row>
    <row r="189" spans="1:5" x14ac:dyDescent="0.2">
      <c r="A189" t="s">
        <v>201</v>
      </c>
      <c r="B189" t="s">
        <v>538</v>
      </c>
      <c r="C189" t="str">
        <f>IF(ISERROR(MATCH(A189,'SegEnds_Xtal_Prot#'!B:B, 0)), "NoXtal", "Xtal")</f>
        <v>NoXtal</v>
      </c>
      <c r="D189" t="str">
        <f t="shared" si="3"/>
        <v>human</v>
      </c>
      <c r="E189" t="str">
        <f>VLOOKUP(A189,Classification!A:B,2,FALSE)</f>
        <v>A</v>
      </c>
    </row>
    <row r="190" spans="1:5" x14ac:dyDescent="0.2">
      <c r="A190" t="s">
        <v>202</v>
      </c>
      <c r="B190" t="s">
        <v>539</v>
      </c>
      <c r="C190" t="str">
        <f>IF(ISERROR(MATCH(A190,'SegEnds_Xtal_Prot#'!B:B, 0)), "NoXtal", "Xtal")</f>
        <v>NoXtal</v>
      </c>
      <c r="D190" t="str">
        <f t="shared" si="3"/>
        <v>human</v>
      </c>
      <c r="E190" t="str">
        <f>VLOOKUP(A190,Classification!A:B,2,FALSE)</f>
        <v>A</v>
      </c>
    </row>
    <row r="191" spans="1:5" x14ac:dyDescent="0.2">
      <c r="A191" t="s">
        <v>203</v>
      </c>
      <c r="B191" t="s">
        <v>540</v>
      </c>
      <c r="C191" t="str">
        <f>IF(ISERROR(MATCH(A191,'SegEnds_Xtal_Prot#'!B:B, 0)), "NoXtal", "Xtal")</f>
        <v>NoXtal</v>
      </c>
      <c r="D191" t="str">
        <f t="shared" si="3"/>
        <v>human</v>
      </c>
      <c r="E191" t="str">
        <f>VLOOKUP(A191,Classification!A:B,2,FALSE)</f>
        <v>A</v>
      </c>
    </row>
    <row r="192" spans="1:5" x14ac:dyDescent="0.2">
      <c r="A192" t="s">
        <v>205</v>
      </c>
      <c r="B192" t="s">
        <v>541</v>
      </c>
      <c r="C192" t="str">
        <f>IF(ISERROR(MATCH(A192,'SegEnds_Xtal_Prot#'!B:B, 0)), "NoXtal", "Xtal")</f>
        <v>NoXtal</v>
      </c>
      <c r="D192" t="str">
        <f t="shared" si="3"/>
        <v>human</v>
      </c>
      <c r="E192" t="str">
        <f>VLOOKUP(A192,Classification!A:B,2,FALSE)</f>
        <v>A</v>
      </c>
    </row>
    <row r="193" spans="1:5" x14ac:dyDescent="0.2">
      <c r="A193" t="s">
        <v>206</v>
      </c>
      <c r="B193" t="s">
        <v>542</v>
      </c>
      <c r="C193" t="str">
        <f>IF(ISERROR(MATCH(A193,'SegEnds_Xtal_Prot#'!B:B, 0)), "NoXtal", "Xtal")</f>
        <v>NoXtal</v>
      </c>
      <c r="D193" t="str">
        <f t="shared" si="3"/>
        <v>human</v>
      </c>
      <c r="E193" t="str">
        <f>VLOOKUP(A193,Classification!A:B,2,FALSE)</f>
        <v>A</v>
      </c>
    </row>
    <row r="194" spans="1:5" x14ac:dyDescent="0.2">
      <c r="A194" t="s">
        <v>207</v>
      </c>
      <c r="B194" t="s">
        <v>543</v>
      </c>
      <c r="C194" t="str">
        <f>IF(ISERROR(MATCH(A194,'SegEnds_Xtal_Prot#'!B:B, 0)), "NoXtal", "Xtal")</f>
        <v>NoXtal</v>
      </c>
      <c r="D194" t="str">
        <f t="shared" si="3"/>
        <v>human</v>
      </c>
      <c r="E194" t="str">
        <f>VLOOKUP(A194,Classification!A:B,2,FALSE)</f>
        <v>A</v>
      </c>
    </row>
    <row r="195" spans="1:5" x14ac:dyDescent="0.2">
      <c r="A195" t="s">
        <v>209</v>
      </c>
      <c r="B195" t="s">
        <v>544</v>
      </c>
      <c r="C195" t="str">
        <f>IF(ISERROR(MATCH(A195,'SegEnds_Xtal_Prot#'!B:B, 0)), "NoXtal", "Xtal")</f>
        <v>NoXtal</v>
      </c>
      <c r="D195" t="str">
        <f t="shared" ref="D195:D258" si="4">MID(A195,FIND("_",A195)+1,LEN(A195)-FIND("_",A195))</f>
        <v>human</v>
      </c>
      <c r="E195" t="str">
        <f>VLOOKUP(A195,Classification!A:B,2,FALSE)</f>
        <v>A</v>
      </c>
    </row>
    <row r="196" spans="1:5" x14ac:dyDescent="0.2">
      <c r="A196" t="s">
        <v>210</v>
      </c>
      <c r="B196" t="s">
        <v>545</v>
      </c>
      <c r="C196" t="str">
        <f>IF(ISERROR(MATCH(A196,'SegEnds_Xtal_Prot#'!B:B, 0)), "NoXtal", "Xtal")</f>
        <v>NoXtal</v>
      </c>
      <c r="D196" t="str">
        <f t="shared" si="4"/>
        <v>human</v>
      </c>
      <c r="E196" t="str">
        <f>VLOOKUP(A196,Classification!A:B,2,FALSE)</f>
        <v>A</v>
      </c>
    </row>
    <row r="197" spans="1:5" x14ac:dyDescent="0.2">
      <c r="A197" t="s">
        <v>211</v>
      </c>
      <c r="B197" t="s">
        <v>546</v>
      </c>
      <c r="C197" t="str">
        <f>IF(ISERROR(MATCH(A197,'SegEnds_Xtal_Prot#'!B:B, 0)), "NoXtal", "Xtal")</f>
        <v>NoXtal</v>
      </c>
      <c r="D197" t="str">
        <f t="shared" si="4"/>
        <v>human</v>
      </c>
      <c r="E197" t="str">
        <f>VLOOKUP(A197,Classification!A:B,2,FALSE)</f>
        <v>A</v>
      </c>
    </row>
    <row r="198" spans="1:5" x14ac:dyDescent="0.2">
      <c r="A198" t="s">
        <v>282</v>
      </c>
      <c r="B198" t="s">
        <v>547</v>
      </c>
      <c r="C198" t="str">
        <f>IF(ISERROR(MATCH(A198,'SegEnds_Xtal_Prot#'!B:B, 0)), "NoXtal", "Xtal")</f>
        <v>NoXtal</v>
      </c>
      <c r="D198" t="str">
        <f t="shared" si="4"/>
        <v>human</v>
      </c>
      <c r="E198" t="str">
        <f>VLOOKUP(A198,Classification!A:B,2,FALSE)</f>
        <v>A</v>
      </c>
    </row>
    <row r="199" spans="1:5" x14ac:dyDescent="0.2">
      <c r="A199" t="s">
        <v>299</v>
      </c>
      <c r="B199" t="s">
        <v>548</v>
      </c>
      <c r="C199" t="str">
        <f>IF(ISERROR(MATCH(A199,'SegEnds_Xtal_Prot#'!B:B, 0)), "NoXtal", "Xtal")</f>
        <v>NoXtal</v>
      </c>
      <c r="D199" t="str">
        <f t="shared" si="4"/>
        <v>human</v>
      </c>
      <c r="E199" t="str">
        <f>VLOOKUP(A199,Classification!A:B,2,FALSE)</f>
        <v>A</v>
      </c>
    </row>
    <row r="200" spans="1:5" x14ac:dyDescent="0.2">
      <c r="A200" t="s">
        <v>300</v>
      </c>
      <c r="B200" t="s">
        <v>549</v>
      </c>
      <c r="C200" t="str">
        <f>IF(ISERROR(MATCH(A200,'SegEnds_Xtal_Prot#'!B:B, 0)), "NoXtal", "Xtal")</f>
        <v>NoXtal</v>
      </c>
      <c r="D200" t="str">
        <f t="shared" si="4"/>
        <v>human</v>
      </c>
      <c r="E200" t="str">
        <f>VLOOKUP(A200,Classification!A:B,2,FALSE)</f>
        <v>A</v>
      </c>
    </row>
    <row r="201" spans="1:5" x14ac:dyDescent="0.2">
      <c r="A201" t="s">
        <v>309</v>
      </c>
      <c r="B201" t="s">
        <v>550</v>
      </c>
      <c r="C201" t="str">
        <f>IF(ISERROR(MATCH(A201,'SegEnds_Xtal_Prot#'!B:B, 0)), "NoXtal", "Xtal")</f>
        <v>NoXtal</v>
      </c>
      <c r="D201" t="str">
        <f t="shared" si="4"/>
        <v>human</v>
      </c>
      <c r="E201" t="str">
        <f>VLOOKUP(A201,Classification!A:B,2,FALSE)</f>
        <v>A</v>
      </c>
    </row>
    <row r="202" spans="1:5" x14ac:dyDescent="0.2">
      <c r="A202" t="s">
        <v>151</v>
      </c>
      <c r="B202" t="s">
        <v>551</v>
      </c>
      <c r="C202" t="str">
        <f>IF(ISERROR(MATCH(A202,'SegEnds_Xtal_Prot#'!B:B, 0)), "NoXtal", "Xtal")</f>
        <v>NoXtal</v>
      </c>
      <c r="D202" t="str">
        <f t="shared" si="4"/>
        <v>human</v>
      </c>
      <c r="E202" t="str">
        <f>VLOOKUP(A202,Classification!A:B,2,FALSE)</f>
        <v>A</v>
      </c>
    </row>
    <row r="203" spans="1:5" x14ac:dyDescent="0.2">
      <c r="A203" t="s">
        <v>296</v>
      </c>
      <c r="B203" t="s">
        <v>552</v>
      </c>
      <c r="C203" t="str">
        <f>IF(ISERROR(MATCH(A203,'SegEnds_Xtal_Prot#'!B:B, 0)), "NoXtal", "Xtal")</f>
        <v>NoXtal</v>
      </c>
      <c r="D203" t="str">
        <f t="shared" si="4"/>
        <v>human</v>
      </c>
      <c r="E203" t="str">
        <f>VLOOKUP(A203,Classification!A:B,2,FALSE)</f>
        <v>A</v>
      </c>
    </row>
    <row r="204" spans="1:5" x14ac:dyDescent="0.2">
      <c r="A204" t="s">
        <v>297</v>
      </c>
      <c r="B204" t="s">
        <v>553</v>
      </c>
      <c r="C204" t="str">
        <f>IF(ISERROR(MATCH(A204,'SegEnds_Xtal_Prot#'!B:B, 0)), "NoXtal", "Xtal")</f>
        <v>NoXtal</v>
      </c>
      <c r="D204" t="str">
        <f t="shared" si="4"/>
        <v>human</v>
      </c>
      <c r="E204" t="str">
        <f>VLOOKUP(A204,Classification!A:B,2,FALSE)</f>
        <v>A</v>
      </c>
    </row>
    <row r="205" spans="1:5" x14ac:dyDescent="0.2">
      <c r="A205" t="s">
        <v>298</v>
      </c>
      <c r="B205" t="s">
        <v>554</v>
      </c>
      <c r="C205" t="str">
        <f>IF(ISERROR(MATCH(A205,'SegEnds_Xtal_Prot#'!B:B, 0)), "NoXtal", "Xtal")</f>
        <v>NoXtal</v>
      </c>
      <c r="D205" t="str">
        <f t="shared" si="4"/>
        <v>human</v>
      </c>
      <c r="E205" t="str">
        <f>VLOOKUP(A205,Classification!A:B,2,FALSE)</f>
        <v>A</v>
      </c>
    </row>
    <row r="206" spans="1:5" x14ac:dyDescent="0.2">
      <c r="A206" t="s">
        <v>310</v>
      </c>
      <c r="B206" t="s">
        <v>555</v>
      </c>
      <c r="C206" t="str">
        <f>IF(ISERROR(MATCH(A206,'SegEnds_Xtal_Prot#'!B:B, 0)), "NoXtal", "Xtal")</f>
        <v>NoXtal</v>
      </c>
      <c r="D206" t="str">
        <f t="shared" si="4"/>
        <v>human</v>
      </c>
      <c r="E206" t="str">
        <f>VLOOKUP(A206,Classification!A:B,2,FALSE)</f>
        <v>A</v>
      </c>
    </row>
    <row r="207" spans="1:5" x14ac:dyDescent="0.2">
      <c r="A207" t="s">
        <v>318</v>
      </c>
      <c r="B207" t="s">
        <v>556</v>
      </c>
      <c r="C207" t="str">
        <f>IF(ISERROR(MATCH(A207,'SegEnds_Xtal_Prot#'!B:B, 0)), "NoXtal", "Xtal")</f>
        <v>NoXtal</v>
      </c>
      <c r="D207" t="str">
        <f t="shared" si="4"/>
        <v>human</v>
      </c>
      <c r="E207" t="str">
        <f>VLOOKUP(A207,Classification!A:B,2,FALSE)</f>
        <v>A</v>
      </c>
    </row>
    <row r="208" spans="1:5" x14ac:dyDescent="0.2">
      <c r="A208" t="s">
        <v>319</v>
      </c>
      <c r="B208" t="s">
        <v>557</v>
      </c>
      <c r="C208" t="str">
        <f>IF(ISERROR(MATCH(A208,'SegEnds_Xtal_Prot#'!B:B, 0)), "NoXtal", "Xtal")</f>
        <v>NoXtal</v>
      </c>
      <c r="D208" t="str">
        <f t="shared" si="4"/>
        <v>human</v>
      </c>
      <c r="E208" t="str">
        <f>VLOOKUP(A208,Classification!A:B,2,FALSE)</f>
        <v>A</v>
      </c>
    </row>
    <row r="209" spans="1:5" x14ac:dyDescent="0.2">
      <c r="A209" t="s">
        <v>322</v>
      </c>
      <c r="B209" t="s">
        <v>558</v>
      </c>
      <c r="C209" t="str">
        <f>IF(ISERROR(MATCH(A209,'SegEnds_Xtal_Prot#'!B:B, 0)), "NoXtal", "Xtal")</f>
        <v>NoXtal</v>
      </c>
      <c r="D209" t="str">
        <f t="shared" si="4"/>
        <v>human</v>
      </c>
      <c r="E209" t="str">
        <f>VLOOKUP(A209,Classification!A:B,2,FALSE)</f>
        <v>A</v>
      </c>
    </row>
    <row r="210" spans="1:5" x14ac:dyDescent="0.2">
      <c r="A210" t="s">
        <v>323</v>
      </c>
      <c r="B210" t="s">
        <v>559</v>
      </c>
      <c r="C210" t="str">
        <f>IF(ISERROR(MATCH(A210,'SegEnds_Xtal_Prot#'!B:B, 0)), "NoXtal", "Xtal")</f>
        <v>NoXtal</v>
      </c>
      <c r="D210" t="str">
        <f t="shared" si="4"/>
        <v>human</v>
      </c>
      <c r="E210" t="str">
        <f>VLOOKUP(A210,Classification!A:B,2,FALSE)</f>
        <v>A</v>
      </c>
    </row>
    <row r="211" spans="1:5" x14ac:dyDescent="0.2">
      <c r="A211" t="s">
        <v>324</v>
      </c>
      <c r="B211" t="s">
        <v>560</v>
      </c>
      <c r="C211" t="str">
        <f>IF(ISERROR(MATCH(A211,'SegEnds_Xtal_Prot#'!B:B, 0)), "NoXtal", "Xtal")</f>
        <v>NoXtal</v>
      </c>
      <c r="D211" t="str">
        <f t="shared" si="4"/>
        <v>human</v>
      </c>
      <c r="E211" t="str">
        <f>VLOOKUP(A211,Classification!A:B,2,FALSE)</f>
        <v>A</v>
      </c>
    </row>
    <row r="212" spans="1:5" x14ac:dyDescent="0.2">
      <c r="A212" t="s">
        <v>320</v>
      </c>
      <c r="B212" t="s">
        <v>561</v>
      </c>
      <c r="C212" t="str">
        <f>IF(ISERROR(MATCH(A212,'SegEnds_Xtal_Prot#'!B:B, 0)), "NoXtal", "Xtal")</f>
        <v>NoXtal</v>
      </c>
      <c r="D212" t="str">
        <f t="shared" si="4"/>
        <v>human</v>
      </c>
      <c r="E212" t="str">
        <f>VLOOKUP(A212,Classification!A:B,2,FALSE)</f>
        <v>A</v>
      </c>
    </row>
    <row r="213" spans="1:5" x14ac:dyDescent="0.2">
      <c r="A213" t="s">
        <v>321</v>
      </c>
      <c r="B213" t="s">
        <v>562</v>
      </c>
      <c r="C213" t="str">
        <f>IF(ISERROR(MATCH(A213,'SegEnds_Xtal_Prot#'!B:B, 0)), "NoXtal", "Xtal")</f>
        <v>NoXtal</v>
      </c>
      <c r="D213" t="str">
        <f t="shared" si="4"/>
        <v>human</v>
      </c>
      <c r="E213" t="str">
        <f>VLOOKUP(A213,Classification!A:B,2,FALSE)</f>
        <v>A</v>
      </c>
    </row>
    <row r="214" spans="1:5" x14ac:dyDescent="0.2">
      <c r="A214" t="s">
        <v>325</v>
      </c>
      <c r="B214" t="s">
        <v>564</v>
      </c>
      <c r="C214" t="str">
        <f>IF(ISERROR(MATCH(A214,'SegEnds_Xtal_Prot#'!B:B, 0)), "NoXtal", "Xtal")</f>
        <v>NoXtal</v>
      </c>
      <c r="D214" t="str">
        <f t="shared" si="4"/>
        <v>human</v>
      </c>
      <c r="E214" t="str">
        <f>VLOOKUP(A214,Classification!A:B,2,FALSE)</f>
        <v>A</v>
      </c>
    </row>
    <row r="215" spans="1:5" x14ac:dyDescent="0.2">
      <c r="A215" t="s">
        <v>326</v>
      </c>
      <c r="B215" t="s">
        <v>565</v>
      </c>
      <c r="C215" t="str">
        <f>IF(ISERROR(MATCH(A215,'SegEnds_Xtal_Prot#'!B:B, 0)), "NoXtal", "Xtal")</f>
        <v>NoXtal</v>
      </c>
      <c r="D215" t="str">
        <f t="shared" si="4"/>
        <v>human</v>
      </c>
      <c r="E215" t="str">
        <f>VLOOKUP(A215,Classification!A:B,2,FALSE)</f>
        <v>A</v>
      </c>
    </row>
    <row r="216" spans="1:5" x14ac:dyDescent="0.2">
      <c r="A216" t="s">
        <v>327</v>
      </c>
      <c r="B216" t="s">
        <v>566</v>
      </c>
      <c r="C216" t="str">
        <f>IF(ISERROR(MATCH(A216,'SegEnds_Xtal_Prot#'!B:B, 0)), "NoXtal", "Xtal")</f>
        <v>NoXtal</v>
      </c>
      <c r="D216" t="str">
        <f t="shared" si="4"/>
        <v>human</v>
      </c>
      <c r="E216" t="str">
        <f>VLOOKUP(A216,Classification!A:B,2,FALSE)</f>
        <v>A</v>
      </c>
    </row>
    <row r="217" spans="1:5" x14ac:dyDescent="0.2">
      <c r="A217" t="s">
        <v>328</v>
      </c>
      <c r="B217" t="s">
        <v>567</v>
      </c>
      <c r="C217" t="str">
        <f>IF(ISERROR(MATCH(A217,'SegEnds_Xtal_Prot#'!B:B, 0)), "NoXtal", "Xtal")</f>
        <v>NoXtal</v>
      </c>
      <c r="D217" t="str">
        <f t="shared" si="4"/>
        <v>human</v>
      </c>
      <c r="E217" t="str">
        <f>VLOOKUP(A217,Classification!A:B,2,FALSE)</f>
        <v>A</v>
      </c>
    </row>
    <row r="218" spans="1:5" x14ac:dyDescent="0.2">
      <c r="A218" t="s">
        <v>329</v>
      </c>
      <c r="B218" t="s">
        <v>568</v>
      </c>
      <c r="C218" t="str">
        <f>IF(ISERROR(MATCH(A218,'SegEnds_Xtal_Prot#'!B:B, 0)), "NoXtal", "Xtal")</f>
        <v>NoXtal</v>
      </c>
      <c r="D218" t="str">
        <f t="shared" si="4"/>
        <v>human</v>
      </c>
      <c r="E218" t="str">
        <f>VLOOKUP(A218,Classification!A:B,2,FALSE)</f>
        <v>A</v>
      </c>
    </row>
    <row r="219" spans="1:5" x14ac:dyDescent="0.2">
      <c r="A219" t="s">
        <v>127</v>
      </c>
      <c r="B219" t="s">
        <v>569</v>
      </c>
      <c r="C219" t="str">
        <f>IF(ISERROR(MATCH(A219,'SegEnds_Xtal_Prot#'!B:B, 0)), "NoXtal", "Xtal")</f>
        <v>NoXtal</v>
      </c>
      <c r="D219" t="str">
        <f t="shared" si="4"/>
        <v>human</v>
      </c>
      <c r="E219" t="str">
        <f>VLOOKUP(A219,Classification!A:B,2,FALSE)</f>
        <v>A</v>
      </c>
    </row>
    <row r="220" spans="1:5" x14ac:dyDescent="0.2">
      <c r="A220" t="s">
        <v>330</v>
      </c>
      <c r="B220" t="s">
        <v>570</v>
      </c>
      <c r="C220" t="str">
        <f>IF(ISERROR(MATCH(A220,'SegEnds_Xtal_Prot#'!B:B, 0)), "NoXtal", "Xtal")</f>
        <v>NoXtal</v>
      </c>
      <c r="D220" t="str">
        <f t="shared" si="4"/>
        <v>human</v>
      </c>
      <c r="E220" t="str">
        <f>VLOOKUP(A220,Classification!A:B,2,FALSE)</f>
        <v>A</v>
      </c>
    </row>
    <row r="221" spans="1:5" x14ac:dyDescent="0.2">
      <c r="A221" t="s">
        <v>337</v>
      </c>
      <c r="B221" t="s">
        <v>573</v>
      </c>
      <c r="C221" t="str">
        <f>IF(ISERROR(MATCH(A221,'SegEnds_Xtal_Prot#'!B:B, 0)), "NoXtal", "Xtal")</f>
        <v>NoXtal</v>
      </c>
      <c r="D221" t="str">
        <f t="shared" si="4"/>
        <v>human</v>
      </c>
      <c r="E221" t="str">
        <f>VLOOKUP(A221,Classification!A:B,2,FALSE)</f>
        <v>A</v>
      </c>
    </row>
    <row r="222" spans="1:5" x14ac:dyDescent="0.2">
      <c r="A222" t="s">
        <v>372</v>
      </c>
      <c r="B222" t="s">
        <v>577</v>
      </c>
      <c r="C222" t="str">
        <f>IF(ISERROR(MATCH(A222,'SegEnds_Xtal_Prot#'!B:B, 0)), "NoXtal", "Xtal")</f>
        <v>NoXtal</v>
      </c>
      <c r="D222" t="str">
        <f t="shared" si="4"/>
        <v>human</v>
      </c>
      <c r="E222" t="str">
        <f>VLOOKUP(A222,Classification!A:B,2,FALSE)</f>
        <v>A</v>
      </c>
    </row>
    <row r="223" spans="1:5" x14ac:dyDescent="0.2">
      <c r="A223" t="s">
        <v>369</v>
      </c>
      <c r="B223" t="s">
        <v>578</v>
      </c>
      <c r="C223" t="str">
        <f>IF(ISERROR(MATCH(A223,'SegEnds_Xtal_Prot#'!B:B, 0)), "NoXtal", "Xtal")</f>
        <v>NoXtal</v>
      </c>
      <c r="D223" t="str">
        <f t="shared" si="4"/>
        <v>human</v>
      </c>
      <c r="E223" t="str">
        <f>VLOOKUP(A223,Classification!A:B,2,FALSE)</f>
        <v>A</v>
      </c>
    </row>
    <row r="224" spans="1:5" x14ac:dyDescent="0.2">
      <c r="A224" t="s">
        <v>356</v>
      </c>
      <c r="B224" t="s">
        <v>580</v>
      </c>
      <c r="C224" t="str">
        <f>IF(ISERROR(MATCH(A224,'SegEnds_Xtal_Prot#'!B:B, 0)), "NoXtal", "Xtal")</f>
        <v>Xtal</v>
      </c>
      <c r="D224" t="str">
        <f t="shared" si="4"/>
        <v>human</v>
      </c>
      <c r="E224" t="str">
        <f>VLOOKUP(A224,Classification!A:B,2,FALSE)</f>
        <v>A</v>
      </c>
    </row>
    <row r="225" spans="1:5" x14ac:dyDescent="0.2">
      <c r="A225" t="s">
        <v>357</v>
      </c>
      <c r="B225" t="s">
        <v>581</v>
      </c>
      <c r="C225" t="str">
        <f>IF(ISERROR(MATCH(A225,'SegEnds_Xtal_Prot#'!B:B, 0)), "NoXtal", "Xtal")</f>
        <v>NoXtal</v>
      </c>
      <c r="D225" t="str">
        <f t="shared" si="4"/>
        <v>human</v>
      </c>
      <c r="E225" t="str">
        <f>VLOOKUP(A225,Classification!A:B,2,FALSE)</f>
        <v>A</v>
      </c>
    </row>
    <row r="226" spans="1:5" x14ac:dyDescent="0.2">
      <c r="A226" t="s">
        <v>358</v>
      </c>
      <c r="B226" t="s">
        <v>582</v>
      </c>
      <c r="C226" t="str">
        <f>IF(ISERROR(MATCH(A226,'SegEnds_Xtal_Prot#'!B:B, 0)), "NoXtal", "Xtal")</f>
        <v>NoXtal</v>
      </c>
      <c r="D226" t="str">
        <f t="shared" si="4"/>
        <v>human</v>
      </c>
      <c r="E226" t="str">
        <f>VLOOKUP(A226,Classification!A:B,2,FALSE)</f>
        <v>A</v>
      </c>
    </row>
    <row r="227" spans="1:5" x14ac:dyDescent="0.2">
      <c r="A227" t="s">
        <v>375</v>
      </c>
      <c r="B227" t="s">
        <v>583</v>
      </c>
      <c r="C227" t="str">
        <f>IF(ISERROR(MATCH(A227,'SegEnds_Xtal_Prot#'!B:B, 0)), "NoXtal", "Xtal")</f>
        <v>NoXtal</v>
      </c>
      <c r="D227" t="str">
        <f t="shared" si="4"/>
        <v>human</v>
      </c>
      <c r="E227" t="str">
        <f>VLOOKUP(A227,Classification!A:B,2,FALSE)</f>
        <v>A</v>
      </c>
    </row>
    <row r="228" spans="1:5" x14ac:dyDescent="0.2">
      <c r="A228" t="s">
        <v>376</v>
      </c>
      <c r="B228" t="s">
        <v>584</v>
      </c>
      <c r="C228" t="str">
        <f>IF(ISERROR(MATCH(A228,'SegEnds_Xtal_Prot#'!B:B, 0)), "NoXtal", "Xtal")</f>
        <v>NoXtal</v>
      </c>
      <c r="D228" t="str">
        <f t="shared" si="4"/>
        <v>human</v>
      </c>
      <c r="E228" t="str">
        <f>VLOOKUP(A228,Classification!A:B,2,FALSE)</f>
        <v>A</v>
      </c>
    </row>
    <row r="229" spans="1:5" x14ac:dyDescent="0.2">
      <c r="A229" t="s">
        <v>373</v>
      </c>
      <c r="B229" t="s">
        <v>585</v>
      </c>
      <c r="C229" t="str">
        <f>IF(ISERROR(MATCH(A229,'SegEnds_Xtal_Prot#'!B:B, 0)), "NoXtal", "Xtal")</f>
        <v>NoXtal</v>
      </c>
      <c r="D229" t="str">
        <f t="shared" si="4"/>
        <v>human</v>
      </c>
      <c r="E229" t="str">
        <f>VLOOKUP(A229,Classification!A:B,2,FALSE)</f>
        <v>A</v>
      </c>
    </row>
    <row r="230" spans="1:5" x14ac:dyDescent="0.2">
      <c r="A230" t="s">
        <v>374</v>
      </c>
      <c r="B230" t="s">
        <v>586</v>
      </c>
      <c r="C230" t="str">
        <f>IF(ISERROR(MATCH(A230,'SegEnds_Xtal_Prot#'!B:B, 0)), "NoXtal", "Xtal")</f>
        <v>NoXtal</v>
      </c>
      <c r="D230" t="str">
        <f t="shared" si="4"/>
        <v>human</v>
      </c>
      <c r="E230" t="str">
        <f>VLOOKUP(A230,Classification!A:B,2,FALSE)</f>
        <v>A</v>
      </c>
    </row>
    <row r="231" spans="1:5" x14ac:dyDescent="0.2">
      <c r="A231" t="s">
        <v>381</v>
      </c>
      <c r="B231" t="s">
        <v>587</v>
      </c>
      <c r="C231" t="str">
        <f>IF(ISERROR(MATCH(A231,'SegEnds_Xtal_Prot#'!B:B, 0)), "NoXtal", "Xtal")</f>
        <v>NoXtal</v>
      </c>
      <c r="D231" t="str">
        <f t="shared" si="4"/>
        <v>human</v>
      </c>
      <c r="E231" t="str">
        <f>VLOOKUP(A231,Classification!A:B,2,FALSE)</f>
        <v>A</v>
      </c>
    </row>
    <row r="232" spans="1:5" x14ac:dyDescent="0.2">
      <c r="A232" t="s">
        <v>382</v>
      </c>
      <c r="B232" t="s">
        <v>588</v>
      </c>
      <c r="C232" t="str">
        <f>IF(ISERROR(MATCH(A232,'SegEnds_Xtal_Prot#'!B:B, 0)), "NoXtal", "Xtal")</f>
        <v>NoXtal</v>
      </c>
      <c r="D232" t="str">
        <f t="shared" si="4"/>
        <v>human</v>
      </c>
      <c r="E232" t="str">
        <f>VLOOKUP(A232,Classification!A:B,2,FALSE)</f>
        <v>A</v>
      </c>
    </row>
    <row r="233" spans="1:5" x14ac:dyDescent="0.2">
      <c r="A233" t="s">
        <v>383</v>
      </c>
      <c r="B233" t="s">
        <v>589</v>
      </c>
      <c r="C233" t="str">
        <f>IF(ISERROR(MATCH(A233,'SegEnds_Xtal_Prot#'!B:B, 0)), "NoXtal", "Xtal")</f>
        <v>NoXtal</v>
      </c>
      <c r="D233" t="str">
        <f t="shared" si="4"/>
        <v>human</v>
      </c>
      <c r="E233" t="str">
        <f>VLOOKUP(A233,Classification!A:B,2,FALSE)</f>
        <v>A</v>
      </c>
    </row>
    <row r="234" spans="1:5" x14ac:dyDescent="0.2">
      <c r="A234" t="s">
        <v>384</v>
      </c>
      <c r="B234" t="s">
        <v>590</v>
      </c>
      <c r="C234" t="str">
        <f>IF(ISERROR(MATCH(A234,'SegEnds_Xtal_Prot#'!B:B, 0)), "NoXtal", "Xtal")</f>
        <v>NoXtal</v>
      </c>
      <c r="D234" t="str">
        <f t="shared" si="4"/>
        <v>human</v>
      </c>
      <c r="E234" t="str">
        <f>VLOOKUP(A234,Classification!A:B,2,FALSE)</f>
        <v>A</v>
      </c>
    </row>
    <row r="235" spans="1:5" x14ac:dyDescent="0.2">
      <c r="A235" t="s">
        <v>385</v>
      </c>
      <c r="B235" t="s">
        <v>591</v>
      </c>
      <c r="C235" t="str">
        <f>IF(ISERROR(MATCH(A235,'SegEnds_Xtal_Prot#'!B:B, 0)), "NoXtal", "Xtal")</f>
        <v>NoXtal</v>
      </c>
      <c r="D235" t="str">
        <f t="shared" si="4"/>
        <v>human</v>
      </c>
      <c r="E235" t="str">
        <f>VLOOKUP(A235,Classification!A:B,2,FALSE)</f>
        <v>A</v>
      </c>
    </row>
    <row r="236" spans="1:5" x14ac:dyDescent="0.2">
      <c r="A236" t="s">
        <v>314</v>
      </c>
      <c r="B236" t="s">
        <v>592</v>
      </c>
      <c r="C236" t="str">
        <f>IF(ISERROR(MATCH(A236,'SegEnds_Xtal_Prot#'!B:B, 0)), "NoXtal", "Xtal")</f>
        <v>NoXtal</v>
      </c>
      <c r="D236" t="str">
        <f t="shared" si="4"/>
        <v>human</v>
      </c>
      <c r="E236" t="str">
        <f>VLOOKUP(A236,Classification!A:B,2,FALSE)</f>
        <v>A</v>
      </c>
    </row>
    <row r="237" spans="1:5" x14ac:dyDescent="0.2">
      <c r="A237" t="s">
        <v>315</v>
      </c>
      <c r="B237" t="s">
        <v>593</v>
      </c>
      <c r="C237" t="str">
        <f>IF(ISERROR(MATCH(A237,'SegEnds_Xtal_Prot#'!B:B, 0)), "NoXtal", "Xtal")</f>
        <v>NoXtal</v>
      </c>
      <c r="D237" t="str">
        <f t="shared" si="4"/>
        <v>human</v>
      </c>
      <c r="E237" t="str">
        <f>VLOOKUP(A237,Classification!A:B,2,FALSE)</f>
        <v>A</v>
      </c>
    </row>
    <row r="238" spans="1:5" x14ac:dyDescent="0.2">
      <c r="A238" t="s">
        <v>316</v>
      </c>
      <c r="B238" t="s">
        <v>595</v>
      </c>
      <c r="C238" t="str">
        <f>IF(ISERROR(MATCH(A238,'SegEnds_Xtal_Prot#'!B:B, 0)), "NoXtal", "Xtal")</f>
        <v>NoXtal</v>
      </c>
      <c r="D238" t="str">
        <f t="shared" si="4"/>
        <v>human</v>
      </c>
      <c r="E238" t="str">
        <f>VLOOKUP(A238,Classification!A:B,2,FALSE)</f>
        <v>A</v>
      </c>
    </row>
    <row r="239" spans="1:5" x14ac:dyDescent="0.2">
      <c r="A239" t="s">
        <v>394</v>
      </c>
      <c r="B239" t="s">
        <v>596</v>
      </c>
      <c r="C239" t="str">
        <f>IF(ISERROR(MATCH(A239,'SegEnds_Xtal_Prot#'!B:B, 0)), "NoXtal", "Xtal")</f>
        <v>NoXtal</v>
      </c>
      <c r="D239" t="str">
        <f t="shared" si="4"/>
        <v>human</v>
      </c>
      <c r="E239" t="str">
        <f>VLOOKUP(A239,Classification!A:B,2,FALSE)</f>
        <v>A</v>
      </c>
    </row>
    <row r="240" spans="1:5" x14ac:dyDescent="0.2">
      <c r="A240" t="s">
        <v>396</v>
      </c>
      <c r="B240" t="s">
        <v>597</v>
      </c>
      <c r="C240" t="str">
        <f>IF(ISERROR(MATCH(A240,'SegEnds_Xtal_Prot#'!B:B, 0)), "NoXtal", "Xtal")</f>
        <v>NoXtal</v>
      </c>
      <c r="D240" t="str">
        <f t="shared" si="4"/>
        <v>human</v>
      </c>
      <c r="E240" t="str">
        <f>VLOOKUP(A240,Classification!A:B,2,FALSE)</f>
        <v>A</v>
      </c>
    </row>
    <row r="241" spans="1:5" x14ac:dyDescent="0.2">
      <c r="A241" t="s">
        <v>397</v>
      </c>
      <c r="B241" t="s">
        <v>598</v>
      </c>
      <c r="C241" t="str">
        <f>IF(ISERROR(MATCH(A241,'SegEnds_Xtal_Prot#'!B:B, 0)), "NoXtal", "Xtal")</f>
        <v>NoXtal</v>
      </c>
      <c r="D241" t="str">
        <f t="shared" si="4"/>
        <v>human</v>
      </c>
      <c r="E241" t="str">
        <f>VLOOKUP(A241,Classification!A:B,2,FALSE)</f>
        <v>A</v>
      </c>
    </row>
    <row r="242" spans="1:5" x14ac:dyDescent="0.2">
      <c r="A242" t="s">
        <v>398</v>
      </c>
      <c r="B242" t="s">
        <v>599</v>
      </c>
      <c r="C242" t="str">
        <f>IF(ISERROR(MATCH(A242,'SegEnds_Xtal_Prot#'!B:B, 0)), "NoXtal", "Xtal")</f>
        <v>NoXtal</v>
      </c>
      <c r="D242" t="str">
        <f t="shared" si="4"/>
        <v>human</v>
      </c>
      <c r="E242" t="str">
        <f>VLOOKUP(A242,Classification!A:B,2,FALSE)</f>
        <v>A</v>
      </c>
    </row>
    <row r="243" spans="1:5" x14ac:dyDescent="0.2">
      <c r="A243" t="s">
        <v>399</v>
      </c>
      <c r="B243" t="s">
        <v>600</v>
      </c>
      <c r="C243" t="str">
        <f>IF(ISERROR(MATCH(A243,'SegEnds_Xtal_Prot#'!B:B, 0)), "NoXtal", "Xtal")</f>
        <v>NoXtal</v>
      </c>
      <c r="D243" t="str">
        <f t="shared" si="4"/>
        <v>human</v>
      </c>
      <c r="E243" t="str">
        <f>VLOOKUP(A243,Classification!A:B,2,FALSE)</f>
        <v>A</v>
      </c>
    </row>
    <row r="244" spans="1:5" x14ac:dyDescent="0.2">
      <c r="A244" t="s">
        <v>344</v>
      </c>
      <c r="B244" t="s">
        <v>601</v>
      </c>
      <c r="C244" t="str">
        <f>IF(ISERROR(MATCH(A244,'SegEnds_Xtal_Prot#'!B:B, 0)), "NoXtal", "Xtal")</f>
        <v>NoXtal</v>
      </c>
      <c r="D244" t="str">
        <f t="shared" si="4"/>
        <v>human</v>
      </c>
      <c r="E244" t="str">
        <f>VLOOKUP(A244,Classification!A:B,2,FALSE)</f>
        <v>A</v>
      </c>
    </row>
    <row r="245" spans="1:5" x14ac:dyDescent="0.2">
      <c r="A245" t="s">
        <v>181</v>
      </c>
      <c r="B245" t="s">
        <v>602</v>
      </c>
      <c r="C245" t="str">
        <f>IF(ISERROR(MATCH(A245,'SegEnds_Xtal_Prot#'!B:B, 0)), "NoXtal", "Xtal")</f>
        <v>NoXtal</v>
      </c>
      <c r="D245" t="str">
        <f t="shared" si="4"/>
        <v>human</v>
      </c>
      <c r="E245" t="str">
        <f>VLOOKUP(A245,Classification!A:B,2,FALSE)</f>
        <v>A</v>
      </c>
    </row>
    <row r="246" spans="1:5" x14ac:dyDescent="0.2">
      <c r="A246" t="s">
        <v>168</v>
      </c>
      <c r="B246" t="s">
        <v>603</v>
      </c>
      <c r="C246" t="str">
        <f>IF(ISERROR(MATCH(A246,'SegEnds_Xtal_Prot#'!B:B, 0)), "NoXtal", "Xtal")</f>
        <v>NoXtal</v>
      </c>
      <c r="D246" t="str">
        <f t="shared" si="4"/>
        <v>human</v>
      </c>
      <c r="E246" t="str">
        <f>VLOOKUP(A246,Classification!A:B,2,FALSE)</f>
        <v>A</v>
      </c>
    </row>
    <row r="247" spans="1:5" x14ac:dyDescent="0.2">
      <c r="A247" t="s">
        <v>170</v>
      </c>
      <c r="B247" t="s">
        <v>604</v>
      </c>
      <c r="C247" t="str">
        <f>IF(ISERROR(MATCH(A247,'SegEnds_Xtal_Prot#'!B:B, 0)), "NoXtal", "Xtal")</f>
        <v>Xtal</v>
      </c>
      <c r="D247" t="str">
        <f t="shared" si="4"/>
        <v>human</v>
      </c>
      <c r="E247" t="str">
        <f>VLOOKUP(A247,Classification!A:B,2,FALSE)</f>
        <v>A</v>
      </c>
    </row>
    <row r="248" spans="1:5" x14ac:dyDescent="0.2">
      <c r="A248" t="s">
        <v>171</v>
      </c>
      <c r="B248" t="s">
        <v>605</v>
      </c>
      <c r="C248" t="str">
        <f>IF(ISERROR(MATCH(A248,'SegEnds_Xtal_Prot#'!B:B, 0)), "NoXtal", "Xtal")</f>
        <v>NoXtal</v>
      </c>
      <c r="D248" t="str">
        <f t="shared" si="4"/>
        <v>human</v>
      </c>
      <c r="E248" t="str">
        <f>VLOOKUP(A248,Classification!A:B,2,FALSE)</f>
        <v>A</v>
      </c>
    </row>
    <row r="249" spans="1:5" x14ac:dyDescent="0.2">
      <c r="A249" t="s">
        <v>172</v>
      </c>
      <c r="B249" t="s">
        <v>606</v>
      </c>
      <c r="C249" t="str">
        <f>IF(ISERROR(MATCH(A249,'SegEnds_Xtal_Prot#'!B:B, 0)), "NoXtal", "Xtal")</f>
        <v>NoXtal</v>
      </c>
      <c r="D249" t="str">
        <f t="shared" si="4"/>
        <v>human</v>
      </c>
      <c r="E249" t="str">
        <f>VLOOKUP(A249,Classification!A:B,2,FALSE)</f>
        <v>A</v>
      </c>
    </row>
    <row r="250" spans="1:5" x14ac:dyDescent="0.2">
      <c r="A250" t="s">
        <v>174</v>
      </c>
      <c r="B250" t="s">
        <v>608</v>
      </c>
      <c r="C250" t="str">
        <f>IF(ISERROR(MATCH(A250,'SegEnds_Xtal_Prot#'!B:B, 0)), "NoXtal", "Xtal")</f>
        <v>NoXtal</v>
      </c>
      <c r="D250" t="str">
        <f t="shared" si="4"/>
        <v>human</v>
      </c>
      <c r="E250" t="str">
        <f>VLOOKUP(A250,Classification!A:B,2,FALSE)</f>
        <v>A</v>
      </c>
    </row>
    <row r="251" spans="1:5" x14ac:dyDescent="0.2">
      <c r="A251" t="s">
        <v>175</v>
      </c>
      <c r="B251" t="s">
        <v>609</v>
      </c>
      <c r="C251" t="str">
        <f>IF(ISERROR(MATCH(A251,'SegEnds_Xtal_Prot#'!B:B, 0)), "NoXtal", "Xtal")</f>
        <v>NoXtal</v>
      </c>
      <c r="D251" t="str">
        <f t="shared" si="4"/>
        <v>human</v>
      </c>
      <c r="E251" t="str">
        <f>VLOOKUP(A251,Classification!A:B,2,FALSE)</f>
        <v>A</v>
      </c>
    </row>
    <row r="252" spans="1:5" x14ac:dyDescent="0.2">
      <c r="A252" t="s">
        <v>176</v>
      </c>
      <c r="B252" t="s">
        <v>610</v>
      </c>
      <c r="C252" t="str">
        <f>IF(ISERROR(MATCH(A252,'SegEnds_Xtal_Prot#'!B:B, 0)), "NoXtal", "Xtal")</f>
        <v>NoXtal</v>
      </c>
      <c r="D252" t="str">
        <f t="shared" si="4"/>
        <v>human</v>
      </c>
      <c r="E252" t="str">
        <f>VLOOKUP(A252,Classification!A:B,2,FALSE)</f>
        <v>A</v>
      </c>
    </row>
    <row r="253" spans="1:5" x14ac:dyDescent="0.2">
      <c r="A253" t="s">
        <v>177</v>
      </c>
      <c r="B253" t="s">
        <v>612</v>
      </c>
      <c r="C253" t="str">
        <f>IF(ISERROR(MATCH(A253,'SegEnds_Xtal_Prot#'!B:B, 0)), "NoXtal", "Xtal")</f>
        <v>Xtal</v>
      </c>
      <c r="D253" t="str">
        <f t="shared" si="4"/>
        <v>human</v>
      </c>
      <c r="E253" t="str">
        <f>VLOOKUP(A253,Classification!A:B,2,FALSE)</f>
        <v>A</v>
      </c>
    </row>
    <row r="254" spans="1:5" x14ac:dyDescent="0.2">
      <c r="A254" t="s">
        <v>169</v>
      </c>
      <c r="B254" t="s">
        <v>613</v>
      </c>
      <c r="C254" t="str">
        <f>IF(ISERROR(MATCH(A254,'SegEnds_Xtal_Prot#'!B:B, 0)), "NoXtal", "Xtal")</f>
        <v>NoXtal</v>
      </c>
      <c r="D254" t="str">
        <f t="shared" si="4"/>
        <v>human</v>
      </c>
      <c r="E254" t="str">
        <f>VLOOKUP(A254,Classification!A:B,2,FALSE)</f>
        <v>A</v>
      </c>
    </row>
    <row r="255" spans="1:5" x14ac:dyDescent="0.2">
      <c r="A255" t="s">
        <v>185</v>
      </c>
      <c r="B255" t="s">
        <v>614</v>
      </c>
      <c r="C255" t="str">
        <f>IF(ISERROR(MATCH(A255,'SegEnds_Xtal_Prot#'!B:B, 0)), "NoXtal", "Xtal")</f>
        <v>NoXtal</v>
      </c>
      <c r="D255" t="str">
        <f t="shared" si="4"/>
        <v>human</v>
      </c>
      <c r="E255" t="str">
        <f>VLOOKUP(A255,Classification!A:B,2,FALSE)</f>
        <v>A</v>
      </c>
    </row>
    <row r="256" spans="1:5" x14ac:dyDescent="0.2">
      <c r="A256" t="s">
        <v>186</v>
      </c>
      <c r="B256" t="s">
        <v>615</v>
      </c>
      <c r="C256" t="str">
        <f>IF(ISERROR(MATCH(A256,'SegEnds_Xtal_Prot#'!B:B, 0)), "NoXtal", "Xtal")</f>
        <v>NoXtal</v>
      </c>
      <c r="D256" t="str">
        <f t="shared" si="4"/>
        <v>human</v>
      </c>
      <c r="E256" t="str">
        <f>VLOOKUP(A256,Classification!A:B,2,FALSE)</f>
        <v>A</v>
      </c>
    </row>
    <row r="257" spans="1:5" x14ac:dyDescent="0.2">
      <c r="A257" t="s">
        <v>187</v>
      </c>
      <c r="B257" t="s">
        <v>616</v>
      </c>
      <c r="C257" t="str">
        <f>IF(ISERROR(MATCH(A257,'SegEnds_Xtal_Prot#'!B:B, 0)), "NoXtal", "Xtal")</f>
        <v>NoXtal</v>
      </c>
      <c r="D257" t="str">
        <f t="shared" si="4"/>
        <v>human</v>
      </c>
      <c r="E257" t="str">
        <f>VLOOKUP(A257,Classification!A:B,2,FALSE)</f>
        <v>A</v>
      </c>
    </row>
    <row r="258" spans="1:5" x14ac:dyDescent="0.2">
      <c r="A258" t="s">
        <v>188</v>
      </c>
      <c r="B258" t="s">
        <v>618</v>
      </c>
      <c r="C258" t="str">
        <f>IF(ISERROR(MATCH(A258,'SegEnds_Xtal_Prot#'!B:B, 0)), "NoXtal", "Xtal")</f>
        <v>NoXtal</v>
      </c>
      <c r="D258" t="str">
        <f t="shared" si="4"/>
        <v>human</v>
      </c>
      <c r="E258" t="str">
        <f>VLOOKUP(A258,Classification!A:B,2,FALSE)</f>
        <v>A</v>
      </c>
    </row>
    <row r="259" spans="1:5" x14ac:dyDescent="0.2">
      <c r="A259" t="s">
        <v>189</v>
      </c>
      <c r="B259" t="s">
        <v>619</v>
      </c>
      <c r="C259" t="str">
        <f>IF(ISERROR(MATCH(A259,'SegEnds_Xtal_Prot#'!B:B, 0)), "NoXtal", "Xtal")</f>
        <v>NoXtal</v>
      </c>
      <c r="D259" t="str">
        <f t="shared" ref="D259:D322" si="5">MID(A259,FIND("_",A259)+1,LEN(A259)-FIND("_",A259))</f>
        <v>human</v>
      </c>
      <c r="E259" t="str">
        <f>VLOOKUP(A259,Classification!A:B,2,FALSE)</f>
        <v>A</v>
      </c>
    </row>
    <row r="260" spans="1:5" x14ac:dyDescent="0.2">
      <c r="A260" t="s">
        <v>184</v>
      </c>
      <c r="B260" t="s">
        <v>620</v>
      </c>
      <c r="C260" t="str">
        <f>IF(ISERROR(MATCH(A260,'SegEnds_Xtal_Prot#'!B:B, 0)), "NoXtal", "Xtal")</f>
        <v>NoXtal</v>
      </c>
      <c r="D260" t="str">
        <f t="shared" si="5"/>
        <v>human</v>
      </c>
      <c r="E260" t="str">
        <f>VLOOKUP(A260,Classification!A:B,2,FALSE)</f>
        <v>A</v>
      </c>
    </row>
    <row r="261" spans="1:5" x14ac:dyDescent="0.2">
      <c r="A261" t="s">
        <v>400</v>
      </c>
      <c r="B261" t="s">
        <v>621</v>
      </c>
      <c r="C261" t="str">
        <f>IF(ISERROR(MATCH(A261,'SegEnds_Xtal_Prot#'!B:B, 0)), "NoXtal", "Xtal")</f>
        <v>NoXtal</v>
      </c>
      <c r="D261" t="str">
        <f t="shared" si="5"/>
        <v>human</v>
      </c>
      <c r="E261" t="str">
        <f>VLOOKUP(A261,Classification!A:B,2,FALSE)</f>
        <v>A</v>
      </c>
    </row>
    <row r="262" spans="1:5" x14ac:dyDescent="0.2">
      <c r="A262" t="s">
        <v>142</v>
      </c>
      <c r="B262" t="s">
        <v>622</v>
      </c>
      <c r="C262" t="str">
        <f>IF(ISERROR(MATCH(A262,'SegEnds_Xtal_Prot#'!B:B, 0)), "NoXtal", "Xtal")</f>
        <v>NoXtal</v>
      </c>
      <c r="D262" t="str">
        <f t="shared" si="5"/>
        <v>human</v>
      </c>
      <c r="E262" t="str">
        <f>VLOOKUP(A262,Classification!A:B,2,FALSE)</f>
        <v>A</v>
      </c>
    </row>
    <row r="263" spans="1:5" x14ac:dyDescent="0.2">
      <c r="A263" t="s">
        <v>143</v>
      </c>
      <c r="B263" t="s">
        <v>623</v>
      </c>
      <c r="C263" t="str">
        <f>IF(ISERROR(MATCH(A263,'SegEnds_Xtal_Prot#'!B:B, 0)), "NoXtal", "Xtal")</f>
        <v>NoXtal</v>
      </c>
      <c r="D263" t="str">
        <f t="shared" si="5"/>
        <v>human</v>
      </c>
      <c r="E263" t="str">
        <f>VLOOKUP(A263,Classification!A:B,2,FALSE)</f>
        <v>A</v>
      </c>
    </row>
    <row r="264" spans="1:5" x14ac:dyDescent="0.2">
      <c r="A264" t="s">
        <v>144</v>
      </c>
      <c r="B264" t="s">
        <v>624</v>
      </c>
      <c r="C264" t="str">
        <f>IF(ISERROR(MATCH(A264,'SegEnds_Xtal_Prot#'!B:B, 0)), "NoXtal", "Xtal")</f>
        <v>NoXtal</v>
      </c>
      <c r="D264" t="str">
        <f t="shared" si="5"/>
        <v>human</v>
      </c>
      <c r="E264" t="str">
        <f>VLOOKUP(A264,Classification!A:B,2,FALSE)</f>
        <v>A</v>
      </c>
    </row>
    <row r="265" spans="1:5" x14ac:dyDescent="0.2">
      <c r="A265" t="s">
        <v>145</v>
      </c>
      <c r="B265" t="s">
        <v>625</v>
      </c>
      <c r="C265" t="str">
        <f>IF(ISERROR(MATCH(A265,'SegEnds_Xtal_Prot#'!B:B, 0)), "NoXtal", "Xtal")</f>
        <v>NoXtal</v>
      </c>
      <c r="D265" t="str">
        <f t="shared" si="5"/>
        <v>human</v>
      </c>
      <c r="E265" t="str">
        <f>VLOOKUP(A265,Classification!A:B,2,FALSE)</f>
        <v>A</v>
      </c>
    </row>
    <row r="266" spans="1:5" x14ac:dyDescent="0.2">
      <c r="A266" t="s">
        <v>178</v>
      </c>
      <c r="B266" t="s">
        <v>626</v>
      </c>
      <c r="C266" t="str">
        <f>IF(ISERROR(MATCH(A266,'SegEnds_Xtal_Prot#'!B:B, 0)), "NoXtal", "Xtal")</f>
        <v>NoXtal</v>
      </c>
      <c r="D266" t="str">
        <f t="shared" si="5"/>
        <v>human</v>
      </c>
      <c r="E266" t="str">
        <f>VLOOKUP(A266,Classification!A:B,2,FALSE)</f>
        <v>A</v>
      </c>
    </row>
    <row r="267" spans="1:5" x14ac:dyDescent="0.2">
      <c r="A267" t="s">
        <v>204</v>
      </c>
      <c r="B267" t="s">
        <v>627</v>
      </c>
      <c r="C267" t="str">
        <f>IF(ISERROR(MATCH(A267,'SegEnds_Xtal_Prot#'!B:B, 0)), "NoXtal", "Xtal")</f>
        <v>NoXtal</v>
      </c>
      <c r="D267" t="str">
        <f t="shared" si="5"/>
        <v>human</v>
      </c>
      <c r="E267" t="str">
        <f>VLOOKUP(A267,Classification!A:B,2,FALSE)</f>
        <v>A</v>
      </c>
    </row>
    <row r="268" spans="1:5" x14ac:dyDescent="0.2">
      <c r="A268" t="s">
        <v>286</v>
      </c>
      <c r="B268" t="s">
        <v>628</v>
      </c>
      <c r="C268" t="str">
        <f>IF(ISERROR(MATCH(A268,'SegEnds_Xtal_Prot#'!B:B, 0)), "NoXtal", "Xtal")</f>
        <v>NoXtal</v>
      </c>
      <c r="D268" t="str">
        <f t="shared" si="5"/>
        <v>human</v>
      </c>
      <c r="E268" t="str">
        <f>VLOOKUP(A268,Classification!A:B,2,FALSE)</f>
        <v>A</v>
      </c>
    </row>
    <row r="269" spans="1:5" x14ac:dyDescent="0.2">
      <c r="A269" t="s">
        <v>291</v>
      </c>
      <c r="B269" t="s">
        <v>629</v>
      </c>
      <c r="C269" t="str">
        <f>IF(ISERROR(MATCH(A269,'SegEnds_Xtal_Prot#'!B:B, 0)), "NoXtal", "Xtal")</f>
        <v>NoXtal</v>
      </c>
      <c r="D269" t="str">
        <f t="shared" si="5"/>
        <v>human</v>
      </c>
      <c r="E269" t="str">
        <f>VLOOKUP(A269,Classification!A:B,2,FALSE)</f>
        <v>A</v>
      </c>
    </row>
    <row r="270" spans="1:5" x14ac:dyDescent="0.2">
      <c r="A270" t="s">
        <v>395</v>
      </c>
      <c r="B270" t="s">
        <v>630</v>
      </c>
      <c r="C270" t="str">
        <f>IF(ISERROR(MATCH(A270,'SegEnds_Xtal_Prot#'!B:B, 0)), "NoXtal", "Xtal")</f>
        <v>NoXtal</v>
      </c>
      <c r="D270" t="str">
        <f t="shared" si="5"/>
        <v>human</v>
      </c>
      <c r="E270" t="str">
        <f>VLOOKUP(A270,Classification!A:B,2,FALSE)</f>
        <v>A</v>
      </c>
    </row>
    <row r="271" spans="1:5" x14ac:dyDescent="0.2">
      <c r="A271" t="s">
        <v>367</v>
      </c>
      <c r="B271" t="s">
        <v>631</v>
      </c>
      <c r="C271" t="str">
        <f>IF(ISERROR(MATCH(A271,'SegEnds_Xtal_Prot#'!B:B, 0)), "NoXtal", "Xtal")</f>
        <v>NoXtal</v>
      </c>
      <c r="D271" t="str">
        <f t="shared" si="5"/>
        <v>human</v>
      </c>
      <c r="E271" t="str">
        <f>VLOOKUP(A271,Classification!A:B,2,FALSE)</f>
        <v>A</v>
      </c>
    </row>
    <row r="272" spans="1:5" x14ac:dyDescent="0.2">
      <c r="A272" t="s">
        <v>368</v>
      </c>
      <c r="B272" t="s">
        <v>632</v>
      </c>
      <c r="C272" t="str">
        <f>IF(ISERROR(MATCH(A272,'SegEnds_Xtal_Prot#'!B:B, 0)), "NoXtal", "Xtal")</f>
        <v>NoXtal</v>
      </c>
      <c r="D272" t="str">
        <f t="shared" si="5"/>
        <v>human</v>
      </c>
      <c r="E272" t="str">
        <f>VLOOKUP(A272,Classification!A:B,2,FALSE)</f>
        <v>A</v>
      </c>
    </row>
    <row r="273" spans="1:5" x14ac:dyDescent="0.2">
      <c r="A273" t="s">
        <v>198</v>
      </c>
      <c r="B273" t="s">
        <v>634</v>
      </c>
      <c r="C273" t="str">
        <f>IF(ISERROR(MATCH(A273,'SegEnds_Xtal_Prot#'!B:B, 0)), "NoXtal", "Xtal")</f>
        <v>NoXtal</v>
      </c>
      <c r="D273" t="str">
        <f t="shared" si="5"/>
        <v>human</v>
      </c>
      <c r="E273" t="str">
        <f>VLOOKUP(A273,Classification!A:B,2,FALSE)</f>
        <v>A</v>
      </c>
    </row>
    <row r="274" spans="1:5" x14ac:dyDescent="0.2">
      <c r="A274" t="s">
        <v>199</v>
      </c>
      <c r="B274" t="s">
        <v>635</v>
      </c>
      <c r="C274" t="str">
        <f>IF(ISERROR(MATCH(A274,'SegEnds_Xtal_Prot#'!B:B, 0)), "NoXtal", "Xtal")</f>
        <v>NoXtal</v>
      </c>
      <c r="D274" t="str">
        <f t="shared" si="5"/>
        <v>human</v>
      </c>
      <c r="E274" t="str">
        <f>VLOOKUP(A274,Classification!A:B,2,FALSE)</f>
        <v>A</v>
      </c>
    </row>
    <row r="275" spans="1:5" x14ac:dyDescent="0.2">
      <c r="A275" t="s">
        <v>200</v>
      </c>
      <c r="B275" t="s">
        <v>636</v>
      </c>
      <c r="C275" t="str">
        <f>IF(ISERROR(MATCH(A275,'SegEnds_Xtal_Prot#'!B:B, 0)), "NoXtal", "Xtal")</f>
        <v>NoXtal</v>
      </c>
      <c r="D275" t="str">
        <f t="shared" si="5"/>
        <v>human</v>
      </c>
      <c r="E275" t="str">
        <f>VLOOKUP(A275,Classification!A:B,2,FALSE)</f>
        <v>A</v>
      </c>
    </row>
    <row r="276" spans="1:5" x14ac:dyDescent="0.2">
      <c r="A276" t="s">
        <v>258</v>
      </c>
      <c r="B276" t="s">
        <v>637</v>
      </c>
      <c r="C276" t="str">
        <f>IF(ISERROR(MATCH(A276,'SegEnds_Xtal_Prot#'!B:B, 0)), "NoXtal", "Xtal")</f>
        <v>NoXtal</v>
      </c>
      <c r="D276" t="str">
        <f t="shared" si="5"/>
        <v>human</v>
      </c>
      <c r="E276" t="str">
        <f>VLOOKUP(A276,Classification!A:B,2,FALSE)</f>
        <v>A</v>
      </c>
    </row>
    <row r="277" spans="1:5" x14ac:dyDescent="0.2">
      <c r="A277" t="s">
        <v>292</v>
      </c>
      <c r="B277" t="s">
        <v>638</v>
      </c>
      <c r="C277" t="str">
        <f>IF(ISERROR(MATCH(A277,'SegEnds_Xtal_Prot#'!B:B, 0)), "NoXtal", "Xtal")</f>
        <v>NoXtal</v>
      </c>
      <c r="D277" t="str">
        <f t="shared" si="5"/>
        <v>human</v>
      </c>
      <c r="E277" t="str">
        <f>VLOOKUP(A277,Classification!A:B,2,FALSE)</f>
        <v>A</v>
      </c>
    </row>
    <row r="278" spans="1:5" x14ac:dyDescent="0.2">
      <c r="A278" t="s">
        <v>293</v>
      </c>
      <c r="B278" t="s">
        <v>639</v>
      </c>
      <c r="C278" t="str">
        <f>IF(ISERROR(MATCH(A278,'SegEnds_Xtal_Prot#'!B:B, 0)), "NoXtal", "Xtal")</f>
        <v>NoXtal</v>
      </c>
      <c r="D278" t="str">
        <f t="shared" si="5"/>
        <v>human</v>
      </c>
      <c r="E278" t="str">
        <f>VLOOKUP(A278,Classification!A:B,2,FALSE)</f>
        <v>A</v>
      </c>
    </row>
    <row r="279" spans="1:5" x14ac:dyDescent="0.2">
      <c r="A279" t="s">
        <v>179</v>
      </c>
      <c r="B279" t="s">
        <v>640</v>
      </c>
      <c r="C279" t="str">
        <f>IF(ISERROR(MATCH(A279,'SegEnds_Xtal_Prot#'!B:B, 0)), "NoXtal", "Xtal")</f>
        <v>NoXtal</v>
      </c>
      <c r="D279" t="str">
        <f t="shared" si="5"/>
        <v>human</v>
      </c>
      <c r="E279" t="str">
        <f>VLOOKUP(A279,Classification!A:B,2,FALSE)</f>
        <v>A</v>
      </c>
    </row>
    <row r="280" spans="1:5" x14ac:dyDescent="0.2">
      <c r="A280" t="s">
        <v>180</v>
      </c>
      <c r="B280" t="s">
        <v>641</v>
      </c>
      <c r="C280" t="str">
        <f>IF(ISERROR(MATCH(A280,'SegEnds_Xtal_Prot#'!B:B, 0)), "NoXtal", "Xtal")</f>
        <v>NoXtal</v>
      </c>
      <c r="D280" t="str">
        <f t="shared" si="5"/>
        <v>human</v>
      </c>
      <c r="E280" t="str">
        <f>VLOOKUP(A280,Classification!A:B,2,FALSE)</f>
        <v>A</v>
      </c>
    </row>
    <row r="281" spans="1:5" x14ac:dyDescent="0.2">
      <c r="A281" t="s">
        <v>342</v>
      </c>
      <c r="B281" t="s">
        <v>642</v>
      </c>
      <c r="C281" t="str">
        <f>IF(ISERROR(MATCH(A281,'SegEnds_Xtal_Prot#'!B:B, 0)), "NoXtal", "Xtal")</f>
        <v>NoXtal</v>
      </c>
      <c r="D281" t="str">
        <f t="shared" si="5"/>
        <v>human</v>
      </c>
      <c r="E281" t="str">
        <f>VLOOKUP(A281,Classification!A:B,2,FALSE)</f>
        <v>A</v>
      </c>
    </row>
    <row r="282" spans="1:5" x14ac:dyDescent="0.2">
      <c r="A282" t="s">
        <v>287</v>
      </c>
      <c r="B282" t="s">
        <v>645</v>
      </c>
      <c r="C282" t="str">
        <f>IF(ISERROR(MATCH(A282,'SegEnds_Xtal_Prot#'!B:B, 0)), "NoXtal", "Xtal")</f>
        <v>NoXtal</v>
      </c>
      <c r="D282" t="str">
        <f t="shared" si="5"/>
        <v>human</v>
      </c>
      <c r="E282" t="str">
        <f>VLOOKUP(A282,Classification!A:B,2,FALSE)</f>
        <v>A</v>
      </c>
    </row>
    <row r="283" spans="1:5" x14ac:dyDescent="0.2">
      <c r="A283" t="s">
        <v>288</v>
      </c>
      <c r="B283" t="s">
        <v>646</v>
      </c>
      <c r="C283" t="str">
        <f>IF(ISERROR(MATCH(A283,'SegEnds_Xtal_Prot#'!B:B, 0)), "NoXtal", "Xtal")</f>
        <v>NoXtal</v>
      </c>
      <c r="D283" t="str">
        <f t="shared" si="5"/>
        <v>human</v>
      </c>
      <c r="E283" t="str">
        <f>VLOOKUP(A283,Classification!A:B,2,FALSE)</f>
        <v>A</v>
      </c>
    </row>
    <row r="284" spans="1:5" x14ac:dyDescent="0.2">
      <c r="A284" t="s">
        <v>289</v>
      </c>
      <c r="B284" t="s">
        <v>647</v>
      </c>
      <c r="C284" t="str">
        <f>IF(ISERROR(MATCH(A284,'SegEnds_Xtal_Prot#'!B:B, 0)), "NoXtal", "Xtal")</f>
        <v>NoXtal</v>
      </c>
      <c r="D284" t="str">
        <f t="shared" si="5"/>
        <v>human</v>
      </c>
      <c r="E284" t="str">
        <f>VLOOKUP(A284,Classification!A:B,2,FALSE)</f>
        <v>A</v>
      </c>
    </row>
    <row r="285" spans="1:5" x14ac:dyDescent="0.2">
      <c r="A285" t="s">
        <v>290</v>
      </c>
      <c r="B285" t="s">
        <v>648</v>
      </c>
      <c r="C285" t="str">
        <f>IF(ISERROR(MATCH(A285,'SegEnds_Xtal_Prot#'!B:B, 0)), "NoXtal", "Xtal")</f>
        <v>NoXtal</v>
      </c>
      <c r="D285" t="str">
        <f t="shared" si="5"/>
        <v>human</v>
      </c>
      <c r="E285" t="str">
        <f>VLOOKUP(A285,Classification!A:B,2,FALSE)</f>
        <v>A</v>
      </c>
    </row>
    <row r="286" spans="1:5" x14ac:dyDescent="0.2">
      <c r="A286" t="s">
        <v>377</v>
      </c>
      <c r="B286" t="s">
        <v>650</v>
      </c>
      <c r="C286" t="str">
        <f>IF(ISERROR(MATCH(A286,'SegEnds_Xtal_Prot#'!B:B, 0)), "NoXtal", "Xtal")</f>
        <v>NoXtal</v>
      </c>
      <c r="D286" t="str">
        <f t="shared" si="5"/>
        <v>human</v>
      </c>
      <c r="E286" t="str">
        <f>VLOOKUP(A286,Classification!A:B,2,FALSE)</f>
        <v>A</v>
      </c>
    </row>
    <row r="287" spans="1:5" x14ac:dyDescent="0.2">
      <c r="A287" t="s">
        <v>378</v>
      </c>
      <c r="B287" t="s">
        <v>651</v>
      </c>
      <c r="C287" t="str">
        <f>IF(ISERROR(MATCH(A287,'SegEnds_Xtal_Prot#'!B:B, 0)), "NoXtal", "Xtal")</f>
        <v>NoXtal</v>
      </c>
      <c r="D287" t="str">
        <f t="shared" si="5"/>
        <v>human</v>
      </c>
      <c r="E287" t="str">
        <f>VLOOKUP(A287,Classification!A:B,2,FALSE)</f>
        <v>A</v>
      </c>
    </row>
    <row r="288" spans="1:5" x14ac:dyDescent="0.2">
      <c r="A288" t="s">
        <v>379</v>
      </c>
      <c r="B288" t="s">
        <v>652</v>
      </c>
      <c r="C288" t="str">
        <f>IF(ISERROR(MATCH(A288,'SegEnds_Xtal_Prot#'!B:B, 0)), "NoXtal", "Xtal")</f>
        <v>NoXtal</v>
      </c>
      <c r="D288" t="str">
        <f t="shared" si="5"/>
        <v>human</v>
      </c>
      <c r="E288" t="str">
        <f>VLOOKUP(A288,Classification!A:B,2,FALSE)</f>
        <v>A</v>
      </c>
    </row>
    <row r="289" spans="1:5" x14ac:dyDescent="0.2">
      <c r="A289" t="s">
        <v>380</v>
      </c>
      <c r="B289" t="s">
        <v>653</v>
      </c>
      <c r="C289" t="str">
        <f>IF(ISERROR(MATCH(A289,'SegEnds_Xtal_Prot#'!B:B, 0)), "NoXtal", "Xtal")</f>
        <v>NoXtal</v>
      </c>
      <c r="D289" t="str">
        <f t="shared" si="5"/>
        <v>human</v>
      </c>
      <c r="E289" t="str">
        <f>VLOOKUP(A289,Classification!A:B,2,FALSE)</f>
        <v>A</v>
      </c>
    </row>
    <row r="290" spans="1:5" x14ac:dyDescent="0.2">
      <c r="A290" t="s">
        <v>182</v>
      </c>
      <c r="B290" t="s">
        <v>654</v>
      </c>
      <c r="C290" t="str">
        <f>IF(ISERROR(MATCH(A290,'SegEnds_Xtal_Prot#'!B:B, 0)), "NoXtal", "Xtal")</f>
        <v>Xtal</v>
      </c>
      <c r="D290" t="str">
        <f t="shared" si="5"/>
        <v>human</v>
      </c>
      <c r="E290" t="str">
        <f>VLOOKUP(A290,Classification!A:B,2,FALSE)</f>
        <v>A</v>
      </c>
    </row>
    <row r="291" spans="1:5" x14ac:dyDescent="0.2">
      <c r="A291" t="s">
        <v>183</v>
      </c>
      <c r="B291" t="s">
        <v>655</v>
      </c>
      <c r="C291" t="str">
        <f>IF(ISERROR(MATCH(A291,'SegEnds_Xtal_Prot#'!B:B, 0)), "NoXtal", "Xtal")</f>
        <v>NoXtal</v>
      </c>
      <c r="D291" t="str">
        <f t="shared" si="5"/>
        <v>human</v>
      </c>
      <c r="E291" t="str">
        <f>VLOOKUP(A291,Classification!A:B,2,FALSE)</f>
        <v>A</v>
      </c>
    </row>
    <row r="292" spans="1:5" x14ac:dyDescent="0.2">
      <c r="A292" t="s">
        <v>241</v>
      </c>
      <c r="B292" t="s">
        <v>656</v>
      </c>
      <c r="C292" t="str">
        <f>IF(ISERROR(MATCH(A292,'SegEnds_Xtal_Prot#'!B:B, 0)), "NoXtal", "Xtal")</f>
        <v>NoXtal</v>
      </c>
      <c r="D292" t="str">
        <f t="shared" si="5"/>
        <v>human</v>
      </c>
      <c r="E292" t="str">
        <f>VLOOKUP(A292,Classification!A:B,2,FALSE)</f>
        <v>A</v>
      </c>
    </row>
    <row r="293" spans="1:5" x14ac:dyDescent="0.2">
      <c r="A293" t="s">
        <v>261</v>
      </c>
      <c r="B293" t="s">
        <v>657</v>
      </c>
      <c r="C293" t="str">
        <f>IF(ISERROR(MATCH(A293,'SegEnds_Xtal_Prot#'!B:B, 0)), "NoXtal", "Xtal")</f>
        <v>NoXtal</v>
      </c>
      <c r="D293" t="str">
        <f t="shared" si="5"/>
        <v>human</v>
      </c>
      <c r="E293" t="str">
        <f>VLOOKUP(A293,Classification!A:B,2,FALSE)</f>
        <v>A</v>
      </c>
    </row>
    <row r="294" spans="1:5" x14ac:dyDescent="0.2">
      <c r="A294" t="s">
        <v>213</v>
      </c>
      <c r="B294" t="s">
        <v>658</v>
      </c>
      <c r="C294" t="str">
        <f>IF(ISERROR(MATCH(A294,'SegEnds_Xtal_Prot#'!B:B, 0)), "NoXtal", "Xtal")</f>
        <v>NoXtal</v>
      </c>
      <c r="D294" t="str">
        <f t="shared" si="5"/>
        <v>human</v>
      </c>
      <c r="E294" t="str">
        <f>VLOOKUP(A294,Classification!A:B,2,FALSE)</f>
        <v>A</v>
      </c>
    </row>
    <row r="295" spans="1:5" x14ac:dyDescent="0.2">
      <c r="A295" t="s">
        <v>371</v>
      </c>
      <c r="B295" t="s">
        <v>659</v>
      </c>
      <c r="C295" t="str">
        <f>IF(ISERROR(MATCH(A295,'SegEnds_Xtal_Prot#'!B:B, 0)), "NoXtal", "Xtal")</f>
        <v>NoXtal</v>
      </c>
      <c r="D295" t="str">
        <f t="shared" si="5"/>
        <v>human</v>
      </c>
      <c r="E295" t="str">
        <f>VLOOKUP(A295,Classification!A:B,2,FALSE)</f>
        <v>A</v>
      </c>
    </row>
    <row r="296" spans="1:5" x14ac:dyDescent="0.2">
      <c r="A296" t="s">
        <v>359</v>
      </c>
      <c r="B296" t="s">
        <v>660</v>
      </c>
      <c r="C296" t="str">
        <f>IF(ISERROR(MATCH(A296,'SegEnds_Xtal_Prot#'!B:B, 0)), "NoXtal", "Xtal")</f>
        <v>NoXtal</v>
      </c>
      <c r="D296" t="str">
        <f t="shared" si="5"/>
        <v>human</v>
      </c>
      <c r="E296" t="str">
        <f>VLOOKUP(A296,Classification!A:B,2,FALSE)</f>
        <v>A</v>
      </c>
    </row>
    <row r="297" spans="1:5" x14ac:dyDescent="0.2">
      <c r="A297" t="s">
        <v>360</v>
      </c>
      <c r="B297" t="s">
        <v>661</v>
      </c>
      <c r="C297" t="str">
        <f>IF(ISERROR(MATCH(A297,'SegEnds_Xtal_Prot#'!B:B, 0)), "NoXtal", "Xtal")</f>
        <v>NoXtal</v>
      </c>
      <c r="D297" t="str">
        <f t="shared" si="5"/>
        <v>human</v>
      </c>
      <c r="E297" t="str">
        <f>VLOOKUP(A297,Classification!A:B,2,FALSE)</f>
        <v>A</v>
      </c>
    </row>
    <row r="298" spans="1:5" x14ac:dyDescent="0.2">
      <c r="A298" t="s">
        <v>361</v>
      </c>
      <c r="B298" t="s">
        <v>662</v>
      </c>
      <c r="C298" t="str">
        <f>IF(ISERROR(MATCH(A298,'SegEnds_Xtal_Prot#'!B:B, 0)), "NoXtal", "Xtal")</f>
        <v>NoXtal</v>
      </c>
      <c r="D298" t="str">
        <f t="shared" si="5"/>
        <v>human</v>
      </c>
      <c r="E298" t="str">
        <f>VLOOKUP(A298,Classification!A:B,2,FALSE)</f>
        <v>A</v>
      </c>
    </row>
    <row r="299" spans="1:5" x14ac:dyDescent="0.2">
      <c r="A299" t="s">
        <v>362</v>
      </c>
      <c r="B299" t="s">
        <v>663</v>
      </c>
      <c r="C299" t="str">
        <f>IF(ISERROR(MATCH(A299,'SegEnds_Xtal_Prot#'!B:B, 0)), "NoXtal", "Xtal")</f>
        <v>NoXtal</v>
      </c>
      <c r="D299" t="str">
        <f t="shared" si="5"/>
        <v>human</v>
      </c>
      <c r="E299" t="str">
        <f>VLOOKUP(A299,Classification!A:B,2,FALSE)</f>
        <v>A</v>
      </c>
    </row>
    <row r="300" spans="1:5" x14ac:dyDescent="0.2">
      <c r="A300" t="s">
        <v>363</v>
      </c>
      <c r="B300" t="s">
        <v>664</v>
      </c>
      <c r="C300" t="str">
        <f>IF(ISERROR(MATCH(A300,'SegEnds_Xtal_Prot#'!B:B, 0)), "NoXtal", "Xtal")</f>
        <v>NoXtal</v>
      </c>
      <c r="D300" t="str">
        <f t="shared" si="5"/>
        <v>human</v>
      </c>
      <c r="E300" t="str">
        <f>VLOOKUP(A300,Classification!A:B,2,FALSE)</f>
        <v>A</v>
      </c>
    </row>
    <row r="301" spans="1:5" x14ac:dyDescent="0.2">
      <c r="A301" t="s">
        <v>364</v>
      </c>
      <c r="B301" t="s">
        <v>665</v>
      </c>
      <c r="C301" t="str">
        <f>IF(ISERROR(MATCH(A301,'SegEnds_Xtal_Prot#'!B:B, 0)), "NoXtal", "Xtal")</f>
        <v>NoXtal</v>
      </c>
      <c r="D301" t="str">
        <f t="shared" si="5"/>
        <v>human</v>
      </c>
      <c r="E301" t="str">
        <f>VLOOKUP(A301,Classification!A:B,2,FALSE)</f>
        <v>A</v>
      </c>
    </row>
    <row r="302" spans="1:5" x14ac:dyDescent="0.2">
      <c r="A302" t="s">
        <v>365</v>
      </c>
      <c r="B302" t="s">
        <v>666</v>
      </c>
      <c r="C302" t="str">
        <f>IF(ISERROR(MATCH(A302,'SegEnds_Xtal_Prot#'!B:B, 0)), "NoXtal", "Xtal")</f>
        <v>NoXtal</v>
      </c>
      <c r="D302" t="str">
        <f t="shared" si="5"/>
        <v>human</v>
      </c>
      <c r="E302" t="str">
        <f>VLOOKUP(A302,Classification!A:B,2,FALSE)</f>
        <v>A</v>
      </c>
    </row>
    <row r="303" spans="1:5" x14ac:dyDescent="0.2">
      <c r="A303" t="s">
        <v>366</v>
      </c>
      <c r="B303" t="s">
        <v>667</v>
      </c>
      <c r="C303" t="str">
        <f>IF(ISERROR(MATCH(A303,'SegEnds_Xtal_Prot#'!B:B, 0)), "NoXtal", "Xtal")</f>
        <v>NoXtal</v>
      </c>
      <c r="D303" t="str">
        <f t="shared" si="5"/>
        <v>human</v>
      </c>
      <c r="E303" t="str">
        <f>VLOOKUP(A303,Classification!A:B,2,FALSE)</f>
        <v>A</v>
      </c>
    </row>
    <row r="304" spans="1:5" x14ac:dyDescent="0.2">
      <c r="A304" t="s">
        <v>473</v>
      </c>
      <c r="B304" t="s">
        <v>668</v>
      </c>
      <c r="C304" t="str">
        <f>IF(ISERROR(MATCH(A304,'SegEnds_Xtal_Prot#'!B:B, 0)), "NoXtal", "Xtal")</f>
        <v>NoXtal</v>
      </c>
      <c r="D304" t="str">
        <f t="shared" si="5"/>
        <v>human</v>
      </c>
      <c r="E304" t="str">
        <f>VLOOKUP(A304,Classification!A:B,2,FALSE)</f>
        <v>A</v>
      </c>
    </row>
    <row r="305" spans="1:5" x14ac:dyDescent="0.2">
      <c r="A305" t="s">
        <v>311</v>
      </c>
      <c r="B305" t="s">
        <v>669</v>
      </c>
      <c r="C305" t="str">
        <f>IF(ISERROR(MATCH(A305,'SegEnds_Xtal_Prot#'!B:B, 0)), "NoXtal", "Xtal")</f>
        <v>NoXtal</v>
      </c>
      <c r="D305" t="str">
        <f t="shared" si="5"/>
        <v>human</v>
      </c>
      <c r="E305" t="str">
        <f>VLOOKUP(A305,Classification!A:B,2,FALSE)</f>
        <v>A</v>
      </c>
    </row>
    <row r="306" spans="1:5" x14ac:dyDescent="0.2">
      <c r="A306" t="s">
        <v>312</v>
      </c>
      <c r="B306" t="s">
        <v>670</v>
      </c>
      <c r="C306" t="str">
        <f>IF(ISERROR(MATCH(A306,'SegEnds_Xtal_Prot#'!B:B, 0)), "NoXtal", "Xtal")</f>
        <v>NoXtal</v>
      </c>
      <c r="D306" t="str">
        <f t="shared" si="5"/>
        <v>human</v>
      </c>
      <c r="E306" t="str">
        <f>VLOOKUP(A306,Classification!A:B,2,FALSE)</f>
        <v>A</v>
      </c>
    </row>
    <row r="307" spans="1:5" x14ac:dyDescent="0.2">
      <c r="A307" t="s">
        <v>138</v>
      </c>
      <c r="B307" t="s">
        <v>671</v>
      </c>
      <c r="C307" t="str">
        <f>IF(ISERROR(MATCH(A307,'SegEnds_Xtal_Prot#'!B:B, 0)), "NoXtal", "Xtal")</f>
        <v>Xtal</v>
      </c>
      <c r="D307" t="str">
        <f t="shared" si="5"/>
        <v>human</v>
      </c>
      <c r="E307" t="str">
        <f>VLOOKUP(A307,Classification!A:B,2,FALSE)</f>
        <v>A</v>
      </c>
    </row>
    <row r="308" spans="1:5" x14ac:dyDescent="0.2">
      <c r="A308" t="s">
        <v>140</v>
      </c>
      <c r="B308" t="s">
        <v>673</v>
      </c>
      <c r="C308" t="str">
        <f>IF(ISERROR(MATCH(A308,'SegEnds_Xtal_Prot#'!B:B, 0)), "NoXtal", "Xtal")</f>
        <v>NoXtal</v>
      </c>
      <c r="D308" t="str">
        <f t="shared" si="5"/>
        <v>human</v>
      </c>
      <c r="E308" t="str">
        <f>VLOOKUP(A308,Classification!A:B,2,FALSE)</f>
        <v>A</v>
      </c>
    </row>
    <row r="309" spans="1:5" x14ac:dyDescent="0.2">
      <c r="A309" t="s">
        <v>141</v>
      </c>
      <c r="B309" t="s">
        <v>674</v>
      </c>
      <c r="C309" t="str">
        <f>IF(ISERROR(MATCH(A309,'SegEnds_Xtal_Prot#'!B:B, 0)), "NoXtal", "Xtal")</f>
        <v>NoXtal</v>
      </c>
      <c r="D309" t="str">
        <f t="shared" si="5"/>
        <v>human</v>
      </c>
      <c r="E309" t="str">
        <f>VLOOKUP(A309,Classification!A:B,2,FALSE)</f>
        <v>A</v>
      </c>
    </row>
    <row r="310" spans="1:5" x14ac:dyDescent="0.2">
      <c r="A310" t="s">
        <v>346</v>
      </c>
      <c r="B310" t="s">
        <v>676</v>
      </c>
      <c r="C310" t="str">
        <f>IF(ISERROR(MATCH(A310,'SegEnds_Xtal_Prot#'!B:B, 0)), "NoXtal", "Xtal")</f>
        <v>NoXtal</v>
      </c>
      <c r="D310" t="str">
        <f t="shared" si="5"/>
        <v>human</v>
      </c>
      <c r="E310" t="str">
        <f>VLOOKUP(A310,Classification!A:B,2,FALSE)</f>
        <v>A</v>
      </c>
    </row>
    <row r="311" spans="1:5" x14ac:dyDescent="0.2">
      <c r="A311" t="s">
        <v>347</v>
      </c>
      <c r="B311" t="s">
        <v>677</v>
      </c>
      <c r="C311" t="str">
        <f>IF(ISERROR(MATCH(A311,'SegEnds_Xtal_Prot#'!B:B, 0)), "NoXtal", "Xtal")</f>
        <v>NoXtal</v>
      </c>
      <c r="D311" t="str">
        <f t="shared" si="5"/>
        <v>human</v>
      </c>
      <c r="E311" t="str">
        <f>VLOOKUP(A311,Classification!A:B,2,FALSE)</f>
        <v>A</v>
      </c>
    </row>
    <row r="312" spans="1:5" x14ac:dyDescent="0.2">
      <c r="A312" t="s">
        <v>348</v>
      </c>
      <c r="B312" t="s">
        <v>678</v>
      </c>
      <c r="C312" t="str">
        <f>IF(ISERROR(MATCH(A312,'SegEnds_Xtal_Prot#'!B:B, 0)), "NoXtal", "Xtal")</f>
        <v>NoXtal</v>
      </c>
      <c r="D312" t="str">
        <f t="shared" si="5"/>
        <v>human</v>
      </c>
      <c r="E312" t="str">
        <f>VLOOKUP(A312,Classification!A:B,2,FALSE)</f>
        <v>A</v>
      </c>
    </row>
    <row r="313" spans="1:5" x14ac:dyDescent="0.2">
      <c r="A313" t="s">
        <v>351</v>
      </c>
      <c r="B313" t="s">
        <v>679</v>
      </c>
      <c r="C313" t="str">
        <f>IF(ISERROR(MATCH(A313,'SegEnds_Xtal_Prot#'!B:B, 0)), "NoXtal", "Xtal")</f>
        <v>NoXtal</v>
      </c>
      <c r="D313" t="str">
        <f t="shared" si="5"/>
        <v>human</v>
      </c>
      <c r="E313" t="str">
        <f>VLOOKUP(A313,Classification!A:B,2,FALSE)</f>
        <v>A</v>
      </c>
    </row>
    <row r="314" spans="1:5" x14ac:dyDescent="0.2">
      <c r="A314" t="s">
        <v>353</v>
      </c>
      <c r="B314" t="s">
        <v>681</v>
      </c>
      <c r="C314" t="str">
        <f>IF(ISERROR(MATCH(A314,'SegEnds_Xtal_Prot#'!B:B, 0)), "NoXtal", "Xtal")</f>
        <v>NoXtal</v>
      </c>
      <c r="D314" t="str">
        <f t="shared" si="5"/>
        <v>human</v>
      </c>
      <c r="E314" t="str">
        <f>VLOOKUP(A314,Classification!A:B,2,FALSE)</f>
        <v>A</v>
      </c>
    </row>
    <row r="315" spans="1:5" x14ac:dyDescent="0.2">
      <c r="A315" t="s">
        <v>354</v>
      </c>
      <c r="B315" t="s">
        <v>682</v>
      </c>
      <c r="C315" t="str">
        <f>IF(ISERROR(MATCH(A315,'SegEnds_Xtal_Prot#'!B:B, 0)), "NoXtal", "Xtal")</f>
        <v>NoXtal</v>
      </c>
      <c r="D315" t="str">
        <f t="shared" si="5"/>
        <v>human</v>
      </c>
      <c r="E315" t="str">
        <f>VLOOKUP(A315,Classification!A:B,2,FALSE)</f>
        <v>A</v>
      </c>
    </row>
    <row r="316" spans="1:5" x14ac:dyDescent="0.2">
      <c r="A316" t="s">
        <v>235</v>
      </c>
      <c r="B316" t="s">
        <v>683</v>
      </c>
      <c r="C316" t="str">
        <f>IF(ISERROR(MATCH(A316,'SegEnds_Xtal_Prot#'!B:B, 0)), "NoXtal", "Xtal")</f>
        <v>NoXtal</v>
      </c>
      <c r="D316" t="str">
        <f t="shared" si="5"/>
        <v>human</v>
      </c>
      <c r="E316" t="str">
        <f>VLOOKUP(A316,Classification!A:B,2,FALSE)</f>
        <v>A</v>
      </c>
    </row>
    <row r="317" spans="1:5" x14ac:dyDescent="0.2">
      <c r="A317" t="s">
        <v>236</v>
      </c>
      <c r="B317" t="s">
        <v>684</v>
      </c>
      <c r="C317" t="str">
        <f>IF(ISERROR(MATCH(A317,'SegEnds_Xtal_Prot#'!B:B, 0)), "NoXtal", "Xtal")</f>
        <v>NoXtal</v>
      </c>
      <c r="D317" t="str">
        <f t="shared" si="5"/>
        <v>human</v>
      </c>
      <c r="E317" t="str">
        <f>VLOOKUP(A317,Classification!A:B,2,FALSE)</f>
        <v>A</v>
      </c>
    </row>
    <row r="318" spans="1:5" x14ac:dyDescent="0.2">
      <c r="A318" t="s">
        <v>275</v>
      </c>
      <c r="B318" t="s">
        <v>685</v>
      </c>
      <c r="C318" t="str">
        <f>IF(ISERROR(MATCH(A318,'SegEnds_Xtal_Prot#'!B:B, 0)), "NoXtal", "Xtal")</f>
        <v>NoXtal</v>
      </c>
      <c r="D318" t="str">
        <f t="shared" si="5"/>
        <v>human</v>
      </c>
      <c r="E318" t="str">
        <f>VLOOKUP(A318,Classification!A:B,2,FALSE)</f>
        <v>A</v>
      </c>
    </row>
    <row r="319" spans="1:5" x14ac:dyDescent="0.2">
      <c r="A319" t="s">
        <v>276</v>
      </c>
      <c r="B319" t="s">
        <v>686</v>
      </c>
      <c r="C319" t="str">
        <f>IF(ISERROR(MATCH(A319,'SegEnds_Xtal_Prot#'!B:B, 0)), "NoXtal", "Xtal")</f>
        <v>NoXtal</v>
      </c>
      <c r="D319" t="str">
        <f t="shared" si="5"/>
        <v>human</v>
      </c>
      <c r="E319" t="str">
        <f>VLOOKUP(A319,Classification!A:B,2,FALSE)</f>
        <v>A</v>
      </c>
    </row>
    <row r="320" spans="1:5" x14ac:dyDescent="0.2">
      <c r="A320" t="s">
        <v>277</v>
      </c>
      <c r="B320" t="s">
        <v>687</v>
      </c>
      <c r="C320" t="str">
        <f>IF(ISERROR(MATCH(A320,'SegEnds_Xtal_Prot#'!B:B, 0)), "NoXtal", "Xtal")</f>
        <v>NoXtal</v>
      </c>
      <c r="D320" t="str">
        <f t="shared" si="5"/>
        <v>human</v>
      </c>
      <c r="E320" t="str">
        <f>VLOOKUP(A320,Classification!A:B,2,FALSE)</f>
        <v>A</v>
      </c>
    </row>
    <row r="321" spans="1:5" x14ac:dyDescent="0.2">
      <c r="A321" t="s">
        <v>343</v>
      </c>
      <c r="B321" t="s">
        <v>688</v>
      </c>
      <c r="C321" t="str">
        <f>IF(ISERROR(MATCH(A321,'SegEnds_Xtal_Prot#'!B:B, 0)), "NoXtal", "Xtal")</f>
        <v>NoXtal</v>
      </c>
      <c r="D321" t="str">
        <f t="shared" si="5"/>
        <v>human</v>
      </c>
      <c r="E321" t="str">
        <f>VLOOKUP(A321,Classification!A:B,2,FALSE)</f>
        <v>A</v>
      </c>
    </row>
    <row r="322" spans="1:5" x14ac:dyDescent="0.2">
      <c r="A322" t="s">
        <v>386</v>
      </c>
      <c r="B322" t="s">
        <v>689</v>
      </c>
      <c r="C322" t="str">
        <f>IF(ISERROR(MATCH(A322,'SegEnds_Xtal_Prot#'!B:B, 0)), "NoXtal", "Xtal")</f>
        <v>NoXtal</v>
      </c>
      <c r="D322" t="str">
        <f t="shared" si="5"/>
        <v>human</v>
      </c>
      <c r="E322" t="str">
        <f>VLOOKUP(A322,Classification!A:B,2,FALSE)</f>
        <v>A</v>
      </c>
    </row>
    <row r="323" spans="1:5" x14ac:dyDescent="0.2">
      <c r="A323" t="s">
        <v>333</v>
      </c>
      <c r="B323" t="s">
        <v>691</v>
      </c>
      <c r="C323" t="str">
        <f>IF(ISERROR(MATCH(A323,'SegEnds_Xtal_Prot#'!B:B, 0)), "NoXtal", "Xtal")</f>
        <v>NoXtal</v>
      </c>
      <c r="D323" t="str">
        <f t="shared" ref="D323:D386" si="6">MID(A323,FIND("_",A323)+1,LEN(A323)-FIND("_",A323))</f>
        <v>human</v>
      </c>
      <c r="E323" t="str">
        <f>VLOOKUP(A323,Classification!A:B,2,FALSE)</f>
        <v>A</v>
      </c>
    </row>
    <row r="324" spans="1:5" x14ac:dyDescent="0.2">
      <c r="A324" t="s">
        <v>332</v>
      </c>
      <c r="B324" t="s">
        <v>692</v>
      </c>
      <c r="C324" t="str">
        <f>IF(ISERROR(MATCH(A324,'SegEnds_Xtal_Prot#'!B:B, 0)), "NoXtal", "Xtal")</f>
        <v>NoXtal</v>
      </c>
      <c r="D324" t="str">
        <f t="shared" si="6"/>
        <v>human</v>
      </c>
      <c r="E324" t="str">
        <f>VLOOKUP(A324,Classification!A:B,2,FALSE)</f>
        <v>A</v>
      </c>
    </row>
    <row r="325" spans="1:5" x14ac:dyDescent="0.2">
      <c r="A325" t="s">
        <v>334</v>
      </c>
      <c r="B325" t="s">
        <v>693</v>
      </c>
      <c r="C325" t="str">
        <f>IF(ISERROR(MATCH(A325,'SegEnds_Xtal_Prot#'!B:B, 0)), "NoXtal", "Xtal")</f>
        <v>NoXtal</v>
      </c>
      <c r="D325" t="str">
        <f t="shared" si="6"/>
        <v>human</v>
      </c>
      <c r="E325" t="str">
        <f>VLOOKUP(A325,Classification!A:B,2,FALSE)</f>
        <v>A</v>
      </c>
    </row>
    <row r="326" spans="1:5" x14ac:dyDescent="0.2">
      <c r="A326" t="s">
        <v>338</v>
      </c>
      <c r="B326" t="s">
        <v>694</v>
      </c>
      <c r="C326" t="str">
        <f>IF(ISERROR(MATCH(A326,'SegEnds_Xtal_Prot#'!B:B, 0)), "NoXtal", "Xtal")</f>
        <v>NoXtal</v>
      </c>
      <c r="D326" t="str">
        <f t="shared" si="6"/>
        <v>human</v>
      </c>
      <c r="E326" t="str">
        <f>VLOOKUP(A326,Classification!A:B,2,FALSE)</f>
        <v>A</v>
      </c>
    </row>
    <row r="327" spans="1:5" x14ac:dyDescent="0.2">
      <c r="A327" t="s">
        <v>340</v>
      </c>
      <c r="B327" t="s">
        <v>695</v>
      </c>
      <c r="C327" t="str">
        <f>IF(ISERROR(MATCH(A327,'SegEnds_Xtal_Prot#'!B:B, 0)), "NoXtal", "Xtal")</f>
        <v>NoXtal</v>
      </c>
      <c r="D327" t="str">
        <f t="shared" si="6"/>
        <v>human</v>
      </c>
      <c r="E327" t="str">
        <f>VLOOKUP(A327,Classification!A:B,2,FALSE)</f>
        <v>A</v>
      </c>
    </row>
    <row r="328" spans="1:5" x14ac:dyDescent="0.2">
      <c r="A328" t="s">
        <v>341</v>
      </c>
      <c r="B328" t="s">
        <v>696</v>
      </c>
      <c r="C328" t="str">
        <f>IF(ISERROR(MATCH(A328,'SegEnds_Xtal_Prot#'!B:B, 0)), "NoXtal", "Xtal")</f>
        <v>NoXtal</v>
      </c>
      <c r="D328" t="str">
        <f t="shared" si="6"/>
        <v>human</v>
      </c>
      <c r="E328" t="str">
        <f>VLOOKUP(A328,Classification!A:B,2,FALSE)</f>
        <v>A</v>
      </c>
    </row>
    <row r="329" spans="1:5" x14ac:dyDescent="0.2">
      <c r="A329" t="s">
        <v>237</v>
      </c>
      <c r="B329" t="s">
        <v>718</v>
      </c>
      <c r="C329" t="str">
        <f>IF(ISERROR(MATCH(A329,'SegEnds_Xtal_Prot#'!B:B, 0)), "NoXtal", "Xtal")</f>
        <v>NoXtal</v>
      </c>
      <c r="D329" t="str">
        <f t="shared" si="6"/>
        <v>human</v>
      </c>
      <c r="E329" t="str">
        <f>VLOOKUP(A329,Classification!A:B,2,FALSE)</f>
        <v>A</v>
      </c>
    </row>
    <row r="330" spans="1:5" x14ac:dyDescent="0.2">
      <c r="A330" t="s">
        <v>249</v>
      </c>
      <c r="B330" t="s">
        <v>719</v>
      </c>
      <c r="C330" t="str">
        <f>IF(ISERROR(MATCH(A330,'SegEnds_Xtal_Prot#'!B:B, 0)), "NoXtal", "Xtal")</f>
        <v>NoXtal</v>
      </c>
      <c r="D330" t="str">
        <f t="shared" si="6"/>
        <v>human</v>
      </c>
      <c r="E330" t="str">
        <f>VLOOKUP(A330,Classification!A:B,2,FALSE)</f>
        <v>A</v>
      </c>
    </row>
    <row r="331" spans="1:5" x14ac:dyDescent="0.2">
      <c r="A331" t="s">
        <v>257</v>
      </c>
      <c r="B331" t="s">
        <v>720</v>
      </c>
      <c r="C331" t="str">
        <f>IF(ISERROR(MATCH(A331,'SegEnds_Xtal_Prot#'!B:B, 0)), "NoXtal", "Xtal")</f>
        <v>NoXtal</v>
      </c>
      <c r="D331" t="str">
        <f t="shared" si="6"/>
        <v>human</v>
      </c>
      <c r="E331" t="str">
        <f>VLOOKUP(A331,Classification!A:B,2,FALSE)</f>
        <v>A</v>
      </c>
    </row>
    <row r="332" spans="1:5" x14ac:dyDescent="0.2">
      <c r="A332" t="s">
        <v>262</v>
      </c>
      <c r="B332" t="s">
        <v>721</v>
      </c>
      <c r="C332" t="str">
        <f>IF(ISERROR(MATCH(A332,'SegEnds_Xtal_Prot#'!B:B, 0)), "NoXtal", "Xtal")</f>
        <v>NoXtal</v>
      </c>
      <c r="D332" t="str">
        <f t="shared" si="6"/>
        <v>human</v>
      </c>
      <c r="E332" t="str">
        <f>VLOOKUP(A332,Classification!A:B,2,FALSE)</f>
        <v>A</v>
      </c>
    </row>
    <row r="333" spans="1:5" x14ac:dyDescent="0.2">
      <c r="A333" t="s">
        <v>238</v>
      </c>
      <c r="B333" t="s">
        <v>722</v>
      </c>
      <c r="C333" t="str">
        <f>IF(ISERROR(MATCH(A333,'SegEnds_Xtal_Prot#'!B:B, 0)), "NoXtal", "Xtal")</f>
        <v>NoXtal</v>
      </c>
      <c r="D333" t="str">
        <f t="shared" si="6"/>
        <v>human</v>
      </c>
      <c r="E333" t="str">
        <f>VLOOKUP(A333,Classification!A:B,2,FALSE)</f>
        <v>A</v>
      </c>
    </row>
    <row r="334" spans="1:5" x14ac:dyDescent="0.2">
      <c r="A334" t="s">
        <v>239</v>
      </c>
      <c r="B334" t="s">
        <v>723</v>
      </c>
      <c r="C334" t="str">
        <f>IF(ISERROR(MATCH(A334,'SegEnds_Xtal_Prot#'!B:B, 0)), "NoXtal", "Xtal")</f>
        <v>NoXtal</v>
      </c>
      <c r="D334" t="str">
        <f t="shared" si="6"/>
        <v>human</v>
      </c>
      <c r="E334" t="str">
        <f>VLOOKUP(A334,Classification!A:B,2,FALSE)</f>
        <v>A</v>
      </c>
    </row>
    <row r="335" spans="1:5" x14ac:dyDescent="0.2">
      <c r="A335" t="s">
        <v>240</v>
      </c>
      <c r="B335" t="s">
        <v>724</v>
      </c>
      <c r="C335" t="str">
        <f>IF(ISERROR(MATCH(A335,'SegEnds_Xtal_Prot#'!B:B, 0)), "NoXtal", "Xtal")</f>
        <v>NoXtal</v>
      </c>
      <c r="D335" t="str">
        <f t="shared" si="6"/>
        <v>human</v>
      </c>
      <c r="E335" t="str">
        <f>VLOOKUP(A335,Classification!A:B,2,FALSE)</f>
        <v>A</v>
      </c>
    </row>
    <row r="336" spans="1:5" x14ac:dyDescent="0.2">
      <c r="A336" t="s">
        <v>242</v>
      </c>
      <c r="B336" t="s">
        <v>725</v>
      </c>
      <c r="C336" t="str">
        <f>IF(ISERROR(MATCH(A336,'SegEnds_Xtal_Prot#'!B:B, 0)), "NoXtal", "Xtal")</f>
        <v>NoXtal</v>
      </c>
      <c r="D336" t="str">
        <f t="shared" si="6"/>
        <v>human</v>
      </c>
      <c r="E336" t="str">
        <f>VLOOKUP(A336,Classification!A:B,2,FALSE)</f>
        <v>A</v>
      </c>
    </row>
    <row r="337" spans="1:5" x14ac:dyDescent="0.2">
      <c r="A337" t="s">
        <v>243</v>
      </c>
      <c r="B337" t="s">
        <v>726</v>
      </c>
      <c r="C337" t="str">
        <f>IF(ISERROR(MATCH(A337,'SegEnds_Xtal_Prot#'!B:B, 0)), "NoXtal", "Xtal")</f>
        <v>NoXtal</v>
      </c>
      <c r="D337" t="str">
        <f t="shared" si="6"/>
        <v>human</v>
      </c>
      <c r="E337" t="str">
        <f>VLOOKUP(A337,Classification!A:B,2,FALSE)</f>
        <v>A</v>
      </c>
    </row>
    <row r="338" spans="1:5" x14ac:dyDescent="0.2">
      <c r="A338" t="s">
        <v>244</v>
      </c>
      <c r="B338" t="s">
        <v>727</v>
      </c>
      <c r="C338" t="str">
        <f>IF(ISERROR(MATCH(A338,'SegEnds_Xtal_Prot#'!B:B, 0)), "NoXtal", "Xtal")</f>
        <v>NoXtal</v>
      </c>
      <c r="D338" t="str">
        <f t="shared" si="6"/>
        <v>human</v>
      </c>
      <c r="E338" t="str">
        <f>VLOOKUP(A338,Classification!A:B,2,FALSE)</f>
        <v>A</v>
      </c>
    </row>
    <row r="339" spans="1:5" x14ac:dyDescent="0.2">
      <c r="A339" t="s">
        <v>245</v>
      </c>
      <c r="B339" t="s">
        <v>728</v>
      </c>
      <c r="C339" t="str">
        <f>IF(ISERROR(MATCH(A339,'SegEnds_Xtal_Prot#'!B:B, 0)), "NoXtal", "Xtal")</f>
        <v>NoXtal</v>
      </c>
      <c r="D339" t="str">
        <f t="shared" si="6"/>
        <v>human</v>
      </c>
      <c r="E339" t="str">
        <f>VLOOKUP(A339,Classification!A:B,2,FALSE)</f>
        <v>A</v>
      </c>
    </row>
    <row r="340" spans="1:5" x14ac:dyDescent="0.2">
      <c r="A340" t="s">
        <v>246</v>
      </c>
      <c r="B340" t="s">
        <v>729</v>
      </c>
      <c r="C340" t="str">
        <f>IF(ISERROR(MATCH(A340,'SegEnds_Xtal_Prot#'!B:B, 0)), "NoXtal", "Xtal")</f>
        <v>NoXtal</v>
      </c>
      <c r="D340" t="str">
        <f t="shared" si="6"/>
        <v>human</v>
      </c>
      <c r="E340" t="str">
        <f>VLOOKUP(A340,Classification!A:B,2,FALSE)</f>
        <v>A</v>
      </c>
    </row>
    <row r="341" spans="1:5" x14ac:dyDescent="0.2">
      <c r="A341" t="s">
        <v>247</v>
      </c>
      <c r="B341" t="s">
        <v>730</v>
      </c>
      <c r="C341" t="str">
        <f>IF(ISERROR(MATCH(A341,'SegEnds_Xtal_Prot#'!B:B, 0)), "NoXtal", "Xtal")</f>
        <v>NoXtal</v>
      </c>
      <c r="D341" t="str">
        <f t="shared" si="6"/>
        <v>human</v>
      </c>
      <c r="E341" t="str">
        <f>VLOOKUP(A341,Classification!A:B,2,FALSE)</f>
        <v>A</v>
      </c>
    </row>
    <row r="342" spans="1:5" x14ac:dyDescent="0.2">
      <c r="A342" t="s">
        <v>248</v>
      </c>
      <c r="B342" t="s">
        <v>731</v>
      </c>
      <c r="C342" t="str">
        <f>IF(ISERROR(MATCH(A342,'SegEnds_Xtal_Prot#'!B:B, 0)), "NoXtal", "Xtal")</f>
        <v>NoXtal</v>
      </c>
      <c r="D342" t="str">
        <f t="shared" si="6"/>
        <v>human</v>
      </c>
      <c r="E342" t="str">
        <f>VLOOKUP(A342,Classification!A:B,2,FALSE)</f>
        <v>A</v>
      </c>
    </row>
    <row r="343" spans="1:5" x14ac:dyDescent="0.2">
      <c r="A343" t="s">
        <v>250</v>
      </c>
      <c r="B343" t="s">
        <v>732</v>
      </c>
      <c r="C343" t="str">
        <f>IF(ISERROR(MATCH(A343,'SegEnds_Xtal_Prot#'!B:B, 0)), "NoXtal", "Xtal")</f>
        <v>NoXtal</v>
      </c>
      <c r="D343" t="str">
        <f t="shared" si="6"/>
        <v>human</v>
      </c>
      <c r="E343" t="str">
        <f>VLOOKUP(A343,Classification!A:B,2,FALSE)</f>
        <v>A</v>
      </c>
    </row>
    <row r="344" spans="1:5" x14ac:dyDescent="0.2">
      <c r="A344" t="s">
        <v>251</v>
      </c>
      <c r="B344" t="s">
        <v>733</v>
      </c>
      <c r="C344" t="str">
        <f>IF(ISERROR(MATCH(A344,'SegEnds_Xtal_Prot#'!B:B, 0)), "NoXtal", "Xtal")</f>
        <v>NoXtal</v>
      </c>
      <c r="D344" t="str">
        <f t="shared" si="6"/>
        <v>human</v>
      </c>
      <c r="E344" t="str">
        <f>VLOOKUP(A344,Classification!A:B,2,FALSE)</f>
        <v>A</v>
      </c>
    </row>
    <row r="345" spans="1:5" x14ac:dyDescent="0.2">
      <c r="A345" t="s">
        <v>252</v>
      </c>
      <c r="B345" t="s">
        <v>734</v>
      </c>
      <c r="C345" t="str">
        <f>IF(ISERROR(MATCH(A345,'SegEnds_Xtal_Prot#'!B:B, 0)), "NoXtal", "Xtal")</f>
        <v>NoXtal</v>
      </c>
      <c r="D345" t="str">
        <f t="shared" si="6"/>
        <v>human</v>
      </c>
      <c r="E345" t="str">
        <f>VLOOKUP(A345,Classification!A:B,2,FALSE)</f>
        <v>A</v>
      </c>
    </row>
    <row r="346" spans="1:5" x14ac:dyDescent="0.2">
      <c r="A346" t="s">
        <v>253</v>
      </c>
      <c r="B346" t="s">
        <v>735</v>
      </c>
      <c r="C346" t="str">
        <f>IF(ISERROR(MATCH(A346,'SegEnds_Xtal_Prot#'!B:B, 0)), "NoXtal", "Xtal")</f>
        <v>NoXtal</v>
      </c>
      <c r="D346" t="str">
        <f t="shared" si="6"/>
        <v>human</v>
      </c>
      <c r="E346" t="str">
        <f>VLOOKUP(A346,Classification!A:B,2,FALSE)</f>
        <v>A</v>
      </c>
    </row>
    <row r="347" spans="1:5" x14ac:dyDescent="0.2">
      <c r="A347" t="s">
        <v>254</v>
      </c>
      <c r="B347" t="s">
        <v>736</v>
      </c>
      <c r="C347" t="str">
        <f>IF(ISERROR(MATCH(A347,'SegEnds_Xtal_Prot#'!B:B, 0)), "NoXtal", "Xtal")</f>
        <v>NoXtal</v>
      </c>
      <c r="D347" t="str">
        <f t="shared" si="6"/>
        <v>human</v>
      </c>
      <c r="E347" t="str">
        <f>VLOOKUP(A347,Classification!A:B,2,FALSE)</f>
        <v>A</v>
      </c>
    </row>
    <row r="348" spans="1:5" x14ac:dyDescent="0.2">
      <c r="A348" t="s">
        <v>255</v>
      </c>
      <c r="B348" t="s">
        <v>737</v>
      </c>
      <c r="C348" t="str">
        <f>IF(ISERROR(MATCH(A348,'SegEnds_Xtal_Prot#'!B:B, 0)), "NoXtal", "Xtal")</f>
        <v>NoXtal</v>
      </c>
      <c r="D348" t="str">
        <f t="shared" si="6"/>
        <v>human</v>
      </c>
      <c r="E348" t="str">
        <f>VLOOKUP(A348,Classification!A:B,2,FALSE)</f>
        <v>A</v>
      </c>
    </row>
    <row r="349" spans="1:5" x14ac:dyDescent="0.2">
      <c r="A349" t="s">
        <v>197</v>
      </c>
      <c r="B349" t="s">
        <v>738</v>
      </c>
      <c r="C349" t="str">
        <f>IF(ISERROR(MATCH(A349,'SegEnds_Xtal_Prot#'!B:B, 0)), "NoXtal", "Xtal")</f>
        <v>NoXtal</v>
      </c>
      <c r="D349" t="str">
        <f t="shared" si="6"/>
        <v>human</v>
      </c>
      <c r="E349" t="str">
        <f>VLOOKUP(A349,Classification!A:B,2,FALSE)</f>
        <v>A</v>
      </c>
    </row>
    <row r="350" spans="1:5" x14ac:dyDescent="0.2">
      <c r="A350" t="s">
        <v>256</v>
      </c>
      <c r="B350" t="s">
        <v>739</v>
      </c>
      <c r="C350" t="str">
        <f>IF(ISERROR(MATCH(A350,'SegEnds_Xtal_Prot#'!B:B, 0)), "NoXtal", "Xtal")</f>
        <v>NoXtal</v>
      </c>
      <c r="D350" t="str">
        <f t="shared" si="6"/>
        <v>human</v>
      </c>
      <c r="E350" t="str">
        <f>VLOOKUP(A350,Classification!A:B,2,FALSE)</f>
        <v>A</v>
      </c>
    </row>
    <row r="351" spans="1:5" x14ac:dyDescent="0.2">
      <c r="A351" t="s">
        <v>259</v>
      </c>
      <c r="B351" t="s">
        <v>740</v>
      </c>
      <c r="C351" t="str">
        <f>IF(ISERROR(MATCH(A351,'SegEnds_Xtal_Prot#'!B:B, 0)), "NoXtal", "Xtal")</f>
        <v>NoXtal</v>
      </c>
      <c r="D351" t="str">
        <f t="shared" si="6"/>
        <v>human</v>
      </c>
      <c r="E351" t="str">
        <f>VLOOKUP(A351,Classification!A:B,2,FALSE)</f>
        <v>A</v>
      </c>
    </row>
    <row r="352" spans="1:5" x14ac:dyDescent="0.2">
      <c r="A352" t="s">
        <v>313</v>
      </c>
      <c r="B352" t="s">
        <v>741</v>
      </c>
      <c r="C352" t="str">
        <f>IF(ISERROR(MATCH(A352,'SegEnds_Xtal_Prot#'!B:B, 0)), "NoXtal", "Xtal")</f>
        <v>NoXtal</v>
      </c>
      <c r="D352" t="str">
        <f t="shared" si="6"/>
        <v>human</v>
      </c>
      <c r="E352" t="str">
        <f>VLOOKUP(A352,Classification!A:B,2,FALSE)</f>
        <v>A</v>
      </c>
    </row>
    <row r="353" spans="1:5" x14ac:dyDescent="0.2">
      <c r="A353" t="s">
        <v>260</v>
      </c>
      <c r="B353" t="s">
        <v>742</v>
      </c>
      <c r="C353" t="str">
        <f>IF(ISERROR(MATCH(A353,'SegEnds_Xtal_Prot#'!B:B, 0)), "NoXtal", "Xtal")</f>
        <v>NoXtal</v>
      </c>
      <c r="D353" t="str">
        <f t="shared" si="6"/>
        <v>human</v>
      </c>
      <c r="E353" t="str">
        <f>VLOOKUP(A353,Classification!A:B,2,FALSE)</f>
        <v>A</v>
      </c>
    </row>
    <row r="354" spans="1:5" x14ac:dyDescent="0.2">
      <c r="A354" t="s">
        <v>263</v>
      </c>
      <c r="B354" t="s">
        <v>743</v>
      </c>
      <c r="C354" t="str">
        <f>IF(ISERROR(MATCH(A354,'SegEnds_Xtal_Prot#'!B:B, 0)), "NoXtal", "Xtal")</f>
        <v>NoXtal</v>
      </c>
      <c r="D354" t="str">
        <f t="shared" si="6"/>
        <v>human</v>
      </c>
      <c r="E354" t="str">
        <f>VLOOKUP(A354,Classification!A:B,2,FALSE)</f>
        <v>A</v>
      </c>
    </row>
    <row r="355" spans="1:5" x14ac:dyDescent="0.2">
      <c r="A355" t="s">
        <v>264</v>
      </c>
      <c r="B355" t="s">
        <v>744</v>
      </c>
      <c r="C355" t="str">
        <f>IF(ISERROR(MATCH(A355,'SegEnds_Xtal_Prot#'!B:B, 0)), "NoXtal", "Xtal")</f>
        <v>NoXtal</v>
      </c>
      <c r="D355" t="str">
        <f t="shared" si="6"/>
        <v>human</v>
      </c>
      <c r="E355" t="str">
        <f>VLOOKUP(A355,Classification!A:B,2,FALSE)</f>
        <v>A</v>
      </c>
    </row>
    <row r="356" spans="1:5" x14ac:dyDescent="0.2">
      <c r="A356" t="s">
        <v>265</v>
      </c>
      <c r="B356" t="s">
        <v>745</v>
      </c>
      <c r="C356" t="str">
        <f>IF(ISERROR(MATCH(A356,'SegEnds_Xtal_Prot#'!B:B, 0)), "NoXtal", "Xtal")</f>
        <v>NoXtal</v>
      </c>
      <c r="D356" t="str">
        <f t="shared" si="6"/>
        <v>human</v>
      </c>
      <c r="E356" t="str">
        <f>VLOOKUP(A356,Classification!A:B,2,FALSE)</f>
        <v>A</v>
      </c>
    </row>
    <row r="357" spans="1:5" x14ac:dyDescent="0.2">
      <c r="A357" t="s">
        <v>370</v>
      </c>
      <c r="B357" t="s">
        <v>746</v>
      </c>
      <c r="C357" t="str">
        <f>IF(ISERROR(MATCH(A357,'SegEnds_Xtal_Prot#'!B:B, 0)), "NoXtal", "Xtal")</f>
        <v>NoXtal</v>
      </c>
      <c r="D357" t="str">
        <f t="shared" si="6"/>
        <v>human</v>
      </c>
      <c r="E357" t="str">
        <f>VLOOKUP(A357,Classification!A:B,2,FALSE)</f>
        <v>A</v>
      </c>
    </row>
    <row r="358" spans="1:5" x14ac:dyDescent="0.2">
      <c r="A358" t="s">
        <v>331</v>
      </c>
      <c r="B358" t="s">
        <v>747</v>
      </c>
      <c r="C358" t="str">
        <f>IF(ISERROR(MATCH(A358,'SegEnds_Xtal_Prot#'!B:B, 0)), "NoXtal", "Xtal")</f>
        <v>NoXtal</v>
      </c>
      <c r="D358" t="str">
        <f t="shared" si="6"/>
        <v>human</v>
      </c>
      <c r="E358" t="str">
        <f>VLOOKUP(A358,Classification!A:B,2,FALSE)</f>
        <v>A</v>
      </c>
    </row>
    <row r="359" spans="1:5" x14ac:dyDescent="0.2">
      <c r="A359" t="s">
        <v>266</v>
      </c>
      <c r="B359" t="s">
        <v>748</v>
      </c>
      <c r="C359" t="str">
        <f>IF(ISERROR(MATCH(A359,'SegEnds_Xtal_Prot#'!B:B, 0)), "NoXtal", "Xtal")</f>
        <v>NoXtal</v>
      </c>
      <c r="D359" t="str">
        <f t="shared" si="6"/>
        <v>human</v>
      </c>
      <c r="E359" t="str">
        <f>VLOOKUP(A359,Classification!A:B,2,FALSE)</f>
        <v>A</v>
      </c>
    </row>
    <row r="360" spans="1:5" x14ac:dyDescent="0.2">
      <c r="A360" t="s">
        <v>267</v>
      </c>
      <c r="B360" t="s">
        <v>749</v>
      </c>
      <c r="C360" t="str">
        <f>IF(ISERROR(MATCH(A360,'SegEnds_Xtal_Prot#'!B:B, 0)), "NoXtal", "Xtal")</f>
        <v>NoXtal</v>
      </c>
      <c r="D360" t="str">
        <f t="shared" si="6"/>
        <v>human</v>
      </c>
      <c r="E360" t="str">
        <f>VLOOKUP(A360,Classification!A:B,2,FALSE)</f>
        <v>A</v>
      </c>
    </row>
    <row r="361" spans="1:5" x14ac:dyDescent="0.2">
      <c r="A361" t="s">
        <v>268</v>
      </c>
      <c r="B361" t="s">
        <v>750</v>
      </c>
      <c r="C361" t="str">
        <f>IF(ISERROR(MATCH(A361,'SegEnds_Xtal_Prot#'!B:B, 0)), "NoXtal", "Xtal")</f>
        <v>NoXtal</v>
      </c>
      <c r="D361" t="str">
        <f t="shared" si="6"/>
        <v>human</v>
      </c>
      <c r="E361" t="str">
        <f>VLOOKUP(A361,Classification!A:B,2,FALSE)</f>
        <v>A</v>
      </c>
    </row>
    <row r="362" spans="1:5" x14ac:dyDescent="0.2">
      <c r="A362" t="s">
        <v>269</v>
      </c>
      <c r="B362" t="s">
        <v>751</v>
      </c>
      <c r="C362" t="str">
        <f>IF(ISERROR(MATCH(A362,'SegEnds_Xtal_Prot#'!B:B, 0)), "NoXtal", "Xtal")</f>
        <v>NoXtal</v>
      </c>
      <c r="D362" t="str">
        <f t="shared" si="6"/>
        <v>human</v>
      </c>
      <c r="E362" t="str">
        <f>VLOOKUP(A362,Classification!A:B,2,FALSE)</f>
        <v>A</v>
      </c>
    </row>
    <row r="363" spans="1:5" x14ac:dyDescent="0.2">
      <c r="A363" t="s">
        <v>270</v>
      </c>
      <c r="B363" t="s">
        <v>752</v>
      </c>
      <c r="C363" t="str">
        <f>IF(ISERROR(MATCH(A363,'SegEnds_Xtal_Prot#'!B:B, 0)), "NoXtal", "Xtal")</f>
        <v>NoXtal</v>
      </c>
      <c r="D363" t="str">
        <f t="shared" si="6"/>
        <v>human</v>
      </c>
      <c r="E363" t="str">
        <f>VLOOKUP(A363,Classification!A:B,2,FALSE)</f>
        <v>A</v>
      </c>
    </row>
    <row r="364" spans="1:5" x14ac:dyDescent="0.2">
      <c r="A364" t="s">
        <v>271</v>
      </c>
      <c r="B364" t="s">
        <v>753</v>
      </c>
      <c r="C364" t="str">
        <f>IF(ISERROR(MATCH(A364,'SegEnds_Xtal_Prot#'!B:B, 0)), "NoXtal", "Xtal")</f>
        <v>NoXtal</v>
      </c>
      <c r="D364" t="str">
        <f t="shared" si="6"/>
        <v>human</v>
      </c>
      <c r="E364" t="str">
        <f>VLOOKUP(A364,Classification!A:B,2,FALSE)</f>
        <v>A</v>
      </c>
    </row>
    <row r="365" spans="1:5" x14ac:dyDescent="0.2">
      <c r="A365" t="s">
        <v>272</v>
      </c>
      <c r="B365" t="s">
        <v>754</v>
      </c>
      <c r="C365" t="str">
        <f>IF(ISERROR(MATCH(A365,'SegEnds_Xtal_Prot#'!B:B, 0)), "NoXtal", "Xtal")</f>
        <v>NoXtal</v>
      </c>
      <c r="D365" t="str">
        <f t="shared" si="6"/>
        <v>human</v>
      </c>
      <c r="E365" t="str">
        <f>VLOOKUP(A365,Classification!A:B,2,FALSE)</f>
        <v>A</v>
      </c>
    </row>
    <row r="366" spans="1:5" x14ac:dyDescent="0.2">
      <c r="A366" t="s">
        <v>273</v>
      </c>
      <c r="B366" t="s">
        <v>755</v>
      </c>
      <c r="C366" t="str">
        <f>IF(ISERROR(MATCH(A366,'SegEnds_Xtal_Prot#'!B:B, 0)), "NoXtal", "Xtal")</f>
        <v>NoXtal</v>
      </c>
      <c r="D366" t="str">
        <f t="shared" si="6"/>
        <v>human</v>
      </c>
      <c r="E366" t="str">
        <f>VLOOKUP(A366,Classification!A:B,2,FALSE)</f>
        <v>A</v>
      </c>
    </row>
    <row r="367" spans="1:5" x14ac:dyDescent="0.2">
      <c r="A367" t="s">
        <v>212</v>
      </c>
      <c r="B367" t="s">
        <v>756</v>
      </c>
      <c r="C367" t="str">
        <f>IF(ISERROR(MATCH(A367,'SegEnds_Xtal_Prot#'!B:B, 0)), "NoXtal", "Xtal")</f>
        <v>NoXtal</v>
      </c>
      <c r="D367" t="str">
        <f t="shared" si="6"/>
        <v>human</v>
      </c>
      <c r="E367" t="str">
        <f>VLOOKUP(A367,Classification!A:B,2,FALSE)</f>
        <v>A</v>
      </c>
    </row>
    <row r="368" spans="1:5" x14ac:dyDescent="0.2">
      <c r="A368" t="s">
        <v>214</v>
      </c>
      <c r="B368" t="s">
        <v>757</v>
      </c>
      <c r="C368" t="str">
        <f>IF(ISERROR(MATCH(A368,'SegEnds_Xtal_Prot#'!B:B, 0)), "NoXtal", "Xtal")</f>
        <v>NoXtal</v>
      </c>
      <c r="D368" t="str">
        <f t="shared" si="6"/>
        <v>human</v>
      </c>
      <c r="E368" t="str">
        <f>VLOOKUP(A368,Classification!A:B,2,FALSE)</f>
        <v>A</v>
      </c>
    </row>
    <row r="369" spans="1:5" x14ac:dyDescent="0.2">
      <c r="A369" t="s">
        <v>215</v>
      </c>
      <c r="B369" t="s">
        <v>758</v>
      </c>
      <c r="C369" t="str">
        <f>IF(ISERROR(MATCH(A369,'SegEnds_Xtal_Prot#'!B:B, 0)), "NoXtal", "Xtal")</f>
        <v>NoXtal</v>
      </c>
      <c r="D369" t="str">
        <f t="shared" si="6"/>
        <v>human</v>
      </c>
      <c r="E369" t="str">
        <f>VLOOKUP(A369,Classification!A:B,2,FALSE)</f>
        <v>A</v>
      </c>
    </row>
    <row r="370" spans="1:5" x14ac:dyDescent="0.2">
      <c r="A370" t="s">
        <v>216</v>
      </c>
      <c r="B370" t="s">
        <v>759</v>
      </c>
      <c r="C370" t="str">
        <f>IF(ISERROR(MATCH(A370,'SegEnds_Xtal_Prot#'!B:B, 0)), "NoXtal", "Xtal")</f>
        <v>NoXtal</v>
      </c>
      <c r="D370" t="str">
        <f t="shared" si="6"/>
        <v>human</v>
      </c>
      <c r="E370" t="str">
        <f>VLOOKUP(A370,Classification!A:B,2,FALSE)</f>
        <v>A</v>
      </c>
    </row>
    <row r="371" spans="1:5" x14ac:dyDescent="0.2">
      <c r="A371" t="s">
        <v>217</v>
      </c>
      <c r="B371" t="s">
        <v>760</v>
      </c>
      <c r="C371" t="str">
        <f>IF(ISERROR(MATCH(A371,'SegEnds_Xtal_Prot#'!B:B, 0)), "NoXtal", "Xtal")</f>
        <v>NoXtal</v>
      </c>
      <c r="D371" t="str">
        <f t="shared" si="6"/>
        <v>human</v>
      </c>
      <c r="E371" t="str">
        <f>VLOOKUP(A371,Classification!A:B,2,FALSE)</f>
        <v>A</v>
      </c>
    </row>
    <row r="372" spans="1:5" x14ac:dyDescent="0.2">
      <c r="A372" t="s">
        <v>218</v>
      </c>
      <c r="B372" t="s">
        <v>761</v>
      </c>
      <c r="C372" t="str">
        <f>IF(ISERROR(MATCH(A372,'SegEnds_Xtal_Prot#'!B:B, 0)), "NoXtal", "Xtal")</f>
        <v>NoXtal</v>
      </c>
      <c r="D372" t="str">
        <f t="shared" si="6"/>
        <v>human</v>
      </c>
      <c r="E372" t="str">
        <f>VLOOKUP(A372,Classification!A:B,2,FALSE)</f>
        <v>A</v>
      </c>
    </row>
    <row r="373" spans="1:5" x14ac:dyDescent="0.2">
      <c r="A373" t="s">
        <v>219</v>
      </c>
      <c r="B373" t="s">
        <v>762</v>
      </c>
      <c r="C373" t="str">
        <f>IF(ISERROR(MATCH(A373,'SegEnds_Xtal_Prot#'!B:B, 0)), "NoXtal", "Xtal")</f>
        <v>NoXtal</v>
      </c>
      <c r="D373" t="str">
        <f t="shared" si="6"/>
        <v>human</v>
      </c>
      <c r="E373" t="str">
        <f>VLOOKUP(A373,Classification!A:B,2,FALSE)</f>
        <v>A</v>
      </c>
    </row>
    <row r="374" spans="1:5" x14ac:dyDescent="0.2">
      <c r="A374" t="s">
        <v>220</v>
      </c>
      <c r="B374" t="s">
        <v>763</v>
      </c>
      <c r="C374" t="str">
        <f>IF(ISERROR(MATCH(A374,'SegEnds_Xtal_Prot#'!B:B, 0)), "NoXtal", "Xtal")</f>
        <v>NoXtal</v>
      </c>
      <c r="D374" t="str">
        <f t="shared" si="6"/>
        <v>human</v>
      </c>
      <c r="E374" t="str">
        <f>VLOOKUP(A374,Classification!A:B,2,FALSE)</f>
        <v>A</v>
      </c>
    </row>
    <row r="375" spans="1:5" x14ac:dyDescent="0.2">
      <c r="A375" t="s">
        <v>221</v>
      </c>
      <c r="B375" t="s">
        <v>764</v>
      </c>
      <c r="C375" t="str">
        <f>IF(ISERROR(MATCH(A375,'SegEnds_Xtal_Prot#'!B:B, 0)), "NoXtal", "Xtal")</f>
        <v>NoXtal</v>
      </c>
      <c r="D375" t="str">
        <f t="shared" si="6"/>
        <v>human</v>
      </c>
      <c r="E375" t="str">
        <f>VLOOKUP(A375,Classification!A:B,2,FALSE)</f>
        <v>A</v>
      </c>
    </row>
    <row r="376" spans="1:5" x14ac:dyDescent="0.2">
      <c r="A376" t="s">
        <v>222</v>
      </c>
      <c r="B376" t="s">
        <v>765</v>
      </c>
      <c r="C376" t="str">
        <f>IF(ISERROR(MATCH(A376,'SegEnds_Xtal_Prot#'!B:B, 0)), "NoXtal", "Xtal")</f>
        <v>NoXtal</v>
      </c>
      <c r="D376" t="str">
        <f t="shared" si="6"/>
        <v>human</v>
      </c>
      <c r="E376" t="str">
        <f>VLOOKUP(A376,Classification!A:B,2,FALSE)</f>
        <v>A</v>
      </c>
    </row>
    <row r="377" spans="1:5" x14ac:dyDescent="0.2">
      <c r="A377" t="s">
        <v>223</v>
      </c>
      <c r="B377" t="s">
        <v>766</v>
      </c>
      <c r="C377" t="str">
        <f>IF(ISERROR(MATCH(A377,'SegEnds_Xtal_Prot#'!B:B, 0)), "NoXtal", "Xtal")</f>
        <v>NoXtal</v>
      </c>
      <c r="D377" t="str">
        <f t="shared" si="6"/>
        <v>human</v>
      </c>
      <c r="E377" t="str">
        <f>VLOOKUP(A377,Classification!A:B,2,FALSE)</f>
        <v>A</v>
      </c>
    </row>
    <row r="378" spans="1:5" x14ac:dyDescent="0.2">
      <c r="A378" t="s">
        <v>224</v>
      </c>
      <c r="B378" t="s">
        <v>767</v>
      </c>
      <c r="C378" t="str">
        <f>IF(ISERROR(MATCH(A378,'SegEnds_Xtal_Prot#'!B:B, 0)), "NoXtal", "Xtal")</f>
        <v>NoXtal</v>
      </c>
      <c r="D378" t="str">
        <f t="shared" si="6"/>
        <v>human</v>
      </c>
      <c r="E378" t="str">
        <f>VLOOKUP(A378,Classification!A:B,2,FALSE)</f>
        <v>A</v>
      </c>
    </row>
    <row r="379" spans="1:5" x14ac:dyDescent="0.2">
      <c r="A379" t="s">
        <v>225</v>
      </c>
      <c r="B379" t="s">
        <v>768</v>
      </c>
      <c r="C379" t="str">
        <f>IF(ISERROR(MATCH(A379,'SegEnds_Xtal_Prot#'!B:B, 0)), "NoXtal", "Xtal")</f>
        <v>NoXtal</v>
      </c>
      <c r="D379" t="str">
        <f t="shared" si="6"/>
        <v>human</v>
      </c>
      <c r="E379" t="str">
        <f>VLOOKUP(A379,Classification!A:B,2,FALSE)</f>
        <v>A</v>
      </c>
    </row>
    <row r="380" spans="1:5" x14ac:dyDescent="0.2">
      <c r="A380" t="s">
        <v>226</v>
      </c>
      <c r="B380" t="s">
        <v>769</v>
      </c>
      <c r="C380" t="str">
        <f>IF(ISERROR(MATCH(A380,'SegEnds_Xtal_Prot#'!B:B, 0)), "NoXtal", "Xtal")</f>
        <v>NoXtal</v>
      </c>
      <c r="D380" t="str">
        <f t="shared" si="6"/>
        <v>human</v>
      </c>
      <c r="E380" t="str">
        <f>VLOOKUP(A380,Classification!A:B,2,FALSE)</f>
        <v>A</v>
      </c>
    </row>
    <row r="381" spans="1:5" x14ac:dyDescent="0.2">
      <c r="A381" t="s">
        <v>227</v>
      </c>
      <c r="B381" t="s">
        <v>770</v>
      </c>
      <c r="C381" t="str">
        <f>IF(ISERROR(MATCH(A381,'SegEnds_Xtal_Prot#'!B:B, 0)), "NoXtal", "Xtal")</f>
        <v>NoXtal</v>
      </c>
      <c r="D381" t="str">
        <f t="shared" si="6"/>
        <v>human</v>
      </c>
      <c r="E381" t="str">
        <f>VLOOKUP(A381,Classification!A:B,2,FALSE)</f>
        <v>A</v>
      </c>
    </row>
    <row r="382" spans="1:5" x14ac:dyDescent="0.2">
      <c r="A382" t="s">
        <v>228</v>
      </c>
      <c r="B382" t="s">
        <v>771</v>
      </c>
      <c r="C382" t="str">
        <f>IF(ISERROR(MATCH(A382,'SegEnds_Xtal_Prot#'!B:B, 0)), "NoXtal", "Xtal")</f>
        <v>NoXtal</v>
      </c>
      <c r="D382" t="str">
        <f t="shared" si="6"/>
        <v>human</v>
      </c>
      <c r="E382" t="str">
        <f>VLOOKUP(A382,Classification!A:B,2,FALSE)</f>
        <v>A</v>
      </c>
    </row>
    <row r="383" spans="1:5" x14ac:dyDescent="0.2">
      <c r="A383" t="s">
        <v>229</v>
      </c>
      <c r="B383" t="s">
        <v>772</v>
      </c>
      <c r="C383" t="str">
        <f>IF(ISERROR(MATCH(A383,'SegEnds_Xtal_Prot#'!B:B, 0)), "NoXtal", "Xtal")</f>
        <v>NoXtal</v>
      </c>
      <c r="D383" t="str">
        <f t="shared" si="6"/>
        <v>human</v>
      </c>
      <c r="E383" t="str">
        <f>VLOOKUP(A383,Classification!A:B,2,FALSE)</f>
        <v>A</v>
      </c>
    </row>
    <row r="384" spans="1:5" x14ac:dyDescent="0.2">
      <c r="A384" t="s">
        <v>230</v>
      </c>
      <c r="B384" t="s">
        <v>773</v>
      </c>
      <c r="C384" t="str">
        <f>IF(ISERROR(MATCH(A384,'SegEnds_Xtal_Prot#'!B:B, 0)), "NoXtal", "Xtal")</f>
        <v>NoXtal</v>
      </c>
      <c r="D384" t="str">
        <f t="shared" si="6"/>
        <v>human</v>
      </c>
      <c r="E384" t="str">
        <f>VLOOKUP(A384,Classification!A:B,2,FALSE)</f>
        <v>A</v>
      </c>
    </row>
    <row r="385" spans="1:5" x14ac:dyDescent="0.2">
      <c r="A385" t="s">
        <v>231</v>
      </c>
      <c r="B385" t="s">
        <v>774</v>
      </c>
      <c r="C385" t="str">
        <f>IF(ISERROR(MATCH(A385,'SegEnds_Xtal_Prot#'!B:B, 0)), "NoXtal", "Xtal")</f>
        <v>NoXtal</v>
      </c>
      <c r="D385" t="str">
        <f t="shared" si="6"/>
        <v>human</v>
      </c>
      <c r="E385" t="str">
        <f>VLOOKUP(A385,Classification!A:B,2,FALSE)</f>
        <v>A</v>
      </c>
    </row>
    <row r="386" spans="1:5" x14ac:dyDescent="0.2">
      <c r="A386" t="s">
        <v>232</v>
      </c>
      <c r="B386" t="s">
        <v>775</v>
      </c>
      <c r="C386" t="str">
        <f>IF(ISERROR(MATCH(A386,'SegEnds_Xtal_Prot#'!B:B, 0)), "NoXtal", "Xtal")</f>
        <v>NoXtal</v>
      </c>
      <c r="D386" t="str">
        <f t="shared" si="6"/>
        <v>human</v>
      </c>
      <c r="E386" t="str">
        <f>VLOOKUP(A386,Classification!A:B,2,FALSE)</f>
        <v>A</v>
      </c>
    </row>
    <row r="387" spans="1:5" x14ac:dyDescent="0.2">
      <c r="A387" t="s">
        <v>233</v>
      </c>
      <c r="B387" t="s">
        <v>776</v>
      </c>
      <c r="C387" t="str">
        <f>IF(ISERROR(MATCH(A387,'SegEnds_Xtal_Prot#'!B:B, 0)), "NoXtal", "Xtal")</f>
        <v>NoXtal</v>
      </c>
      <c r="D387" t="str">
        <f t="shared" ref="D387:D409" si="7">MID(A387,FIND("_",A387)+1,LEN(A387)-FIND("_",A387))</f>
        <v>human</v>
      </c>
      <c r="E387" t="str">
        <f>VLOOKUP(A387,Classification!A:B,2,FALSE)</f>
        <v>A</v>
      </c>
    </row>
    <row r="388" spans="1:5" x14ac:dyDescent="0.2">
      <c r="A388" t="s">
        <v>234</v>
      </c>
      <c r="B388" t="s">
        <v>777</v>
      </c>
      <c r="C388" t="str">
        <f>IF(ISERROR(MATCH(A388,'SegEnds_Xtal_Prot#'!B:B, 0)), "NoXtal", "Xtal")</f>
        <v>NoXtal</v>
      </c>
      <c r="D388" t="str">
        <f t="shared" si="7"/>
        <v>human</v>
      </c>
      <c r="E388" t="str">
        <f>VLOOKUP(A388,Classification!A:B,2,FALSE)</f>
        <v>A</v>
      </c>
    </row>
    <row r="389" spans="1:5" x14ac:dyDescent="0.2">
      <c r="A389" t="s">
        <v>283</v>
      </c>
      <c r="B389" t="s">
        <v>778</v>
      </c>
      <c r="C389" t="str">
        <f>IF(ISERROR(MATCH(A389,'SegEnds_Xtal_Prot#'!B:B, 0)), "NoXtal", "Xtal")</f>
        <v>NoXtal</v>
      </c>
      <c r="D389" t="str">
        <f t="shared" si="7"/>
        <v>human</v>
      </c>
      <c r="E389" t="str">
        <f>VLOOKUP(A389,Classification!A:B,2,FALSE)</f>
        <v>A</v>
      </c>
    </row>
    <row r="390" spans="1:5" x14ac:dyDescent="0.2">
      <c r="A390" t="s">
        <v>284</v>
      </c>
      <c r="B390" t="s">
        <v>779</v>
      </c>
      <c r="C390" t="str">
        <f>IF(ISERROR(MATCH(A390,'SegEnds_Xtal_Prot#'!B:B, 0)), "NoXtal", "Xtal")</f>
        <v>NoXtal</v>
      </c>
      <c r="D390" t="str">
        <f t="shared" si="7"/>
        <v>human</v>
      </c>
      <c r="E390" t="str">
        <f>VLOOKUP(A390,Classification!A:B,2,FALSE)</f>
        <v>A</v>
      </c>
    </row>
    <row r="391" spans="1:5" x14ac:dyDescent="0.2">
      <c r="A391" t="s">
        <v>285</v>
      </c>
      <c r="B391" t="s">
        <v>780</v>
      </c>
      <c r="C391" t="str">
        <f>IF(ISERROR(MATCH(A391,'SegEnds_Xtal_Prot#'!B:B, 0)), "NoXtal", "Xtal")</f>
        <v>NoXtal</v>
      </c>
      <c r="D391" t="str">
        <f t="shared" si="7"/>
        <v>human</v>
      </c>
      <c r="E391" t="str">
        <f>VLOOKUP(A391,Classification!A:B,2,FALSE)</f>
        <v>A</v>
      </c>
    </row>
    <row r="392" spans="1:5" x14ac:dyDescent="0.2">
      <c r="A392" t="s">
        <v>294</v>
      </c>
      <c r="B392" t="s">
        <v>781</v>
      </c>
      <c r="C392" t="str">
        <f>IF(ISERROR(MATCH(A392,'SegEnds_Xtal_Prot#'!B:B, 0)), "NoXtal", "Xtal")</f>
        <v>NoXtal</v>
      </c>
      <c r="D392" t="str">
        <f t="shared" si="7"/>
        <v>human</v>
      </c>
      <c r="E392" t="str">
        <f>VLOOKUP(A392,Classification!A:B,2,FALSE)</f>
        <v>A</v>
      </c>
    </row>
    <row r="393" spans="1:5" x14ac:dyDescent="0.2">
      <c r="A393" t="s">
        <v>295</v>
      </c>
      <c r="B393" t="s">
        <v>782</v>
      </c>
      <c r="C393" t="str">
        <f>IF(ISERROR(MATCH(A393,'SegEnds_Xtal_Prot#'!B:B, 0)), "NoXtal", "Xtal")</f>
        <v>NoXtal</v>
      </c>
      <c r="D393" t="str">
        <f t="shared" si="7"/>
        <v>human</v>
      </c>
      <c r="E393" t="str">
        <f>VLOOKUP(A393,Classification!A:B,2,FALSE)</f>
        <v>A</v>
      </c>
    </row>
    <row r="394" spans="1:5" x14ac:dyDescent="0.2">
      <c r="A394" t="s">
        <v>301</v>
      </c>
      <c r="B394" t="s">
        <v>783</v>
      </c>
      <c r="C394" t="str">
        <f>IF(ISERROR(MATCH(A394,'SegEnds_Xtal_Prot#'!B:B, 0)), "NoXtal", "Xtal")</f>
        <v>NoXtal</v>
      </c>
      <c r="D394" t="str">
        <f t="shared" si="7"/>
        <v>human</v>
      </c>
      <c r="E394" t="str">
        <f>VLOOKUP(A394,Classification!A:B,2,FALSE)</f>
        <v>A</v>
      </c>
    </row>
    <row r="395" spans="1:5" x14ac:dyDescent="0.2">
      <c r="A395" t="s">
        <v>302</v>
      </c>
      <c r="B395" t="s">
        <v>784</v>
      </c>
      <c r="C395" t="str">
        <f>IF(ISERROR(MATCH(A395,'SegEnds_Xtal_Prot#'!B:B, 0)), "NoXtal", "Xtal")</f>
        <v>NoXtal</v>
      </c>
      <c r="D395" t="str">
        <f t="shared" si="7"/>
        <v>human</v>
      </c>
      <c r="E395" t="str">
        <f>VLOOKUP(A395,Classification!A:B,2,FALSE)</f>
        <v>A</v>
      </c>
    </row>
    <row r="396" spans="1:5" x14ac:dyDescent="0.2">
      <c r="A396" t="s">
        <v>303</v>
      </c>
      <c r="B396" t="s">
        <v>785</v>
      </c>
      <c r="C396" t="str">
        <f>IF(ISERROR(MATCH(A396,'SegEnds_Xtal_Prot#'!B:B, 0)), "NoXtal", "Xtal")</f>
        <v>NoXtal</v>
      </c>
      <c r="D396" t="str">
        <f t="shared" si="7"/>
        <v>human</v>
      </c>
      <c r="E396" t="str">
        <f>VLOOKUP(A396,Classification!A:B,2,FALSE)</f>
        <v>A</v>
      </c>
    </row>
    <row r="397" spans="1:5" x14ac:dyDescent="0.2">
      <c r="A397" t="s">
        <v>304</v>
      </c>
      <c r="B397" t="s">
        <v>786</v>
      </c>
      <c r="C397" t="str">
        <f>IF(ISERROR(MATCH(A397,'SegEnds_Xtal_Prot#'!B:B, 0)), "NoXtal", "Xtal")</f>
        <v>NoXtal</v>
      </c>
      <c r="D397" t="str">
        <f t="shared" si="7"/>
        <v>human</v>
      </c>
      <c r="E397" t="str">
        <f>VLOOKUP(A397,Classification!A:B,2,FALSE)</f>
        <v>A</v>
      </c>
    </row>
    <row r="398" spans="1:5" x14ac:dyDescent="0.2">
      <c r="A398" t="s">
        <v>305</v>
      </c>
      <c r="B398" t="s">
        <v>787</v>
      </c>
      <c r="C398" t="str">
        <f>IF(ISERROR(MATCH(A398,'SegEnds_Xtal_Prot#'!B:B, 0)), "NoXtal", "Xtal")</f>
        <v>NoXtal</v>
      </c>
      <c r="D398" t="str">
        <f t="shared" si="7"/>
        <v>human</v>
      </c>
      <c r="E398" t="str">
        <f>VLOOKUP(A398,Classification!A:B,2,FALSE)</f>
        <v>A</v>
      </c>
    </row>
    <row r="399" spans="1:5" x14ac:dyDescent="0.2">
      <c r="A399" t="s">
        <v>306</v>
      </c>
      <c r="B399" t="s">
        <v>788</v>
      </c>
      <c r="C399" t="str">
        <f>IF(ISERROR(MATCH(A399,'SegEnds_Xtal_Prot#'!B:B, 0)), "NoXtal", "Xtal")</f>
        <v>NoXtal</v>
      </c>
      <c r="D399" t="str">
        <f t="shared" si="7"/>
        <v>human</v>
      </c>
      <c r="E399" t="str">
        <f>VLOOKUP(A399,Classification!A:B,2,FALSE)</f>
        <v>A</v>
      </c>
    </row>
    <row r="400" spans="1:5" x14ac:dyDescent="0.2">
      <c r="A400" t="s">
        <v>307</v>
      </c>
      <c r="B400" t="s">
        <v>789</v>
      </c>
      <c r="C400" t="str">
        <f>IF(ISERROR(MATCH(A400,'SegEnds_Xtal_Prot#'!B:B, 0)), "NoXtal", "Xtal")</f>
        <v>NoXtal</v>
      </c>
      <c r="D400" t="str">
        <f t="shared" si="7"/>
        <v>human</v>
      </c>
      <c r="E400" t="str">
        <f>VLOOKUP(A400,Classification!A:B,2,FALSE)</f>
        <v>A</v>
      </c>
    </row>
    <row r="401" spans="1:5" x14ac:dyDescent="0.2">
      <c r="A401" t="s">
        <v>308</v>
      </c>
      <c r="B401" t="s">
        <v>790</v>
      </c>
      <c r="C401" t="str">
        <f>IF(ISERROR(MATCH(A401,'SegEnds_Xtal_Prot#'!B:B, 0)), "NoXtal", "Xtal")</f>
        <v>NoXtal</v>
      </c>
      <c r="D401" t="str">
        <f t="shared" si="7"/>
        <v>human</v>
      </c>
      <c r="E401" t="str">
        <f>VLOOKUP(A401,Classification!A:B,2,FALSE)</f>
        <v>A</v>
      </c>
    </row>
    <row r="402" spans="1:5" x14ac:dyDescent="0.2">
      <c r="A402" t="s">
        <v>349</v>
      </c>
      <c r="B402" t="s">
        <v>791</v>
      </c>
      <c r="C402" t="str">
        <f>IF(ISERROR(MATCH(A402,'SegEnds_Xtal_Prot#'!B:B, 0)), "NoXtal", "Xtal")</f>
        <v>NoXtal</v>
      </c>
      <c r="D402" t="str">
        <f t="shared" si="7"/>
        <v>human</v>
      </c>
      <c r="E402" t="str">
        <f>VLOOKUP(A402,Classification!A:B,2,FALSE)</f>
        <v>A</v>
      </c>
    </row>
    <row r="403" spans="1:5" x14ac:dyDescent="0.2">
      <c r="A403" t="s">
        <v>350</v>
      </c>
      <c r="B403" t="s">
        <v>792</v>
      </c>
      <c r="C403" t="str">
        <f>IF(ISERROR(MATCH(A403,'SegEnds_Xtal_Prot#'!B:B, 0)), "NoXtal", "Xtal")</f>
        <v>NoXtal</v>
      </c>
      <c r="D403" t="str">
        <f t="shared" si="7"/>
        <v>human</v>
      </c>
      <c r="E403" t="str">
        <f>VLOOKUP(A403,Classification!A:B,2,FALSE)</f>
        <v>A</v>
      </c>
    </row>
    <row r="404" spans="1:5" x14ac:dyDescent="0.2">
      <c r="A404" t="s">
        <v>388</v>
      </c>
      <c r="B404" t="s">
        <v>793</v>
      </c>
      <c r="C404" t="str">
        <f>IF(ISERROR(MATCH(A404,'SegEnds_Xtal_Prot#'!B:B, 0)), "NoXtal", "Xtal")</f>
        <v>NoXtal</v>
      </c>
      <c r="D404" t="str">
        <f t="shared" si="7"/>
        <v>human</v>
      </c>
      <c r="E404" t="str">
        <f>VLOOKUP(A404,Classification!A:B,2,FALSE)</f>
        <v>A</v>
      </c>
    </row>
    <row r="405" spans="1:5" x14ac:dyDescent="0.2">
      <c r="A405" t="s">
        <v>389</v>
      </c>
      <c r="B405" t="s">
        <v>794</v>
      </c>
      <c r="C405" t="str">
        <f>IF(ISERROR(MATCH(A405,'SegEnds_Xtal_Prot#'!B:B, 0)), "NoXtal", "Xtal")</f>
        <v>NoXtal</v>
      </c>
      <c r="D405" t="str">
        <f t="shared" si="7"/>
        <v>human</v>
      </c>
      <c r="E405" t="str">
        <f>VLOOKUP(A405,Classification!A:B,2,FALSE)</f>
        <v>A</v>
      </c>
    </row>
    <row r="406" spans="1:5" x14ac:dyDescent="0.2">
      <c r="A406" t="s">
        <v>390</v>
      </c>
      <c r="B406" t="s">
        <v>795</v>
      </c>
      <c r="C406" t="str">
        <f>IF(ISERROR(MATCH(A406,'SegEnds_Xtal_Prot#'!B:B, 0)), "NoXtal", "Xtal")</f>
        <v>NoXtal</v>
      </c>
      <c r="D406" t="str">
        <f t="shared" si="7"/>
        <v>human</v>
      </c>
      <c r="E406" t="str">
        <f>VLOOKUP(A406,Classification!A:B,2,FALSE)</f>
        <v>A</v>
      </c>
    </row>
    <row r="407" spans="1:5" x14ac:dyDescent="0.2">
      <c r="A407" t="s">
        <v>391</v>
      </c>
      <c r="B407" t="s">
        <v>796</v>
      </c>
      <c r="C407" t="str">
        <f>IF(ISERROR(MATCH(A407,'SegEnds_Xtal_Prot#'!B:B, 0)), "NoXtal", "Xtal")</f>
        <v>NoXtal</v>
      </c>
      <c r="D407" t="str">
        <f t="shared" si="7"/>
        <v>human</v>
      </c>
      <c r="E407" t="str">
        <f>VLOOKUP(A407,Classification!A:B,2,FALSE)</f>
        <v>A</v>
      </c>
    </row>
    <row r="408" spans="1:5" x14ac:dyDescent="0.2">
      <c r="A408" t="s">
        <v>392</v>
      </c>
      <c r="B408" t="s">
        <v>797</v>
      </c>
      <c r="C408" t="str">
        <f>IF(ISERROR(MATCH(A408,'SegEnds_Xtal_Prot#'!B:B, 0)), "NoXtal", "Xtal")</f>
        <v>NoXtal</v>
      </c>
      <c r="D408" t="str">
        <f t="shared" si="7"/>
        <v>human</v>
      </c>
      <c r="E408" t="str">
        <f>VLOOKUP(A408,Classification!A:B,2,FALSE)</f>
        <v>A</v>
      </c>
    </row>
    <row r="409" spans="1:5" x14ac:dyDescent="0.2">
      <c r="A409" t="s">
        <v>393</v>
      </c>
      <c r="B409" t="s">
        <v>798</v>
      </c>
      <c r="C409" t="str">
        <f>IF(ISERROR(MATCH(A409,'SegEnds_Xtal_Prot#'!B:B, 0)), "NoXtal", "Xtal")</f>
        <v>NoXtal</v>
      </c>
      <c r="D409" t="str">
        <f t="shared" si="7"/>
        <v>human</v>
      </c>
      <c r="E409" t="str">
        <f>VLOOKUP(A409,Classification!A:B,2,FALSE)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gp139_human</v>
      </c>
      <c r="B2" s="1" t="str">
        <f t="shared" ref="B2:B65" si="0">F2&amp;H2&amp;J2&amp;L2&amp;N2&amp;O2&amp;P2&amp;Q2</f>
        <v>CGLGFVPVVYYSLLLCLGLPANILTVIILSQLKSSYNYLLALAAADILVLFFIVFVDFLLEDFMQMPQVPDKIIEVLEFSSIHTSIWITVPLTIDRYIAVCHSYPARTRKVIVSVYITCFLTSIPYYWWTSVHHVLIWIHCFTVYLVPCSIFFILNSIIVYKLRRKRLRGYSTGKTTAILFTITSIFATLWAPRIIMILYHLYGRWLVHIMSDIANMLALLNTAINFFLYCFISKRFRTMAAATL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2" s="5" t="str">
        <f t="shared" ref="F2:F65" si="1">IFERROR(MID($E2,R2,(AP2+1)),"")</f>
        <v>CGLGFVPVVYYSLLLCLGLPANILTVIILSQL</v>
      </c>
      <c r="G2" s="4" t="str">
        <f t="shared" ref="G2:G65" si="2">IFERROR(MID($E2,S2,(AQ2+1)),"")</f>
        <v/>
      </c>
      <c r="H2" s="4" t="str">
        <f t="shared" ref="H2:H65" si="3">IFERROR(MID($E2,T2,(AR2+1)),"")</f>
        <v>KSSYNYLLALAAADILVLFFIVFVDFLLEDF</v>
      </c>
      <c r="I2" s="4" t="str">
        <f t="shared" ref="I2:I65" si="4">IFERROR(MID($E2,U2,(AS2+1)),"")</f>
        <v/>
      </c>
      <c r="J2" s="4" t="str">
        <f t="shared" ref="J2:J65" si="5">IFERROR(MID($E2,V2,(AT2+1)),"")</f>
        <v>MQMPQVPDKIIEVLEFSSIHTSIWITVPLTIDRYIAVCH</v>
      </c>
      <c r="K2" s="4" t="str">
        <f t="shared" ref="K2:K65" si="6">IFERROR(MID($E2,W2,(AU2+1)),"")</f>
        <v>PLKYHTV</v>
      </c>
      <c r="L2" s="4" t="str">
        <f t="shared" ref="L2:L65" si="7">IFERROR(MID($E2,X2,(AV2+1)),"")</f>
        <v>SYPARTRKVIVSVYITCFLTSIPYYWW</v>
      </c>
      <c r="M2" s="4" t="str">
        <f t="shared" ref="M2:M65" si="8">IFERROR(MID($E2,Y2,(AW2+1)),"")</f>
        <v/>
      </c>
      <c r="N2" s="4" t="str">
        <f t="shared" ref="N2:N65" si="9">IFERROR(MID($E2,Z2,(AX2+1)),"")</f>
        <v>TSVHHVLIWIHCFTVYLVPCSIFFILNSIIVYKLRRK</v>
      </c>
      <c r="O2" s="4" t="str">
        <f t="shared" ref="O2:O65" si="10">IFERROR(MID($E2,AA2,(AY2+1)),"")</f>
        <v>RLRGYSTGKTTAILFTITSIFATLWAPRIIMILYHLYG</v>
      </c>
      <c r="P2" s="4" t="str">
        <f t="shared" ref="P2:P65" si="11">IFERROR(MID($E2,AB2,(AZ2+1)),"")</f>
        <v>RWLVHIMSDIANMLALLNTAINFFLYCFI</v>
      </c>
      <c r="Q2" s="4" t="str">
        <f t="shared" ref="Q2:Q65" si="12">IFERROR(MID($E2,AC2,(BA2+1)),"")</f>
        <v>SKRFRTMAAATL</v>
      </c>
      <c r="R2" s="5">
        <f>VLOOKUP($A2,'SegEnds_NonXtal_Prot#'!$A:$AL,3,FALSE)</f>
        <v>23</v>
      </c>
      <c r="S2" s="5" t="str">
        <f>VLOOKUP($A2,'SegEnds_NonXtal_Prot#'!$A:$AL,6,FALSE)</f>
        <v>-</v>
      </c>
      <c r="T2" s="5">
        <f>VLOOKUP($A2,'SegEnds_NonXtal_Prot#'!$A:$AL,9,FALSE)</f>
        <v>60</v>
      </c>
      <c r="U2" s="5" t="str">
        <f>VLOOKUP($A2,'SegEnds_NonXtal_Prot#'!$A:$AL,12,FALSE)</f>
        <v>-</v>
      </c>
      <c r="V2" s="5">
        <f>VLOOKUP($A2,'SegEnds_NonXtal_Prot#'!$A:$AL,15,FALSE)</f>
        <v>94</v>
      </c>
      <c r="W2" s="5">
        <f>VLOOKUP($A2,'SegEnds_NonXtal_Prot#'!$A:$AL,18,FALSE)</f>
        <v>133</v>
      </c>
      <c r="X2" s="5">
        <f>VLOOKUP($A2,'SegEnds_NonXtal_Prot#'!$A:$AL,21,FALSE)</f>
        <v>140</v>
      </c>
      <c r="Y2" s="5" t="str">
        <f>VLOOKUP($A2,'SegEnds_NonXtal_Prot#'!$A:$AL,24,FALSE)</f>
        <v>-</v>
      </c>
      <c r="Z2" s="5">
        <f>VLOOKUP($A2,'SegEnds_NonXtal_Prot#'!$A:$AL,27,FALSE)</f>
        <v>177</v>
      </c>
      <c r="AA2" s="5">
        <f>VLOOKUP($A2,'SegEnds_NonXtal_Prot#'!$A:$AL,30,FALSE)</f>
        <v>217</v>
      </c>
      <c r="AB2" s="5">
        <f>VLOOKUP($A2,'SegEnds_NonXtal_Prot#'!$A:$AL,33,FALSE)</f>
        <v>260</v>
      </c>
      <c r="AC2" s="5">
        <f>VLOOKUP($A2,'SegEnds_NonXtal_Prot#'!$A:$AL,36,FALSE)</f>
        <v>289</v>
      </c>
      <c r="AD2" s="5">
        <f>VLOOKUP($A2,'SegEnds_NonXtal_Prot#'!$A:$AL,5,FALSE)</f>
        <v>54</v>
      </c>
      <c r="AE2" s="5" t="str">
        <f>VLOOKUP($A2,'SegEnds_NonXtal_Prot#'!$A:$AL,8,FALSE)</f>
        <v>-</v>
      </c>
      <c r="AF2" s="5">
        <f>VLOOKUP($A2,'SegEnds_NonXtal_Prot#'!$A:$AL,11,FALSE)</f>
        <v>90</v>
      </c>
      <c r="AG2" s="5" t="str">
        <f>VLOOKUP($A2,'SegEnds_NonXtal_Prot#'!$A:$AL,14,FALSE)</f>
        <v>-</v>
      </c>
      <c r="AH2" s="5">
        <f>VLOOKUP($A2,'SegEnds_NonXtal_Prot#'!$A:$AL,17,FALSE)</f>
        <v>132</v>
      </c>
      <c r="AI2" s="5">
        <f>VLOOKUP($A2,'SegEnds_NonXtal_Prot#'!$A:$AL,20,FALSE)</f>
        <v>139</v>
      </c>
      <c r="AJ2" s="5">
        <f>VLOOKUP($A2,'SegEnds_NonXtal_Prot#'!$A:$AL,23,FALSE)</f>
        <v>166</v>
      </c>
      <c r="AK2" s="5" t="str">
        <f>VLOOKUP($A2,'SegEnds_NonXtal_Prot#'!$A:$AL,26,FALSE)</f>
        <v>-</v>
      </c>
      <c r="AL2" s="5">
        <f>VLOOKUP($A2,'SegEnds_NonXtal_Prot#'!$A:$AL,29,FALSE)</f>
        <v>213</v>
      </c>
      <c r="AM2" s="5">
        <f>VLOOKUP($A2,'SegEnds_NonXtal_Prot#'!$A:$AL,32,FALSE)</f>
        <v>254</v>
      </c>
      <c r="AN2" s="5">
        <f>VLOOKUP($A2,'SegEnds_NonXtal_Prot#'!$A:$AL,35,FALSE)</f>
        <v>288</v>
      </c>
      <c r="AO2" s="5">
        <f>VLOOKUP($A2,'SegEnds_NonXtal_Prot#'!$A:$AL,38,FALSE)</f>
        <v>300</v>
      </c>
      <c r="AP2" s="5">
        <f t="shared" ref="AP2:AP65" si="13">IFERROR(AD2-R2,"-")</f>
        <v>31</v>
      </c>
      <c r="AQ2" s="4" t="str">
        <f t="shared" ref="AQ2:AQ65" si="14">IFERROR(AE2-S2,"-")</f>
        <v>-</v>
      </c>
      <c r="AR2" s="4">
        <f t="shared" ref="AR2:AR65" si="15">IFERROR(AF2-T2,"-")</f>
        <v>30</v>
      </c>
      <c r="AS2" s="4" t="str">
        <f t="shared" ref="AS2:AS65" si="16">IFERROR(AG2-U2,"-")</f>
        <v>-</v>
      </c>
      <c r="AT2" s="4">
        <f t="shared" ref="AT2:AT65" si="17">IFERROR(AH2-V2,"-")</f>
        <v>38</v>
      </c>
      <c r="AU2" s="4">
        <f t="shared" ref="AU2:AU65" si="18">IFERROR(AI2-W2,"-")</f>
        <v>6</v>
      </c>
      <c r="AV2" s="4">
        <f t="shared" ref="AV2:AV65" si="19">IFERROR(AJ2-X2,"-")</f>
        <v>26</v>
      </c>
      <c r="AW2" s="4" t="str">
        <f t="shared" ref="AW2:AW65" si="20">IFERROR(AK2-Y2,"-")</f>
        <v>-</v>
      </c>
      <c r="AX2" s="4">
        <f t="shared" ref="AX2:AX65" si="21">IFERROR(AL2-Z2,"-")</f>
        <v>36</v>
      </c>
      <c r="AY2" s="4">
        <f t="shared" ref="AY2:AY65" si="22">IFERROR(AM2-AA2,"-")</f>
        <v>37</v>
      </c>
      <c r="AZ2" s="4">
        <f t="shared" ref="AZ2:AZ65" si="23">IFERROR(AN2-AB2,"-")</f>
        <v>28</v>
      </c>
      <c r="BA2" s="4">
        <f t="shared" ref="BA2:BA65" si="24">IFERROR(AO2-AC2,"-")</f>
        <v>11</v>
      </c>
    </row>
    <row r="3" spans="1:53" x14ac:dyDescent="0.2">
      <c r="A3" s="1" t="str">
        <f>'SegEnds_NonXtal_Prot#'!A12</f>
        <v>opn5_human</v>
      </c>
      <c r="B3" s="1" t="str">
        <f t="shared" si="0"/>
        <v>WEADLVAGFYLTIIGILSTFGNGYVLYMSSRRPAEIMTINLAVCDLGISVVGKPFTIISCFCHGWIGCRWYGWAGFFFGCGSLITMTAVSLDRYLKICYKRKHAYICLAAIWAYASFWTTMPLVGGQVFILNILFFCLLLPTAVIVFSYVKIIAKVKSSSKEVARIHSSHVLEMKLTKVAMLICAGFLIAWIPYAVVSVWSAFGPIQLSVVPTLLAKSAAMYNPIIYQVIDYKFACCQTGGLK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3" s="5" t="str">
        <f t="shared" si="1"/>
        <v>WEADLVAGFYLTIIGILSTFGNGYVLYMSSRR</v>
      </c>
      <c r="G3" s="4" t="str">
        <f t="shared" si="2"/>
        <v>KKLR</v>
      </c>
      <c r="H3" s="4" t="str">
        <f t="shared" si="3"/>
        <v>PAEIMTINLAVCDLGISVVGKPFTIISCFCH</v>
      </c>
      <c r="I3" s="4" t="str">
        <f t="shared" si="4"/>
        <v>RWVF</v>
      </c>
      <c r="J3" s="4" t="str">
        <f t="shared" si="5"/>
        <v>GWIGCRWYGWAGFFFGCGSLITMTAVSLDRYLKICY</v>
      </c>
      <c r="K3" s="4" t="str">
        <f t="shared" si="6"/>
        <v>LSYGVWL</v>
      </c>
      <c r="L3" s="4" t="str">
        <f t="shared" si="7"/>
        <v>KRKHAYICLAAIWAYASFWTTMPLV</v>
      </c>
      <c r="M3" s="4" t="str">
        <f t="shared" si="8"/>
        <v>CTL</v>
      </c>
      <c r="N3" s="4" t="str">
        <f t="shared" si="9"/>
        <v>GGQVFILNILFFCLLLPTAVIVFSYVKIIAKVKSSSKEVA</v>
      </c>
      <c r="O3" s="4" t="str">
        <f t="shared" si="10"/>
        <v>RIHSSHVLEMKLTKVAMLICAGFLIAWIPYAVVSVWSAFG</v>
      </c>
      <c r="P3" s="4" t="str">
        <f t="shared" si="11"/>
        <v>PIQLSVVPTLLAKSAAMYNPIIYQVI</v>
      </c>
      <c r="Q3" s="4" t="str">
        <f t="shared" si="12"/>
        <v>DYKFACCQTGGLK</v>
      </c>
      <c r="R3" s="5">
        <f>VLOOKUP($A3,'SegEnds_NonXtal_Prot#'!$A:$AL,3,FALSE)</f>
        <v>30</v>
      </c>
      <c r="S3" s="5">
        <f>VLOOKUP($A3,'SegEnds_NonXtal_Prot#'!$A:$AL,6,FALSE)</f>
        <v>63</v>
      </c>
      <c r="T3" s="5">
        <f>VLOOKUP($A3,'SegEnds_NonXtal_Prot#'!$A:$AL,9,FALSE)</f>
        <v>67</v>
      </c>
      <c r="U3" s="5">
        <f>VLOOKUP($A3,'SegEnds_NonXtal_Prot#'!$A:$AL,12,FALSE)</f>
        <v>98</v>
      </c>
      <c r="V3" s="5">
        <f>VLOOKUP($A3,'SegEnds_NonXtal_Prot#'!$A:$AL,15,FALSE)</f>
        <v>102</v>
      </c>
      <c r="W3" s="5">
        <f>VLOOKUP($A3,'SegEnds_NonXtal_Prot#'!$A:$AL,18,FALSE)</f>
        <v>138</v>
      </c>
      <c r="X3" s="5">
        <f>VLOOKUP($A3,'SegEnds_NonXtal_Prot#'!$A:$AL,21,FALSE)</f>
        <v>145</v>
      </c>
      <c r="Y3" s="5">
        <f>VLOOKUP($A3,'SegEnds_NonXtal_Prot#'!$A:$AL,24,FALSE)</f>
        <v>183</v>
      </c>
      <c r="Z3" s="5">
        <f>VLOOKUP($A3,'SegEnds_NonXtal_Prot#'!$A:$AL,27,FALSE)</f>
        <v>195</v>
      </c>
      <c r="AA3" s="5">
        <f>VLOOKUP($A3,'SegEnds_NonXtal_Prot#'!$A:$AL,30,FALSE)</f>
        <v>239</v>
      </c>
      <c r="AB3" s="5">
        <f>VLOOKUP($A3,'SegEnds_NonXtal_Prot#'!$A:$AL,33,FALSE)</f>
        <v>284</v>
      </c>
      <c r="AC3" s="5">
        <f>VLOOKUP($A3,'SegEnds_NonXtal_Prot#'!$A:$AL,36,FALSE)</f>
        <v>310</v>
      </c>
      <c r="AD3" s="5">
        <f>VLOOKUP($A3,'SegEnds_NonXtal_Prot#'!$A:$AL,5,FALSE)</f>
        <v>61</v>
      </c>
      <c r="AE3" s="5">
        <f>VLOOKUP($A3,'SegEnds_NonXtal_Prot#'!$A:$AL,8,FALSE)</f>
        <v>66</v>
      </c>
      <c r="AF3" s="5">
        <f>VLOOKUP($A3,'SegEnds_NonXtal_Prot#'!$A:$AL,11,FALSE)</f>
        <v>97</v>
      </c>
      <c r="AG3" s="5">
        <f>VLOOKUP($A3,'SegEnds_NonXtal_Prot#'!$A:$AL,14,FALSE)</f>
        <v>101</v>
      </c>
      <c r="AH3" s="5">
        <f>VLOOKUP($A3,'SegEnds_NonXtal_Prot#'!$A:$AL,17,FALSE)</f>
        <v>137</v>
      </c>
      <c r="AI3" s="5">
        <f>VLOOKUP($A3,'SegEnds_NonXtal_Prot#'!$A:$AL,20,FALSE)</f>
        <v>144</v>
      </c>
      <c r="AJ3" s="5">
        <f>VLOOKUP($A3,'SegEnds_NonXtal_Prot#'!$A:$AL,23,FALSE)</f>
        <v>169</v>
      </c>
      <c r="AK3" s="5">
        <f>VLOOKUP($A3,'SegEnds_NonXtal_Prot#'!$A:$AL,26,FALSE)</f>
        <v>185</v>
      </c>
      <c r="AL3" s="5">
        <f>VLOOKUP($A3,'SegEnds_NonXtal_Prot#'!$A:$AL,29,FALSE)</f>
        <v>234</v>
      </c>
      <c r="AM3" s="5">
        <f>VLOOKUP($A3,'SegEnds_NonXtal_Prot#'!$A:$AL,32,FALSE)</f>
        <v>278</v>
      </c>
      <c r="AN3" s="5">
        <f>VLOOKUP($A3,'SegEnds_NonXtal_Prot#'!$A:$AL,35,FALSE)</f>
        <v>309</v>
      </c>
      <c r="AO3" s="5">
        <f>VLOOKUP($A3,'SegEnds_NonXtal_Prot#'!$A:$AL,38,FALSE)</f>
        <v>322</v>
      </c>
      <c r="AP3" s="5">
        <f t="shared" si="13"/>
        <v>31</v>
      </c>
      <c r="AQ3" s="4">
        <f t="shared" si="14"/>
        <v>3</v>
      </c>
      <c r="AR3" s="4">
        <f t="shared" si="15"/>
        <v>30</v>
      </c>
      <c r="AS3" s="4">
        <f t="shared" si="16"/>
        <v>3</v>
      </c>
      <c r="AT3" s="4">
        <f t="shared" si="17"/>
        <v>35</v>
      </c>
      <c r="AU3" s="4">
        <f t="shared" si="18"/>
        <v>6</v>
      </c>
      <c r="AV3" s="4">
        <f t="shared" si="19"/>
        <v>24</v>
      </c>
      <c r="AW3" s="4">
        <f t="shared" si="20"/>
        <v>2</v>
      </c>
      <c r="AX3" s="4">
        <f t="shared" si="21"/>
        <v>39</v>
      </c>
      <c r="AY3" s="4">
        <f t="shared" si="22"/>
        <v>39</v>
      </c>
      <c r="AZ3" s="4">
        <f t="shared" si="23"/>
        <v>25</v>
      </c>
      <c r="BA3" s="4">
        <f t="shared" si="24"/>
        <v>12</v>
      </c>
    </row>
    <row r="4" spans="1:53" x14ac:dyDescent="0.2">
      <c r="A4" s="1" t="str">
        <f>'SegEnds_NonXtal_Prot#'!A26</f>
        <v>v1ar_human</v>
      </c>
      <c r="B4" s="1" t="str">
        <f t="shared" si="0"/>
        <v>LAKLEIAVLAVTFAVAVLGNSSVLLALHRTSRMHLFIRHLSLADLAVAFFQVLPQMCWDITRGPDWLCRVVKHLQVFGMFASAYMLVVMTADRYIAVCHPARRSRLMIAAAWVLSFVLSTPQYFVFPWGSRAYVTWMTGGIFVAPVVILGTCYGFICYNIWCNVRGKTASRKSISRAKIRTVKMTFVIVTAYIVCWAPFFIIQMWSVWDTESENPTITITALLGSLNSCCNPWIYMFFSGHLLQDCVQSF</v>
      </c>
      <c r="C4" s="29" t="str">
        <f>IF(ISERROR(MATCH(A4,'SegEnds_Xtal_Prot#'!B:B, 0)), "NoXtal", "Xtal")</f>
        <v>NoXtal</v>
      </c>
      <c r="D4" s="4" t="str">
        <f>VLOOKUP(A4,Classification!A:D,2,FALSE)</f>
        <v>A</v>
      </c>
      <c r="E4" s="5" t="str">
        <f>VLOOKUP(A4,Seqs!A:B,2,FALSE)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4" s="5" t="str">
        <f t="shared" si="1"/>
        <v>LAKLEIAVLAVTFAVAVLGNSSVLLALHRT</v>
      </c>
      <c r="G4" s="4" t="str">
        <f t="shared" si="2"/>
        <v>PRKT</v>
      </c>
      <c r="H4" s="4" t="str">
        <f t="shared" si="3"/>
        <v>SRMHLFIRHLSLADLAVAFFQVLPQMCWDIT</v>
      </c>
      <c r="I4" s="4" t="str">
        <f t="shared" si="4"/>
        <v>YRF</v>
      </c>
      <c r="J4" s="4" t="str">
        <f t="shared" si="5"/>
        <v>RGPDWLCRVVKHLQVFGMFASAYMLVVMTADRYIAVCH</v>
      </c>
      <c r="K4" s="4" t="str">
        <f t="shared" si="6"/>
        <v>PLKTLQQ</v>
      </c>
      <c r="L4" s="4" t="str">
        <f t="shared" si="7"/>
        <v>PARRSRLMIAAAWVLSFVLSTPQYFVF</v>
      </c>
      <c r="M4" s="4" t="str">
        <f t="shared" si="8"/>
        <v>CWA</v>
      </c>
      <c r="N4" s="4" t="str">
        <f t="shared" si="9"/>
        <v>PWGSRAYVTWMTGGIFVAPVVILGTCYGFICYNIWCNVRGKTASR</v>
      </c>
      <c r="O4" s="4" t="str">
        <f t="shared" si="10"/>
        <v>KSISRAKIRTVKMTFVIVTAYIVCWAPFFIIQMWSVWD</v>
      </c>
      <c r="P4" s="4" t="str">
        <f t="shared" si="11"/>
        <v>TESENPTITITALLGSLNSCCNPWIYMFF</v>
      </c>
      <c r="Q4" s="4" t="str">
        <f t="shared" si="12"/>
        <v>SGHLLQDCVQSF</v>
      </c>
      <c r="R4" s="5">
        <f>VLOOKUP($A4,'SegEnds_NonXtal_Prot#'!$A:$AL,3,FALSE)</f>
        <v>50</v>
      </c>
      <c r="S4" s="5">
        <f>VLOOKUP($A4,'SegEnds_NonXtal_Prot#'!$A:$AL,6,FALSE)</f>
        <v>80</v>
      </c>
      <c r="T4" s="5">
        <f>VLOOKUP($A4,'SegEnds_NonXtal_Prot#'!$A:$AL,9,FALSE)</f>
        <v>84</v>
      </c>
      <c r="U4" s="5">
        <f>VLOOKUP($A4,'SegEnds_NonXtal_Prot#'!$A:$AL,12,FALSE)</f>
        <v>115</v>
      </c>
      <c r="V4" s="5">
        <f>VLOOKUP($A4,'SegEnds_NonXtal_Prot#'!$A:$AL,15,FALSE)</f>
        <v>118</v>
      </c>
      <c r="W4" s="5">
        <f>VLOOKUP($A4,'SegEnds_NonXtal_Prot#'!$A:$AL,18,FALSE)</f>
        <v>156</v>
      </c>
      <c r="X4" s="5">
        <f>VLOOKUP($A4,'SegEnds_NonXtal_Prot#'!$A:$AL,21,FALSE)</f>
        <v>163</v>
      </c>
      <c r="Y4" s="5">
        <f>VLOOKUP($A4,'SegEnds_NonXtal_Prot#'!$A:$AL,24,FALSE)</f>
        <v>203</v>
      </c>
      <c r="Z4" s="5">
        <f>VLOOKUP($A4,'SegEnds_NonXtal_Prot#'!$A:$AL,27,FALSE)</f>
        <v>210</v>
      </c>
      <c r="AA4" s="5">
        <f>VLOOKUP($A4,'SegEnds_NonXtal_Prot#'!$A:$AL,30,FALSE)</f>
        <v>280</v>
      </c>
      <c r="AB4" s="5">
        <f>VLOOKUP($A4,'SegEnds_NonXtal_Prot#'!$A:$AL,33,FALSE)</f>
        <v>323</v>
      </c>
      <c r="AC4" s="5">
        <f>VLOOKUP($A4,'SegEnds_NonXtal_Prot#'!$A:$AL,36,FALSE)</f>
        <v>352</v>
      </c>
      <c r="AD4" s="5">
        <f>VLOOKUP($A4,'SegEnds_NonXtal_Prot#'!$A:$AL,5,FALSE)</f>
        <v>79</v>
      </c>
      <c r="AE4" s="5">
        <f>VLOOKUP($A4,'SegEnds_NonXtal_Prot#'!$A:$AL,8,FALSE)</f>
        <v>83</v>
      </c>
      <c r="AF4" s="5">
        <f>VLOOKUP($A4,'SegEnds_NonXtal_Prot#'!$A:$AL,11,FALSE)</f>
        <v>114</v>
      </c>
      <c r="AG4" s="5">
        <f>VLOOKUP($A4,'SegEnds_NonXtal_Prot#'!$A:$AL,14,FALSE)</f>
        <v>117</v>
      </c>
      <c r="AH4" s="5">
        <f>VLOOKUP($A4,'SegEnds_NonXtal_Prot#'!$A:$AL,17,FALSE)</f>
        <v>155</v>
      </c>
      <c r="AI4" s="5">
        <f>VLOOKUP($A4,'SegEnds_NonXtal_Prot#'!$A:$AL,20,FALSE)</f>
        <v>162</v>
      </c>
      <c r="AJ4" s="5">
        <f>VLOOKUP($A4,'SegEnds_NonXtal_Prot#'!$A:$AL,23,FALSE)</f>
        <v>189</v>
      </c>
      <c r="AK4" s="5">
        <f>VLOOKUP($A4,'SegEnds_NonXtal_Prot#'!$A:$AL,26,FALSE)</f>
        <v>205</v>
      </c>
      <c r="AL4" s="5">
        <f>VLOOKUP($A4,'SegEnds_NonXtal_Prot#'!$A:$AL,29,FALSE)</f>
        <v>254</v>
      </c>
      <c r="AM4" s="5">
        <f>VLOOKUP($A4,'SegEnds_NonXtal_Prot#'!$A:$AL,32,FALSE)</f>
        <v>317</v>
      </c>
      <c r="AN4" s="5">
        <f>VLOOKUP($A4,'SegEnds_NonXtal_Prot#'!$A:$AL,35,FALSE)</f>
        <v>351</v>
      </c>
      <c r="AO4" s="5">
        <f>VLOOKUP($A4,'SegEnds_NonXtal_Prot#'!$A:$AL,38,FALSE)</f>
        <v>363</v>
      </c>
      <c r="AP4" s="5">
        <f t="shared" si="13"/>
        <v>29</v>
      </c>
      <c r="AQ4" s="4">
        <f t="shared" si="14"/>
        <v>3</v>
      </c>
      <c r="AR4" s="4">
        <f t="shared" si="15"/>
        <v>30</v>
      </c>
      <c r="AS4" s="4">
        <f t="shared" si="16"/>
        <v>2</v>
      </c>
      <c r="AT4" s="4">
        <f t="shared" si="17"/>
        <v>37</v>
      </c>
      <c r="AU4" s="4">
        <f t="shared" si="18"/>
        <v>6</v>
      </c>
      <c r="AV4" s="4">
        <f t="shared" si="19"/>
        <v>26</v>
      </c>
      <c r="AW4" s="4">
        <f t="shared" si="20"/>
        <v>2</v>
      </c>
      <c r="AX4" s="4">
        <f t="shared" si="21"/>
        <v>44</v>
      </c>
      <c r="AY4" s="4">
        <f t="shared" si="22"/>
        <v>37</v>
      </c>
      <c r="AZ4" s="4">
        <f t="shared" si="23"/>
        <v>28</v>
      </c>
      <c r="BA4" s="4">
        <f t="shared" si="24"/>
        <v>11</v>
      </c>
    </row>
    <row r="5" spans="1:53" x14ac:dyDescent="0.2">
      <c r="A5" s="1" t="str">
        <f>'SegEnds_NonXtal_Prot#'!A29</f>
        <v>npy6r_human</v>
      </c>
      <c r="B5" s="1" t="str">
        <f t="shared" si="0"/>
        <v>ALLLLCIAYTVVLIVGLFGNLSLIIIIFKKNFTSILIANLSLSDTLVCVMCIHFTIIYTLMGDTMCRLTSYVQSVSISVSIFSLVFTAVERYQLIVNSVTHAYWGITLIWLFSLLLSIPFFLSYKKDRLLFTTSLFLLQYFVPLGFILICYLKIVICLRRRNAKVDENEGRLNENKRINTMLISIVVTFGACWLPRISSMSSLTGI</v>
      </c>
      <c r="C5" s="29" t="str">
        <f>IF(ISERROR(MATCH(A5,'SegEnds_Xtal_Prot#'!B:B, 0)), "NoXtal", "Xtal")</f>
        <v>NoXtal</v>
      </c>
      <c r="D5" s="4" t="str">
        <f>VLOOKUP(A5,Classification!A:D,2,FALSE)</f>
        <v>A</v>
      </c>
      <c r="E5" s="5" t="str">
        <f>VLOOKUP(A5,Seqs!A:B,2,FALSE)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5" s="5" t="str">
        <f t="shared" si="1"/>
        <v>ALLLLCIAYTVVLIVGLFGNLSLIIIIFKK</v>
      </c>
      <c r="G5" s="4" t="str">
        <f t="shared" si="2"/>
        <v>RKAQ</v>
      </c>
      <c r="H5" s="4" t="str">
        <f t="shared" si="3"/>
        <v>NFTSILIANLSLSDTLVCVMCIHFTIIYTLM</v>
      </c>
      <c r="I5" s="4" t="str">
        <f t="shared" si="4"/>
        <v>HWIF</v>
      </c>
      <c r="J5" s="4" t="str">
        <f t="shared" si="5"/>
        <v>GDTMCRLTSYVQSVSISVSIFSLVFTAVERYQLIVN</v>
      </c>
      <c r="K5" s="4" t="str">
        <f t="shared" si="6"/>
        <v/>
      </c>
      <c r="L5" s="4" t="str">
        <f t="shared" si="7"/>
        <v>SVTHAYWGITLIWLFSLLLSIPFFLSY</v>
      </c>
      <c r="M5" s="4" t="str">
        <f t="shared" si="8"/>
        <v/>
      </c>
      <c r="N5" s="4" t="str">
        <f t="shared" si="9"/>
        <v>KKDRLLFTTSLFLLQYFVPLGFILICYLKIVICLRRRNAKVD</v>
      </c>
      <c r="O5" s="4" t="str">
        <f t="shared" si="10"/>
        <v>ENEGRLNENKRINTMLISIVVTFGACWLPRISSMSSLTGI</v>
      </c>
      <c r="P5" s="4" t="str">
        <f t="shared" si="11"/>
        <v/>
      </c>
      <c r="Q5" s="4" t="str">
        <f t="shared" si="12"/>
        <v/>
      </c>
      <c r="R5" s="5">
        <f>VLOOKUP($A5,'SegEnds_NonXtal_Prot#'!$A:$AL,3,FALSE)</f>
        <v>34</v>
      </c>
      <c r="S5" s="5">
        <f>VLOOKUP($A5,'SegEnds_NonXtal_Prot#'!$A:$AL,6,FALSE)</f>
        <v>65</v>
      </c>
      <c r="T5" s="5">
        <f>VLOOKUP($A5,'SegEnds_NonXtal_Prot#'!$A:$AL,9,FALSE)</f>
        <v>69</v>
      </c>
      <c r="U5" s="5">
        <f>VLOOKUP($A5,'SegEnds_NonXtal_Prot#'!$A:$AL,12,FALSE)</f>
        <v>101</v>
      </c>
      <c r="V5" s="5">
        <f>VLOOKUP($A5,'SegEnds_NonXtal_Prot#'!$A:$AL,15,FALSE)</f>
        <v>105</v>
      </c>
      <c r="W5" s="5" t="str">
        <f>VLOOKUP($A5,'SegEnds_NonXtal_Prot#'!$A:$AL,18,FALSE)</f>
        <v>-</v>
      </c>
      <c r="X5" s="5">
        <f>VLOOKUP($A5,'SegEnds_NonXtal_Prot#'!$A:$AL,21,FALSE)</f>
        <v>147</v>
      </c>
      <c r="Y5" s="5" t="str">
        <f>VLOOKUP($A5,'SegEnds_NonXtal_Prot#'!$A:$AL,24,FALSE)</f>
        <v>-</v>
      </c>
      <c r="Z5" s="5">
        <f>VLOOKUP($A5,'SegEnds_NonXtal_Prot#'!$A:$AL,27,FALSE)</f>
        <v>203</v>
      </c>
      <c r="AA5" s="5">
        <f>VLOOKUP($A5,'SegEnds_NonXtal_Prot#'!$A:$AL,30,FALSE)</f>
        <v>248</v>
      </c>
      <c r="AB5" s="5" t="str">
        <f>VLOOKUP($A5,'SegEnds_NonXtal_Prot#'!$A:$AL,33,FALSE)</f>
        <v>-</v>
      </c>
      <c r="AC5" s="5" t="str">
        <f>VLOOKUP($A5,'SegEnds_NonXtal_Prot#'!$A:$AL,36,FALSE)</f>
        <v>-</v>
      </c>
      <c r="AD5" s="5">
        <f>VLOOKUP($A5,'SegEnds_NonXtal_Prot#'!$A:$AL,5,FALSE)</f>
        <v>63</v>
      </c>
      <c r="AE5" s="5">
        <f>VLOOKUP($A5,'SegEnds_NonXtal_Prot#'!$A:$AL,8,FALSE)</f>
        <v>68</v>
      </c>
      <c r="AF5" s="5">
        <f>VLOOKUP($A5,'SegEnds_NonXtal_Prot#'!$A:$AL,11,FALSE)</f>
        <v>99</v>
      </c>
      <c r="AG5" s="5">
        <f>VLOOKUP($A5,'SegEnds_NonXtal_Prot#'!$A:$AL,14,FALSE)</f>
        <v>104</v>
      </c>
      <c r="AH5" s="5">
        <f>VLOOKUP($A5,'SegEnds_NonXtal_Prot#'!$A:$AL,17,FALSE)</f>
        <v>140</v>
      </c>
      <c r="AI5" s="5" t="str">
        <f>VLOOKUP($A5,'SegEnds_NonXtal_Prot#'!$A:$AL,20,FALSE)</f>
        <v>-</v>
      </c>
      <c r="AJ5" s="5">
        <f>VLOOKUP($A5,'SegEnds_NonXtal_Prot#'!$A:$AL,23,FALSE)</f>
        <v>173</v>
      </c>
      <c r="AK5" s="5" t="str">
        <f>VLOOKUP($A5,'SegEnds_NonXtal_Prot#'!$A:$AL,26,FALSE)</f>
        <v>-</v>
      </c>
      <c r="AL5" s="5">
        <f>VLOOKUP($A5,'SegEnds_NonXtal_Prot#'!$A:$AL,29,FALSE)</f>
        <v>244</v>
      </c>
      <c r="AM5" s="5">
        <f>VLOOKUP($A5,'SegEnds_NonXtal_Prot#'!$A:$AL,32,FALSE)</f>
        <v>287</v>
      </c>
      <c r="AN5" s="5" t="str">
        <f>VLOOKUP($A5,'SegEnds_NonXtal_Prot#'!$A:$AL,35,FALSE)</f>
        <v>-</v>
      </c>
      <c r="AO5" s="5" t="str">
        <f>VLOOKUP($A5,'SegEnds_NonXtal_Prot#'!$A:$AL,38,FALSE)</f>
        <v>-</v>
      </c>
      <c r="AP5" s="5">
        <f t="shared" si="13"/>
        <v>29</v>
      </c>
      <c r="AQ5" s="4">
        <f t="shared" si="14"/>
        <v>3</v>
      </c>
      <c r="AR5" s="4">
        <f t="shared" si="15"/>
        <v>30</v>
      </c>
      <c r="AS5" s="4">
        <f t="shared" si="16"/>
        <v>3</v>
      </c>
      <c r="AT5" s="4">
        <f t="shared" si="17"/>
        <v>35</v>
      </c>
      <c r="AU5" s="4" t="str">
        <f t="shared" si="18"/>
        <v>-</v>
      </c>
      <c r="AV5" s="4">
        <f t="shared" si="19"/>
        <v>26</v>
      </c>
      <c r="AW5" s="4" t="str">
        <f t="shared" si="20"/>
        <v>-</v>
      </c>
      <c r="AX5" s="4">
        <f t="shared" si="21"/>
        <v>41</v>
      </c>
      <c r="AY5" s="4">
        <f t="shared" si="22"/>
        <v>39</v>
      </c>
      <c r="AZ5" s="4" t="str">
        <f t="shared" si="23"/>
        <v>-</v>
      </c>
      <c r="BA5" s="4" t="str">
        <f t="shared" si="24"/>
        <v>-</v>
      </c>
    </row>
    <row r="6" spans="1:53" x14ac:dyDescent="0.2">
      <c r="A6" s="1" t="str">
        <f>'SegEnds_NonXtal_Prot#'!A46</f>
        <v>5ht4r_human</v>
      </c>
      <c r="B6" s="1" t="str">
        <f t="shared" si="0"/>
        <v>EGFGSVEKVVLLTFLSTVILMAILGNLLVMVAVCWDKIKTNYFIVSLAFADLLVSVLVMPFGAIELVQGEVFCLVRTSLDVLLTTASIFHLCCISLDRYYAICCTPLRIALMLGGCWVIPTFISFLPIMQGNKPYAITCSVVAFYIPFLLMVLAYYRIYVTAKEHAHQIQMLQTHRMRTETKAAKTLCIIMGCFCLCWAPFFVTNIVDPFIPGQVWTAFLWLGYINSGLNPFLYAFLNKSFRRAFLIILC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6" s="5" t="str">
        <f t="shared" si="1"/>
        <v>EGFGSVEKVVLLTFLSTVILMAILGNLLVMVAVCWD</v>
      </c>
      <c r="G6" s="4" t="str">
        <f t="shared" si="2"/>
        <v>RQLR</v>
      </c>
      <c r="H6" s="4" t="str">
        <f t="shared" si="3"/>
        <v>KIKTNYFIVSLAFADLLVSVLVMPFGAIELVQ</v>
      </c>
      <c r="I6" s="4" t="str">
        <f t="shared" si="4"/>
        <v>IWIY</v>
      </c>
      <c r="J6" s="4" t="str">
        <f t="shared" si="5"/>
        <v>GEVFCLVRTSLDVLLTTASIFHLCCISLDRYYAICC</v>
      </c>
      <c r="K6" s="4" t="str">
        <f t="shared" si="6"/>
        <v>PLVYRNKM</v>
      </c>
      <c r="L6" s="4" t="str">
        <f t="shared" si="7"/>
        <v>TPLRIALMLGGCWVIPTFISFLPIMQG</v>
      </c>
      <c r="M6" s="4" t="str">
        <f t="shared" si="8"/>
        <v>CVF</v>
      </c>
      <c r="N6" s="4" t="str">
        <f t="shared" si="9"/>
        <v>NKPYAITCSVVAFYIPFLLMVLAYYRIYVTAKEHAHQIQMLQ</v>
      </c>
      <c r="O6" s="4" t="str">
        <f t="shared" si="10"/>
        <v>THRMRTETKAAKTLCIIMGCFCLCWAPFFVTNIVDPFI</v>
      </c>
      <c r="P6" s="4" t="str">
        <f t="shared" si="11"/>
        <v>PGQVWTAFLWLGYINSGLNPFLYAFL</v>
      </c>
      <c r="Q6" s="4" t="str">
        <f t="shared" si="12"/>
        <v>NKSFRRAFLIILC</v>
      </c>
      <c r="R6" s="5">
        <f>VLOOKUP($A6,'SegEnds_NonXtal_Prot#'!$A:$AL,3,FALSE)</f>
        <v>12</v>
      </c>
      <c r="S6" s="5">
        <f>VLOOKUP($A6,'SegEnds_NonXtal_Prot#'!$A:$AL,6,FALSE)</f>
        <v>48</v>
      </c>
      <c r="T6" s="5">
        <f>VLOOKUP($A6,'SegEnds_NonXtal_Prot#'!$A:$AL,9,FALSE)</f>
        <v>52</v>
      </c>
      <c r="U6" s="5">
        <f>VLOOKUP($A6,'SegEnds_NonXtal_Prot#'!$A:$AL,12,FALSE)</f>
        <v>85</v>
      </c>
      <c r="V6" s="5">
        <f>VLOOKUP($A6,'SegEnds_NonXtal_Prot#'!$A:$AL,15,FALSE)</f>
        <v>89</v>
      </c>
      <c r="W6" s="5">
        <f>VLOOKUP($A6,'SegEnds_NonXtal_Prot#'!$A:$AL,18,FALSE)</f>
        <v>126</v>
      </c>
      <c r="X6" s="5">
        <f>VLOOKUP($A6,'SegEnds_NonXtal_Prot#'!$A:$AL,21,FALSE)</f>
        <v>134</v>
      </c>
      <c r="Y6" s="5">
        <f>VLOOKUP($A6,'SegEnds_NonXtal_Prot#'!$A:$AL,24,FALSE)</f>
        <v>184</v>
      </c>
      <c r="Z6" s="5">
        <f>VLOOKUP($A6,'SegEnds_NonXtal_Prot#'!$A:$AL,27,FALSE)</f>
        <v>189</v>
      </c>
      <c r="AA6" s="5">
        <f>VLOOKUP($A6,'SegEnds_NonXtal_Prot#'!$A:$AL,30,FALSE)</f>
        <v>248</v>
      </c>
      <c r="AB6" s="5">
        <f>VLOOKUP($A6,'SegEnds_NonXtal_Prot#'!$A:$AL,33,FALSE)</f>
        <v>290</v>
      </c>
      <c r="AC6" s="5">
        <f>VLOOKUP($A6,'SegEnds_NonXtal_Prot#'!$A:$AL,36,FALSE)</f>
        <v>316</v>
      </c>
      <c r="AD6" s="5">
        <f>VLOOKUP($A6,'SegEnds_NonXtal_Prot#'!$A:$AL,5,FALSE)</f>
        <v>47</v>
      </c>
      <c r="AE6" s="5">
        <f>VLOOKUP($A6,'SegEnds_NonXtal_Prot#'!$A:$AL,8,FALSE)</f>
        <v>51</v>
      </c>
      <c r="AF6" s="5">
        <f>VLOOKUP($A6,'SegEnds_NonXtal_Prot#'!$A:$AL,11,FALSE)</f>
        <v>83</v>
      </c>
      <c r="AG6" s="5">
        <f>VLOOKUP($A6,'SegEnds_NonXtal_Prot#'!$A:$AL,14,FALSE)</f>
        <v>88</v>
      </c>
      <c r="AH6" s="5">
        <f>VLOOKUP($A6,'SegEnds_NonXtal_Prot#'!$A:$AL,17,FALSE)</f>
        <v>124</v>
      </c>
      <c r="AI6" s="5">
        <f>VLOOKUP($A6,'SegEnds_NonXtal_Prot#'!$A:$AL,20,FALSE)</f>
        <v>133</v>
      </c>
      <c r="AJ6" s="5">
        <f>VLOOKUP($A6,'SegEnds_NonXtal_Prot#'!$A:$AL,23,FALSE)</f>
        <v>160</v>
      </c>
      <c r="AK6" s="5">
        <f>VLOOKUP($A6,'SegEnds_NonXtal_Prot#'!$A:$AL,26,FALSE)</f>
        <v>186</v>
      </c>
      <c r="AL6" s="5">
        <f>VLOOKUP($A6,'SegEnds_NonXtal_Prot#'!$A:$AL,29,FALSE)</f>
        <v>230</v>
      </c>
      <c r="AM6" s="5">
        <f>VLOOKUP($A6,'SegEnds_NonXtal_Prot#'!$A:$AL,32,FALSE)</f>
        <v>285</v>
      </c>
      <c r="AN6" s="5">
        <f>VLOOKUP($A6,'SegEnds_NonXtal_Prot#'!$A:$AL,35,FALSE)</f>
        <v>315</v>
      </c>
      <c r="AO6" s="5">
        <f>VLOOKUP($A6,'SegEnds_NonXtal_Prot#'!$A:$AL,38,FALSE)</f>
        <v>328</v>
      </c>
      <c r="AP6" s="5">
        <f t="shared" si="13"/>
        <v>35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26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25</v>
      </c>
      <c r="BA6" s="4">
        <f t="shared" si="24"/>
        <v>12</v>
      </c>
    </row>
    <row r="7" spans="1:53" x14ac:dyDescent="0.2">
      <c r="A7" s="1" t="str">
        <f>'SegEnds_NonXtal_Prot#'!A47</f>
        <v>5ht5a_human</v>
      </c>
      <c r="B7" s="1" t="str">
        <f t="shared" si="0"/>
        <v>SVFGVLILTLLGFLVAATFAWNLLVLATILRVRVPHNLVASMAVSDVLVAALVMPLSLVHELSGRRLCQLWIACDVLCCTASIWNVTAIALDRYWSITRRKCVSNVMIALTWALSAVISLAPLLFEPSYAVFSTVGAFYLPLCVVLFVYWKIYKAAKFRVGSRKTNSTWREQKEQRAALMVGILIGVFVLCWIPFFLTELISPLCPAIWKSIFLWLGYSNSFFNPLIYTAFNKNYNSAFKNFF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" s="5" t="str">
        <f t="shared" si="1"/>
        <v>SVFGVLILTLLGFLVAATFAWNLLVLATILRV</v>
      </c>
      <c r="G7" s="4" t="str">
        <f t="shared" si="2"/>
        <v>RTFH</v>
      </c>
      <c r="H7" s="4" t="str">
        <f t="shared" si="3"/>
        <v>RVPHNLVASMAVSDVLVAALVMPLSLVHELS</v>
      </c>
      <c r="I7" s="4" t="str">
        <f t="shared" si="4"/>
        <v>RWQL</v>
      </c>
      <c r="J7" s="4" t="str">
        <f t="shared" si="5"/>
        <v>GRRLCQLWIACDVLCCTASIWNVTAIALDRYWSITR</v>
      </c>
      <c r="K7" s="4" t="str">
        <f t="shared" si="6"/>
        <v>HMEYTLRT</v>
      </c>
      <c r="L7" s="4" t="str">
        <f t="shared" si="7"/>
        <v>RKCVSNVMIALTWALSAVISLAPLLF</v>
      </c>
      <c r="M7" s="4" t="str">
        <f t="shared" si="8"/>
        <v>CQV</v>
      </c>
      <c r="N7" s="4" t="str">
        <f t="shared" si="9"/>
        <v>EPSYAVFSTVGAFYLPLCVVLFVYWKIYKAAKFRVGSRKTNS</v>
      </c>
      <c r="O7" s="4" t="str">
        <f t="shared" si="10"/>
        <v>TWREQKEQRAALMVGILIGVFVLCWIPFFLTELISPLC</v>
      </c>
      <c r="P7" s="4" t="str">
        <f t="shared" si="11"/>
        <v>PAIWKSIFLWLGYSNSFFNPLIYTAF</v>
      </c>
      <c r="Q7" s="4" t="str">
        <f t="shared" si="12"/>
        <v>NKNYNSAFKNFF</v>
      </c>
      <c r="R7" s="5">
        <f>VLOOKUP($A7,'SegEnds_NonXtal_Prot#'!$A:$AL,3,FALSE)</f>
        <v>37</v>
      </c>
      <c r="S7" s="5">
        <f>VLOOKUP($A7,'SegEnds_NonXtal_Prot#'!$A:$AL,6,FALSE)</f>
        <v>69</v>
      </c>
      <c r="T7" s="5">
        <f>VLOOKUP($A7,'SegEnds_NonXtal_Prot#'!$A:$AL,9,FALSE)</f>
        <v>73</v>
      </c>
      <c r="U7" s="5">
        <f>VLOOKUP($A7,'SegEnds_NonXtal_Prot#'!$A:$AL,12,FALSE)</f>
        <v>106</v>
      </c>
      <c r="V7" s="5">
        <f>VLOOKUP($A7,'SegEnds_NonXtal_Prot#'!$A:$AL,15,FALSE)</f>
        <v>110</v>
      </c>
      <c r="W7" s="5">
        <f>VLOOKUP($A7,'SegEnds_NonXtal_Prot#'!$A:$AL,18,FALSE)</f>
        <v>146</v>
      </c>
      <c r="X7" s="5">
        <f>VLOOKUP($A7,'SegEnds_NonXtal_Prot#'!$A:$AL,21,FALSE)</f>
        <v>154</v>
      </c>
      <c r="Y7" s="5">
        <f>VLOOKUP($A7,'SegEnds_NonXtal_Prot#'!$A:$AL,24,FALSE)</f>
        <v>192</v>
      </c>
      <c r="Z7" s="5">
        <f>VLOOKUP($A7,'SegEnds_NonXtal_Prot#'!$A:$AL,27,FALSE)</f>
        <v>197</v>
      </c>
      <c r="AA7" s="5">
        <f>VLOOKUP($A7,'SegEnds_NonXtal_Prot#'!$A:$AL,30,FALSE)</f>
        <v>274</v>
      </c>
      <c r="AB7" s="5">
        <f>VLOOKUP($A7,'SegEnds_NonXtal_Prot#'!$A:$AL,33,FALSE)</f>
        <v>316</v>
      </c>
      <c r="AC7" s="5">
        <f>VLOOKUP($A7,'SegEnds_NonXtal_Prot#'!$A:$AL,36,FALSE)</f>
        <v>342</v>
      </c>
      <c r="AD7" s="5">
        <f>VLOOKUP($A7,'SegEnds_NonXtal_Prot#'!$A:$AL,5,FALSE)</f>
        <v>68</v>
      </c>
      <c r="AE7" s="5">
        <f>VLOOKUP($A7,'SegEnds_NonXtal_Prot#'!$A:$AL,8,FALSE)</f>
        <v>72</v>
      </c>
      <c r="AF7" s="5">
        <f>VLOOKUP($A7,'SegEnds_NonXtal_Prot#'!$A:$AL,11,FALSE)</f>
        <v>103</v>
      </c>
      <c r="AG7" s="5">
        <f>VLOOKUP($A7,'SegEnds_NonXtal_Prot#'!$A:$AL,14,FALSE)</f>
        <v>109</v>
      </c>
      <c r="AH7" s="5">
        <f>VLOOKUP($A7,'SegEnds_NonXtal_Prot#'!$A:$AL,17,FALSE)</f>
        <v>145</v>
      </c>
      <c r="AI7" s="5">
        <f>VLOOKUP($A7,'SegEnds_NonXtal_Prot#'!$A:$AL,20,FALSE)</f>
        <v>153</v>
      </c>
      <c r="AJ7" s="5">
        <f>VLOOKUP($A7,'SegEnds_NonXtal_Prot#'!$A:$AL,23,FALSE)</f>
        <v>179</v>
      </c>
      <c r="AK7" s="5">
        <f>VLOOKUP($A7,'SegEnds_NonXtal_Prot#'!$A:$AL,26,FALSE)</f>
        <v>194</v>
      </c>
      <c r="AL7" s="5">
        <f>VLOOKUP($A7,'SegEnds_NonXtal_Prot#'!$A:$AL,29,FALSE)</f>
        <v>238</v>
      </c>
      <c r="AM7" s="5">
        <f>VLOOKUP($A7,'SegEnds_NonXtal_Prot#'!$A:$AL,32,FALSE)</f>
        <v>311</v>
      </c>
      <c r="AN7" s="5">
        <f>VLOOKUP($A7,'SegEnds_NonXtal_Prot#'!$A:$AL,35,FALSE)</f>
        <v>341</v>
      </c>
      <c r="AO7" s="5">
        <f>VLOOKUP($A7,'SegEnds_NonXtal_Prot#'!$A:$AL,38,FALSE)</f>
        <v>353</v>
      </c>
      <c r="AP7" s="5">
        <f t="shared" si="13"/>
        <v>31</v>
      </c>
      <c r="AQ7" s="4">
        <f t="shared" si="14"/>
        <v>3</v>
      </c>
      <c r="AR7" s="4">
        <f t="shared" si="15"/>
        <v>30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25</v>
      </c>
      <c r="BA7" s="4">
        <f t="shared" si="24"/>
        <v>11</v>
      </c>
    </row>
    <row r="8" spans="1:53" x14ac:dyDescent="0.2">
      <c r="A8" s="1" t="str">
        <f>'SegEnds_NonXtal_Prot#'!A111</f>
        <v>galr2_human</v>
      </c>
      <c r="B8" s="1" t="str">
        <f t="shared" si="0"/>
        <v>PEAVIVPLLFALIFLVGTVGNTLVLAVLLRGSTTNLFILNLGVADLCFILCCVPFQATIYTGSLLCKAVHFLIFLTMHASSFTLAAVSLDRYLAIRYTPRNALAAIGLIWGLSLLFSGPYLSYYSAPRRRAMDICTFVFSYLLPVLVLGLTYARTLRYLWRAVDPVSGARRAKRKVTRMILIVAALFCLCWMPHHALILCVWFGTRATYALRILSHLVSYANSCVNPIVYALVSKHFRKGFRTICA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8" s="5" t="str">
        <f t="shared" si="1"/>
        <v>PEAVIVPLLFALIFLVGTVGNTLVLAVLLRG</v>
      </c>
      <c r="G8" s="4" t="str">
        <f t="shared" si="2"/>
        <v>GQAV</v>
      </c>
      <c r="H8" s="4" t="str">
        <f t="shared" si="3"/>
        <v>STTNLFILNLGVADLCFILCCVPFQATIYT</v>
      </c>
      <c r="I8" s="4" t="str">
        <f t="shared" si="4"/>
        <v>GWVF</v>
      </c>
      <c r="J8" s="4" t="str">
        <f t="shared" si="5"/>
        <v>GSLLCKAVHFLIFLTMHASSFTLAAVSLDRYLAIRY</v>
      </c>
      <c r="K8" s="4" t="str">
        <f t="shared" si="6"/>
        <v>PLHSRELR</v>
      </c>
      <c r="L8" s="4" t="str">
        <f t="shared" si="7"/>
        <v>TPRNALAAIGLIWGLSLLFSGPYLSYY</v>
      </c>
      <c r="M8" s="4" t="str">
        <f t="shared" si="8"/>
        <v>CHP</v>
      </c>
      <c r="N8" s="4" t="str">
        <f t="shared" si="9"/>
        <v>SAPRRRAMDICTFVFSYLLPVLVLGLTYARTLRYLWRAVDPV</v>
      </c>
      <c r="O8" s="4" t="str">
        <f t="shared" si="10"/>
        <v>SGARRAKRKVTRMILIVAALFCLCWMPHHALILCVWFG</v>
      </c>
      <c r="P8" s="4" t="str">
        <f t="shared" si="11"/>
        <v>TRATYALRILSHLVSYANSCVNPIVYALV</v>
      </c>
      <c r="Q8" s="4" t="str">
        <f t="shared" si="12"/>
        <v>SKHFRKGFRTICA</v>
      </c>
      <c r="R8" s="5">
        <f>VLOOKUP($A8,'SegEnds_NonXtal_Prot#'!$A:$AL,3,FALSE)</f>
        <v>23</v>
      </c>
      <c r="S8" s="5">
        <f>VLOOKUP($A8,'SegEnds_NonXtal_Prot#'!$A:$AL,6,FALSE)</f>
        <v>54</v>
      </c>
      <c r="T8" s="5">
        <f>VLOOKUP($A8,'SegEnds_NonXtal_Prot#'!$A:$AL,9,FALSE)</f>
        <v>58</v>
      </c>
      <c r="U8" s="5">
        <f>VLOOKUP($A8,'SegEnds_NonXtal_Prot#'!$A:$AL,12,FALSE)</f>
        <v>90</v>
      </c>
      <c r="V8" s="5">
        <f>VLOOKUP($A8,'SegEnds_NonXtal_Prot#'!$A:$AL,15,FALSE)</f>
        <v>94</v>
      </c>
      <c r="W8" s="5">
        <f>VLOOKUP($A8,'SegEnds_NonXtal_Prot#'!$A:$AL,18,FALSE)</f>
        <v>130</v>
      </c>
      <c r="X8" s="5">
        <f>VLOOKUP($A8,'SegEnds_NonXtal_Prot#'!$A:$AL,21,FALSE)</f>
        <v>138</v>
      </c>
      <c r="Y8" s="5">
        <f>VLOOKUP($A8,'SegEnds_NonXtal_Prot#'!$A:$AL,24,FALSE)</f>
        <v>175</v>
      </c>
      <c r="Z8" s="5">
        <f>VLOOKUP($A8,'SegEnds_NonXtal_Prot#'!$A:$AL,27,FALSE)</f>
        <v>180</v>
      </c>
      <c r="AA8" s="5">
        <f>VLOOKUP($A8,'SegEnds_NonXtal_Prot#'!$A:$AL,30,FALSE)</f>
        <v>225</v>
      </c>
      <c r="AB8" s="5">
        <f>VLOOKUP($A8,'SegEnds_NonXtal_Prot#'!$A:$AL,33,FALSE)</f>
        <v>267</v>
      </c>
      <c r="AC8" s="5">
        <f>VLOOKUP($A8,'SegEnds_NonXtal_Prot#'!$A:$AL,36,FALSE)</f>
        <v>296</v>
      </c>
      <c r="AD8" s="5">
        <f>VLOOKUP($A8,'SegEnds_NonXtal_Prot#'!$A:$AL,5,FALSE)</f>
        <v>53</v>
      </c>
      <c r="AE8" s="5">
        <f>VLOOKUP($A8,'SegEnds_NonXtal_Prot#'!$A:$AL,8,FALSE)</f>
        <v>57</v>
      </c>
      <c r="AF8" s="5">
        <f>VLOOKUP($A8,'SegEnds_NonXtal_Prot#'!$A:$AL,11,FALSE)</f>
        <v>87</v>
      </c>
      <c r="AG8" s="5">
        <f>VLOOKUP($A8,'SegEnds_NonXtal_Prot#'!$A:$AL,14,FALSE)</f>
        <v>93</v>
      </c>
      <c r="AH8" s="5">
        <f>VLOOKUP($A8,'SegEnds_NonXtal_Prot#'!$A:$AL,17,FALSE)</f>
        <v>129</v>
      </c>
      <c r="AI8" s="5">
        <f>VLOOKUP($A8,'SegEnds_NonXtal_Prot#'!$A:$AL,20,FALSE)</f>
        <v>137</v>
      </c>
      <c r="AJ8" s="5">
        <f>VLOOKUP($A8,'SegEnds_NonXtal_Prot#'!$A:$AL,23,FALSE)</f>
        <v>164</v>
      </c>
      <c r="AK8" s="5">
        <f>VLOOKUP($A8,'SegEnds_NonXtal_Prot#'!$A:$AL,26,FALSE)</f>
        <v>177</v>
      </c>
      <c r="AL8" s="5">
        <f>VLOOKUP($A8,'SegEnds_NonXtal_Prot#'!$A:$AL,29,FALSE)</f>
        <v>221</v>
      </c>
      <c r="AM8" s="5">
        <f>VLOOKUP($A8,'SegEnds_NonXtal_Prot#'!$A:$AL,32,FALSE)</f>
        <v>262</v>
      </c>
      <c r="AN8" s="5">
        <f>VLOOKUP($A8,'SegEnds_NonXtal_Prot#'!$A:$AL,35,FALSE)</f>
        <v>295</v>
      </c>
      <c r="AO8" s="5">
        <f>VLOOKUP($A8,'SegEnds_NonXtal_Prot#'!$A:$AL,38,FALSE)</f>
        <v>308</v>
      </c>
      <c r="AP8" s="5">
        <f t="shared" si="13"/>
        <v>30</v>
      </c>
      <c r="AQ8" s="4">
        <f t="shared" si="14"/>
        <v>3</v>
      </c>
      <c r="AR8" s="4">
        <f t="shared" si="15"/>
        <v>29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41</v>
      </c>
      <c r="AY8" s="4">
        <f t="shared" si="22"/>
        <v>37</v>
      </c>
      <c r="AZ8" s="4">
        <f t="shared" si="23"/>
        <v>28</v>
      </c>
      <c r="BA8" s="4">
        <f t="shared" si="24"/>
        <v>12</v>
      </c>
    </row>
    <row r="9" spans="1:53" x14ac:dyDescent="0.2">
      <c r="A9" s="1" t="str">
        <f>'SegEnds_NonXtal_Prot#'!A121</f>
        <v>gp161_human</v>
      </c>
      <c r="B9" s="1" t="str">
        <f t="shared" si="0"/>
        <v>GGVIITQFIAIIVITIFVCLGNLVIVVTLYKKTLSNKFVFSLTLSNFLLSVLVLPFVVTSSIRGVVWCNFSALLYLLISSASMLTLGVIAIDRYYAVLYTGNRAVMALVYIWLHSLIGCLPPLFGEPGYTAFWQIWCALFPFLVMLVCYGFIFRVARVKARKVHCGTVVYSANQCKALITILVVLGAFMVTWGPYMVVIASEALWSPSLETWATWLSFASAVCHPLIYGLWNKTVRKELLGMC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9" s="5" t="str">
        <f t="shared" si="1"/>
        <v>GGVIITQFIAIIVITIFVCLGNLVIVVTLYKK</v>
      </c>
      <c r="G9" s="4" t="str">
        <f t="shared" si="2"/>
        <v>SYLL</v>
      </c>
      <c r="H9" s="4" t="str">
        <f t="shared" si="3"/>
        <v>TLSNKFVFSLTLSNFLLSVLVLPFVVTSSIR</v>
      </c>
      <c r="I9" s="4" t="str">
        <f t="shared" si="4"/>
        <v>EWIF</v>
      </c>
      <c r="J9" s="4" t="str">
        <f t="shared" si="5"/>
        <v>GVVWCNFSALLYLLISSASMLTLGVIAIDRYYAVLY</v>
      </c>
      <c r="K9" s="4" t="str">
        <f t="shared" si="6"/>
        <v>PMVYPMKI</v>
      </c>
      <c r="L9" s="4" t="str">
        <f t="shared" si="7"/>
        <v>TGNRAVMALVYIWLHSLIGCLPPLFG</v>
      </c>
      <c r="M9" s="4" t="str">
        <f t="shared" si="8"/>
        <v>CVA</v>
      </c>
      <c r="N9" s="4" t="str">
        <f t="shared" si="9"/>
        <v>EPGYTAFWQIWCALFPFLVMLVCYGFIFRVARVKARKVHCGT</v>
      </c>
      <c r="O9" s="4" t="str">
        <f t="shared" si="10"/>
        <v>VVYSANQCKALITILVVLGAFMVTWGPYMVVIASEALW</v>
      </c>
      <c r="P9" s="4" t="str">
        <f t="shared" si="11"/>
        <v>SPSLETWATWLSFASAVCHPLIYGLW</v>
      </c>
      <c r="Q9" s="4" t="str">
        <f t="shared" si="12"/>
        <v>NKTVRKELLGMC</v>
      </c>
      <c r="R9" s="5">
        <f>VLOOKUP($A9,'SegEnds_NonXtal_Prot#'!$A:$AL,3,FALSE)</f>
        <v>24</v>
      </c>
      <c r="S9" s="5">
        <f>VLOOKUP($A9,'SegEnds_NonXtal_Prot#'!$A:$AL,6,FALSE)</f>
        <v>56</v>
      </c>
      <c r="T9" s="5">
        <f>VLOOKUP($A9,'SegEnds_NonXtal_Prot#'!$A:$AL,9,FALSE)</f>
        <v>60</v>
      </c>
      <c r="U9" s="5">
        <f>VLOOKUP($A9,'SegEnds_NonXtal_Prot#'!$A:$AL,12,FALSE)</f>
        <v>92</v>
      </c>
      <c r="V9" s="5">
        <f>VLOOKUP($A9,'SegEnds_NonXtal_Prot#'!$A:$AL,15,FALSE)</f>
        <v>96</v>
      </c>
      <c r="W9" s="5">
        <f>VLOOKUP($A9,'SegEnds_NonXtal_Prot#'!$A:$AL,18,FALSE)</f>
        <v>132</v>
      </c>
      <c r="X9" s="5">
        <f>VLOOKUP($A9,'SegEnds_NonXtal_Prot#'!$A:$AL,21,FALSE)</f>
        <v>140</v>
      </c>
      <c r="Y9" s="5">
        <f>VLOOKUP($A9,'SegEnds_NonXtal_Prot#'!$A:$AL,24,FALSE)</f>
        <v>178</v>
      </c>
      <c r="Z9" s="5">
        <f>VLOOKUP($A9,'SegEnds_NonXtal_Prot#'!$A:$AL,27,FALSE)</f>
        <v>185</v>
      </c>
      <c r="AA9" s="5">
        <f>VLOOKUP($A9,'SegEnds_NonXtal_Prot#'!$A:$AL,30,FALSE)</f>
        <v>259</v>
      </c>
      <c r="AB9" s="5">
        <f>VLOOKUP($A9,'SegEnds_NonXtal_Prot#'!$A:$AL,33,FALSE)</f>
        <v>302</v>
      </c>
      <c r="AC9" s="5">
        <f>VLOOKUP($A9,'SegEnds_NonXtal_Prot#'!$A:$AL,36,FALSE)</f>
        <v>328</v>
      </c>
      <c r="AD9" s="5">
        <f>VLOOKUP($A9,'SegEnds_NonXtal_Prot#'!$A:$AL,5,FALSE)</f>
        <v>55</v>
      </c>
      <c r="AE9" s="5">
        <f>VLOOKUP($A9,'SegEnds_NonXtal_Prot#'!$A:$AL,8,FALSE)</f>
        <v>59</v>
      </c>
      <c r="AF9" s="5">
        <f>VLOOKUP($A9,'SegEnds_NonXtal_Prot#'!$A:$AL,11,FALSE)</f>
        <v>90</v>
      </c>
      <c r="AG9" s="5">
        <f>VLOOKUP($A9,'SegEnds_NonXtal_Prot#'!$A:$AL,14,FALSE)</f>
        <v>95</v>
      </c>
      <c r="AH9" s="5">
        <f>VLOOKUP($A9,'SegEnds_NonXtal_Prot#'!$A:$AL,17,FALSE)</f>
        <v>131</v>
      </c>
      <c r="AI9" s="5">
        <f>VLOOKUP($A9,'SegEnds_NonXtal_Prot#'!$A:$AL,20,FALSE)</f>
        <v>139</v>
      </c>
      <c r="AJ9" s="5">
        <f>VLOOKUP($A9,'SegEnds_NonXtal_Prot#'!$A:$AL,23,FALSE)</f>
        <v>165</v>
      </c>
      <c r="AK9" s="5">
        <f>VLOOKUP($A9,'SegEnds_NonXtal_Prot#'!$A:$AL,26,FALSE)</f>
        <v>180</v>
      </c>
      <c r="AL9" s="5">
        <f>VLOOKUP($A9,'SegEnds_NonXtal_Prot#'!$A:$AL,29,FALSE)</f>
        <v>226</v>
      </c>
      <c r="AM9" s="5">
        <f>VLOOKUP($A9,'SegEnds_NonXtal_Prot#'!$A:$AL,32,FALSE)</f>
        <v>296</v>
      </c>
      <c r="AN9" s="5">
        <f>VLOOKUP($A9,'SegEnds_NonXtal_Prot#'!$A:$AL,35,FALSE)</f>
        <v>327</v>
      </c>
      <c r="AO9" s="5">
        <f>VLOOKUP($A9,'SegEnds_NonXtal_Prot#'!$A:$AL,38,FALSE)</f>
        <v>339</v>
      </c>
      <c r="AP9" s="5">
        <f t="shared" si="13"/>
        <v>31</v>
      </c>
      <c r="AQ9" s="4">
        <f t="shared" si="14"/>
        <v>3</v>
      </c>
      <c r="AR9" s="4">
        <f t="shared" si="15"/>
        <v>30</v>
      </c>
      <c r="AS9" s="4">
        <f t="shared" si="16"/>
        <v>3</v>
      </c>
      <c r="AT9" s="4">
        <f t="shared" si="17"/>
        <v>35</v>
      </c>
      <c r="AU9" s="4">
        <f t="shared" si="18"/>
        <v>7</v>
      </c>
      <c r="AV9" s="4">
        <f t="shared" si="19"/>
        <v>25</v>
      </c>
      <c r="AW9" s="4">
        <f t="shared" si="20"/>
        <v>2</v>
      </c>
      <c r="AX9" s="4">
        <f t="shared" si="21"/>
        <v>41</v>
      </c>
      <c r="AY9" s="4">
        <f t="shared" si="22"/>
        <v>37</v>
      </c>
      <c r="AZ9" s="4">
        <f t="shared" si="23"/>
        <v>25</v>
      </c>
      <c r="BA9" s="4">
        <f t="shared" si="24"/>
        <v>11</v>
      </c>
    </row>
    <row r="10" spans="1:53" x14ac:dyDescent="0.2">
      <c r="A10" s="1" t="str">
        <f>'SegEnds_NonXtal_Prot#'!A122</f>
        <v>gp162_human</v>
      </c>
      <c r="B10" s="1" t="str">
        <f t="shared" si="0"/>
        <v>SLRSNALSWLACGLLALLANAWIILSISAKKPLELLLCFLAGTHILMAAVPLTTFAVVQLNESICKVFVSTYYTLALATCFTVASLSYHRMWMVRWAKKQALHAVMGIWMVSFILSTLPSIGWGLGFGVCFSLLLLGGIVMGLVCVAITFYQTLWARPRRARQESAKTSLQVTNLVSAIVFLYDSLTGVPILVVSFFSLKSPWMVLAVLWCSMAQTLLLPSFIWSCERYRADVRTVW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0" s="5" t="str">
        <f t="shared" si="1"/>
        <v>SLRSNALSWLACGLLALLANAWIILSISAK</v>
      </c>
      <c r="G10" s="4" t="str">
        <f t="shared" si="2"/>
        <v>QQKH</v>
      </c>
      <c r="H10" s="4" t="str">
        <f t="shared" si="3"/>
        <v>KPLELLLCFLAGTHILMAAVPLTTFAVVQL</v>
      </c>
      <c r="I10" s="4" t="str">
        <f t="shared" si="4"/>
        <v>DYDW</v>
      </c>
      <c r="J10" s="4" t="str">
        <f t="shared" si="5"/>
        <v>NESICKVFVSTYYTLALATCFTVASLSYHRMWMVRW</v>
      </c>
      <c r="K10" s="4" t="str">
        <f t="shared" si="6"/>
        <v>PVNYRLSN</v>
      </c>
      <c r="L10" s="4" t="str">
        <f t="shared" si="7"/>
        <v>AKKQALHAVMGIWMVSFILSTLPSIGW</v>
      </c>
      <c r="M10" s="4" t="str">
        <f t="shared" si="8"/>
        <v>CQF</v>
      </c>
      <c r="N10" s="4" t="str">
        <f t="shared" si="9"/>
        <v>GLGFGVCFSLLLLGGIVMGLVCVAITFYQTLWARPRRARQ</v>
      </c>
      <c r="O10" s="4" t="str">
        <f t="shared" si="10"/>
        <v>ESAKTSLQVTNLVSAIVFLYDSLTGVPILVVSFFSLKS</v>
      </c>
      <c r="P10" s="4" t="str">
        <f t="shared" si="11"/>
        <v>PWMVLAVLWCSMAQTLLLPSFIWS</v>
      </c>
      <c r="Q10" s="4" t="str">
        <f t="shared" si="12"/>
        <v>CERYRADVRTVW</v>
      </c>
      <c r="R10" s="5">
        <f>VLOOKUP($A10,'SegEnds_NonXtal_Prot#'!$A:$AL,3,FALSE)</f>
        <v>12</v>
      </c>
      <c r="S10" s="5">
        <f>VLOOKUP($A10,'SegEnds_NonXtal_Prot#'!$A:$AL,6,FALSE)</f>
        <v>42</v>
      </c>
      <c r="T10" s="5">
        <f>VLOOKUP($A10,'SegEnds_NonXtal_Prot#'!$A:$AL,9,FALSE)</f>
        <v>46</v>
      </c>
      <c r="U10" s="5">
        <f>VLOOKUP($A10,'SegEnds_NonXtal_Prot#'!$A:$AL,12,FALSE)</f>
        <v>82</v>
      </c>
      <c r="V10" s="5">
        <f>VLOOKUP($A10,'SegEnds_NonXtal_Prot#'!$A:$AL,15,FALSE)</f>
        <v>86</v>
      </c>
      <c r="W10" s="5">
        <f>VLOOKUP($A10,'SegEnds_NonXtal_Prot#'!$A:$AL,18,FALSE)</f>
        <v>122</v>
      </c>
      <c r="X10" s="5">
        <f>VLOOKUP($A10,'SegEnds_NonXtal_Prot#'!$A:$AL,21,FALSE)</f>
        <v>130</v>
      </c>
      <c r="Y10" s="5">
        <f>VLOOKUP($A10,'SegEnds_NonXtal_Prot#'!$A:$AL,24,FALSE)</f>
        <v>168</v>
      </c>
      <c r="Z10" s="5">
        <f>VLOOKUP($A10,'SegEnds_NonXtal_Prot#'!$A:$AL,27,FALSE)</f>
        <v>176</v>
      </c>
      <c r="AA10" s="5">
        <f>VLOOKUP($A10,'SegEnds_NonXtal_Prot#'!$A:$AL,30,FALSE)</f>
        <v>261</v>
      </c>
      <c r="AB10" s="5">
        <f>VLOOKUP($A10,'SegEnds_NonXtal_Prot#'!$A:$AL,33,FALSE)</f>
        <v>303</v>
      </c>
      <c r="AC10" s="5">
        <f>VLOOKUP($A10,'SegEnds_NonXtal_Prot#'!$A:$AL,36,FALSE)</f>
        <v>327</v>
      </c>
      <c r="AD10" s="5">
        <f>VLOOKUP($A10,'SegEnds_NonXtal_Prot#'!$A:$AL,5,FALSE)</f>
        <v>41</v>
      </c>
      <c r="AE10" s="5">
        <f>VLOOKUP($A10,'SegEnds_NonXtal_Prot#'!$A:$AL,8,FALSE)</f>
        <v>45</v>
      </c>
      <c r="AF10" s="5">
        <f>VLOOKUP($A10,'SegEnds_NonXtal_Prot#'!$A:$AL,11,FALSE)</f>
        <v>75</v>
      </c>
      <c r="AG10" s="5">
        <f>VLOOKUP($A10,'SegEnds_NonXtal_Prot#'!$A:$AL,14,FALSE)</f>
        <v>85</v>
      </c>
      <c r="AH10" s="5">
        <f>VLOOKUP($A10,'SegEnds_NonXtal_Prot#'!$A:$AL,17,FALSE)</f>
        <v>121</v>
      </c>
      <c r="AI10" s="5">
        <f>VLOOKUP($A10,'SegEnds_NonXtal_Prot#'!$A:$AL,20,FALSE)</f>
        <v>129</v>
      </c>
      <c r="AJ10" s="5">
        <f>VLOOKUP($A10,'SegEnds_NonXtal_Prot#'!$A:$AL,23,FALSE)</f>
        <v>156</v>
      </c>
      <c r="AK10" s="5">
        <f>VLOOKUP($A10,'SegEnds_NonXtal_Prot#'!$A:$AL,26,FALSE)</f>
        <v>170</v>
      </c>
      <c r="AL10" s="5">
        <f>VLOOKUP($A10,'SegEnds_NonXtal_Prot#'!$A:$AL,29,FALSE)</f>
        <v>215</v>
      </c>
      <c r="AM10" s="5">
        <f>VLOOKUP($A10,'SegEnds_NonXtal_Prot#'!$A:$AL,32,FALSE)</f>
        <v>298</v>
      </c>
      <c r="AN10" s="5">
        <f>VLOOKUP($A10,'SegEnds_NonXtal_Prot#'!$A:$AL,35,FALSE)</f>
        <v>326</v>
      </c>
      <c r="AO10" s="5">
        <f>VLOOKUP($A10,'SegEnds_NonXtal_Prot#'!$A:$AL,38,FALSE)</f>
        <v>338</v>
      </c>
      <c r="AP10" s="5">
        <f t="shared" si="13"/>
        <v>29</v>
      </c>
      <c r="AQ10" s="4">
        <f t="shared" si="14"/>
        <v>3</v>
      </c>
      <c r="AR10" s="4">
        <f t="shared" si="15"/>
        <v>29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26</v>
      </c>
      <c r="AW10" s="4">
        <f t="shared" si="20"/>
        <v>2</v>
      </c>
      <c r="AX10" s="4">
        <f t="shared" si="21"/>
        <v>39</v>
      </c>
      <c r="AY10" s="4">
        <f t="shared" si="22"/>
        <v>37</v>
      </c>
      <c r="AZ10" s="4">
        <f t="shared" si="23"/>
        <v>23</v>
      </c>
      <c r="BA10" s="4">
        <f t="shared" si="24"/>
        <v>11</v>
      </c>
    </row>
    <row r="11" spans="1:53" x14ac:dyDescent="0.2">
      <c r="A11" s="1" t="str">
        <f>'SegEnds_NonXtal_Prot#'!A123</f>
        <v>gp171_human</v>
      </c>
      <c r="B11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11" s="5" t="str">
        <f t="shared" si="1"/>
        <v>VYKDLEPFTYFFYLVFLVGIIGSCFATWAFIQK</v>
      </c>
      <c r="G11" s="4" t="str">
        <f t="shared" si="2"/>
        <v/>
      </c>
      <c r="H11" s="4" t="str">
        <f t="shared" si="3"/>
        <v>RCVSIYLINLLTADFLLTLALPVKIVVDLG</v>
      </c>
      <c r="I11" s="4" t="str">
        <f t="shared" si="4"/>
        <v/>
      </c>
      <c r="J11" s="4" t="str">
        <f t="shared" si="5"/>
        <v>WKLKIFHCQVTACLIYINMYLSIIFLAFVSIDRCLQLTH</v>
      </c>
      <c r="K11" s="4" t="str">
        <f t="shared" si="6"/>
        <v>SCKIYRIQ</v>
      </c>
      <c r="L11" s="4" t="str">
        <f t="shared" si="7"/>
        <v>EPGFAKMISTVVWLMVLLIMVPNMMIP</v>
      </c>
      <c r="M11" s="4" t="str">
        <f t="shared" si="8"/>
        <v>CME</v>
      </c>
      <c r="N11" s="4" t="str">
        <f t="shared" si="9"/>
        <v>EFGRNWHLLTNFICVAIFLNFSAIILISNCLVIRQLYR</v>
      </c>
      <c r="O11" s="4" t="str">
        <f t="shared" si="10"/>
        <v>NYPNVKKALINILLVTTGYIICFVPYHIVRIPYTLSQTE</v>
      </c>
      <c r="P11" s="4" t="str">
        <f t="shared" si="11"/>
        <v>DCSTRISLFKAKEATLLLAVSNLCFDPILYYHL</v>
      </c>
      <c r="Q11" s="4" t="str">
        <f t="shared" si="12"/>
        <v>SKAFRSKVTET</v>
      </c>
      <c r="R11" s="5">
        <f>VLOOKUP($A11,'SegEnds_NonXtal_Prot#'!$A:$AL,3,FALSE)</f>
        <v>10</v>
      </c>
      <c r="S11" s="5" t="str">
        <f>VLOOKUP($A11,'SegEnds_NonXtal_Prot#'!$A:$AL,6,FALSE)</f>
        <v>-</v>
      </c>
      <c r="T11" s="5">
        <f>VLOOKUP($A11,'SegEnds_NonXtal_Prot#'!$A:$AL,9,FALSE)</f>
        <v>47</v>
      </c>
      <c r="U11" s="5" t="str">
        <f>VLOOKUP($A11,'SegEnds_NonXtal_Prot#'!$A:$AL,12,FALSE)</f>
        <v>-</v>
      </c>
      <c r="V11" s="5">
        <f>VLOOKUP($A11,'SegEnds_NonXtal_Prot#'!$A:$AL,15,FALSE)</f>
        <v>80</v>
      </c>
      <c r="W11" s="5">
        <f>VLOOKUP($A11,'SegEnds_NonXtal_Prot#'!$A:$AL,18,FALSE)</f>
        <v>119</v>
      </c>
      <c r="X11" s="5">
        <f>VLOOKUP($A11,'SegEnds_NonXtal_Prot#'!$A:$AL,21,FALSE)</f>
        <v>127</v>
      </c>
      <c r="Y11" s="5">
        <f>VLOOKUP($A11,'SegEnds_NonXtal_Prot#'!$A:$AL,24,FALSE)</f>
        <v>165</v>
      </c>
      <c r="Z11" s="5">
        <f>VLOOKUP($A11,'SegEnds_NonXtal_Prot#'!$A:$AL,27,FALSE)</f>
        <v>171</v>
      </c>
      <c r="AA11" s="5">
        <f>VLOOKUP($A11,'SegEnds_NonXtal_Prot#'!$A:$AL,30,FALSE)</f>
        <v>214</v>
      </c>
      <c r="AB11" s="5">
        <f>VLOOKUP($A11,'SegEnds_NonXtal_Prot#'!$A:$AL,33,FALSE)</f>
        <v>256</v>
      </c>
      <c r="AC11" s="5">
        <f>VLOOKUP($A11,'SegEnds_NonXtal_Prot#'!$A:$AL,36,FALSE)</f>
        <v>289</v>
      </c>
      <c r="AD11" s="5">
        <f>VLOOKUP($A11,'SegEnds_NonXtal_Prot#'!$A:$AL,5,FALSE)</f>
        <v>42</v>
      </c>
      <c r="AE11" s="5" t="str">
        <f>VLOOKUP($A11,'SegEnds_NonXtal_Prot#'!$A:$AL,8,FALSE)</f>
        <v>-</v>
      </c>
      <c r="AF11" s="5">
        <f>VLOOKUP($A11,'SegEnds_NonXtal_Prot#'!$A:$AL,11,FALSE)</f>
        <v>76</v>
      </c>
      <c r="AG11" s="5" t="str">
        <f>VLOOKUP($A11,'SegEnds_NonXtal_Prot#'!$A:$AL,14,FALSE)</f>
        <v>-</v>
      </c>
      <c r="AH11" s="5">
        <f>VLOOKUP($A11,'SegEnds_NonXtal_Prot#'!$A:$AL,17,FALSE)</f>
        <v>118</v>
      </c>
      <c r="AI11" s="5">
        <f>VLOOKUP($A11,'SegEnds_NonXtal_Prot#'!$A:$AL,20,FALSE)</f>
        <v>126</v>
      </c>
      <c r="AJ11" s="5">
        <f>VLOOKUP($A11,'SegEnds_NonXtal_Prot#'!$A:$AL,23,FALSE)</f>
        <v>153</v>
      </c>
      <c r="AK11" s="5">
        <f>VLOOKUP($A11,'SegEnds_NonXtal_Prot#'!$A:$AL,26,FALSE)</f>
        <v>167</v>
      </c>
      <c r="AL11" s="5">
        <f>VLOOKUP($A11,'SegEnds_NonXtal_Prot#'!$A:$AL,29,FALSE)</f>
        <v>208</v>
      </c>
      <c r="AM11" s="5">
        <f>VLOOKUP($A11,'SegEnds_NonXtal_Prot#'!$A:$AL,32,FALSE)</f>
        <v>252</v>
      </c>
      <c r="AN11" s="5">
        <f>VLOOKUP($A11,'SegEnds_NonXtal_Prot#'!$A:$AL,35,FALSE)</f>
        <v>288</v>
      </c>
      <c r="AO11" s="5">
        <f>VLOOKUP($A11,'SegEnds_NonXtal_Prot#'!$A:$AL,38,FALSE)</f>
        <v>299</v>
      </c>
      <c r="AP11" s="5">
        <f t="shared" si="13"/>
        <v>32</v>
      </c>
      <c r="AQ11" s="4" t="str">
        <f t="shared" si="14"/>
        <v>-</v>
      </c>
      <c r="AR11" s="4">
        <f t="shared" si="15"/>
        <v>29</v>
      </c>
      <c r="AS11" s="4" t="str">
        <f t="shared" si="16"/>
        <v>-</v>
      </c>
      <c r="AT11" s="4">
        <f t="shared" si="17"/>
        <v>38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37</v>
      </c>
      <c r="AY11" s="4">
        <f t="shared" si="22"/>
        <v>38</v>
      </c>
      <c r="AZ11" s="4">
        <f t="shared" si="23"/>
        <v>32</v>
      </c>
      <c r="BA11" s="4">
        <f t="shared" si="24"/>
        <v>10</v>
      </c>
    </row>
    <row r="12" spans="1:53" x14ac:dyDescent="0.2">
      <c r="A12" s="1" t="str">
        <f>'SegEnds_NonXtal_Prot#'!A146</f>
        <v>gpr42_human</v>
      </c>
      <c r="B12" s="1" t="str">
        <f t="shared" si="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2" s="5" t="str">
        <f t="shared" si="1"/>
        <v>SGNHWFVFSVYLLTFLVGLPLNLLALVVFVGK</v>
      </c>
      <c r="G12" s="4" t="str">
        <f t="shared" si="2"/>
        <v/>
      </c>
      <c r="H12" s="4" t="str">
        <f t="shared" si="3"/>
        <v>VAVDVLLLNLTASDLLLLLFLPFRMVEAAN</v>
      </c>
      <c r="I12" s="4" t="str">
        <f t="shared" si="4"/>
        <v>HWPL</v>
      </c>
      <c r="J12" s="4" t="str">
        <f t="shared" si="5"/>
        <v>PFILCPLSGFIFFTTIYLTALFLAAVSIERFLSVAH</v>
      </c>
      <c r="K12" s="4" t="str">
        <f t="shared" si="6"/>
        <v>PLWYKTRP</v>
      </c>
      <c r="L12" s="4" t="str">
        <f t="shared" si="7"/>
        <v>RLGQAGLVSVACWLLASAHCSVVYVI</v>
      </c>
      <c r="M12" s="4" t="str">
        <f t="shared" si="8"/>
        <v>CYL</v>
      </c>
      <c r="N12" s="4" t="str">
        <f t="shared" si="9"/>
        <v>LAILLPVRLEMAVVLFVVPLIITSYCYSRLVWILGRG</v>
      </c>
      <c r="O12" s="4" t="str">
        <f t="shared" si="10"/>
        <v>RRQRRVAGLVAATLLNFLVCFGPYNVSHVVGYIC</v>
      </c>
      <c r="P12" s="4" t="str">
        <f t="shared" si="11"/>
        <v>VWRIYVTLLSTLNSCVDPFVYYFS</v>
      </c>
      <c r="Q12" s="4" t="str">
        <f t="shared" si="12"/>
        <v>SSGFQADFHELLRRL</v>
      </c>
      <c r="R12" s="5">
        <f>VLOOKUP($A12,'SegEnds_NonXtal_Prot#'!$A:$AL,3,FALSE)</f>
        <v>11</v>
      </c>
      <c r="S12" s="5" t="str">
        <f>VLOOKUP($A12,'SegEnds_NonXtal_Prot#'!$A:$AL,6,FALSE)</f>
        <v>-</v>
      </c>
      <c r="T12" s="5">
        <f>VLOOKUP($A12,'SegEnds_NonXtal_Prot#'!$A:$AL,9,FALSE)</f>
        <v>48</v>
      </c>
      <c r="U12" s="5">
        <f>VLOOKUP($A12,'SegEnds_NonXtal_Prot#'!$A:$AL,12,FALSE)</f>
        <v>80</v>
      </c>
      <c r="V12" s="5">
        <f>VLOOKUP($A12,'SegEnds_NonXtal_Prot#'!$A:$AL,15,FALSE)</f>
        <v>84</v>
      </c>
      <c r="W12" s="5">
        <f>VLOOKUP($A12,'SegEnds_NonXtal_Prot#'!$A:$AL,18,FALSE)</f>
        <v>120</v>
      </c>
      <c r="X12" s="5">
        <f>VLOOKUP($A12,'SegEnds_NonXtal_Prot#'!$A:$AL,21,FALSE)</f>
        <v>128</v>
      </c>
      <c r="Y12" s="5">
        <f>VLOOKUP($A12,'SegEnds_NonXtal_Prot#'!$A:$AL,24,FALSE)</f>
        <v>169</v>
      </c>
      <c r="Z12" s="5">
        <f>VLOOKUP($A12,'SegEnds_NonXtal_Prot#'!$A:$AL,27,FALSE)</f>
        <v>178</v>
      </c>
      <c r="AA12" s="5">
        <f>VLOOKUP($A12,'SegEnds_NonXtal_Prot#'!$A:$AL,30,FALSE)</f>
        <v>218</v>
      </c>
      <c r="AB12" s="5">
        <f>VLOOKUP($A12,'SegEnds_NonXtal_Prot#'!$A:$AL,33,FALSE)</f>
        <v>256</v>
      </c>
      <c r="AC12" s="5">
        <f>VLOOKUP($A12,'SegEnds_NonXtal_Prot#'!$A:$AL,36,FALSE)</f>
        <v>280</v>
      </c>
      <c r="AD12" s="5">
        <f>VLOOKUP($A12,'SegEnds_NonXtal_Prot#'!$A:$AL,5,FALSE)</f>
        <v>42</v>
      </c>
      <c r="AE12" s="5" t="str">
        <f>VLOOKUP($A12,'SegEnds_NonXtal_Prot#'!$A:$AL,8,FALSE)</f>
        <v>-</v>
      </c>
      <c r="AF12" s="5">
        <f>VLOOKUP($A12,'SegEnds_NonXtal_Prot#'!$A:$AL,11,FALSE)</f>
        <v>77</v>
      </c>
      <c r="AG12" s="5">
        <f>VLOOKUP($A12,'SegEnds_NonXtal_Prot#'!$A:$AL,14,FALSE)</f>
        <v>83</v>
      </c>
      <c r="AH12" s="5">
        <f>VLOOKUP($A12,'SegEnds_NonXtal_Prot#'!$A:$AL,17,FALSE)</f>
        <v>119</v>
      </c>
      <c r="AI12" s="5">
        <f>VLOOKUP($A12,'SegEnds_NonXtal_Prot#'!$A:$AL,20,FALSE)</f>
        <v>127</v>
      </c>
      <c r="AJ12" s="5">
        <f>VLOOKUP($A12,'SegEnds_NonXtal_Prot#'!$A:$AL,23,FALSE)</f>
        <v>153</v>
      </c>
      <c r="AK12" s="5">
        <f>VLOOKUP($A12,'SegEnds_NonXtal_Prot#'!$A:$AL,26,FALSE)</f>
        <v>171</v>
      </c>
      <c r="AL12" s="5">
        <f>VLOOKUP($A12,'SegEnds_NonXtal_Prot#'!$A:$AL,29,FALSE)</f>
        <v>214</v>
      </c>
      <c r="AM12" s="5">
        <f>VLOOKUP($A12,'SegEnds_NonXtal_Prot#'!$A:$AL,32,FALSE)</f>
        <v>251</v>
      </c>
      <c r="AN12" s="5">
        <f>VLOOKUP($A12,'SegEnds_NonXtal_Prot#'!$A:$AL,35,FALSE)</f>
        <v>279</v>
      </c>
      <c r="AO12" s="5">
        <f>VLOOKUP($A12,'SegEnds_NonXtal_Prot#'!$A:$AL,38,FALSE)</f>
        <v>294</v>
      </c>
      <c r="AP12" s="5">
        <f t="shared" si="13"/>
        <v>31</v>
      </c>
      <c r="AQ12" s="4" t="str">
        <f t="shared" si="14"/>
        <v>-</v>
      </c>
      <c r="AR12" s="4">
        <f t="shared" si="15"/>
        <v>29</v>
      </c>
      <c r="AS12" s="4">
        <f t="shared" si="16"/>
        <v>3</v>
      </c>
      <c r="AT12" s="4">
        <f t="shared" si="17"/>
        <v>35</v>
      </c>
      <c r="AU12" s="4">
        <f t="shared" si="18"/>
        <v>7</v>
      </c>
      <c r="AV12" s="4">
        <f t="shared" si="19"/>
        <v>25</v>
      </c>
      <c r="AW12" s="4">
        <f t="shared" si="20"/>
        <v>2</v>
      </c>
      <c r="AX12" s="4">
        <f t="shared" si="21"/>
        <v>36</v>
      </c>
      <c r="AY12" s="4">
        <f t="shared" si="22"/>
        <v>33</v>
      </c>
      <c r="AZ12" s="4">
        <f t="shared" si="23"/>
        <v>23</v>
      </c>
      <c r="BA12" s="4">
        <f t="shared" si="24"/>
        <v>14</v>
      </c>
    </row>
    <row r="13" spans="1:53" x14ac:dyDescent="0.2">
      <c r="A13" s="1" t="str">
        <f>'SegEnds_NonXtal_Prot#'!A157</f>
        <v>grpr_human</v>
      </c>
      <c r="B13" s="1" t="str">
        <f t="shared" si="0"/>
        <v>VNDDWSHPGILYVIPAVYGVIILIGLIGNITLIKIFCTVNVPNLFISSLALGDLLLLITCAPVDASRYLAGRIGCKLIPFIQLTSVGVSVFTLTALSADRYKAIVRALMKICLKAAFIWIISMLLAIPEAVFSHSNELHPKIHSMASFLVFYVIPLSIISVYYYFIAKNLIQSAYNLKKQIESRKRLAKTVLVFVGLFAFCWLPNHVIYLYRSYHSMLHFVTSICARLLAFTNSCVNPFALYLLSKSFRKQFNTQLLC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3" s="5" t="str">
        <f t="shared" si="1"/>
        <v>VNDDWSHPGILYVIPAVYGVIILIGLIGNITLIKIFCTV</v>
      </c>
      <c r="G13" s="4" t="str">
        <f t="shared" si="2"/>
        <v>KSMR</v>
      </c>
      <c r="H13" s="4" t="str">
        <f t="shared" si="3"/>
        <v>NVPNLFISSLALGDLLLLITCAPVDASRYLA</v>
      </c>
      <c r="I13" s="4" t="str">
        <f t="shared" si="4"/>
        <v>RWLF</v>
      </c>
      <c r="J13" s="4" t="str">
        <f t="shared" si="5"/>
        <v>GRIGCKLIPFIQLTSVGVSVFTLTALSADRYKAIVR</v>
      </c>
      <c r="K13" s="4" t="str">
        <f t="shared" si="6"/>
        <v>PMDIQASH</v>
      </c>
      <c r="L13" s="4" t="str">
        <f t="shared" si="7"/>
        <v>ALMKICLKAAFIWIISMLLAIPEAVFS</v>
      </c>
      <c r="M13" s="4" t="str">
        <f t="shared" si="8"/>
        <v>CAP</v>
      </c>
      <c r="N13" s="4" t="str">
        <f t="shared" si="9"/>
        <v>HSNELHPKIHSMASFLVFYVIPLSIISVYYYFIAKNLIQSAYNL</v>
      </c>
      <c r="O13" s="4" t="str">
        <f t="shared" si="10"/>
        <v>KKQIESRKRLAKTVLVFVGLFAFCWLPNHVIYLYRSYH</v>
      </c>
      <c r="P13" s="4" t="str">
        <f t="shared" si="11"/>
        <v>SMLHFVTSICARLLAFTNSCVNPFALYLL</v>
      </c>
      <c r="Q13" s="4" t="str">
        <f t="shared" si="12"/>
        <v>SKSFRKQFNTQLLC</v>
      </c>
      <c r="R13" s="5">
        <f>VLOOKUP($A13,'SegEnds_NonXtal_Prot#'!$A:$AL,3,FALSE)</f>
        <v>30</v>
      </c>
      <c r="S13" s="5">
        <f>VLOOKUP($A13,'SegEnds_NonXtal_Prot#'!$A:$AL,6,FALSE)</f>
        <v>69</v>
      </c>
      <c r="T13" s="5">
        <f>VLOOKUP($A13,'SegEnds_NonXtal_Prot#'!$A:$AL,9,FALSE)</f>
        <v>73</v>
      </c>
      <c r="U13" s="5">
        <f>VLOOKUP($A13,'SegEnds_NonXtal_Prot#'!$A:$AL,12,FALSE)</f>
        <v>105</v>
      </c>
      <c r="V13" s="5">
        <f>VLOOKUP($A13,'SegEnds_NonXtal_Prot#'!$A:$AL,15,FALSE)</f>
        <v>109</v>
      </c>
      <c r="W13" s="5">
        <f>VLOOKUP($A13,'SegEnds_NonXtal_Prot#'!$A:$AL,18,FALSE)</f>
        <v>145</v>
      </c>
      <c r="X13" s="5">
        <f>VLOOKUP($A13,'SegEnds_NonXtal_Prot#'!$A:$AL,21,FALSE)</f>
        <v>153</v>
      </c>
      <c r="Y13" s="5">
        <f>VLOOKUP($A13,'SegEnds_NonXtal_Prot#'!$A:$AL,24,FALSE)</f>
        <v>196</v>
      </c>
      <c r="Z13" s="5">
        <f>VLOOKUP($A13,'SegEnds_NonXtal_Prot#'!$A:$AL,27,FALSE)</f>
        <v>201</v>
      </c>
      <c r="AA13" s="5">
        <f>VLOOKUP($A13,'SegEnds_NonXtal_Prot#'!$A:$AL,30,FALSE)</f>
        <v>253</v>
      </c>
      <c r="AB13" s="5">
        <f>VLOOKUP($A13,'SegEnds_NonXtal_Prot#'!$A:$AL,33,FALSE)</f>
        <v>297</v>
      </c>
      <c r="AC13" s="5">
        <f>VLOOKUP($A13,'SegEnds_NonXtal_Prot#'!$A:$AL,36,FALSE)</f>
        <v>326</v>
      </c>
      <c r="AD13" s="5">
        <f>VLOOKUP($A13,'SegEnds_NonXtal_Prot#'!$A:$AL,5,FALSE)</f>
        <v>68</v>
      </c>
      <c r="AE13" s="5">
        <f>VLOOKUP($A13,'SegEnds_NonXtal_Prot#'!$A:$AL,8,FALSE)</f>
        <v>72</v>
      </c>
      <c r="AF13" s="5">
        <f>VLOOKUP($A13,'SegEnds_NonXtal_Prot#'!$A:$AL,11,FALSE)</f>
        <v>103</v>
      </c>
      <c r="AG13" s="5">
        <f>VLOOKUP($A13,'SegEnds_NonXtal_Prot#'!$A:$AL,14,FALSE)</f>
        <v>108</v>
      </c>
      <c r="AH13" s="5">
        <f>VLOOKUP($A13,'SegEnds_NonXtal_Prot#'!$A:$AL,17,FALSE)</f>
        <v>144</v>
      </c>
      <c r="AI13" s="5">
        <f>VLOOKUP($A13,'SegEnds_NonXtal_Prot#'!$A:$AL,20,FALSE)</f>
        <v>152</v>
      </c>
      <c r="AJ13" s="5">
        <f>VLOOKUP($A13,'SegEnds_NonXtal_Prot#'!$A:$AL,23,FALSE)</f>
        <v>179</v>
      </c>
      <c r="AK13" s="5">
        <f>VLOOKUP($A13,'SegEnds_NonXtal_Prot#'!$A:$AL,26,FALSE)</f>
        <v>198</v>
      </c>
      <c r="AL13" s="5">
        <f>VLOOKUP($A13,'SegEnds_NonXtal_Prot#'!$A:$AL,29,FALSE)</f>
        <v>244</v>
      </c>
      <c r="AM13" s="5">
        <f>VLOOKUP($A13,'SegEnds_NonXtal_Prot#'!$A:$AL,32,FALSE)</f>
        <v>290</v>
      </c>
      <c r="AN13" s="5">
        <f>VLOOKUP($A13,'SegEnds_NonXtal_Prot#'!$A:$AL,35,FALSE)</f>
        <v>325</v>
      </c>
      <c r="AO13" s="5">
        <f>VLOOKUP($A13,'SegEnds_NonXtal_Prot#'!$A:$AL,38,FALSE)</f>
        <v>339</v>
      </c>
      <c r="AP13" s="5">
        <f t="shared" si="13"/>
        <v>38</v>
      </c>
      <c r="AQ13" s="4">
        <f t="shared" si="14"/>
        <v>3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43</v>
      </c>
      <c r="AY13" s="4">
        <f t="shared" si="22"/>
        <v>37</v>
      </c>
      <c r="AZ13" s="4">
        <f t="shared" si="23"/>
        <v>28</v>
      </c>
      <c r="BA13" s="4">
        <f t="shared" si="24"/>
        <v>13</v>
      </c>
    </row>
    <row r="14" spans="1:53" x14ac:dyDescent="0.2">
      <c r="A14" s="1" t="str">
        <f>'SegEnds_NonXtal_Prot#'!A170</f>
        <v>lshr_human</v>
      </c>
      <c r="B14" s="1" t="str">
        <f t="shared" si="0"/>
        <v>FLRVLIWLINILAIMGNMTVLFVLLTSVPRFLMCNLSFADFCMGLYLLLIASVDSQTGSGCSTAGFFTVFASELSVYTLTVITLERWHTITYRLRHAILIMLGGWLFSSLIAMLPLVLSQVYILTILILNVVAFFIICACYIKIYFAVRNATNKDTKIAKKMAILIFTDFTCMAPISFFAISAAFKVTNSKVLLVLFYPINSCANPFLYAIFTKTFQRDFFLLLS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4" s="5" t="str">
        <f t="shared" si="1"/>
        <v>FLRVLIWLINILAIMGNMTVLFVLLTS</v>
      </c>
      <c r="G14" s="4" t="str">
        <f t="shared" si="2"/>
        <v>YKLT</v>
      </c>
      <c r="H14" s="4" t="str">
        <f t="shared" si="3"/>
        <v>VPRFLMCNLSFADFCMGLYLLLIASVDSQT</v>
      </c>
      <c r="I14" s="4" t="str">
        <f t="shared" si="4"/>
        <v>DWQT</v>
      </c>
      <c r="J14" s="4" t="str">
        <f t="shared" si="5"/>
        <v>GSGCSTAGFFTVFASELSVYTLTVITLERWHTITY</v>
      </c>
      <c r="K14" s="4" t="str">
        <f t="shared" si="6"/>
        <v>AIHLDQKL</v>
      </c>
      <c r="L14" s="4" t="str">
        <f t="shared" si="7"/>
        <v>RLRHAILIMLGGWLFSSLIAMLPLV</v>
      </c>
      <c r="M14" s="4" t="str">
        <f t="shared" si="8"/>
        <v>CFP</v>
      </c>
      <c r="N14" s="4" t="str">
        <f t="shared" si="9"/>
        <v>LSQVYILTILILNVVAFFIICACYIKIYFAVRN</v>
      </c>
      <c r="O14" s="4" t="str">
        <f t="shared" si="10"/>
        <v>ATNKDTKIAKKMAILIFTDFTCMAPISFFAISAAFK</v>
      </c>
      <c r="P14" s="4" t="str">
        <f t="shared" si="11"/>
        <v>VTNSKVLLVLFYPINSCANPFLYAIF</v>
      </c>
      <c r="Q14" s="4" t="str">
        <f t="shared" si="12"/>
        <v>TKTFQRDFFLLLS</v>
      </c>
      <c r="R14" s="5">
        <f>VLOOKUP($A14,'SegEnds_NonXtal_Prot#'!$A:$AL,3,FALSE)</f>
        <v>361</v>
      </c>
      <c r="S14" s="5">
        <f>VLOOKUP($A14,'SegEnds_NonXtal_Prot#'!$A:$AL,6,FALSE)</f>
        <v>389</v>
      </c>
      <c r="T14" s="5">
        <f>VLOOKUP($A14,'SegEnds_NonXtal_Prot#'!$A:$AL,9,FALSE)</f>
        <v>393</v>
      </c>
      <c r="U14" s="5">
        <f>VLOOKUP($A14,'SegEnds_NonXtal_Prot#'!$A:$AL,12,FALSE)</f>
        <v>432</v>
      </c>
      <c r="V14" s="5">
        <f>VLOOKUP($A14,'SegEnds_NonXtal_Prot#'!$A:$AL,15,FALSE)</f>
        <v>436</v>
      </c>
      <c r="W14" s="5">
        <f>VLOOKUP($A14,'SegEnds_NonXtal_Prot#'!$A:$AL,18,FALSE)</f>
        <v>471</v>
      </c>
      <c r="X14" s="5">
        <f>VLOOKUP($A14,'SegEnds_NonXtal_Prot#'!$A:$AL,21,FALSE)</f>
        <v>479</v>
      </c>
      <c r="Y14" s="5">
        <f>VLOOKUP($A14,'SegEnds_NonXtal_Prot#'!$A:$AL,24,FALSE)</f>
        <v>514</v>
      </c>
      <c r="Z14" s="5">
        <f>VLOOKUP($A14,'SegEnds_NonXtal_Prot#'!$A:$AL,27,FALSE)</f>
        <v>523</v>
      </c>
      <c r="AA14" s="5">
        <f>VLOOKUP($A14,'SegEnds_NonXtal_Prot#'!$A:$AL,30,FALSE)</f>
        <v>560</v>
      </c>
      <c r="AB14" s="5">
        <f>VLOOKUP($A14,'SegEnds_NonXtal_Prot#'!$A:$AL,33,FALSE)</f>
        <v>601</v>
      </c>
      <c r="AC14" s="5">
        <f>VLOOKUP($A14,'SegEnds_NonXtal_Prot#'!$A:$AL,36,FALSE)</f>
        <v>627</v>
      </c>
      <c r="AD14" s="5">
        <f>VLOOKUP($A14,'SegEnds_NonXtal_Prot#'!$A:$AL,5,FALSE)</f>
        <v>387</v>
      </c>
      <c r="AE14" s="5">
        <f>VLOOKUP($A14,'SegEnds_NonXtal_Prot#'!$A:$AL,8,FALSE)</f>
        <v>392</v>
      </c>
      <c r="AF14" s="5">
        <f>VLOOKUP($A14,'SegEnds_NonXtal_Prot#'!$A:$AL,11,FALSE)</f>
        <v>422</v>
      </c>
      <c r="AG14" s="5">
        <f>VLOOKUP($A14,'SegEnds_NonXtal_Prot#'!$A:$AL,14,FALSE)</f>
        <v>435</v>
      </c>
      <c r="AH14" s="5">
        <f>VLOOKUP($A14,'SegEnds_NonXtal_Prot#'!$A:$AL,17,FALSE)</f>
        <v>470</v>
      </c>
      <c r="AI14" s="5">
        <f>VLOOKUP($A14,'SegEnds_NonXtal_Prot#'!$A:$AL,20,FALSE)</f>
        <v>478</v>
      </c>
      <c r="AJ14" s="5">
        <f>VLOOKUP($A14,'SegEnds_NonXtal_Prot#'!$A:$AL,23,FALSE)</f>
        <v>503</v>
      </c>
      <c r="AK14" s="5">
        <f>VLOOKUP($A14,'SegEnds_NonXtal_Prot#'!$A:$AL,26,FALSE)</f>
        <v>516</v>
      </c>
      <c r="AL14" s="5">
        <f>VLOOKUP($A14,'SegEnds_NonXtal_Prot#'!$A:$AL,29,FALSE)</f>
        <v>555</v>
      </c>
      <c r="AM14" s="5">
        <f>VLOOKUP($A14,'SegEnds_NonXtal_Prot#'!$A:$AL,32,FALSE)</f>
        <v>595</v>
      </c>
      <c r="AN14" s="5">
        <f>VLOOKUP($A14,'SegEnds_NonXtal_Prot#'!$A:$AL,35,FALSE)</f>
        <v>626</v>
      </c>
      <c r="AO14" s="5">
        <f>VLOOKUP($A14,'SegEnds_NonXtal_Prot#'!$A:$AL,38,FALSE)</f>
        <v>639</v>
      </c>
      <c r="AP14" s="5">
        <f t="shared" si="13"/>
        <v>26</v>
      </c>
      <c r="AQ14" s="4">
        <f t="shared" si="14"/>
        <v>3</v>
      </c>
      <c r="AR14" s="4">
        <f t="shared" si="15"/>
        <v>29</v>
      </c>
      <c r="AS14" s="4">
        <f t="shared" si="16"/>
        <v>3</v>
      </c>
      <c r="AT14" s="4">
        <f t="shared" si="17"/>
        <v>34</v>
      </c>
      <c r="AU14" s="4">
        <f t="shared" si="18"/>
        <v>7</v>
      </c>
      <c r="AV14" s="4">
        <f t="shared" si="19"/>
        <v>24</v>
      </c>
      <c r="AW14" s="4">
        <f t="shared" si="20"/>
        <v>2</v>
      </c>
      <c r="AX14" s="4">
        <f t="shared" si="21"/>
        <v>32</v>
      </c>
      <c r="AY14" s="4">
        <f t="shared" si="22"/>
        <v>35</v>
      </c>
      <c r="AZ14" s="4">
        <f t="shared" si="23"/>
        <v>25</v>
      </c>
      <c r="BA14" s="4">
        <f t="shared" si="24"/>
        <v>12</v>
      </c>
    </row>
    <row r="15" spans="1:53" x14ac:dyDescent="0.2">
      <c r="A15" s="1" t="str">
        <f>'SegEnds_NonXtal_Prot#'!A178</f>
        <v>mchr1_human</v>
      </c>
      <c r="B15" s="1" t="str">
        <f t="shared" si="0"/>
        <v>YINIIMPSVFGTICLLGIIGNSTVIFAVVKKWCNNVPDIFIINLSVVDLLFLLGMPFMIHQLMGGETMCTLITAMDANSQFTSTYILTAMAIDRYLATVHKPSVATLVICLLWALSFISITPVWLYAPDTDLYWFTLYQFFLAFALPFVVITAAYVRILQRMTSSQRSIRLRTKRVTRTAIAICLVFFVCWAPYYVLQLTQLSIFVYLYNAAISLGYANSCLNPFVYIVLCETFRKRLVLSVK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15" s="5" t="str">
        <f t="shared" si="1"/>
        <v>YINIIMPSVFGTICLLGIIGNSTVIFAVVKK</v>
      </c>
      <c r="G15" s="4" t="str">
        <f t="shared" si="2"/>
        <v>SKLH</v>
      </c>
      <c r="H15" s="4" t="str">
        <f t="shared" si="3"/>
        <v>WCNNVPDIFIINLSVVDLLFLLGMPFMIHQLMG</v>
      </c>
      <c r="I15" s="4" t="str">
        <f t="shared" si="4"/>
        <v>VWHF</v>
      </c>
      <c r="J15" s="4" t="str">
        <f t="shared" si="5"/>
        <v>GETMCTLITAMDANSQFTSTYILTAMAIDRYLATVH</v>
      </c>
      <c r="K15" s="4" t="str">
        <f t="shared" si="6"/>
        <v>PISSTKFR</v>
      </c>
      <c r="L15" s="4" t="str">
        <f t="shared" si="7"/>
        <v>KPSVATLVICLLWALSFISITPVWLYA</v>
      </c>
      <c r="M15" s="4" t="str">
        <f t="shared" si="8"/>
        <v>CGI</v>
      </c>
      <c r="N15" s="4" t="str">
        <f t="shared" si="9"/>
        <v>PDTDLYWFTLYQFFLAFALPFVVITAAYVRILQRMTSS</v>
      </c>
      <c r="O15" s="4" t="str">
        <f t="shared" si="10"/>
        <v>QRSIRLRTKRVTRTAIAICLVFFVCWAPYYVLQLTQLSI</v>
      </c>
      <c r="P15" s="4" t="str">
        <f t="shared" si="11"/>
        <v>FVYLYNAAISLGYANSCLNPFVYIVL</v>
      </c>
      <c r="Q15" s="4" t="str">
        <f t="shared" si="12"/>
        <v>CETFRKRLVLSVK</v>
      </c>
      <c r="R15" s="5">
        <f>VLOOKUP($A15,'SegEnds_NonXtal_Prot#'!$A:$AL,3,FALSE)</f>
        <v>107</v>
      </c>
      <c r="S15" s="5">
        <f>VLOOKUP($A15,'SegEnds_NonXtal_Prot#'!$A:$AL,6,FALSE)</f>
        <v>138</v>
      </c>
      <c r="T15" s="5">
        <f>VLOOKUP($A15,'SegEnds_NonXtal_Prot#'!$A:$AL,9,FALSE)</f>
        <v>142</v>
      </c>
      <c r="U15" s="5">
        <f>VLOOKUP($A15,'SegEnds_NonXtal_Prot#'!$A:$AL,12,FALSE)</f>
        <v>177</v>
      </c>
      <c r="V15" s="5">
        <f>VLOOKUP($A15,'SegEnds_NonXtal_Prot#'!$A:$AL,15,FALSE)</f>
        <v>181</v>
      </c>
      <c r="W15" s="5">
        <f>VLOOKUP($A15,'SegEnds_NonXtal_Prot#'!$A:$AL,18,FALSE)</f>
        <v>217</v>
      </c>
      <c r="X15" s="5">
        <f>VLOOKUP($A15,'SegEnds_NonXtal_Prot#'!$A:$AL,21,FALSE)</f>
        <v>225</v>
      </c>
      <c r="Y15" s="5">
        <f>VLOOKUP($A15,'SegEnds_NonXtal_Prot#'!$A:$AL,24,FALSE)</f>
        <v>263</v>
      </c>
      <c r="Z15" s="5">
        <f>VLOOKUP($A15,'SegEnds_NonXtal_Prot#'!$A:$AL,27,FALSE)</f>
        <v>270</v>
      </c>
      <c r="AA15" s="5">
        <f>VLOOKUP($A15,'SegEnds_NonXtal_Prot#'!$A:$AL,30,FALSE)</f>
        <v>313</v>
      </c>
      <c r="AB15" s="5">
        <f>VLOOKUP($A15,'SegEnds_NonXtal_Prot#'!$A:$AL,33,FALSE)</f>
        <v>358</v>
      </c>
      <c r="AC15" s="5">
        <f>VLOOKUP($A15,'SegEnds_NonXtal_Prot#'!$A:$AL,36,FALSE)</f>
        <v>384</v>
      </c>
      <c r="AD15" s="5">
        <f>VLOOKUP($A15,'SegEnds_NonXtal_Prot#'!$A:$AL,5,FALSE)</f>
        <v>137</v>
      </c>
      <c r="AE15" s="5">
        <f>VLOOKUP($A15,'SegEnds_NonXtal_Prot#'!$A:$AL,8,FALSE)</f>
        <v>141</v>
      </c>
      <c r="AF15" s="5">
        <f>VLOOKUP($A15,'SegEnds_NonXtal_Prot#'!$A:$AL,11,FALSE)</f>
        <v>174</v>
      </c>
      <c r="AG15" s="5">
        <f>VLOOKUP($A15,'SegEnds_NonXtal_Prot#'!$A:$AL,14,FALSE)</f>
        <v>180</v>
      </c>
      <c r="AH15" s="5">
        <f>VLOOKUP($A15,'SegEnds_NonXtal_Prot#'!$A:$AL,17,FALSE)</f>
        <v>216</v>
      </c>
      <c r="AI15" s="5">
        <f>VLOOKUP($A15,'SegEnds_NonXtal_Prot#'!$A:$AL,20,FALSE)</f>
        <v>224</v>
      </c>
      <c r="AJ15" s="5">
        <f>VLOOKUP($A15,'SegEnds_NonXtal_Prot#'!$A:$AL,23,FALSE)</f>
        <v>251</v>
      </c>
      <c r="AK15" s="5">
        <f>VLOOKUP($A15,'SegEnds_NonXtal_Prot#'!$A:$AL,26,FALSE)</f>
        <v>265</v>
      </c>
      <c r="AL15" s="5">
        <f>VLOOKUP($A15,'SegEnds_NonXtal_Prot#'!$A:$AL,29,FALSE)</f>
        <v>307</v>
      </c>
      <c r="AM15" s="5">
        <f>VLOOKUP($A15,'SegEnds_NonXtal_Prot#'!$A:$AL,32,FALSE)</f>
        <v>351</v>
      </c>
      <c r="AN15" s="5">
        <f>VLOOKUP($A15,'SegEnds_NonXtal_Prot#'!$A:$AL,35,FALSE)</f>
        <v>383</v>
      </c>
      <c r="AO15" s="5">
        <f>VLOOKUP($A15,'SegEnds_NonXtal_Prot#'!$A:$AL,38,FALSE)</f>
        <v>396</v>
      </c>
      <c r="AP15" s="5">
        <f t="shared" si="13"/>
        <v>30</v>
      </c>
      <c r="AQ15" s="4">
        <f t="shared" si="14"/>
        <v>3</v>
      </c>
      <c r="AR15" s="4">
        <f t="shared" si="15"/>
        <v>32</v>
      </c>
      <c r="AS15" s="4">
        <f t="shared" si="16"/>
        <v>3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>
        <f t="shared" si="20"/>
        <v>2</v>
      </c>
      <c r="AX15" s="4">
        <f t="shared" si="21"/>
        <v>37</v>
      </c>
      <c r="AY15" s="4">
        <f t="shared" si="22"/>
        <v>38</v>
      </c>
      <c r="AZ15" s="4">
        <f t="shared" si="23"/>
        <v>25</v>
      </c>
      <c r="BA15" s="4">
        <f t="shared" si="24"/>
        <v>12</v>
      </c>
    </row>
    <row r="16" spans="1:53" x14ac:dyDescent="0.2">
      <c r="A16" s="1" t="str">
        <f>'SegEnds_NonXtal_Prot#'!A181</f>
        <v>mrgre_human</v>
      </c>
      <c r="B16" s="1" t="str">
        <f t="shared" si="0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16" s="5" t="str">
        <f t="shared" si="1"/>
        <v>GAQEDVAFNLIILSLTEGLGLGGLLGNGAVLWLLSSN</v>
      </c>
      <c r="G16" s="4" t="str">
        <f t="shared" si="2"/>
        <v/>
      </c>
      <c r="H16" s="4" t="str">
        <f t="shared" si="3"/>
        <v>NPFAIYLLDVACADLIFLGCHMVAIVPDLL</v>
      </c>
      <c r="I16" s="4" t="str">
        <f t="shared" si="4"/>
        <v/>
      </c>
      <c r="J16" s="4" t="str">
        <f t="shared" si="5"/>
        <v>PGFVQTSLATLRFFCYIVGLSLLAAVSVEQCLAALF</v>
      </c>
      <c r="K16" s="4" t="str">
        <f t="shared" si="6"/>
        <v>PAWYSCRR</v>
      </c>
      <c r="L16" s="4" t="str">
        <f t="shared" si="7"/>
        <v>PRHLTTCVCALTWALCLLLHLLLSGAC</v>
      </c>
      <c r="M16" s="4" t="str">
        <f t="shared" si="8"/>
        <v/>
      </c>
      <c r="N16" s="4" t="str">
        <f t="shared" si="9"/>
        <v>HLCRTLWLVAAVLLALLCCTMCGASLMLLLRVERGPQ</v>
      </c>
      <c r="O16" s="4" t="str">
        <f t="shared" si="10"/>
        <v>PRGFPGLILLTVLLFLFCGLPFGIYWLSRNLL</v>
      </c>
      <c r="P16" s="4" t="str">
        <f t="shared" si="11"/>
        <v>HYFYHFSFLMAAVHCAAKPVVYFCL</v>
      </c>
      <c r="Q16" s="4" t="str">
        <f t="shared" si="12"/>
        <v>GSAQGRRLPLRLV</v>
      </c>
      <c r="R16" s="5">
        <f>VLOOKUP($A16,'SegEnds_NonXtal_Prot#'!$A:$AL,3,FALSE)</f>
        <v>16</v>
      </c>
      <c r="S16" s="5" t="str">
        <f>VLOOKUP($A16,'SegEnds_NonXtal_Prot#'!$A:$AL,6,FALSE)</f>
        <v>-</v>
      </c>
      <c r="T16" s="5">
        <f>VLOOKUP($A16,'SegEnds_NonXtal_Prot#'!$A:$AL,9,FALSE)</f>
        <v>56</v>
      </c>
      <c r="U16" s="5" t="str">
        <f>VLOOKUP($A16,'SegEnds_NonXtal_Prot#'!$A:$AL,12,FALSE)</f>
        <v>-</v>
      </c>
      <c r="V16" s="5">
        <f>VLOOKUP($A16,'SegEnds_NonXtal_Prot#'!$A:$AL,15,FALSE)</f>
        <v>92</v>
      </c>
      <c r="W16" s="5">
        <f>VLOOKUP($A16,'SegEnds_NonXtal_Prot#'!$A:$AL,18,FALSE)</f>
        <v>128</v>
      </c>
      <c r="X16" s="5">
        <f>VLOOKUP($A16,'SegEnds_NonXtal_Prot#'!$A:$AL,21,FALSE)</f>
        <v>136</v>
      </c>
      <c r="Y16" s="5" t="str">
        <f>VLOOKUP($A16,'SegEnds_NonXtal_Prot#'!$A:$AL,24,FALSE)</f>
        <v>-</v>
      </c>
      <c r="Z16" s="5">
        <f>VLOOKUP($A16,'SegEnds_NonXtal_Prot#'!$A:$AL,27,FALSE)</f>
        <v>172</v>
      </c>
      <c r="AA16" s="5">
        <f>VLOOKUP($A16,'SegEnds_NonXtal_Prot#'!$A:$AL,30,FALSE)</f>
        <v>212</v>
      </c>
      <c r="AB16" s="5">
        <f>VLOOKUP($A16,'SegEnds_NonXtal_Prot#'!$A:$AL,33,FALSE)</f>
        <v>248</v>
      </c>
      <c r="AC16" s="5">
        <f>VLOOKUP($A16,'SegEnds_NonXtal_Prot#'!$A:$AL,36,FALSE)</f>
        <v>273</v>
      </c>
      <c r="AD16" s="5">
        <f>VLOOKUP($A16,'SegEnds_NonXtal_Prot#'!$A:$AL,5,FALSE)</f>
        <v>52</v>
      </c>
      <c r="AE16" s="5" t="str">
        <f>VLOOKUP($A16,'SegEnds_NonXtal_Prot#'!$A:$AL,8,FALSE)</f>
        <v>-</v>
      </c>
      <c r="AF16" s="5">
        <f>VLOOKUP($A16,'SegEnds_NonXtal_Prot#'!$A:$AL,11,FALSE)</f>
        <v>85</v>
      </c>
      <c r="AG16" s="5" t="str">
        <f>VLOOKUP($A16,'SegEnds_NonXtal_Prot#'!$A:$AL,14,FALSE)</f>
        <v>-</v>
      </c>
      <c r="AH16" s="5">
        <f>VLOOKUP($A16,'SegEnds_NonXtal_Prot#'!$A:$AL,17,FALSE)</f>
        <v>127</v>
      </c>
      <c r="AI16" s="5">
        <f>VLOOKUP($A16,'SegEnds_NonXtal_Prot#'!$A:$AL,20,FALSE)</f>
        <v>135</v>
      </c>
      <c r="AJ16" s="5">
        <f>VLOOKUP($A16,'SegEnds_NonXtal_Prot#'!$A:$AL,23,FALSE)</f>
        <v>162</v>
      </c>
      <c r="AK16" s="5" t="str">
        <f>VLOOKUP($A16,'SegEnds_NonXtal_Prot#'!$A:$AL,26,FALSE)</f>
        <v>-</v>
      </c>
      <c r="AL16" s="5">
        <f>VLOOKUP($A16,'SegEnds_NonXtal_Prot#'!$A:$AL,29,FALSE)</f>
        <v>208</v>
      </c>
      <c r="AM16" s="5">
        <f>VLOOKUP($A16,'SegEnds_NonXtal_Prot#'!$A:$AL,32,FALSE)</f>
        <v>243</v>
      </c>
      <c r="AN16" s="5">
        <f>VLOOKUP($A16,'SegEnds_NonXtal_Prot#'!$A:$AL,35,FALSE)</f>
        <v>272</v>
      </c>
      <c r="AO16" s="5">
        <f>VLOOKUP($A16,'SegEnds_NonXtal_Prot#'!$A:$AL,38,FALSE)</f>
        <v>285</v>
      </c>
      <c r="AP16" s="5">
        <f t="shared" si="13"/>
        <v>36</v>
      </c>
      <c r="AQ16" s="4" t="str">
        <f t="shared" si="14"/>
        <v>-</v>
      </c>
      <c r="AR16" s="4">
        <f t="shared" si="15"/>
        <v>29</v>
      </c>
      <c r="AS16" s="4" t="str">
        <f t="shared" si="16"/>
        <v>-</v>
      </c>
      <c r="AT16" s="4">
        <f t="shared" si="17"/>
        <v>35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36</v>
      </c>
      <c r="AY16" s="4">
        <f t="shared" si="22"/>
        <v>31</v>
      </c>
      <c r="AZ16" s="4">
        <f t="shared" si="23"/>
        <v>24</v>
      </c>
      <c r="BA16" s="4">
        <f t="shared" si="24"/>
        <v>12</v>
      </c>
    </row>
    <row r="17" spans="1:53" x14ac:dyDescent="0.2">
      <c r="A17" s="1" t="str">
        <f>'SegEnds_NonXtal_Prot#'!A188</f>
        <v>mshr_human</v>
      </c>
      <c r="B17" s="1" t="str">
        <f t="shared" si="0"/>
        <v>CLEVSISDGLFLSLGLVSLVENALVVATIAKNSPMYCFICCLALSDLLVSGSNVLETAVILLLAAVLQQLDNVIDVITCSSMLSSLCFLGAIAVDRYISIFYTLPRARRAVAAIWVASVVFSTLFIAYLVVFFLAMLVLMAVLYVHMLARACQHAQGIARLHKQGFGLKGAVTLTILLGIFFLCWGPFFLHLTLIVLCCGCIFKNFNLFLALIICNAIIDPLIYAFHSQELRRTLKEVLT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17" s="5" t="str">
        <f t="shared" si="1"/>
        <v>CLEVSISDGLFLSLGLVSLVENALVVATIAKN</v>
      </c>
      <c r="G17" s="4" t="str">
        <f t="shared" si="2"/>
        <v>RNLH</v>
      </c>
      <c r="H17" s="4" t="str">
        <f t="shared" si="3"/>
        <v>SPMYCFICCLALSDLLVSGSNVLETAVILLL</v>
      </c>
      <c r="I17" s="4" t="str">
        <f t="shared" si="4"/>
        <v/>
      </c>
      <c r="J17" s="4" t="str">
        <f t="shared" si="5"/>
        <v>AAVLQQLDNVIDVITCSSMLSSLCFLGAIAVDRYISIFY</v>
      </c>
      <c r="K17" s="4" t="str">
        <f t="shared" si="6"/>
        <v>ALRYHSIV</v>
      </c>
      <c r="L17" s="4" t="str">
        <f t="shared" si="7"/>
        <v>TLPRARRAVAAIWVASVVFSTLFIAY</v>
      </c>
      <c r="M17" s="4" t="str">
        <f t="shared" si="8"/>
        <v/>
      </c>
      <c r="N17" s="4" t="str">
        <f t="shared" si="9"/>
        <v>LVVFFLAMLVLMAVLYVHMLARACQHAQGIARLHK</v>
      </c>
      <c r="O17" s="4" t="str">
        <f t="shared" si="10"/>
        <v>QGFGLKGAVTLTILLGIFFLCWGPFFLHLTLIVLC</v>
      </c>
      <c r="P17" s="4" t="str">
        <f t="shared" si="11"/>
        <v>CGCIFKNFNLFLALIICNAIIDPLIYAFH</v>
      </c>
      <c r="Q17" s="4" t="str">
        <f t="shared" si="12"/>
        <v>SQELRRTLKEVLT</v>
      </c>
      <c r="R17" s="5">
        <f>VLOOKUP($A17,'SegEnds_NonXtal_Prot#'!$A:$AL,3,FALSE)</f>
        <v>35</v>
      </c>
      <c r="S17" s="5">
        <f>VLOOKUP($A17,'SegEnds_NonXtal_Prot#'!$A:$AL,6,FALSE)</f>
        <v>67</v>
      </c>
      <c r="T17" s="5">
        <f>VLOOKUP($A17,'SegEnds_NonXtal_Prot#'!$A:$AL,9,FALSE)</f>
        <v>71</v>
      </c>
      <c r="U17" s="5" t="str">
        <f>VLOOKUP($A17,'SegEnds_NonXtal_Prot#'!$A:$AL,12,FALSE)</f>
        <v>-</v>
      </c>
      <c r="V17" s="5">
        <f>VLOOKUP($A17,'SegEnds_NonXtal_Prot#'!$A:$AL,15,FALSE)</f>
        <v>110</v>
      </c>
      <c r="W17" s="5">
        <f>VLOOKUP($A17,'SegEnds_NonXtal_Prot#'!$A:$AL,18,FALSE)</f>
        <v>149</v>
      </c>
      <c r="X17" s="5">
        <f>VLOOKUP($A17,'SegEnds_NonXtal_Prot#'!$A:$AL,21,FALSE)</f>
        <v>157</v>
      </c>
      <c r="Y17" s="5" t="str">
        <f>VLOOKUP($A17,'SegEnds_NonXtal_Prot#'!$A:$AL,24,FALSE)</f>
        <v>-</v>
      </c>
      <c r="Z17" s="5">
        <f>VLOOKUP($A17,'SegEnds_NonXtal_Prot#'!$A:$AL,27,FALSE)</f>
        <v>192</v>
      </c>
      <c r="AA17" s="5">
        <f>VLOOKUP($A17,'SegEnds_NonXtal_Prot#'!$A:$AL,30,FALSE)</f>
        <v>233</v>
      </c>
      <c r="AB17" s="5">
        <f>VLOOKUP($A17,'SegEnds_NonXtal_Prot#'!$A:$AL,33,FALSE)</f>
        <v>273</v>
      </c>
      <c r="AC17" s="5">
        <f>VLOOKUP($A17,'SegEnds_NonXtal_Prot#'!$A:$AL,36,FALSE)</f>
        <v>302</v>
      </c>
      <c r="AD17" s="5">
        <f>VLOOKUP($A17,'SegEnds_NonXtal_Prot#'!$A:$AL,5,FALSE)</f>
        <v>66</v>
      </c>
      <c r="AE17" s="5">
        <f>VLOOKUP($A17,'SegEnds_NonXtal_Prot#'!$A:$AL,8,FALSE)</f>
        <v>70</v>
      </c>
      <c r="AF17" s="5">
        <f>VLOOKUP($A17,'SegEnds_NonXtal_Prot#'!$A:$AL,11,FALSE)</f>
        <v>101</v>
      </c>
      <c r="AG17" s="5" t="str">
        <f>VLOOKUP($A17,'SegEnds_NonXtal_Prot#'!$A:$AL,14,FALSE)</f>
        <v>-</v>
      </c>
      <c r="AH17" s="5">
        <f>VLOOKUP($A17,'SegEnds_NonXtal_Prot#'!$A:$AL,17,FALSE)</f>
        <v>148</v>
      </c>
      <c r="AI17" s="5">
        <f>VLOOKUP($A17,'SegEnds_NonXtal_Prot#'!$A:$AL,20,FALSE)</f>
        <v>156</v>
      </c>
      <c r="AJ17" s="5">
        <f>VLOOKUP($A17,'SegEnds_NonXtal_Prot#'!$A:$AL,23,FALSE)</f>
        <v>182</v>
      </c>
      <c r="AK17" s="5" t="str">
        <f>VLOOKUP($A17,'SegEnds_NonXtal_Prot#'!$A:$AL,26,FALSE)</f>
        <v>-</v>
      </c>
      <c r="AL17" s="5">
        <f>VLOOKUP($A17,'SegEnds_NonXtal_Prot#'!$A:$AL,29,FALSE)</f>
        <v>226</v>
      </c>
      <c r="AM17" s="5">
        <f>VLOOKUP($A17,'SegEnds_NonXtal_Prot#'!$A:$AL,32,FALSE)</f>
        <v>267</v>
      </c>
      <c r="AN17" s="5">
        <f>VLOOKUP($A17,'SegEnds_NonXtal_Prot#'!$A:$AL,35,FALSE)</f>
        <v>301</v>
      </c>
      <c r="AO17" s="5">
        <f>VLOOKUP($A17,'SegEnds_NonXtal_Prot#'!$A:$AL,38,FALSE)</f>
        <v>314</v>
      </c>
      <c r="AP17" s="5">
        <f t="shared" si="13"/>
        <v>31</v>
      </c>
      <c r="AQ17" s="4">
        <f t="shared" si="14"/>
        <v>3</v>
      </c>
      <c r="AR17" s="4">
        <f t="shared" si="15"/>
        <v>30</v>
      </c>
      <c r="AS17" s="4" t="str">
        <f t="shared" si="16"/>
        <v>-</v>
      </c>
      <c r="AT17" s="4">
        <f t="shared" si="17"/>
        <v>38</v>
      </c>
      <c r="AU17" s="4">
        <f t="shared" si="18"/>
        <v>7</v>
      </c>
      <c r="AV17" s="4">
        <f t="shared" si="19"/>
        <v>25</v>
      </c>
      <c r="AW17" s="4" t="str">
        <f t="shared" si="20"/>
        <v>-</v>
      </c>
      <c r="AX17" s="4">
        <f t="shared" si="21"/>
        <v>34</v>
      </c>
      <c r="AY17" s="4">
        <f t="shared" si="22"/>
        <v>34</v>
      </c>
      <c r="AZ17" s="4">
        <f t="shared" si="23"/>
        <v>28</v>
      </c>
      <c r="BA17" s="4">
        <f t="shared" si="24"/>
        <v>12</v>
      </c>
    </row>
    <row r="18" spans="1:53" x14ac:dyDescent="0.2">
      <c r="A18" s="1" t="str">
        <f>'SegEnds_NonXtal_Prot#'!A198</f>
        <v>ntr2_human</v>
      </c>
      <c r="B18" s="1" t="str">
        <f t="shared" si="0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18" s="5" t="str">
        <f t="shared" si="1"/>
        <v>LWAKVLFTALYALIWALGAAGNALSAHVVLKA</v>
      </c>
      <c r="G18" s="4" t="str">
        <f t="shared" si="2"/>
        <v/>
      </c>
      <c r="H18" s="4" t="str">
        <f t="shared" si="3"/>
        <v>GRLRHHVLSLALAGLLLLLVGVPVELYSFVWF</v>
      </c>
      <c r="I18" s="4" t="str">
        <f t="shared" si="4"/>
        <v>PWVF</v>
      </c>
      <c r="J18" s="4" t="str">
        <f t="shared" si="5"/>
        <v>GDLGCRGYYFVHELCAYATVLSVAGLSAERCLAVCQ</v>
      </c>
      <c r="K18" s="4" t="str">
        <f t="shared" si="6"/>
        <v>PLRARSLL</v>
      </c>
      <c r="L18" s="4" t="str">
        <f t="shared" si="7"/>
        <v>TPRRTRWLVALSWAASLGLALPMAVIM</v>
      </c>
      <c r="M18" s="4" t="str">
        <f t="shared" si="8"/>
        <v>CTV</v>
      </c>
      <c r="N18" s="4" t="str">
        <f t="shared" si="9"/>
        <v>RTALQVFIQVNVLVSFVLPLALTAFLNGVTVSHLLALCSQVPS</v>
      </c>
      <c r="O18" s="4" t="str">
        <f t="shared" si="10"/>
        <v>VRRIRSLQRSVQVLRAIVVMYVICWLPYHARRLMYCYV</v>
      </c>
      <c r="P18" s="4" t="str">
        <f t="shared" si="11"/>
        <v>TDPLYNFYHYFYMVTNTLFYVSSAVTPLLYNAV</v>
      </c>
      <c r="Q18" s="4" t="str">
        <f t="shared" si="12"/>
        <v>SSSFRKLFLEAV</v>
      </c>
      <c r="R18" s="5">
        <f>VLOOKUP($A18,'SegEnds_NonXtal_Prot#'!$A:$AL,3,FALSE)</f>
        <v>29</v>
      </c>
      <c r="S18" s="5" t="str">
        <f>VLOOKUP($A18,'SegEnds_NonXtal_Prot#'!$A:$AL,6,FALSE)</f>
        <v>-</v>
      </c>
      <c r="T18" s="5">
        <f>VLOOKUP($A18,'SegEnds_NonXtal_Prot#'!$A:$AL,9,FALSE)</f>
        <v>66</v>
      </c>
      <c r="U18" s="5">
        <f>VLOOKUP($A18,'SegEnds_NonXtal_Prot#'!$A:$AL,12,FALSE)</f>
        <v>100</v>
      </c>
      <c r="V18" s="5">
        <f>VLOOKUP($A18,'SegEnds_NonXtal_Prot#'!$A:$AL,15,FALSE)</f>
        <v>104</v>
      </c>
      <c r="W18" s="5">
        <f>VLOOKUP($A18,'SegEnds_NonXtal_Prot#'!$A:$AL,18,FALSE)</f>
        <v>140</v>
      </c>
      <c r="X18" s="5">
        <f>VLOOKUP($A18,'SegEnds_NonXtal_Prot#'!$A:$AL,21,FALSE)</f>
        <v>148</v>
      </c>
      <c r="Y18" s="5">
        <f>VLOOKUP($A18,'SegEnds_NonXtal_Prot#'!$A:$AL,24,FALSE)</f>
        <v>194</v>
      </c>
      <c r="Z18" s="5">
        <f>VLOOKUP($A18,'SegEnds_NonXtal_Prot#'!$A:$AL,27,FALSE)</f>
        <v>200</v>
      </c>
      <c r="AA18" s="5">
        <f>VLOOKUP($A18,'SegEnds_NonXtal_Prot#'!$A:$AL,30,FALSE)</f>
        <v>286</v>
      </c>
      <c r="AB18" s="5">
        <f>VLOOKUP($A18,'SegEnds_NonXtal_Prot#'!$A:$AL,33,FALSE)</f>
        <v>329</v>
      </c>
      <c r="AC18" s="5">
        <f>VLOOKUP($A18,'SegEnds_NonXtal_Prot#'!$A:$AL,36,FALSE)</f>
        <v>362</v>
      </c>
      <c r="AD18" s="5">
        <f>VLOOKUP($A18,'SegEnds_NonXtal_Prot#'!$A:$AL,5,FALSE)</f>
        <v>60</v>
      </c>
      <c r="AE18" s="5" t="str">
        <f>VLOOKUP($A18,'SegEnds_NonXtal_Prot#'!$A:$AL,8,FALSE)</f>
        <v>-</v>
      </c>
      <c r="AF18" s="5">
        <f>VLOOKUP($A18,'SegEnds_NonXtal_Prot#'!$A:$AL,11,FALSE)</f>
        <v>97</v>
      </c>
      <c r="AG18" s="5">
        <f>VLOOKUP($A18,'SegEnds_NonXtal_Prot#'!$A:$AL,14,FALSE)</f>
        <v>103</v>
      </c>
      <c r="AH18" s="5">
        <f>VLOOKUP($A18,'SegEnds_NonXtal_Prot#'!$A:$AL,17,FALSE)</f>
        <v>139</v>
      </c>
      <c r="AI18" s="5">
        <f>VLOOKUP($A18,'SegEnds_NonXtal_Prot#'!$A:$AL,20,FALSE)</f>
        <v>147</v>
      </c>
      <c r="AJ18" s="5">
        <f>VLOOKUP($A18,'SegEnds_NonXtal_Prot#'!$A:$AL,23,FALSE)</f>
        <v>174</v>
      </c>
      <c r="AK18" s="5">
        <f>VLOOKUP($A18,'SegEnds_NonXtal_Prot#'!$A:$AL,26,FALSE)</f>
        <v>196</v>
      </c>
      <c r="AL18" s="5">
        <f>VLOOKUP($A18,'SegEnds_NonXtal_Prot#'!$A:$AL,29,FALSE)</f>
        <v>242</v>
      </c>
      <c r="AM18" s="5">
        <f>VLOOKUP($A18,'SegEnds_NonXtal_Prot#'!$A:$AL,32,FALSE)</f>
        <v>323</v>
      </c>
      <c r="AN18" s="5">
        <f>VLOOKUP($A18,'SegEnds_NonXtal_Prot#'!$A:$AL,35,FALSE)</f>
        <v>361</v>
      </c>
      <c r="AO18" s="5">
        <f>VLOOKUP($A18,'SegEnds_NonXtal_Prot#'!$A:$AL,38,FALSE)</f>
        <v>373</v>
      </c>
      <c r="AP18" s="5">
        <f t="shared" si="13"/>
        <v>31</v>
      </c>
      <c r="AQ18" s="4" t="str">
        <f t="shared" si="14"/>
        <v>-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26</v>
      </c>
      <c r="AW18" s="4">
        <f t="shared" si="20"/>
        <v>2</v>
      </c>
      <c r="AX18" s="4">
        <f t="shared" si="21"/>
        <v>42</v>
      </c>
      <c r="AY18" s="4">
        <f t="shared" si="22"/>
        <v>37</v>
      </c>
      <c r="AZ18" s="4">
        <f t="shared" si="23"/>
        <v>32</v>
      </c>
      <c r="BA18" s="4">
        <f t="shared" si="24"/>
        <v>11</v>
      </c>
    </row>
    <row r="19" spans="1:53" x14ac:dyDescent="0.2">
      <c r="A19" s="1" t="str">
        <f>'SegEnds_NonXtal_Prot#'!A201</f>
        <v>oprd_human</v>
      </c>
      <c r="B19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19" s="5" t="str">
        <f t="shared" si="1"/>
        <v>GARSASSLALAIAITALYSAVCAVGLLGNVLVMFGIVRY</v>
      </c>
      <c r="G19" s="4" t="str">
        <f t="shared" si="2"/>
        <v>TKMK</v>
      </c>
      <c r="H19" s="4" t="str">
        <f t="shared" si="3"/>
        <v>TATNIYIFNLALADALATSTLPFQSAKYLM</v>
      </c>
      <c r="I19" s="4" t="str">
        <f t="shared" si="4"/>
        <v>TWPF</v>
      </c>
      <c r="J19" s="4" t="str">
        <f t="shared" si="5"/>
        <v>GELLCKAVLSIDYYNMFTSIFTLTMMSVDRYIAVCH</v>
      </c>
      <c r="K19" s="4" t="str">
        <f t="shared" si="6"/>
        <v>PVKALDFR</v>
      </c>
      <c r="L19" s="4" t="str">
        <f t="shared" si="7"/>
        <v>TPAKAKLINICIWVLASGVGVPIMVMA</v>
      </c>
      <c r="M19" s="4" t="str">
        <f t="shared" si="8"/>
        <v>CML</v>
      </c>
      <c r="N19" s="4" t="str">
        <f t="shared" si="9"/>
        <v>SWYWDTVTKICVFLFAFVVPILIITVCYGLMLLRLRSV</v>
      </c>
      <c r="O19" s="4" t="str">
        <f t="shared" si="10"/>
        <v>SKEKDRSLRRITRMVLVVVGAFVVCWAPIHIFVIVWTLV</v>
      </c>
      <c r="P19" s="4" t="str">
        <f t="shared" si="11"/>
        <v>DPLVVAALHLCIALGYANSSLNPVLYAFL</v>
      </c>
      <c r="Q19" s="4" t="str">
        <f t="shared" si="12"/>
        <v>DENFKRCFRQLCRK</v>
      </c>
      <c r="R19" s="5">
        <f>VLOOKUP($A19,'SegEnds_NonXtal_Prot#'!$A:$AL,3,FALSE)</f>
        <v>39</v>
      </c>
      <c r="S19" s="5">
        <f>VLOOKUP($A19,'SegEnds_NonXtal_Prot#'!$A:$AL,6,FALSE)</f>
        <v>78</v>
      </c>
      <c r="T19" s="5">
        <f>VLOOKUP($A19,'SegEnds_NonXtal_Prot#'!$A:$AL,9,FALSE)</f>
        <v>82</v>
      </c>
      <c r="U19" s="5">
        <f>VLOOKUP($A19,'SegEnds_NonXtal_Prot#'!$A:$AL,12,FALSE)</f>
        <v>113</v>
      </c>
      <c r="V19" s="5">
        <f>VLOOKUP($A19,'SegEnds_NonXtal_Prot#'!$A:$AL,15,FALSE)</f>
        <v>117</v>
      </c>
      <c r="W19" s="5">
        <f>VLOOKUP($A19,'SegEnds_NonXtal_Prot#'!$A:$AL,18,FALSE)</f>
        <v>153</v>
      </c>
      <c r="X19" s="5">
        <f>VLOOKUP($A19,'SegEnds_NonXtal_Prot#'!$A:$AL,21,FALSE)</f>
        <v>161</v>
      </c>
      <c r="Y19" s="5">
        <f>VLOOKUP($A19,'SegEnds_NonXtal_Prot#'!$A:$AL,24,FALSE)</f>
        <v>198</v>
      </c>
      <c r="Z19" s="5">
        <f>VLOOKUP($A19,'SegEnds_NonXtal_Prot#'!$A:$AL,27,FALSE)</f>
        <v>206</v>
      </c>
      <c r="AA19" s="5">
        <f>VLOOKUP($A19,'SegEnds_NonXtal_Prot#'!$A:$AL,30,FALSE)</f>
        <v>249</v>
      </c>
      <c r="AB19" s="5">
        <f>VLOOKUP($A19,'SegEnds_NonXtal_Prot#'!$A:$AL,33,FALSE)</f>
        <v>293</v>
      </c>
      <c r="AC19" s="5">
        <f>VLOOKUP($A19,'SegEnds_NonXtal_Prot#'!$A:$AL,36,FALSE)</f>
        <v>322</v>
      </c>
      <c r="AD19" s="5">
        <f>VLOOKUP($A19,'SegEnds_NonXtal_Prot#'!$A:$AL,5,FALSE)</f>
        <v>77</v>
      </c>
      <c r="AE19" s="5">
        <f>VLOOKUP($A19,'SegEnds_NonXtal_Prot#'!$A:$AL,8,FALSE)</f>
        <v>81</v>
      </c>
      <c r="AF19" s="5">
        <f>VLOOKUP($A19,'SegEnds_NonXtal_Prot#'!$A:$AL,11,FALSE)</f>
        <v>111</v>
      </c>
      <c r="AG19" s="5">
        <f>VLOOKUP($A19,'SegEnds_NonXtal_Prot#'!$A:$AL,14,FALSE)</f>
        <v>116</v>
      </c>
      <c r="AH19" s="5">
        <f>VLOOKUP($A19,'SegEnds_NonXtal_Prot#'!$A:$AL,17,FALSE)</f>
        <v>152</v>
      </c>
      <c r="AI19" s="5">
        <f>VLOOKUP($A19,'SegEnds_NonXtal_Prot#'!$A:$AL,20,FALSE)</f>
        <v>160</v>
      </c>
      <c r="AJ19" s="5">
        <f>VLOOKUP($A19,'SegEnds_NonXtal_Prot#'!$A:$AL,23,FALSE)</f>
        <v>187</v>
      </c>
      <c r="AK19" s="5">
        <f>VLOOKUP($A19,'SegEnds_NonXtal_Prot#'!$A:$AL,26,FALSE)</f>
        <v>200</v>
      </c>
      <c r="AL19" s="5">
        <f>VLOOKUP($A19,'SegEnds_NonXtal_Prot#'!$A:$AL,29,FALSE)</f>
        <v>243</v>
      </c>
      <c r="AM19" s="5">
        <f>VLOOKUP($A19,'SegEnds_NonXtal_Prot#'!$A:$AL,32,FALSE)</f>
        <v>287</v>
      </c>
      <c r="AN19" s="5">
        <f>VLOOKUP($A19,'SegEnds_NonXtal_Prot#'!$A:$AL,35,FALSE)</f>
        <v>321</v>
      </c>
      <c r="AO19" s="5">
        <f>VLOOKUP($A19,'SegEnds_NonXtal_Prot#'!$A:$AL,38,FALSE)</f>
        <v>335</v>
      </c>
      <c r="AP19" s="5">
        <f t="shared" si="13"/>
        <v>38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37</v>
      </c>
      <c r="AY19" s="4">
        <f t="shared" si="22"/>
        <v>38</v>
      </c>
      <c r="AZ19" s="4">
        <f t="shared" si="23"/>
        <v>28</v>
      </c>
      <c r="BA19" s="4">
        <f t="shared" si="24"/>
        <v>13</v>
      </c>
    </row>
    <row r="20" spans="1:53" x14ac:dyDescent="0.2">
      <c r="A20" s="1" t="str">
        <f>'SegEnds_NonXtal_Prot#'!A202</f>
        <v>oprd_mouse</v>
      </c>
      <c r="B20" s="1" t="str">
        <f t="shared" si="0"/>
        <v>GARSASSLALAIAITALYSAVCAVGLLGNVLVMFGIVRYTATNIYIFNLALADALATSTLPFQSAKYLMGELLCKAVLSIDYYNMFTSIFTLTMMSVDRYIAVCHTPAKAKLINICIWVLASGVGVPIMVMASWYWDTVTKICVFLFAFVVPILIITVCYGLMLLRLRSVSKEKDRSLRRITRMVLVVVGAFVVCWAPIHIFVIVWTLVDPLVVAALHLCIALGYANSSLNPVLYAFLDENFKRCFRQLCRT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0" s="29" t="str">
        <f>IF(ISERROR(MATCH(A20,'SegEnds_Xtal_Prot#'!B:B, 0)), "NoXtal", "Xtal")</f>
        <v>Xtal</v>
      </c>
      <c r="D20" s="4" t="str">
        <f>VLOOKUP(A20,Classification!A:D,2,FALSE)</f>
        <v>A</v>
      </c>
      <c r="E20" s="5" t="str">
        <f>VLOOKUP(A20,Seqs!A:B,2,FALSE)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0" s="5" t="str">
        <f t="shared" si="1"/>
        <v>GARSASSLALAIAITALYSAVCAVGLLGNVLVMFGIVRY</v>
      </c>
      <c r="G20" s="4" t="str">
        <f t="shared" si="2"/>
        <v>TKLK</v>
      </c>
      <c r="H20" s="4" t="str">
        <f t="shared" si="3"/>
        <v>TATNIYIFNLALADALATSTLPFQSAKYLM</v>
      </c>
      <c r="I20" s="4" t="str">
        <f t="shared" si="4"/>
        <v>TWPF</v>
      </c>
      <c r="J20" s="4" t="str">
        <f t="shared" si="5"/>
        <v>GELLCKAVLSIDYYNMFTSIFTLTMMSVDRYIAVCH</v>
      </c>
      <c r="K20" s="4" t="str">
        <f t="shared" si="6"/>
        <v>PVKALDFR</v>
      </c>
      <c r="L20" s="4" t="str">
        <f t="shared" si="7"/>
        <v>TPAKAKLINICIWVLASGVGVPIMVMA</v>
      </c>
      <c r="M20" s="4" t="str">
        <f t="shared" si="8"/>
        <v>CML</v>
      </c>
      <c r="N20" s="4" t="str">
        <f t="shared" si="9"/>
        <v>SWYWDTVTKICVFLFAFVVPILIITVCYGLMLLRLRSV</v>
      </c>
      <c r="O20" s="4" t="str">
        <f t="shared" si="10"/>
        <v>SKEKDRSLRRITRMVLVVVGAFVVCWAPIHIFVIVWTLV</v>
      </c>
      <c r="P20" s="4" t="str">
        <f t="shared" si="11"/>
        <v>DPLVVAALHLCIALGYANSSLNPVLYAFL</v>
      </c>
      <c r="Q20" s="4" t="str">
        <f t="shared" si="12"/>
        <v>DENFKRCFRQLCRT</v>
      </c>
      <c r="R20" s="5">
        <f>VLOOKUP($A20,'SegEnds_NonXtal_Prot#'!$A:$AL,3,FALSE)</f>
        <v>39</v>
      </c>
      <c r="S20" s="5">
        <f>VLOOKUP($A20,'SegEnds_NonXtal_Prot#'!$A:$AL,6,FALSE)</f>
        <v>78</v>
      </c>
      <c r="T20" s="5">
        <f>VLOOKUP($A20,'SegEnds_NonXtal_Prot#'!$A:$AL,9,FALSE)</f>
        <v>82</v>
      </c>
      <c r="U20" s="5">
        <f>VLOOKUP($A20,'SegEnds_NonXtal_Prot#'!$A:$AL,12,FALSE)</f>
        <v>113</v>
      </c>
      <c r="V20" s="5">
        <f>VLOOKUP($A20,'SegEnds_NonXtal_Prot#'!$A:$AL,15,FALSE)</f>
        <v>117</v>
      </c>
      <c r="W20" s="5">
        <f>VLOOKUP($A20,'SegEnds_NonXtal_Prot#'!$A:$AL,18,FALSE)</f>
        <v>153</v>
      </c>
      <c r="X20" s="5">
        <f>VLOOKUP($A20,'SegEnds_NonXtal_Prot#'!$A:$AL,21,FALSE)</f>
        <v>161</v>
      </c>
      <c r="Y20" s="5">
        <f>VLOOKUP($A20,'SegEnds_NonXtal_Prot#'!$A:$AL,24,FALSE)</f>
        <v>198</v>
      </c>
      <c r="Z20" s="5">
        <f>VLOOKUP($A20,'SegEnds_NonXtal_Prot#'!$A:$AL,27,FALSE)</f>
        <v>206</v>
      </c>
      <c r="AA20" s="5">
        <f>VLOOKUP($A20,'SegEnds_NonXtal_Prot#'!$A:$AL,30,FALSE)</f>
        <v>249</v>
      </c>
      <c r="AB20" s="5">
        <f>VLOOKUP($A20,'SegEnds_NonXtal_Prot#'!$A:$AL,33,FALSE)</f>
        <v>293</v>
      </c>
      <c r="AC20" s="5">
        <f>VLOOKUP($A20,'SegEnds_NonXtal_Prot#'!$A:$AL,36,FALSE)</f>
        <v>322</v>
      </c>
      <c r="AD20" s="5">
        <f>VLOOKUP($A20,'SegEnds_NonXtal_Prot#'!$A:$AL,5,FALSE)</f>
        <v>77</v>
      </c>
      <c r="AE20" s="5">
        <f>VLOOKUP($A20,'SegEnds_NonXtal_Prot#'!$A:$AL,8,FALSE)</f>
        <v>81</v>
      </c>
      <c r="AF20" s="5">
        <f>VLOOKUP($A20,'SegEnds_NonXtal_Prot#'!$A:$AL,11,FALSE)</f>
        <v>111</v>
      </c>
      <c r="AG20" s="5">
        <f>VLOOKUP($A20,'SegEnds_NonXtal_Prot#'!$A:$AL,14,FALSE)</f>
        <v>116</v>
      </c>
      <c r="AH20" s="5">
        <f>VLOOKUP($A20,'SegEnds_NonXtal_Prot#'!$A:$AL,17,FALSE)</f>
        <v>152</v>
      </c>
      <c r="AI20" s="5">
        <f>VLOOKUP($A20,'SegEnds_NonXtal_Prot#'!$A:$AL,20,FALSE)</f>
        <v>160</v>
      </c>
      <c r="AJ20" s="5">
        <f>VLOOKUP($A20,'SegEnds_NonXtal_Prot#'!$A:$AL,23,FALSE)</f>
        <v>187</v>
      </c>
      <c r="AK20" s="5">
        <f>VLOOKUP($A20,'SegEnds_NonXtal_Prot#'!$A:$AL,26,FALSE)</f>
        <v>200</v>
      </c>
      <c r="AL20" s="5">
        <f>VLOOKUP($A20,'SegEnds_NonXtal_Prot#'!$A:$AL,29,FALSE)</f>
        <v>243</v>
      </c>
      <c r="AM20" s="5">
        <f>VLOOKUP($A20,'SegEnds_NonXtal_Prot#'!$A:$AL,32,FALSE)</f>
        <v>287</v>
      </c>
      <c r="AN20" s="5">
        <f>VLOOKUP($A20,'SegEnds_NonXtal_Prot#'!$A:$AL,35,FALSE)</f>
        <v>321</v>
      </c>
      <c r="AO20" s="5">
        <f>VLOOKUP($A20,'SegEnds_NonXtal_Prot#'!$A:$AL,38,FALSE)</f>
        <v>335</v>
      </c>
      <c r="AP20" s="5">
        <f t="shared" si="13"/>
        <v>38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13</v>
      </c>
    </row>
    <row r="21" spans="1:53" x14ac:dyDescent="0.2">
      <c r="A21" s="1" t="str">
        <f>'SegEnds_NonXtal_Prot#'!A203</f>
        <v>oprk_human</v>
      </c>
      <c r="B21" s="1" t="str">
        <f t="shared" si="0"/>
        <v>AIPVIITAVYSVVFVVGLVGNSLVMFVIIRYTATNIYIFNLALADALVTTTMPFQSTVYLMGDVLCKIVISIDYYNMFTSIFTLTMMSVDRYIAVCHTPLKAKIINICIWLLSSSVGISAIVLGYSWWDLFMKICVFIFAFVIPVLIIIVCYTLMILRLKSVSREKDRNLRRITRLVLVVVAVFVVCWTPIHIFILVEALGSTAALSSYYFCIALGYTNSSLNPILYAFLDENFKRCFRDFCF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21" s="5" t="str">
        <f t="shared" si="1"/>
        <v>AIPVIITAVYSVVFVVGLVGNSLVMFVIIRY</v>
      </c>
      <c r="G21" s="4" t="str">
        <f t="shared" si="2"/>
        <v>TKMK</v>
      </c>
      <c r="H21" s="4" t="str">
        <f t="shared" si="3"/>
        <v>TATNIYIFNLALADALVTTTMPFQSTVYLM</v>
      </c>
      <c r="I21" s="4" t="str">
        <f t="shared" si="4"/>
        <v>SWPF</v>
      </c>
      <c r="J21" s="4" t="str">
        <f t="shared" si="5"/>
        <v>GDVLCKIVISIDYYNMFTSIFTLTMMSVDRYIAVCH</v>
      </c>
      <c r="K21" s="4" t="str">
        <f t="shared" si="6"/>
        <v>PVKALDFR</v>
      </c>
      <c r="L21" s="4" t="str">
        <f t="shared" si="7"/>
        <v>TPLKAKIINICIWLLSSSVGISAIVLG</v>
      </c>
      <c r="M21" s="4" t="str">
        <f t="shared" si="8"/>
        <v>CSL</v>
      </c>
      <c r="N21" s="4" t="str">
        <f t="shared" si="9"/>
        <v>YSWWDLFMKICVFIFAFVIPVLIIIVCYTLMILRLKSV</v>
      </c>
      <c r="O21" s="4" t="str">
        <f t="shared" si="10"/>
        <v>SREKDRNLRRITRLVLVVVAVFVVCWTPIHIFILVEALG</v>
      </c>
      <c r="P21" s="4" t="str">
        <f t="shared" si="11"/>
        <v>STAALSSYYFCIALGYTNSSLNPILYAFL</v>
      </c>
      <c r="Q21" s="4" t="str">
        <f t="shared" si="12"/>
        <v>DENFKRCFRDFCF</v>
      </c>
      <c r="R21" s="5">
        <f>VLOOKUP($A21,'SegEnds_NonXtal_Prot#'!$A:$AL,3,FALSE)</f>
        <v>57</v>
      </c>
      <c r="S21" s="5">
        <f>VLOOKUP($A21,'SegEnds_NonXtal_Prot#'!$A:$AL,6,FALSE)</f>
        <v>88</v>
      </c>
      <c r="T21" s="5">
        <f>VLOOKUP($A21,'SegEnds_NonXtal_Prot#'!$A:$AL,9,FALSE)</f>
        <v>92</v>
      </c>
      <c r="U21" s="5">
        <f>VLOOKUP($A21,'SegEnds_NonXtal_Prot#'!$A:$AL,12,FALSE)</f>
        <v>123</v>
      </c>
      <c r="V21" s="5">
        <f>VLOOKUP($A21,'SegEnds_NonXtal_Prot#'!$A:$AL,15,FALSE)</f>
        <v>127</v>
      </c>
      <c r="W21" s="5">
        <f>VLOOKUP($A21,'SegEnds_NonXtal_Prot#'!$A:$AL,18,FALSE)</f>
        <v>163</v>
      </c>
      <c r="X21" s="5">
        <f>VLOOKUP($A21,'SegEnds_NonXtal_Prot#'!$A:$AL,21,FALSE)</f>
        <v>171</v>
      </c>
      <c r="Y21" s="5">
        <f>VLOOKUP($A21,'SegEnds_NonXtal_Prot#'!$A:$AL,24,FALSE)</f>
        <v>210</v>
      </c>
      <c r="Z21" s="5">
        <f>VLOOKUP($A21,'SegEnds_NonXtal_Prot#'!$A:$AL,27,FALSE)</f>
        <v>219</v>
      </c>
      <c r="AA21" s="5">
        <f>VLOOKUP($A21,'SegEnds_NonXtal_Prot#'!$A:$AL,30,FALSE)</f>
        <v>262</v>
      </c>
      <c r="AB21" s="5">
        <f>VLOOKUP($A21,'SegEnds_NonXtal_Prot#'!$A:$AL,33,FALSE)</f>
        <v>305</v>
      </c>
      <c r="AC21" s="5">
        <f>VLOOKUP($A21,'SegEnds_NonXtal_Prot#'!$A:$AL,36,FALSE)</f>
        <v>334</v>
      </c>
      <c r="AD21" s="5">
        <f>VLOOKUP($A21,'SegEnds_NonXtal_Prot#'!$A:$AL,5,FALSE)</f>
        <v>87</v>
      </c>
      <c r="AE21" s="5">
        <f>VLOOKUP($A21,'SegEnds_NonXtal_Prot#'!$A:$AL,8,FALSE)</f>
        <v>91</v>
      </c>
      <c r="AF21" s="5">
        <f>VLOOKUP($A21,'SegEnds_NonXtal_Prot#'!$A:$AL,11,FALSE)</f>
        <v>121</v>
      </c>
      <c r="AG21" s="5">
        <f>VLOOKUP($A21,'SegEnds_NonXtal_Prot#'!$A:$AL,14,FALSE)</f>
        <v>126</v>
      </c>
      <c r="AH21" s="5">
        <f>VLOOKUP($A21,'SegEnds_NonXtal_Prot#'!$A:$AL,17,FALSE)</f>
        <v>162</v>
      </c>
      <c r="AI21" s="5">
        <f>VLOOKUP($A21,'SegEnds_NonXtal_Prot#'!$A:$AL,20,FALSE)</f>
        <v>170</v>
      </c>
      <c r="AJ21" s="5">
        <f>VLOOKUP($A21,'SegEnds_NonXtal_Prot#'!$A:$AL,23,FALSE)</f>
        <v>197</v>
      </c>
      <c r="AK21" s="5">
        <f>VLOOKUP($A21,'SegEnds_NonXtal_Prot#'!$A:$AL,26,FALSE)</f>
        <v>212</v>
      </c>
      <c r="AL21" s="5">
        <f>VLOOKUP($A21,'SegEnds_NonXtal_Prot#'!$A:$AL,29,FALSE)</f>
        <v>256</v>
      </c>
      <c r="AM21" s="5">
        <f>VLOOKUP($A21,'SegEnds_NonXtal_Prot#'!$A:$AL,32,FALSE)</f>
        <v>300</v>
      </c>
      <c r="AN21" s="5">
        <f>VLOOKUP($A21,'SegEnds_NonXtal_Prot#'!$A:$AL,35,FALSE)</f>
        <v>333</v>
      </c>
      <c r="AO21" s="5">
        <f>VLOOKUP($A21,'SegEnds_NonXtal_Prot#'!$A:$AL,38,FALSE)</f>
        <v>346</v>
      </c>
      <c r="AP21" s="5">
        <f t="shared" si="13"/>
        <v>30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'SegEnds_NonXtal_Prot#'!A212</f>
        <v>p2ry4_human</v>
      </c>
      <c r="B22" s="1" t="str">
        <f t="shared" si="0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" s="5" t="str">
        <f t="shared" si="1"/>
        <v>FKFILLPVSYAVVFVLGLGLNAPTLWLFIFR</v>
      </c>
      <c r="G22" s="4" t="str">
        <f t="shared" si="2"/>
        <v/>
      </c>
      <c r="H22" s="4" t="str">
        <f t="shared" si="3"/>
        <v>DATATYMFHLALSDTLYVLSLPTLIYYYAA</v>
      </c>
      <c r="I22" s="4" t="str">
        <f t="shared" si="4"/>
        <v>HWPF</v>
      </c>
      <c r="J22" s="4" t="str">
        <f t="shared" si="5"/>
        <v>GTEICKFVRFLFYWNLYCSVLFLTCISVHRYLGICH</v>
      </c>
      <c r="K22" s="4" t="str">
        <f t="shared" si="6"/>
        <v>PLRALRWG</v>
      </c>
      <c r="L22" s="4" t="str">
        <f t="shared" si="7"/>
        <v>RPRLAGLLCLAVWLVVAGCLVPNLFFV</v>
      </c>
      <c r="M22" s="4" t="str">
        <f t="shared" si="8"/>
        <v>CHD</v>
      </c>
      <c r="N22" s="4" t="str">
        <f t="shared" si="9"/>
        <v>FDHYVHFSSAVMGLLFGVPCLVTLVCYGLMARRLYQP</v>
      </c>
      <c r="O22" s="4" t="str">
        <f t="shared" si="10"/>
        <v>SAQSSSRLRSLRTIAVVLTVFAVCFVPFHITRTIYYLA</v>
      </c>
      <c r="P22" s="4" t="str">
        <f t="shared" si="11"/>
        <v>DCRVLNIVNVVYKVTRPLASANSCLDPVLYLLT</v>
      </c>
      <c r="Q22" s="4" t="str">
        <f t="shared" si="12"/>
        <v>GDKYRRQLRQLCG</v>
      </c>
      <c r="R22" s="5">
        <f>VLOOKUP($A22,'SegEnds_NonXtal_Prot#'!$A:$AL,3,FALSE)</f>
        <v>33</v>
      </c>
      <c r="S22" s="5" t="str">
        <f>VLOOKUP($A22,'SegEnds_NonXtal_Prot#'!$A:$AL,6,FALSE)</f>
        <v>-</v>
      </c>
      <c r="T22" s="5">
        <f>VLOOKUP($A22,'SegEnds_NonXtal_Prot#'!$A:$AL,9,FALSE)</f>
        <v>68</v>
      </c>
      <c r="U22" s="5">
        <f>VLOOKUP($A22,'SegEnds_NonXtal_Prot#'!$A:$AL,12,FALSE)</f>
        <v>100</v>
      </c>
      <c r="V22" s="5">
        <f>VLOOKUP($A22,'SegEnds_NonXtal_Prot#'!$A:$AL,15,FALSE)</f>
        <v>104</v>
      </c>
      <c r="W22" s="5">
        <f>VLOOKUP($A22,'SegEnds_NonXtal_Prot#'!$A:$AL,18,FALSE)</f>
        <v>140</v>
      </c>
      <c r="X22" s="5">
        <f>VLOOKUP($A22,'SegEnds_NonXtal_Prot#'!$A:$AL,21,FALSE)</f>
        <v>148</v>
      </c>
      <c r="Y22" s="5">
        <f>VLOOKUP($A22,'SegEnds_NonXtal_Prot#'!$A:$AL,24,FALSE)</f>
        <v>185</v>
      </c>
      <c r="Z22" s="5">
        <f>VLOOKUP($A22,'SegEnds_NonXtal_Prot#'!$A:$AL,27,FALSE)</f>
        <v>194</v>
      </c>
      <c r="AA22" s="5">
        <f>VLOOKUP($A22,'SegEnds_NonXtal_Prot#'!$A:$AL,30,FALSE)</f>
        <v>234</v>
      </c>
      <c r="AB22" s="5">
        <f>VLOOKUP($A22,'SegEnds_NonXtal_Prot#'!$A:$AL,33,FALSE)</f>
        <v>277</v>
      </c>
      <c r="AC22" s="5">
        <f>VLOOKUP($A22,'SegEnds_NonXtal_Prot#'!$A:$AL,36,FALSE)</f>
        <v>310</v>
      </c>
      <c r="AD22" s="5">
        <f>VLOOKUP($A22,'SegEnds_NonXtal_Prot#'!$A:$AL,5,FALSE)</f>
        <v>63</v>
      </c>
      <c r="AE22" s="5" t="str">
        <f>VLOOKUP($A22,'SegEnds_NonXtal_Prot#'!$A:$AL,8,FALSE)</f>
        <v>-</v>
      </c>
      <c r="AF22" s="5">
        <f>VLOOKUP($A22,'SegEnds_NonXtal_Prot#'!$A:$AL,11,FALSE)</f>
        <v>97</v>
      </c>
      <c r="AG22" s="5">
        <f>VLOOKUP($A22,'SegEnds_NonXtal_Prot#'!$A:$AL,14,FALSE)</f>
        <v>103</v>
      </c>
      <c r="AH22" s="5">
        <f>VLOOKUP($A22,'SegEnds_NonXtal_Prot#'!$A:$AL,17,FALSE)</f>
        <v>139</v>
      </c>
      <c r="AI22" s="5">
        <f>VLOOKUP($A22,'SegEnds_NonXtal_Prot#'!$A:$AL,20,FALSE)</f>
        <v>147</v>
      </c>
      <c r="AJ22" s="5">
        <f>VLOOKUP($A22,'SegEnds_NonXtal_Prot#'!$A:$AL,23,FALSE)</f>
        <v>174</v>
      </c>
      <c r="AK22" s="5">
        <f>VLOOKUP($A22,'SegEnds_NonXtal_Prot#'!$A:$AL,26,FALSE)</f>
        <v>187</v>
      </c>
      <c r="AL22" s="5">
        <f>VLOOKUP($A22,'SegEnds_NonXtal_Prot#'!$A:$AL,29,FALSE)</f>
        <v>230</v>
      </c>
      <c r="AM22" s="5">
        <f>VLOOKUP($A22,'SegEnds_NonXtal_Prot#'!$A:$AL,32,FALSE)</f>
        <v>271</v>
      </c>
      <c r="AN22" s="5">
        <f>VLOOKUP($A22,'SegEnds_NonXtal_Prot#'!$A:$AL,35,FALSE)</f>
        <v>309</v>
      </c>
      <c r="AO22" s="5">
        <f>VLOOKUP($A22,'SegEnds_NonXtal_Prot#'!$A:$AL,38,FALSE)</f>
        <v>322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36</v>
      </c>
      <c r="AY22" s="4">
        <f t="shared" si="22"/>
        <v>37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'SegEnds_NonXtal_Prot#'!A213</f>
        <v>p2ry8_human</v>
      </c>
      <c r="B23" s="1" t="str">
        <f t="shared" si="0"/>
        <v>PAIAVALPVVYSLVAAVSIPGNLFSLWVLCRRSPSVIFMINLSVTDLMLASVLPFQIYYHCNGVLLCNVVTVAFYANMYSSILTMTCISVERFLGVLYRRRYAVAACAGTWLLLLTALSPLARTVAMWAVFLFTIFILLFLIPFVITVACYTATILKLLRGREQRRRAVGLAAVVLLAFVTCFAPNNFVLLAHIVSGKSYYHVYKLTLCLSCLNNCLDPFVYYFASREFQLRLREYLGCR</v>
      </c>
      <c r="C23" s="29" t="str">
        <f>IF(ISERROR(MATCH(A23,'SegEnds_Xtal_Prot#'!B:B, 0)), "NoXtal", "Xtal")</f>
        <v>NoXtal</v>
      </c>
      <c r="D23" s="4" t="str">
        <f>VLOOKUP(A23,Classification!A:D,2,FALSE)</f>
        <v>A</v>
      </c>
      <c r="E23" s="5" t="str">
        <f>VLOOKUP(A23,Seqs!A:B,2,FALSE)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3" s="5" t="str">
        <f t="shared" si="1"/>
        <v>PAIAVALPVVYSLVAAVSIPGNLFSLWVLCRR</v>
      </c>
      <c r="G23" s="4" t="str">
        <f t="shared" si="2"/>
        <v/>
      </c>
      <c r="H23" s="4" t="str">
        <f t="shared" si="3"/>
        <v>SPSVIFMINLSVTDLMLASVLPFQIYYHCN</v>
      </c>
      <c r="I23" s="4" t="str">
        <f t="shared" si="4"/>
        <v>HWVF</v>
      </c>
      <c r="J23" s="4" t="str">
        <f t="shared" si="5"/>
        <v>GVLLCNVVTVAFYANMYSSILTMTCISVERFLGVLY</v>
      </c>
      <c r="K23" s="4" t="str">
        <f t="shared" si="6"/>
        <v>PLSSKRWR</v>
      </c>
      <c r="L23" s="4" t="str">
        <f t="shared" si="7"/>
        <v>RRRYAVAACAGTWLLLLTALSPLART</v>
      </c>
      <c r="M23" s="4" t="str">
        <f t="shared" si="8"/>
        <v>CFD</v>
      </c>
      <c r="N23" s="4" t="str">
        <f t="shared" si="9"/>
        <v>VAMWAVFLFTIFILLFLIPFVITVACYTATILKLLR</v>
      </c>
      <c r="O23" s="4" t="str">
        <f t="shared" si="10"/>
        <v>GREQRRRAVGLAAVVLLAFVTCFAPNNFVLLAHIVS</v>
      </c>
      <c r="P23" s="4" t="str">
        <f t="shared" si="11"/>
        <v>GKSYYHVYKLTLCLSCLNNCLDPFVYYFA</v>
      </c>
      <c r="Q23" s="4" t="str">
        <f t="shared" si="12"/>
        <v>SREFQLRLREYLGCR</v>
      </c>
      <c r="R23" s="5">
        <f>VLOOKUP($A23,'SegEnds_NonXtal_Prot#'!$A:$AL,3,FALSE)</f>
        <v>20</v>
      </c>
      <c r="S23" s="5" t="str">
        <f>VLOOKUP($A23,'SegEnds_NonXtal_Prot#'!$A:$AL,6,FALSE)</f>
        <v>-</v>
      </c>
      <c r="T23" s="5">
        <f>VLOOKUP($A23,'SegEnds_NonXtal_Prot#'!$A:$AL,9,FALSE)</f>
        <v>56</v>
      </c>
      <c r="U23" s="5">
        <f>VLOOKUP($A23,'SegEnds_NonXtal_Prot#'!$A:$AL,12,FALSE)</f>
        <v>88</v>
      </c>
      <c r="V23" s="5">
        <f>VLOOKUP($A23,'SegEnds_NonXtal_Prot#'!$A:$AL,15,FALSE)</f>
        <v>92</v>
      </c>
      <c r="W23" s="5">
        <f>VLOOKUP($A23,'SegEnds_NonXtal_Prot#'!$A:$AL,18,FALSE)</f>
        <v>128</v>
      </c>
      <c r="X23" s="5">
        <f>VLOOKUP($A23,'SegEnds_NonXtal_Prot#'!$A:$AL,21,FALSE)</f>
        <v>136</v>
      </c>
      <c r="Y23" s="5">
        <f>VLOOKUP($A23,'SegEnds_NonXtal_Prot#'!$A:$AL,24,FALSE)</f>
        <v>175</v>
      </c>
      <c r="Z23" s="5">
        <f>VLOOKUP($A23,'SegEnds_NonXtal_Prot#'!$A:$AL,27,FALSE)</f>
        <v>187</v>
      </c>
      <c r="AA23" s="5">
        <f>VLOOKUP($A23,'SegEnds_NonXtal_Prot#'!$A:$AL,30,FALSE)</f>
        <v>228</v>
      </c>
      <c r="AB23" s="5">
        <f>VLOOKUP($A23,'SegEnds_NonXtal_Prot#'!$A:$AL,33,FALSE)</f>
        <v>268</v>
      </c>
      <c r="AC23" s="5">
        <f>VLOOKUP($A23,'SegEnds_NonXtal_Prot#'!$A:$AL,36,FALSE)</f>
        <v>297</v>
      </c>
      <c r="AD23" s="5">
        <f>VLOOKUP($A23,'SegEnds_NonXtal_Prot#'!$A:$AL,5,FALSE)</f>
        <v>51</v>
      </c>
      <c r="AE23" s="5" t="str">
        <f>VLOOKUP($A23,'SegEnds_NonXtal_Prot#'!$A:$AL,8,FALSE)</f>
        <v>-</v>
      </c>
      <c r="AF23" s="5">
        <f>VLOOKUP($A23,'SegEnds_NonXtal_Prot#'!$A:$AL,11,FALSE)</f>
        <v>85</v>
      </c>
      <c r="AG23" s="5">
        <f>VLOOKUP($A23,'SegEnds_NonXtal_Prot#'!$A:$AL,14,FALSE)</f>
        <v>91</v>
      </c>
      <c r="AH23" s="5">
        <f>VLOOKUP($A23,'SegEnds_NonXtal_Prot#'!$A:$AL,17,FALSE)</f>
        <v>127</v>
      </c>
      <c r="AI23" s="5">
        <f>VLOOKUP($A23,'SegEnds_NonXtal_Prot#'!$A:$AL,20,FALSE)</f>
        <v>135</v>
      </c>
      <c r="AJ23" s="5">
        <f>VLOOKUP($A23,'SegEnds_NonXtal_Prot#'!$A:$AL,23,FALSE)</f>
        <v>161</v>
      </c>
      <c r="AK23" s="5">
        <f>VLOOKUP($A23,'SegEnds_NonXtal_Prot#'!$A:$AL,26,FALSE)</f>
        <v>177</v>
      </c>
      <c r="AL23" s="5">
        <f>VLOOKUP($A23,'SegEnds_NonXtal_Prot#'!$A:$AL,29,FALSE)</f>
        <v>222</v>
      </c>
      <c r="AM23" s="5">
        <f>VLOOKUP($A23,'SegEnds_NonXtal_Prot#'!$A:$AL,32,FALSE)</f>
        <v>263</v>
      </c>
      <c r="AN23" s="5">
        <f>VLOOKUP($A23,'SegEnds_NonXtal_Prot#'!$A:$AL,35,FALSE)</f>
        <v>296</v>
      </c>
      <c r="AO23" s="5">
        <f>VLOOKUP($A23,'SegEnds_NonXtal_Prot#'!$A:$AL,38,FALSE)</f>
        <v>311</v>
      </c>
      <c r="AP23" s="5">
        <f t="shared" si="13"/>
        <v>31</v>
      </c>
      <c r="AQ23" s="4" t="str">
        <f t="shared" si="14"/>
        <v>-</v>
      </c>
      <c r="AR23" s="4">
        <f t="shared" si="15"/>
        <v>29</v>
      </c>
      <c r="AS23" s="4">
        <f t="shared" si="16"/>
        <v>3</v>
      </c>
      <c r="AT23" s="4">
        <f t="shared" si="17"/>
        <v>35</v>
      </c>
      <c r="AU23" s="4">
        <f t="shared" si="18"/>
        <v>7</v>
      </c>
      <c r="AV23" s="4">
        <f t="shared" si="19"/>
        <v>25</v>
      </c>
      <c r="AW23" s="4">
        <f t="shared" si="20"/>
        <v>2</v>
      </c>
      <c r="AX23" s="4">
        <f t="shared" si="21"/>
        <v>35</v>
      </c>
      <c r="AY23" s="4">
        <f t="shared" si="22"/>
        <v>35</v>
      </c>
      <c r="AZ23" s="4">
        <f t="shared" si="23"/>
        <v>28</v>
      </c>
      <c r="BA23" s="4">
        <f t="shared" si="24"/>
        <v>14</v>
      </c>
    </row>
    <row r="24" spans="1:53" x14ac:dyDescent="0.2">
      <c r="A24" s="1" t="str">
        <f>'SegEnds_NonXtal_Prot#'!A226</f>
        <v>pe2r4_human</v>
      </c>
      <c r="B24" s="1" t="str">
        <f t="shared" si="0"/>
        <v>SPDRLNSPVTIPAVMFIFGVVGNLVAIVVLCKSTTFYTLVCGLAVTDLLGTLLVSPVTIATYMGQPLCEYSTFILLFFSLSGLSIICAMSVERYLAINHDKRLAGLTLFAVYASNVLFCALPNMVTAHAAYSYMYAGFSSFLILATVLCNVLVCGALLRMHRQFMRRTSLRRIAGAEIQMVILLIATSLVVLICSIPLVVRVFVNQLYREVSKNPDLQAIRIASVNPILDPWIYILLRKTVLSKAIEKIKCL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4" s="5" t="str">
        <f t="shared" si="1"/>
        <v>SPDRLNSPVTIPAVMFIFGVVGNLVAIVVLCKS</v>
      </c>
      <c r="G24" s="4" t="str">
        <f t="shared" si="2"/>
        <v/>
      </c>
      <c r="H24" s="4" t="str">
        <f t="shared" si="3"/>
        <v>TTFYTLVCGLAVTDLLGTLLVSPVTIATYM</v>
      </c>
      <c r="I24" s="4" t="str">
        <f t="shared" si="4"/>
        <v/>
      </c>
      <c r="J24" s="4" t="str">
        <f t="shared" si="5"/>
        <v>GQPLCEYSTFILLFFSLSGLSIICAMSVERYLAINH</v>
      </c>
      <c r="K24" s="4" t="str">
        <f t="shared" si="6"/>
        <v>AYFYSHYV</v>
      </c>
      <c r="L24" s="4" t="str">
        <f t="shared" si="7"/>
        <v>DKRLAGLTLFAVYASNVLFCALPNM</v>
      </c>
      <c r="M24" s="4" t="str">
        <f t="shared" si="8"/>
        <v>CFI</v>
      </c>
      <c r="N24" s="4" t="str">
        <f t="shared" si="9"/>
        <v>VTAHAAYSYMYAGFSSFLILATVLCNVLVCGALLRMHRQFMRRTSL</v>
      </c>
      <c r="O24" s="4" t="str">
        <f t="shared" si="10"/>
        <v>RRIAGAEIQMVILLIATSLVVLICSIPLVVRVFVNQLY</v>
      </c>
      <c r="P24" s="4" t="str">
        <f t="shared" si="11"/>
        <v>REVSKNPDLQAIRIASVNPILDPWIYILL</v>
      </c>
      <c r="Q24" s="4" t="str">
        <f t="shared" si="12"/>
        <v>RKTVLSKAIEKIKCL</v>
      </c>
      <c r="R24" s="5">
        <f>VLOOKUP($A24,'SegEnds_NonXtal_Prot#'!$A:$AL,3,FALSE)</f>
        <v>13</v>
      </c>
      <c r="S24" s="5" t="str">
        <f>VLOOKUP($A24,'SegEnds_NonXtal_Prot#'!$A:$AL,6,FALSE)</f>
        <v>-</v>
      </c>
      <c r="T24" s="5">
        <f>VLOOKUP($A24,'SegEnds_NonXtal_Prot#'!$A:$AL,9,FALSE)</f>
        <v>52</v>
      </c>
      <c r="U24" s="5" t="str">
        <f>VLOOKUP($A24,'SegEnds_NonXtal_Prot#'!$A:$AL,12,FALSE)</f>
        <v>-</v>
      </c>
      <c r="V24" s="5">
        <f>VLOOKUP($A24,'SegEnds_NonXtal_Prot#'!$A:$AL,15,FALSE)</f>
        <v>88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178</v>
      </c>
      <c r="AA24" s="5">
        <f>VLOOKUP($A24,'SegEnds_NonXtal_Prot#'!$A:$AL,30,FALSE)</f>
        <v>261</v>
      </c>
      <c r="AB24" s="5">
        <f>VLOOKUP($A24,'SegEnds_NonXtal_Prot#'!$A:$AL,33,FALSE)</f>
        <v>304</v>
      </c>
      <c r="AC24" s="5">
        <f>VLOOKUP($A24,'SegEnds_NonXtal_Prot#'!$A:$AL,36,FALSE)</f>
        <v>333</v>
      </c>
      <c r="AD24" s="5">
        <f>VLOOKUP($A24,'SegEnds_NonXtal_Prot#'!$A:$AL,5,FALSE)</f>
        <v>45</v>
      </c>
      <c r="AE24" s="5" t="str">
        <f>VLOOKUP($A24,'SegEnds_NonXtal_Prot#'!$A:$AL,8,FALSE)</f>
        <v>-</v>
      </c>
      <c r="AF24" s="5">
        <f>VLOOKUP($A24,'SegEnds_NonXtal_Prot#'!$A:$AL,11,FALSE)</f>
        <v>81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156</v>
      </c>
      <c r="AK24" s="5">
        <f>VLOOKUP($A24,'SegEnds_NonXtal_Prot#'!$A:$AL,26,FALSE)</f>
        <v>172</v>
      </c>
      <c r="AL24" s="5">
        <f>VLOOKUP($A24,'SegEnds_NonXtal_Prot#'!$A:$AL,29,FALSE)</f>
        <v>223</v>
      </c>
      <c r="AM24" s="5">
        <f>VLOOKUP($A24,'SegEnds_NonXtal_Prot#'!$A:$AL,32,FALSE)</f>
        <v>298</v>
      </c>
      <c r="AN24" s="5">
        <f>VLOOKUP($A24,'SegEnds_NonXtal_Prot#'!$A:$AL,35,FALSE)</f>
        <v>332</v>
      </c>
      <c r="AO24" s="5">
        <f>VLOOKUP($A24,'SegEnds_NonXtal_Prot#'!$A:$AL,38,FALSE)</f>
        <v>347</v>
      </c>
      <c r="AP24" s="5">
        <f t="shared" si="13"/>
        <v>32</v>
      </c>
      <c r="AQ24" s="4" t="str">
        <f t="shared" si="14"/>
        <v>-</v>
      </c>
      <c r="AR24" s="4">
        <f t="shared" si="15"/>
        <v>29</v>
      </c>
      <c r="AS24" s="4" t="str">
        <f t="shared" si="16"/>
        <v>-</v>
      </c>
      <c r="AT24" s="4">
        <f t="shared" si="17"/>
        <v>35</v>
      </c>
      <c r="AU24" s="4">
        <f t="shared" si="18"/>
        <v>7</v>
      </c>
      <c r="AV24" s="4">
        <f t="shared" si="19"/>
        <v>24</v>
      </c>
      <c r="AW24" s="4">
        <f t="shared" si="20"/>
        <v>2</v>
      </c>
      <c r="AX24" s="4">
        <f t="shared" si="21"/>
        <v>45</v>
      </c>
      <c r="AY24" s="4">
        <f t="shared" si="22"/>
        <v>37</v>
      </c>
      <c r="AZ24" s="4">
        <f t="shared" si="23"/>
        <v>28</v>
      </c>
      <c r="BA24" s="4">
        <f t="shared" si="24"/>
        <v>14</v>
      </c>
    </row>
    <row r="25" spans="1:53" x14ac:dyDescent="0.2">
      <c r="A25" s="1" t="str">
        <f>'SegEnds_NonXtal_Prot#'!A245</f>
        <v>t2r20_human</v>
      </c>
      <c r="B25" s="1" t="str">
        <f t="shared" si="0"/>
        <v>HIVFSILVVVAFILGNFANGFIALINFIAWVISSADQIIAALAVSRVGLLWVILLHWYSTVLNLKVIIFISNAWAVTNHFSIWLATSLSIFYLLKIVNRKAKSVVLVIVLGSLFFLVCHLVMKHTRNAMHLSNLTVAMLANLIPFTLTLISFLLLIYSLCKHLKKMPSTKIHIKALQTVTSFLILLAIYFLCLIISFWNKEIVLMLCQAFGIIYPSFHSFILIWGNKTLKQTFLSVLWQ</v>
      </c>
      <c r="C25" s="29" t="str">
        <f>IF(ISERROR(MATCH(A25,'SegEnds_Xtal_Prot#'!B:B, 0)), "NoXtal", "Xtal")</f>
        <v>NoXtal</v>
      </c>
      <c r="D25" s="4" t="str">
        <f>VLOOKUP(A25,Classification!A:D,2,FALSE)</f>
        <v>T</v>
      </c>
      <c r="E25" s="5" t="str">
        <f>VLOOKUP(A25,Seqs!A:B,2,FALSE)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25" s="5" t="str">
        <f t="shared" si="1"/>
        <v>HIVFSILVVVAFILGNFANGFIALINFIAWV</v>
      </c>
      <c r="G25" s="4" t="str">
        <f t="shared" si="2"/>
        <v>KRQK</v>
      </c>
      <c r="H25" s="4" t="str">
        <f t="shared" si="3"/>
        <v>ISSADQIIAALAVSRVGLLWVILLHWYSTVL</v>
      </c>
      <c r="I25" s="4" t="str">
        <f t="shared" si="4"/>
        <v/>
      </c>
      <c r="J25" s="4" t="str">
        <f t="shared" si="5"/>
        <v>NLKVIIFISNAWAVTNHFSIWLATSLSIFYLLKIVN</v>
      </c>
      <c r="K25" s="4" t="str">
        <f t="shared" si="6"/>
        <v>RLIFHHLK</v>
      </c>
      <c r="L25" s="4" t="str">
        <f t="shared" si="7"/>
        <v>RKAKSVVLVIVLGSLFFLVCHLVMKHT</v>
      </c>
      <c r="M25" s="4" t="str">
        <f t="shared" si="8"/>
        <v/>
      </c>
      <c r="N25" s="4" t="str">
        <f t="shared" si="9"/>
        <v>RNAMHLSNLTVAMLANLIPFTLTLISFLLLIYSLCKHLKKM</v>
      </c>
      <c r="O25" s="4" t="str">
        <f t="shared" si="10"/>
        <v>PSTKIHIKALQTVTSFLILLAIYFLCLIISFWN</v>
      </c>
      <c r="P25" s="4" t="str">
        <f t="shared" si="11"/>
        <v>KEIVLMLCQAFGIIYPSFHSFILIWG</v>
      </c>
      <c r="Q25" s="4" t="str">
        <f t="shared" si="12"/>
        <v>NKTLKQTFLSVLWQ</v>
      </c>
      <c r="R25" s="5">
        <f>VLOOKUP($A25,'SegEnds_NonXtal_Prot#'!$A:$AL,3,FALSE)</f>
        <v>6</v>
      </c>
      <c r="S25" s="5">
        <f>VLOOKUP($A25,'SegEnds_NonXtal_Prot#'!$A:$AL,6,FALSE)</f>
        <v>37</v>
      </c>
      <c r="T25" s="5">
        <f>VLOOKUP($A25,'SegEnds_NonXtal_Prot#'!$A:$AL,9,FALSE)</f>
        <v>41</v>
      </c>
      <c r="U25" s="5" t="str">
        <f>VLOOKUP($A25,'SegEnds_NonXtal_Prot#'!$A:$AL,12,FALSE)</f>
        <v>-</v>
      </c>
      <c r="V25" s="5">
        <f>VLOOKUP($A25,'SegEnds_NonXtal_Prot#'!$A:$AL,15,FALSE)</f>
        <v>77</v>
      </c>
      <c r="W25" s="5">
        <f>VLOOKUP($A25,'SegEnds_NonXtal_Prot#'!$A:$AL,18,FALSE)</f>
        <v>115</v>
      </c>
      <c r="X25" s="5">
        <f>VLOOKUP($A25,'SegEnds_NonXtal_Prot#'!$A:$AL,21,FALSE)</f>
        <v>123</v>
      </c>
      <c r="Y25" s="5" t="str">
        <f>VLOOKUP($A25,'SegEnds_NonXtal_Prot#'!$A:$AL,24,FALSE)</f>
        <v>-</v>
      </c>
      <c r="Z25" s="5">
        <f>VLOOKUP($A25,'SegEnds_NonXtal_Prot#'!$A:$AL,27,FALSE)</f>
        <v>169</v>
      </c>
      <c r="AA25" s="5">
        <f>VLOOKUP($A25,'SegEnds_NonXtal_Prot#'!$A:$AL,30,FALSE)</f>
        <v>219</v>
      </c>
      <c r="AB25" s="5">
        <f>VLOOKUP($A25,'SegEnds_NonXtal_Prot#'!$A:$AL,33,FALSE)</f>
        <v>257</v>
      </c>
      <c r="AC25" s="5">
        <f>VLOOKUP($A25,'SegEnds_NonXtal_Prot#'!$A:$AL,36,FALSE)</f>
        <v>283</v>
      </c>
      <c r="AD25" s="5">
        <f>VLOOKUP($A25,'SegEnds_NonXtal_Prot#'!$A:$AL,5,FALSE)</f>
        <v>36</v>
      </c>
      <c r="AE25" s="5">
        <f>VLOOKUP($A25,'SegEnds_NonXtal_Prot#'!$A:$AL,8,FALSE)</f>
        <v>40</v>
      </c>
      <c r="AF25" s="5">
        <f>VLOOKUP($A25,'SegEnds_NonXtal_Prot#'!$A:$AL,11,FALSE)</f>
        <v>71</v>
      </c>
      <c r="AG25" s="5" t="str">
        <f>VLOOKUP($A25,'SegEnds_NonXtal_Prot#'!$A:$AL,14,FALSE)</f>
        <v>-</v>
      </c>
      <c r="AH25" s="5">
        <f>VLOOKUP($A25,'SegEnds_NonXtal_Prot#'!$A:$AL,17,FALSE)</f>
        <v>112</v>
      </c>
      <c r="AI25" s="5">
        <f>VLOOKUP($A25,'SegEnds_NonXtal_Prot#'!$A:$AL,20,FALSE)</f>
        <v>122</v>
      </c>
      <c r="AJ25" s="5">
        <f>VLOOKUP($A25,'SegEnds_NonXtal_Prot#'!$A:$AL,23,FALSE)</f>
        <v>149</v>
      </c>
      <c r="AK25" s="5" t="str">
        <f>VLOOKUP($A25,'SegEnds_NonXtal_Prot#'!$A:$AL,26,FALSE)</f>
        <v>-</v>
      </c>
      <c r="AL25" s="5">
        <f>VLOOKUP($A25,'SegEnds_NonXtal_Prot#'!$A:$AL,29,FALSE)</f>
        <v>209</v>
      </c>
      <c r="AM25" s="5">
        <f>VLOOKUP($A25,'SegEnds_NonXtal_Prot#'!$A:$AL,32,FALSE)</f>
        <v>251</v>
      </c>
      <c r="AN25" s="5">
        <f>VLOOKUP($A25,'SegEnds_NonXtal_Prot#'!$A:$AL,35,FALSE)</f>
        <v>282</v>
      </c>
      <c r="AO25" s="5">
        <f>VLOOKUP($A25,'SegEnds_NonXtal_Prot#'!$A:$AL,38,FALSE)</f>
        <v>296</v>
      </c>
      <c r="AP25" s="5">
        <f t="shared" si="13"/>
        <v>30</v>
      </c>
      <c r="AQ25" s="4">
        <f t="shared" si="14"/>
        <v>3</v>
      </c>
      <c r="AR25" s="4">
        <f t="shared" si="15"/>
        <v>30</v>
      </c>
      <c r="AS25" s="4" t="str">
        <f t="shared" si="16"/>
        <v>-</v>
      </c>
      <c r="AT25" s="4">
        <f t="shared" si="17"/>
        <v>35</v>
      </c>
      <c r="AU25" s="4">
        <f t="shared" si="18"/>
        <v>7</v>
      </c>
      <c r="AV25" s="4">
        <f t="shared" si="19"/>
        <v>26</v>
      </c>
      <c r="AW25" s="4" t="str">
        <f t="shared" si="20"/>
        <v>-</v>
      </c>
      <c r="AX25" s="4">
        <f t="shared" si="21"/>
        <v>40</v>
      </c>
      <c r="AY25" s="4">
        <f t="shared" si="22"/>
        <v>32</v>
      </c>
      <c r="AZ25" s="4">
        <f t="shared" si="23"/>
        <v>25</v>
      </c>
      <c r="BA25" s="4">
        <f t="shared" si="24"/>
        <v>13</v>
      </c>
    </row>
    <row r="26" spans="1:53" x14ac:dyDescent="0.2">
      <c r="A26" s="1" t="str">
        <f>'SegEnds_NonXtal_Prot#'!A251</f>
        <v>t2r41_human</v>
      </c>
      <c r="B26" s="1" t="str">
        <f t="shared" si="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26" s="29" t="str">
        <f>IF(ISERROR(MATCH(A26,'SegEnds_Xtal_Prot#'!B:B, 0)), "NoXtal", "Xtal")</f>
        <v>NoXtal</v>
      </c>
      <c r="D26" s="4" t="str">
        <f>VLOOKUP(A26,Classification!A:D,2,FALSE)</f>
        <v>T</v>
      </c>
      <c r="E26" s="5" t="str">
        <f>VLOOKUP(A26,Seqs!A:B,2,FALSE)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26" s="5" t="str">
        <f t="shared" si="1"/>
        <v>TAFFVLLFSLLSLLGIAANGFIVLVLGREWL</v>
      </c>
      <c r="G26" s="4" t="str">
        <f t="shared" si="2"/>
        <v>RYGR</v>
      </c>
      <c r="H26" s="4" t="str">
        <f t="shared" si="3"/>
        <v>LLPLDMILISLGASRFCLQLVGTVHNFYYSAQ</v>
      </c>
      <c r="I26" s="4" t="str">
        <f t="shared" si="4"/>
        <v/>
      </c>
      <c r="J26" s="4" t="str">
        <f t="shared" si="5"/>
        <v>GGLGRQFFHLHWHFLNSATFWFCSWLSVLFCVKIAN</v>
      </c>
      <c r="K26" s="4" t="str">
        <f t="shared" si="6"/>
        <v>HSTFLWLK</v>
      </c>
      <c r="L26" s="4" t="str">
        <f t="shared" si="7"/>
        <v>WRFPGWVPWLLLGSVLISFIITLLF</v>
      </c>
      <c r="M26" s="4" t="str">
        <f t="shared" si="8"/>
        <v/>
      </c>
      <c r="N26" s="4" t="str">
        <f t="shared" si="9"/>
        <v>TRIETYYFPSLKLVIWSIPFSVFLVSIMLLINSLRRHTQRM</v>
      </c>
      <c r="O26" s="4" t="str">
        <f t="shared" si="10"/>
        <v>PSTQAHTRALKSLISFLILYALSFLSLIIDAAK</v>
      </c>
      <c r="P26" s="4" t="str">
        <f t="shared" si="11"/>
        <v>QNDFYWPWQIAVYLCISVHPFILIFS</v>
      </c>
      <c r="Q26" s="4" t="str">
        <f t="shared" si="12"/>
        <v>NLKLRSVFSQLLLL</v>
      </c>
      <c r="R26" s="5">
        <f>VLOOKUP($A26,'SegEnds_NonXtal_Prot#'!$A:$AL,3,FALSE)</f>
        <v>6</v>
      </c>
      <c r="S26" s="5">
        <f>VLOOKUP($A26,'SegEnds_NonXtal_Prot#'!$A:$AL,6,FALSE)</f>
        <v>37</v>
      </c>
      <c r="T26" s="5">
        <f>VLOOKUP($A26,'SegEnds_NonXtal_Prot#'!$A:$AL,9,FALSE)</f>
        <v>41</v>
      </c>
      <c r="U26" s="5" t="str">
        <f>VLOOKUP($A26,'SegEnds_NonXtal_Prot#'!$A:$AL,12,FALSE)</f>
        <v>-</v>
      </c>
      <c r="V26" s="5">
        <f>VLOOKUP($A26,'SegEnds_NonXtal_Prot#'!$A:$AL,15,FALSE)</f>
        <v>78</v>
      </c>
      <c r="W26" s="5">
        <f>VLOOKUP($A26,'SegEnds_NonXtal_Prot#'!$A:$AL,18,FALSE)</f>
        <v>116</v>
      </c>
      <c r="X26" s="5">
        <f>VLOOKUP($A26,'SegEnds_NonXtal_Prot#'!$A:$AL,21,FALSE)</f>
        <v>124</v>
      </c>
      <c r="Y26" s="5" t="str">
        <f>VLOOKUP($A26,'SegEnds_NonXtal_Prot#'!$A:$AL,24,FALSE)</f>
        <v>-</v>
      </c>
      <c r="Z26" s="5">
        <f>VLOOKUP($A26,'SegEnds_NonXtal_Prot#'!$A:$AL,27,FALSE)</f>
        <v>174</v>
      </c>
      <c r="AA26" s="5">
        <f>VLOOKUP($A26,'SegEnds_NonXtal_Prot#'!$A:$AL,30,FALSE)</f>
        <v>224</v>
      </c>
      <c r="AB26" s="5">
        <f>VLOOKUP($A26,'SegEnds_NonXtal_Prot#'!$A:$AL,33,FALSE)</f>
        <v>261</v>
      </c>
      <c r="AC26" s="5">
        <f>VLOOKUP($A26,'SegEnds_NonXtal_Prot#'!$A:$AL,36,FALSE)</f>
        <v>287</v>
      </c>
      <c r="AD26" s="5">
        <f>VLOOKUP($A26,'SegEnds_NonXtal_Prot#'!$A:$AL,5,FALSE)</f>
        <v>36</v>
      </c>
      <c r="AE26" s="5">
        <f>VLOOKUP($A26,'SegEnds_NonXtal_Prot#'!$A:$AL,8,FALSE)</f>
        <v>40</v>
      </c>
      <c r="AF26" s="5">
        <f>VLOOKUP($A26,'SegEnds_NonXtal_Prot#'!$A:$AL,11,FALSE)</f>
        <v>72</v>
      </c>
      <c r="AG26" s="5" t="str">
        <f>VLOOKUP($A26,'SegEnds_NonXtal_Prot#'!$A:$AL,14,FALSE)</f>
        <v>-</v>
      </c>
      <c r="AH26" s="5">
        <f>VLOOKUP($A26,'SegEnds_NonXtal_Prot#'!$A:$AL,17,FALSE)</f>
        <v>113</v>
      </c>
      <c r="AI26" s="5">
        <f>VLOOKUP($A26,'SegEnds_NonXtal_Prot#'!$A:$AL,20,FALSE)</f>
        <v>123</v>
      </c>
      <c r="AJ26" s="5">
        <f>VLOOKUP($A26,'SegEnds_NonXtal_Prot#'!$A:$AL,23,FALSE)</f>
        <v>148</v>
      </c>
      <c r="AK26" s="5" t="str">
        <f>VLOOKUP($A26,'SegEnds_NonXtal_Prot#'!$A:$AL,26,FALSE)</f>
        <v>-</v>
      </c>
      <c r="AL26" s="5">
        <f>VLOOKUP($A26,'SegEnds_NonXtal_Prot#'!$A:$AL,29,FALSE)</f>
        <v>214</v>
      </c>
      <c r="AM26" s="5">
        <f>VLOOKUP($A26,'SegEnds_NonXtal_Prot#'!$A:$AL,32,FALSE)</f>
        <v>256</v>
      </c>
      <c r="AN26" s="5">
        <f>VLOOKUP($A26,'SegEnds_NonXtal_Prot#'!$A:$AL,35,FALSE)</f>
        <v>286</v>
      </c>
      <c r="AO26" s="5">
        <f>VLOOKUP($A26,'SegEnds_NonXtal_Prot#'!$A:$AL,38,FALSE)</f>
        <v>300</v>
      </c>
      <c r="AP26" s="5">
        <f t="shared" si="13"/>
        <v>30</v>
      </c>
      <c r="AQ26" s="4">
        <f t="shared" si="14"/>
        <v>3</v>
      </c>
      <c r="AR26" s="4">
        <f t="shared" si="15"/>
        <v>31</v>
      </c>
      <c r="AS26" s="4" t="str">
        <f t="shared" si="16"/>
        <v>-</v>
      </c>
      <c r="AT26" s="4">
        <f t="shared" si="17"/>
        <v>35</v>
      </c>
      <c r="AU26" s="4">
        <f t="shared" si="18"/>
        <v>7</v>
      </c>
      <c r="AV26" s="4">
        <f t="shared" si="19"/>
        <v>24</v>
      </c>
      <c r="AW26" s="4" t="str">
        <f t="shared" si="20"/>
        <v>-</v>
      </c>
      <c r="AX26" s="4">
        <f t="shared" si="21"/>
        <v>40</v>
      </c>
      <c r="AY26" s="4">
        <f t="shared" si="22"/>
        <v>32</v>
      </c>
      <c r="AZ26" s="4">
        <f t="shared" si="23"/>
        <v>25</v>
      </c>
      <c r="BA26" s="4">
        <f t="shared" si="24"/>
        <v>13</v>
      </c>
    </row>
    <row r="27" spans="1:53" x14ac:dyDescent="0.2">
      <c r="A27" s="1" t="str">
        <f>'SegEnds_NonXtal_Prot#'!A262</f>
        <v>ta2r5_human</v>
      </c>
      <c r="B27" s="1" t="str">
        <f t="shared" si="0"/>
        <v>LGLLMLVAVVEFLIGLIGNGSLVVWSFREWIWSSYNLIILGLAGCRFLLQWLIILDLSLFPLWLRYLSIFWVLVSQASLWFATFLSVFYCKKITTQRAYNLSLWCLLGYFIINLLLTVQIFESWQYLYAFQLNSGSYLPLVVFLVSSGMLIVSLYTHHKKMVRAKAHITALKSLGCFLLLHLVYIMASPFSITSDLTSVFIWETLMAAYPSLHSLILIMGIPRVKQTCQKILWK</v>
      </c>
      <c r="C27" s="29" t="str">
        <f>IF(ISERROR(MATCH(A27,'SegEnds_Xtal_Prot#'!B:B, 0)), "NoXtal", "Xtal")</f>
        <v>NoXtal</v>
      </c>
      <c r="D27" s="4" t="str">
        <f>VLOOKUP(A27,Classification!A:D,2,FALSE)</f>
        <v>T</v>
      </c>
      <c r="E27" s="5" t="str">
        <f>VLOOKUP(A27,Seqs!A:B,2,FALSE)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27" s="5" t="str">
        <f t="shared" si="1"/>
        <v>LGLLMLVAVVEFLIGLIGNGSLVVWSFREWI</v>
      </c>
      <c r="G27" s="4" t="str">
        <f t="shared" si="2"/>
        <v>RKFN</v>
      </c>
      <c r="H27" s="4" t="str">
        <f t="shared" si="3"/>
        <v>WSSYNLIILGLAGCRFLLQWLIILDLSLFPL</v>
      </c>
      <c r="I27" s="4" t="str">
        <f t="shared" si="4"/>
        <v/>
      </c>
      <c r="J27" s="4" t="str">
        <f t="shared" si="5"/>
        <v>WLRYLSIFWVLVSQASLWFATFLSVFYCKKITT</v>
      </c>
      <c r="K27" s="4" t="str">
        <f t="shared" si="6"/>
        <v>RPAYLWLK</v>
      </c>
      <c r="L27" s="4" t="str">
        <f t="shared" si="7"/>
        <v>QRAYNLSLWCLLGYFIINLLLTVQI</v>
      </c>
      <c r="M27" s="4" t="str">
        <f t="shared" si="8"/>
        <v/>
      </c>
      <c r="N27" s="4" t="str">
        <f t="shared" si="9"/>
        <v>FESWQYLYAFQLNSGSYLPLVVFLVSSGMLIVSLYTHHKKM</v>
      </c>
      <c r="O27" s="4" t="str">
        <f t="shared" si="10"/>
        <v>VRAKAHITALKSLGCFLLLHLVYIMASPFSITS</v>
      </c>
      <c r="P27" s="4" t="str">
        <f t="shared" si="11"/>
        <v>DLTSVFIWETLMAAYPSLHSLILIMG</v>
      </c>
      <c r="Q27" s="4" t="str">
        <f t="shared" si="12"/>
        <v>IPRVKQTCQKILWK</v>
      </c>
      <c r="R27" s="5">
        <f>VLOOKUP($A27,'SegEnds_NonXtal_Prot#'!$A:$AL,3,FALSE)</f>
        <v>6</v>
      </c>
      <c r="S27" s="5">
        <f>VLOOKUP($A27,'SegEnds_NonXtal_Prot#'!$A:$AL,6,FALSE)</f>
        <v>37</v>
      </c>
      <c r="T27" s="5">
        <f>VLOOKUP($A27,'SegEnds_NonXtal_Prot#'!$A:$AL,9,FALSE)</f>
        <v>41</v>
      </c>
      <c r="U27" s="5" t="str">
        <f>VLOOKUP($A27,'SegEnds_NonXtal_Prot#'!$A:$AL,12,FALSE)</f>
        <v>-</v>
      </c>
      <c r="V27" s="5">
        <f>VLOOKUP($A27,'SegEnds_NonXtal_Prot#'!$A:$AL,15,FALSE)</f>
        <v>77</v>
      </c>
      <c r="W27" s="5">
        <f>VLOOKUP($A27,'SegEnds_NonXtal_Prot#'!$A:$AL,18,FALSE)</f>
        <v>112</v>
      </c>
      <c r="X27" s="5">
        <f>VLOOKUP($A27,'SegEnds_NonXtal_Prot#'!$A:$AL,21,FALSE)</f>
        <v>120</v>
      </c>
      <c r="Y27" s="5" t="str">
        <f>VLOOKUP($A27,'SegEnds_NonXtal_Prot#'!$A:$AL,24,FALSE)</f>
        <v>-</v>
      </c>
      <c r="Z27" s="5">
        <f>VLOOKUP($A27,'SegEnds_NonXtal_Prot#'!$A:$AL,27,FALSE)</f>
        <v>162</v>
      </c>
      <c r="AA27" s="5">
        <f>VLOOKUP($A27,'SegEnds_NonXtal_Prot#'!$A:$AL,30,FALSE)</f>
        <v>212</v>
      </c>
      <c r="AB27" s="5">
        <f>VLOOKUP($A27,'SegEnds_NonXtal_Prot#'!$A:$AL,33,FALSE)</f>
        <v>250</v>
      </c>
      <c r="AC27" s="5">
        <f>VLOOKUP($A27,'SegEnds_NonXtal_Prot#'!$A:$AL,36,FALSE)</f>
        <v>276</v>
      </c>
      <c r="AD27" s="5">
        <f>VLOOKUP($A27,'SegEnds_NonXtal_Prot#'!$A:$AL,5,FALSE)</f>
        <v>36</v>
      </c>
      <c r="AE27" s="5">
        <f>VLOOKUP($A27,'SegEnds_NonXtal_Prot#'!$A:$AL,8,FALSE)</f>
        <v>40</v>
      </c>
      <c r="AF27" s="5">
        <f>VLOOKUP($A27,'SegEnds_NonXtal_Prot#'!$A:$AL,11,FALSE)</f>
        <v>71</v>
      </c>
      <c r="AG27" s="5" t="str">
        <f>VLOOKUP($A27,'SegEnds_NonXtal_Prot#'!$A:$AL,14,FALSE)</f>
        <v>-</v>
      </c>
      <c r="AH27" s="5">
        <f>VLOOKUP($A27,'SegEnds_NonXtal_Prot#'!$A:$AL,17,FALSE)</f>
        <v>109</v>
      </c>
      <c r="AI27" s="5">
        <f>VLOOKUP($A27,'SegEnds_NonXtal_Prot#'!$A:$AL,20,FALSE)</f>
        <v>119</v>
      </c>
      <c r="AJ27" s="5">
        <f>VLOOKUP($A27,'SegEnds_NonXtal_Prot#'!$A:$AL,23,FALSE)</f>
        <v>144</v>
      </c>
      <c r="AK27" s="5" t="str">
        <f>VLOOKUP($A27,'SegEnds_NonXtal_Prot#'!$A:$AL,26,FALSE)</f>
        <v>-</v>
      </c>
      <c r="AL27" s="5">
        <f>VLOOKUP($A27,'SegEnds_NonXtal_Prot#'!$A:$AL,29,FALSE)</f>
        <v>202</v>
      </c>
      <c r="AM27" s="5">
        <f>VLOOKUP($A27,'SegEnds_NonXtal_Prot#'!$A:$AL,32,FALSE)</f>
        <v>244</v>
      </c>
      <c r="AN27" s="5">
        <f>VLOOKUP($A27,'SegEnds_NonXtal_Prot#'!$A:$AL,35,FALSE)</f>
        <v>275</v>
      </c>
      <c r="AO27" s="5">
        <f>VLOOKUP($A27,'SegEnds_NonXtal_Prot#'!$A:$AL,38,FALSE)</f>
        <v>289</v>
      </c>
      <c r="AP27" s="5">
        <f t="shared" si="13"/>
        <v>30</v>
      </c>
      <c r="AQ27" s="4">
        <f t="shared" si="14"/>
        <v>3</v>
      </c>
      <c r="AR27" s="4">
        <f t="shared" si="15"/>
        <v>30</v>
      </c>
      <c r="AS27" s="4" t="str">
        <f t="shared" si="16"/>
        <v>-</v>
      </c>
      <c r="AT27" s="4">
        <f t="shared" si="17"/>
        <v>32</v>
      </c>
      <c r="AU27" s="4">
        <f t="shared" si="18"/>
        <v>7</v>
      </c>
      <c r="AV27" s="4">
        <f t="shared" si="19"/>
        <v>24</v>
      </c>
      <c r="AW27" s="4" t="str">
        <f t="shared" si="20"/>
        <v>-</v>
      </c>
      <c r="AX27" s="4">
        <f t="shared" si="21"/>
        <v>40</v>
      </c>
      <c r="AY27" s="4">
        <f t="shared" si="22"/>
        <v>32</v>
      </c>
      <c r="AZ27" s="4">
        <f t="shared" si="23"/>
        <v>25</v>
      </c>
      <c r="BA27" s="4">
        <f t="shared" si="24"/>
        <v>13</v>
      </c>
    </row>
    <row r="28" spans="1:53" x14ac:dyDescent="0.2">
      <c r="A28" s="1" t="str">
        <f>'SegEnds_NonXtal_Prot#'!A276</f>
        <v>xcr1_human</v>
      </c>
      <c r="B28" s="1" t="str">
        <f t="shared" si="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8" s="5" t="str">
        <f t="shared" si="1"/>
        <v>ENQAWVFATLATTVLYCLVFLLSLVGNSLVLWVLVKY</v>
      </c>
      <c r="G28" s="4" t="str">
        <f t="shared" si="2"/>
        <v>ESLE</v>
      </c>
      <c r="H28" s="4" t="str">
        <f t="shared" si="3"/>
        <v>SLTNIFILNLCLSDLVFACLLPVWISPYHW</v>
      </c>
      <c r="I28" s="4" t="str">
        <f t="shared" si="4"/>
        <v>GWVL</v>
      </c>
      <c r="J28" s="4" t="str">
        <f t="shared" si="5"/>
        <v>GDFLCKLLNMIFSISLYSSIFFLTIMTIHRYLSVVS</v>
      </c>
      <c r="K28" s="4" t="str">
        <f t="shared" si="6"/>
        <v>PLSTLRVP</v>
      </c>
      <c r="L28" s="4" t="str">
        <f t="shared" si="7"/>
        <v>TLRCRVLVTMAVWVASILSSILDTIFH</v>
      </c>
      <c r="M28" s="4" t="str">
        <f t="shared" si="8"/>
        <v>CDY</v>
      </c>
      <c r="N28" s="4" t="str">
        <f t="shared" si="9"/>
        <v>WYLTSVYQHNLFFLLSLGIILFCYVEILRTLFRS</v>
      </c>
      <c r="O28" s="4" t="str">
        <f t="shared" si="10"/>
        <v>RHRTVKLIFAIVVAYFLSWGPYNFTLFLQTLFRTQ</v>
      </c>
      <c r="P28" s="4" t="str">
        <f t="shared" si="11"/>
        <v>SCEAKQQLEYALLICRNLAFSHCCFNPVLYVFV</v>
      </c>
      <c r="Q28" s="4" t="str">
        <f t="shared" si="12"/>
        <v>GVKFRTHLKHVLR</v>
      </c>
      <c r="R28" s="5">
        <f>VLOOKUP($A28,'SegEnds_NonXtal_Prot#'!$A:$AL,3,FALSE)</f>
        <v>23</v>
      </c>
      <c r="S28" s="5">
        <f>VLOOKUP($A28,'SegEnds_NonXtal_Prot#'!$A:$AL,6,FALSE)</f>
        <v>60</v>
      </c>
      <c r="T28" s="5">
        <f>VLOOKUP($A28,'SegEnds_NonXtal_Prot#'!$A:$AL,9,FALSE)</f>
        <v>64</v>
      </c>
      <c r="U28" s="5">
        <f>VLOOKUP($A28,'SegEnds_NonXtal_Prot#'!$A:$AL,12,FALSE)</f>
        <v>94</v>
      </c>
      <c r="V28" s="5">
        <f>VLOOKUP($A28,'SegEnds_NonXtal_Prot#'!$A:$AL,15,FALSE)</f>
        <v>98</v>
      </c>
      <c r="W28" s="5">
        <f>VLOOKUP($A28,'SegEnds_NonXtal_Prot#'!$A:$AL,18,FALSE)</f>
        <v>134</v>
      </c>
      <c r="X28" s="5">
        <f>VLOOKUP($A28,'SegEnds_NonXtal_Prot#'!$A:$AL,21,FALSE)</f>
        <v>142</v>
      </c>
      <c r="Y28" s="5">
        <f>VLOOKUP($A28,'SegEnds_NonXtal_Prot#'!$A:$AL,24,FALSE)</f>
        <v>175</v>
      </c>
      <c r="Z28" s="5">
        <f>VLOOKUP($A28,'SegEnds_NonXtal_Prot#'!$A:$AL,27,FALSE)</f>
        <v>182</v>
      </c>
      <c r="AA28" s="5">
        <f>VLOOKUP($A28,'SegEnds_NonXtal_Prot#'!$A:$AL,30,FALSE)</f>
        <v>220</v>
      </c>
      <c r="AB28" s="5">
        <f>VLOOKUP($A28,'SegEnds_NonXtal_Prot#'!$A:$AL,33,FALSE)</f>
        <v>258</v>
      </c>
      <c r="AC28" s="5">
        <f>VLOOKUP($A28,'SegEnds_NonXtal_Prot#'!$A:$AL,36,FALSE)</f>
        <v>291</v>
      </c>
      <c r="AD28" s="5">
        <f>VLOOKUP($A28,'SegEnds_NonXtal_Prot#'!$A:$AL,5,FALSE)</f>
        <v>59</v>
      </c>
      <c r="AE28" s="5">
        <f>VLOOKUP($A28,'SegEnds_NonXtal_Prot#'!$A:$AL,8,FALSE)</f>
        <v>63</v>
      </c>
      <c r="AF28" s="5">
        <f>VLOOKUP($A28,'SegEnds_NonXtal_Prot#'!$A:$AL,11,FALSE)</f>
        <v>93</v>
      </c>
      <c r="AG28" s="5">
        <f>VLOOKUP($A28,'SegEnds_NonXtal_Prot#'!$A:$AL,14,FALSE)</f>
        <v>97</v>
      </c>
      <c r="AH28" s="5">
        <f>VLOOKUP($A28,'SegEnds_NonXtal_Prot#'!$A:$AL,17,FALSE)</f>
        <v>133</v>
      </c>
      <c r="AI28" s="5">
        <f>VLOOKUP($A28,'SegEnds_NonXtal_Prot#'!$A:$AL,20,FALSE)</f>
        <v>141</v>
      </c>
      <c r="AJ28" s="5">
        <f>VLOOKUP($A28,'SegEnds_NonXtal_Prot#'!$A:$AL,23,FALSE)</f>
        <v>168</v>
      </c>
      <c r="AK28" s="5">
        <f>VLOOKUP($A28,'SegEnds_NonXtal_Prot#'!$A:$AL,26,FALSE)</f>
        <v>177</v>
      </c>
      <c r="AL28" s="5">
        <f>VLOOKUP($A28,'SegEnds_NonXtal_Prot#'!$A:$AL,29,FALSE)</f>
        <v>215</v>
      </c>
      <c r="AM28" s="5">
        <f>VLOOKUP($A28,'SegEnds_NonXtal_Prot#'!$A:$AL,32,FALSE)</f>
        <v>254</v>
      </c>
      <c r="AN28" s="5">
        <f>VLOOKUP($A28,'SegEnds_NonXtal_Prot#'!$A:$AL,35,FALSE)</f>
        <v>290</v>
      </c>
      <c r="AO28" s="5">
        <f>VLOOKUP($A28,'SegEnds_NonXtal_Prot#'!$A:$AL,38,FALSE)</f>
        <v>303</v>
      </c>
      <c r="AP28" s="5">
        <f t="shared" si="13"/>
        <v>36</v>
      </c>
      <c r="AQ28" s="4">
        <f t="shared" si="14"/>
        <v>3</v>
      </c>
      <c r="AR28" s="4">
        <f t="shared" si="15"/>
        <v>29</v>
      </c>
      <c r="AS28" s="4">
        <f t="shared" si="16"/>
        <v>3</v>
      </c>
      <c r="AT28" s="4">
        <f t="shared" si="17"/>
        <v>35</v>
      </c>
      <c r="AU28" s="4">
        <f t="shared" si="18"/>
        <v>7</v>
      </c>
      <c r="AV28" s="4">
        <f t="shared" si="19"/>
        <v>26</v>
      </c>
      <c r="AW28" s="4">
        <f t="shared" si="20"/>
        <v>2</v>
      </c>
      <c r="AX28" s="4">
        <f t="shared" si="21"/>
        <v>33</v>
      </c>
      <c r="AY28" s="4">
        <f t="shared" si="22"/>
        <v>34</v>
      </c>
      <c r="AZ28" s="4">
        <f t="shared" si="23"/>
        <v>32</v>
      </c>
      <c r="BA28" s="4">
        <f t="shared" si="24"/>
        <v>12</v>
      </c>
    </row>
    <row r="29" spans="1:53" x14ac:dyDescent="0.2">
      <c r="A29" s="1" t="str">
        <f>'SegEnds_NonXtal_Prot#'!A293</f>
        <v>agrb2_human</v>
      </c>
      <c r="B29" s="1" t="str">
        <f t="shared" si="0"/>
        <v>PPKDLTLELAGSPSVPLVIGCAVSCMALLTLLAIYAAFSERSIILLNFCLSILASNILILVGQSRGVCTMTAAFLHFFFLSSFCWVLTEAWQSYLAVIGLVRKRFLCLGWGLPALVVAVSVGFTRTKGEGGLLYAFVGPAAVIVLVNMLIGIIVFNKLMARDNAMASLWSSCVVLPLLALTWMSAVLSVLFQALFAVFNSAQGFVITAVHCFLRREVQDVVKCQMGVCRA</v>
      </c>
      <c r="C29" s="29" t="str">
        <f>IF(ISERROR(MATCH(A29,'SegEnds_Xtal_Prot#'!B:B, 0)), "NoXtal", "Xtal")</f>
        <v>NoXtal</v>
      </c>
      <c r="D29" s="4" t="str">
        <f>VLOOKUP(A29,Classification!A:D,2,FALSE)</f>
        <v>B2</v>
      </c>
      <c r="E29" s="5" t="str">
        <f>VLOOKUP(A29,Seqs!A:B,2,FALSE)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29" s="5" t="str">
        <f t="shared" si="1"/>
        <v>PPKDLTLELAGSPSVPLVIGCAVSCMALLTLLAIYAAF</v>
      </c>
      <c r="G29" s="4" t="str">
        <f t="shared" si="2"/>
        <v/>
      </c>
      <c r="H29" s="4" t="str">
        <f t="shared" si="3"/>
        <v>SERSIILLNFCLSILASNILILVGQSR</v>
      </c>
      <c r="I29" s="4" t="str">
        <f t="shared" si="4"/>
        <v/>
      </c>
      <c r="J29" s="4" t="str">
        <f t="shared" si="5"/>
        <v>GVCTMTAAFLHFFFLSSFCWVLTEAWQSYLAVIG</v>
      </c>
      <c r="K29" s="4" t="str">
        <f t="shared" si="6"/>
        <v/>
      </c>
      <c r="L29" s="4" t="str">
        <f t="shared" si="7"/>
        <v>LVRKRFLCLGWGLPALVVAVSVGFTRTKG</v>
      </c>
      <c r="M29" s="4" t="str">
        <f t="shared" si="8"/>
        <v>CWL</v>
      </c>
      <c r="N29" s="4" t="str">
        <f t="shared" si="9"/>
        <v>EGGLLYAFVGPAAVIVLVNMLIGIIVFNKLMARD</v>
      </c>
      <c r="O29" s="4" t="str">
        <f t="shared" si="10"/>
        <v>NAMASLWSSCVVLPLLALTWMSAVL</v>
      </c>
      <c r="P29" s="4" t="str">
        <f t="shared" si="11"/>
        <v>SVLFQALFAVFNSAQGFVITAVHCFL</v>
      </c>
      <c r="Q29" s="4" t="str">
        <f t="shared" si="12"/>
        <v>RREVQDVVKCQMGVCRA</v>
      </c>
      <c r="R29" s="5">
        <f>VLOOKUP($A29,'SegEnds_NonXtal_Prot#'!$A:$AL,3,FALSE)</f>
        <v>920</v>
      </c>
      <c r="S29" s="5" t="str">
        <f>VLOOKUP($A29,'SegEnds_NonXtal_Prot#'!$A:$AL,6,FALSE)</f>
        <v>-</v>
      </c>
      <c r="T29" s="5">
        <f>VLOOKUP($A29,'SegEnds_NonXtal_Prot#'!$A:$AL,9,FALSE)</f>
        <v>963</v>
      </c>
      <c r="U29" s="5" t="str">
        <f>VLOOKUP($A29,'SegEnds_NonXtal_Prot#'!$A:$AL,12,FALSE)</f>
        <v>-</v>
      </c>
      <c r="V29" s="5">
        <f>VLOOKUP($A29,'SegEnds_NonXtal_Prot#'!$A:$AL,15,FALSE)</f>
        <v>994</v>
      </c>
      <c r="W29" s="5" t="str">
        <f>VLOOKUP($A29,'SegEnds_NonXtal_Prot#'!$A:$AL,18,FALSE)</f>
        <v>-</v>
      </c>
      <c r="X29" s="5">
        <f>VLOOKUP($A29,'SegEnds_NonXtal_Prot#'!$A:$AL,21,FALSE)</f>
        <v>1033</v>
      </c>
      <c r="Y29" s="5">
        <f>VLOOKUP($A29,'SegEnds_NonXtal_Prot#'!$A:$AL,24,FALSE)</f>
        <v>1068</v>
      </c>
      <c r="Z29" s="5">
        <f>VLOOKUP($A29,'SegEnds_NonXtal_Prot#'!$A:$AL,27,FALSE)</f>
        <v>1073</v>
      </c>
      <c r="AA29" s="5">
        <f>VLOOKUP($A29,'SegEnds_NonXtal_Prot#'!$A:$AL,30,FALSE)</f>
        <v>1149</v>
      </c>
      <c r="AB29" s="5">
        <f>VLOOKUP($A29,'SegEnds_NonXtal_Prot#'!$A:$AL,33,FALSE)</f>
        <v>1180</v>
      </c>
      <c r="AC29" s="5">
        <f>VLOOKUP($A29,'SegEnds_NonXtal_Prot#'!$A:$AL,36,FALSE)</f>
        <v>1206</v>
      </c>
      <c r="AD29" s="5">
        <f>VLOOKUP($A29,'SegEnds_NonXtal_Prot#'!$A:$AL,5,FALSE)</f>
        <v>957</v>
      </c>
      <c r="AE29" s="5" t="str">
        <f>VLOOKUP($A29,'SegEnds_NonXtal_Prot#'!$A:$AL,8,FALSE)</f>
        <v>-</v>
      </c>
      <c r="AF29" s="5">
        <f>VLOOKUP($A29,'SegEnds_NonXtal_Prot#'!$A:$AL,11,FALSE)</f>
        <v>989</v>
      </c>
      <c r="AG29" s="5" t="str">
        <f>VLOOKUP($A29,'SegEnds_NonXtal_Prot#'!$A:$AL,14,FALSE)</f>
        <v>-</v>
      </c>
      <c r="AH29" s="5">
        <f>VLOOKUP($A29,'SegEnds_NonXtal_Prot#'!$A:$AL,17,FALSE)</f>
        <v>1027</v>
      </c>
      <c r="AI29" s="5" t="str">
        <f>VLOOKUP($A29,'SegEnds_NonXtal_Prot#'!$A:$AL,20,FALSE)</f>
        <v>-</v>
      </c>
      <c r="AJ29" s="5">
        <f>VLOOKUP($A29,'SegEnds_NonXtal_Prot#'!$A:$AL,23,FALSE)</f>
        <v>1061</v>
      </c>
      <c r="AK29" s="5">
        <f>VLOOKUP($A29,'SegEnds_NonXtal_Prot#'!$A:$AL,26,FALSE)</f>
        <v>1070</v>
      </c>
      <c r="AL29" s="5">
        <f>VLOOKUP($A29,'SegEnds_NonXtal_Prot#'!$A:$AL,29,FALSE)</f>
        <v>1106</v>
      </c>
      <c r="AM29" s="5">
        <f>VLOOKUP($A29,'SegEnds_NonXtal_Prot#'!$A:$AL,32,FALSE)</f>
        <v>1173</v>
      </c>
      <c r="AN29" s="5">
        <f>VLOOKUP($A29,'SegEnds_NonXtal_Prot#'!$A:$AL,35,FALSE)</f>
        <v>1205</v>
      </c>
      <c r="AO29" s="5">
        <f>VLOOKUP($A29,'SegEnds_NonXtal_Prot#'!$A:$AL,38,FALSE)</f>
        <v>1222</v>
      </c>
      <c r="AP29" s="5">
        <f t="shared" si="13"/>
        <v>37</v>
      </c>
      <c r="AQ29" s="4" t="str">
        <f t="shared" si="14"/>
        <v>-</v>
      </c>
      <c r="AR29" s="4">
        <f t="shared" si="15"/>
        <v>26</v>
      </c>
      <c r="AS29" s="4" t="str">
        <f t="shared" si="16"/>
        <v>-</v>
      </c>
      <c r="AT29" s="4">
        <f t="shared" si="17"/>
        <v>33</v>
      </c>
      <c r="AU29" s="4" t="str">
        <f t="shared" si="18"/>
        <v>-</v>
      </c>
      <c r="AV29" s="4">
        <f t="shared" si="19"/>
        <v>28</v>
      </c>
      <c r="AW29" s="4">
        <f t="shared" si="20"/>
        <v>2</v>
      </c>
      <c r="AX29" s="4">
        <f t="shared" si="21"/>
        <v>33</v>
      </c>
      <c r="AY29" s="4">
        <f t="shared" si="22"/>
        <v>24</v>
      </c>
      <c r="AZ29" s="4">
        <f t="shared" si="23"/>
        <v>25</v>
      </c>
      <c r="BA29" s="4">
        <f t="shared" si="24"/>
        <v>16</v>
      </c>
    </row>
    <row r="30" spans="1:53" x14ac:dyDescent="0.2">
      <c r="A30" s="1" t="str">
        <f>'SegEnds_NonXtal_Prot#'!A318</f>
        <v>calrl_human</v>
      </c>
      <c r="B30" s="1" t="str">
        <f t="shared" si="0"/>
        <v>TQCNVNTHEKVKTALNLFYLTIIGHGLSIASLLISLGIFFYFCQRITLHKNLFFSFVCNSVVTIIHLTAVNPVSCKVSQFIHLYLMGCNYFWMLCEGIYLHTLIVVHLMWYYFLGWGFPLIPACIHAIARSLYYLLYIIHGPICAALLVNLFFLLNIVRVLITKLKYMKAVRATLILVPLLGIEFVLIPWKIAEEVYDYIMHILMHFQGLLVSTIFCFFNGEVQAILRRNWNQYKIQFGNSFSNS</v>
      </c>
      <c r="C30" s="29" t="str">
        <f>IF(ISERROR(MATCH(A30,'SegEnds_Xtal_Prot#'!B:B, 0)), "NoXtal", "Xtal")</f>
        <v>NoXtal</v>
      </c>
      <c r="D30" s="4" t="str">
        <f>VLOOKUP(A30,Classification!A:D,2,FALSE)</f>
        <v>B1</v>
      </c>
      <c r="E30" s="5" t="str">
        <f>VLOOKUP(A30,Seqs!A:B,2,FALSE)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" s="5" t="str">
        <f t="shared" si="1"/>
        <v>TQCNVNTHEKVKTALNLFYLTIIGHGLSIASLLISLGIFFYF</v>
      </c>
      <c r="G30" s="4" t="str">
        <f t="shared" si="2"/>
        <v>KSLS</v>
      </c>
      <c r="H30" s="4" t="str">
        <f t="shared" si="3"/>
        <v>CQRITLHKNLFFSFVCNSVVTIIHLTAV</v>
      </c>
      <c r="I30" s="4" t="str">
        <f t="shared" si="4"/>
        <v/>
      </c>
      <c r="J30" s="4" t="str">
        <f t="shared" si="5"/>
        <v>NPVSCKVSQFIHLYLMGCNYFWMLCEGIYLHTLIVV</v>
      </c>
      <c r="K30" s="4" t="str">
        <f t="shared" si="6"/>
        <v/>
      </c>
      <c r="L30" s="4" t="str">
        <f t="shared" si="7"/>
        <v>HLMWYYFLGWGFPLIPACIHAIARSLYY</v>
      </c>
      <c r="M30" s="4" t="str">
        <f t="shared" si="8"/>
        <v>CWI</v>
      </c>
      <c r="N30" s="4" t="str">
        <f t="shared" si="9"/>
        <v>LLYIIHGPICAALLVNLFFLLNIVRVLITKLK</v>
      </c>
      <c r="O30" s="4" t="str">
        <f t="shared" si="10"/>
        <v>YMKAVRATLILVPLLGIEFVLIPW</v>
      </c>
      <c r="P30" s="4" t="str">
        <f t="shared" si="11"/>
        <v>KIAEEVYDYIMHILMHFQGLLVSTIFCFF</v>
      </c>
      <c r="Q30" s="4" t="str">
        <f t="shared" si="12"/>
        <v>NGEVQAILRRNWNQYKIQFGNSFSNS</v>
      </c>
      <c r="R30" s="5">
        <f>VLOOKUP($A30,'SegEnds_NonXtal_Prot#'!$A:$AL,3,FALSE)</f>
        <v>125</v>
      </c>
      <c r="S30" s="5">
        <f>VLOOKUP($A30,'SegEnds_NonXtal_Prot#'!$A:$AL,6,FALSE)</f>
        <v>167</v>
      </c>
      <c r="T30" s="5">
        <f>VLOOKUP($A30,'SegEnds_NonXtal_Prot#'!$A:$AL,9,FALSE)</f>
        <v>171</v>
      </c>
      <c r="U30" s="5" t="str">
        <f>VLOOKUP($A30,'SegEnds_NonXtal_Prot#'!$A:$AL,12,FALSE)</f>
        <v>-</v>
      </c>
      <c r="V30" s="5">
        <f>VLOOKUP($A30,'SegEnds_NonXtal_Prot#'!$A:$AL,15,FALSE)</f>
        <v>208</v>
      </c>
      <c r="W30" s="5" t="str">
        <f>VLOOKUP($A30,'SegEnds_NonXtal_Prot#'!$A:$AL,18,FALSE)</f>
        <v>-</v>
      </c>
      <c r="X30" s="5">
        <f>VLOOKUP($A30,'SegEnds_NonXtal_Prot#'!$A:$AL,21,FALSE)</f>
        <v>251</v>
      </c>
      <c r="Y30" s="5">
        <f>VLOOKUP($A30,'SegEnds_NonXtal_Prot#'!$A:$AL,24,FALSE)</f>
        <v>282</v>
      </c>
      <c r="Z30" s="5">
        <f>VLOOKUP($A30,'SegEnds_NonXtal_Prot#'!$A:$AL,27,FALSE)</f>
        <v>290</v>
      </c>
      <c r="AA30" s="5">
        <f>VLOOKUP($A30,'SegEnds_NonXtal_Prot#'!$A:$AL,30,FALSE)</f>
        <v>331</v>
      </c>
      <c r="AB30" s="5">
        <f>VLOOKUP($A30,'SegEnds_NonXtal_Prot#'!$A:$AL,33,FALSE)</f>
        <v>359</v>
      </c>
      <c r="AC30" s="5">
        <f>VLOOKUP($A30,'SegEnds_NonXtal_Prot#'!$A:$AL,36,FALSE)</f>
        <v>388</v>
      </c>
      <c r="AD30" s="5">
        <f>VLOOKUP($A30,'SegEnds_NonXtal_Prot#'!$A:$AL,5,FALSE)</f>
        <v>166</v>
      </c>
      <c r="AE30" s="5">
        <f>VLOOKUP($A30,'SegEnds_NonXtal_Prot#'!$A:$AL,8,FALSE)</f>
        <v>170</v>
      </c>
      <c r="AF30" s="5">
        <f>VLOOKUP($A30,'SegEnds_NonXtal_Prot#'!$A:$AL,11,FALSE)</f>
        <v>198</v>
      </c>
      <c r="AG30" s="5" t="str">
        <f>VLOOKUP($A30,'SegEnds_NonXtal_Prot#'!$A:$AL,14,FALSE)</f>
        <v>-</v>
      </c>
      <c r="AH30" s="5">
        <f>VLOOKUP($A30,'SegEnds_NonXtal_Prot#'!$A:$AL,17,FALSE)</f>
        <v>243</v>
      </c>
      <c r="AI30" s="5" t="str">
        <f>VLOOKUP($A30,'SegEnds_NonXtal_Prot#'!$A:$AL,20,FALSE)</f>
        <v>-</v>
      </c>
      <c r="AJ30" s="5">
        <f>VLOOKUP($A30,'SegEnds_NonXtal_Prot#'!$A:$AL,23,FALSE)</f>
        <v>278</v>
      </c>
      <c r="AK30" s="5">
        <f>VLOOKUP($A30,'SegEnds_NonXtal_Prot#'!$A:$AL,26,FALSE)</f>
        <v>284</v>
      </c>
      <c r="AL30" s="5">
        <f>VLOOKUP($A30,'SegEnds_NonXtal_Prot#'!$A:$AL,29,FALSE)</f>
        <v>321</v>
      </c>
      <c r="AM30" s="5">
        <f>VLOOKUP($A30,'SegEnds_NonXtal_Prot#'!$A:$AL,32,FALSE)</f>
        <v>354</v>
      </c>
      <c r="AN30" s="5">
        <f>VLOOKUP($A30,'SegEnds_NonXtal_Prot#'!$A:$AL,35,FALSE)</f>
        <v>387</v>
      </c>
      <c r="AO30" s="5">
        <f>VLOOKUP($A30,'SegEnds_NonXtal_Prot#'!$A:$AL,38,FALSE)</f>
        <v>413</v>
      </c>
      <c r="AP30" s="5">
        <f t="shared" si="13"/>
        <v>41</v>
      </c>
      <c r="AQ30" s="4">
        <f t="shared" si="14"/>
        <v>3</v>
      </c>
      <c r="AR30" s="4">
        <f t="shared" si="15"/>
        <v>27</v>
      </c>
      <c r="AS30" s="4" t="str">
        <f t="shared" si="16"/>
        <v>-</v>
      </c>
      <c r="AT30" s="4">
        <f t="shared" si="17"/>
        <v>35</v>
      </c>
      <c r="AU30" s="4" t="str">
        <f t="shared" si="18"/>
        <v>-</v>
      </c>
      <c r="AV30" s="4">
        <f t="shared" si="19"/>
        <v>27</v>
      </c>
      <c r="AW30" s="4">
        <f t="shared" si="20"/>
        <v>2</v>
      </c>
      <c r="AX30" s="4">
        <f t="shared" si="21"/>
        <v>31</v>
      </c>
      <c r="AY30" s="4">
        <f t="shared" si="22"/>
        <v>23</v>
      </c>
      <c r="AZ30" s="4">
        <f t="shared" si="23"/>
        <v>28</v>
      </c>
      <c r="BA30" s="4">
        <f t="shared" si="24"/>
        <v>25</v>
      </c>
    </row>
    <row r="31" spans="1:53" x14ac:dyDescent="0.2">
      <c r="A31" s="1" t="str">
        <f>'SegEnds_NonXtal_Prot#'!A324</f>
        <v>celr3_human</v>
      </c>
      <c r="B31" s="1" t="str">
        <f t="shared" si="0"/>
        <v>SPRERLEGDLELLAVFTHVVVAVSVAALVLTAAILLSLSNVRGIHANVAAALGVAELLFLLGIHRLVCTAVAILLHYFFLSTFAWLFVQGLHLYRMQVEGAMRFYHALGWGVPAVLLGLAVGLDPEGYHEPLIWSFAGPVVLVIVMNGTMFLLAARTSCSTGTSALTLRSSFLLLLLVSASWLFGLLILAFHYLHAGLCGLQGLAVLLLFCVLNADARAAWMPACLGRKA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1" s="5" t="str">
        <f t="shared" si="1"/>
        <v>SPRERLEGDLELLAVFTHVVVAVSVAALVLTAAILLSL</v>
      </c>
      <c r="G31" s="4" t="str">
        <f t="shared" si="2"/>
        <v>RSLK</v>
      </c>
      <c r="H31" s="4" t="str">
        <f t="shared" si="3"/>
        <v>SNVRGIHANVAAALGVAELLFLLGIHR</v>
      </c>
      <c r="I31" s="4" t="str">
        <f t="shared" si="4"/>
        <v/>
      </c>
      <c r="J31" s="4" t="str">
        <f t="shared" si="5"/>
        <v>LVCTAVAILLHYFFLSTFAWLFVQGLHLYRMQVE</v>
      </c>
      <c r="K31" s="4" t="str">
        <f t="shared" si="6"/>
        <v/>
      </c>
      <c r="L31" s="4" t="str">
        <f t="shared" si="7"/>
        <v>GAMRFYHALGWGVPAVLLGLAVGLDPEGY</v>
      </c>
      <c r="M31" s="4" t="str">
        <f t="shared" si="8"/>
        <v>CWI</v>
      </c>
      <c r="N31" s="4" t="str">
        <f t="shared" si="9"/>
        <v>HEPLIWSFAGPVVLVIVMNGTMFLLAARTSCSTG</v>
      </c>
      <c r="O31" s="4" t="str">
        <f t="shared" si="10"/>
        <v>TSALTLRSSFLLLLLVSASWLFGLL</v>
      </c>
      <c r="P31" s="4" t="str">
        <f t="shared" si="11"/>
        <v>ILAFHYLHAGLCGLQGLAVLLLFCVL</v>
      </c>
      <c r="Q31" s="4" t="str">
        <f t="shared" si="12"/>
        <v>NADARAAWMPACLGRKA</v>
      </c>
      <c r="R31" s="5">
        <f>VLOOKUP($A31,'SegEnds_NonXtal_Prot#'!$A:$AL,3,FALSE)</f>
        <v>2527</v>
      </c>
      <c r="S31" s="5">
        <f>VLOOKUP($A31,'SegEnds_NonXtal_Prot#'!$A:$AL,6,FALSE)</f>
        <v>2565</v>
      </c>
      <c r="T31" s="5">
        <f>VLOOKUP($A31,'SegEnds_NonXtal_Prot#'!$A:$AL,9,FALSE)</f>
        <v>2569</v>
      </c>
      <c r="U31" s="5" t="str">
        <f>VLOOKUP($A31,'SegEnds_NonXtal_Prot#'!$A:$AL,12,FALSE)</f>
        <v>-</v>
      </c>
      <c r="V31" s="5">
        <f>VLOOKUP($A31,'SegEnds_NonXtal_Prot#'!$A:$AL,15,FALSE)</f>
        <v>2600</v>
      </c>
      <c r="W31" s="5" t="str">
        <f>VLOOKUP($A31,'SegEnds_NonXtal_Prot#'!$A:$AL,18,FALSE)</f>
        <v>-</v>
      </c>
      <c r="X31" s="5">
        <f>VLOOKUP($A31,'SegEnds_NonXtal_Prot#'!$A:$AL,21,FALSE)</f>
        <v>2640</v>
      </c>
      <c r="Y31" s="5">
        <f>VLOOKUP($A31,'SegEnds_NonXtal_Prot#'!$A:$AL,24,FALSE)</f>
        <v>2674</v>
      </c>
      <c r="Z31" s="5">
        <f>VLOOKUP($A31,'SegEnds_NonXtal_Prot#'!$A:$AL,27,FALSE)</f>
        <v>2679</v>
      </c>
      <c r="AA31" s="5">
        <f>VLOOKUP($A31,'SegEnds_NonXtal_Prot#'!$A:$AL,30,FALSE)</f>
        <v>2719</v>
      </c>
      <c r="AB31" s="5">
        <f>VLOOKUP($A31,'SegEnds_NonXtal_Prot#'!$A:$AL,33,FALSE)</f>
        <v>2749</v>
      </c>
      <c r="AC31" s="5">
        <f>VLOOKUP($A31,'SegEnds_NonXtal_Prot#'!$A:$AL,36,FALSE)</f>
        <v>2775</v>
      </c>
      <c r="AD31" s="5">
        <f>VLOOKUP($A31,'SegEnds_NonXtal_Prot#'!$A:$AL,5,FALSE)</f>
        <v>2564</v>
      </c>
      <c r="AE31" s="5">
        <f>VLOOKUP($A31,'SegEnds_NonXtal_Prot#'!$A:$AL,8,FALSE)</f>
        <v>2568</v>
      </c>
      <c r="AF31" s="5">
        <f>VLOOKUP($A31,'SegEnds_NonXtal_Prot#'!$A:$AL,11,FALSE)</f>
        <v>2595</v>
      </c>
      <c r="AG31" s="5" t="str">
        <f>VLOOKUP($A31,'SegEnds_NonXtal_Prot#'!$A:$AL,14,FALSE)</f>
        <v>-</v>
      </c>
      <c r="AH31" s="5">
        <f>VLOOKUP($A31,'SegEnds_NonXtal_Prot#'!$A:$AL,17,FALSE)</f>
        <v>2633</v>
      </c>
      <c r="AI31" s="5" t="str">
        <f>VLOOKUP($A31,'SegEnds_NonXtal_Prot#'!$A:$AL,20,FALSE)</f>
        <v>-</v>
      </c>
      <c r="AJ31" s="5">
        <f>VLOOKUP($A31,'SegEnds_NonXtal_Prot#'!$A:$AL,23,FALSE)</f>
        <v>2668</v>
      </c>
      <c r="AK31" s="5">
        <f>VLOOKUP($A31,'SegEnds_NonXtal_Prot#'!$A:$AL,26,FALSE)</f>
        <v>2676</v>
      </c>
      <c r="AL31" s="5">
        <f>VLOOKUP($A31,'SegEnds_NonXtal_Prot#'!$A:$AL,29,FALSE)</f>
        <v>2712</v>
      </c>
      <c r="AM31" s="5">
        <f>VLOOKUP($A31,'SegEnds_NonXtal_Prot#'!$A:$AL,32,FALSE)</f>
        <v>2743</v>
      </c>
      <c r="AN31" s="5">
        <f>VLOOKUP($A31,'SegEnds_NonXtal_Prot#'!$A:$AL,35,FALSE)</f>
        <v>2774</v>
      </c>
      <c r="AO31" s="5">
        <f>VLOOKUP($A31,'SegEnds_NonXtal_Prot#'!$A:$AL,38,FALSE)</f>
        <v>2791</v>
      </c>
      <c r="AP31" s="5">
        <f t="shared" si="13"/>
        <v>37</v>
      </c>
      <c r="AQ31" s="4">
        <f t="shared" si="14"/>
        <v>3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28</v>
      </c>
      <c r="AW31" s="4">
        <f t="shared" si="20"/>
        <v>2</v>
      </c>
      <c r="AX31" s="4">
        <f t="shared" si="21"/>
        <v>33</v>
      </c>
      <c r="AY31" s="4">
        <f t="shared" si="22"/>
        <v>24</v>
      </c>
      <c r="AZ31" s="4">
        <f t="shared" si="23"/>
        <v>25</v>
      </c>
      <c r="BA31" s="4">
        <f t="shared" si="24"/>
        <v>16</v>
      </c>
    </row>
    <row r="32" spans="1:53" x14ac:dyDescent="0.2">
      <c r="A32" s="1" t="str">
        <f>'SegEnds_NonXtal_Prot#'!A344</f>
        <v>glr_human</v>
      </c>
      <c r="B32" s="1" t="str">
        <f t="shared" si="0"/>
        <v>QKEVAKMYSSFQVMYTVGYSLSLGALLLALAILGGLCTRNAIHANLFASFVLKASSVLVIDGLLRTRSDGAVAGCRVAAVFMQYGIVANYCWLLVEGLYLHNLLGLSFFSLYLGIGWGAPMLFVVPWAVVKCLFENMGFWWILRFPVFLAILINFFIFVRIVQLLVAKLRAYKFRLAKSTLTLIPLLGVHEVVFAFQGTLRSAKLFFDLFLSSFQGLLVAVLYCFLNKEVQSELRRRWHRWRLGKVLWEERN</v>
      </c>
      <c r="C32" s="29" t="str">
        <f>IF(ISERROR(MATCH(A32,'SegEnds_Xtal_Prot#'!B:B, 0)), "NoXtal", "Xtal")</f>
        <v>Xtal</v>
      </c>
      <c r="D32" s="4" t="str">
        <f>VLOOKUP(A32,Classification!A:D,2,FALSE)</f>
        <v>B1</v>
      </c>
      <c r="E32" s="5" t="str">
        <f>VLOOKUP(A32,Seqs!A:B,2,FALSE)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2" s="5" t="str">
        <f t="shared" si="1"/>
        <v>QKEVAKMYSSFQVMYTVGYSLSLGALLLALAILGGL</v>
      </c>
      <c r="G32" s="4" t="str">
        <f t="shared" si="2"/>
        <v>SKLH</v>
      </c>
      <c r="H32" s="4" t="str">
        <f t="shared" si="3"/>
        <v>CTRNAIHANLFASFVLKASSVLVIDGLLRTR</v>
      </c>
      <c r="I32" s="4" t="str">
        <f t="shared" si="4"/>
        <v/>
      </c>
      <c r="J32" s="4" t="str">
        <f t="shared" si="5"/>
        <v>SDGAVAGCRVAAVFMQYGIVANYCWLLVEGLYLHNLLGL</v>
      </c>
      <c r="K32" s="4" t="str">
        <f t="shared" si="6"/>
        <v/>
      </c>
      <c r="L32" s="4" t="str">
        <f t="shared" si="7"/>
        <v>SFFSLYLGIGWGAPMLFVVPWAVVKCLFE</v>
      </c>
      <c r="M32" s="4" t="str">
        <f t="shared" si="8"/>
        <v>CWT</v>
      </c>
      <c r="N32" s="4" t="str">
        <f t="shared" si="9"/>
        <v>NMGFWWILRFPVFLAILINFFIFVRIVQLLVAKLRA</v>
      </c>
      <c r="O32" s="4" t="str">
        <f t="shared" si="10"/>
        <v>YKFRLAKSTLTLIPLLGVHEVVFAF</v>
      </c>
      <c r="P32" s="4" t="str">
        <f t="shared" si="11"/>
        <v>QGTLRSAKLFFDLFLSSFQGLLVAVLYCFL</v>
      </c>
      <c r="Q32" s="4" t="str">
        <f t="shared" si="12"/>
        <v>NKEVQSELRRRWHRWRLGKVLWEERN</v>
      </c>
      <c r="R32" s="5">
        <f>VLOOKUP($A32,'SegEnds_NonXtal_Prot#'!$A:$AL,3,FALSE)</f>
        <v>131</v>
      </c>
      <c r="S32" s="5">
        <f>VLOOKUP($A32,'SegEnds_NonXtal_Prot#'!$A:$AL,6,FALSE)</f>
        <v>167</v>
      </c>
      <c r="T32" s="5">
        <f>VLOOKUP($A32,'SegEnds_NonXtal_Prot#'!$A:$AL,9,FALSE)</f>
        <v>171</v>
      </c>
      <c r="U32" s="5" t="str">
        <f>VLOOKUP($A32,'SegEnds_NonXtal_Prot#'!$A:$AL,12,FALSE)</f>
        <v>-</v>
      </c>
      <c r="V32" s="5">
        <f>VLOOKUP($A32,'SegEnds_NonXtal_Prot#'!$A:$AL,15,FALSE)</f>
        <v>217</v>
      </c>
      <c r="W32" s="5" t="str">
        <f>VLOOKUP($A32,'SegEnds_NonXtal_Prot#'!$A:$AL,18,FALSE)</f>
        <v>-</v>
      </c>
      <c r="X32" s="5">
        <f>VLOOKUP($A32,'SegEnds_NonXtal_Prot#'!$A:$AL,21,FALSE)</f>
        <v>262</v>
      </c>
      <c r="Y32" s="5">
        <f>VLOOKUP($A32,'SegEnds_NonXtal_Prot#'!$A:$AL,24,FALSE)</f>
        <v>294</v>
      </c>
      <c r="Z32" s="5">
        <f>VLOOKUP($A32,'SegEnds_NonXtal_Prot#'!$A:$AL,27,FALSE)</f>
        <v>300</v>
      </c>
      <c r="AA32" s="5">
        <f>VLOOKUP($A32,'SegEnds_NonXtal_Prot#'!$A:$AL,30,FALSE)</f>
        <v>343</v>
      </c>
      <c r="AB32" s="5">
        <f>VLOOKUP($A32,'SegEnds_NonXtal_Prot#'!$A:$AL,33,FALSE)</f>
        <v>374</v>
      </c>
      <c r="AC32" s="5">
        <f>VLOOKUP($A32,'SegEnds_NonXtal_Prot#'!$A:$AL,36,FALSE)</f>
        <v>404</v>
      </c>
      <c r="AD32" s="5">
        <f>VLOOKUP($A32,'SegEnds_NonXtal_Prot#'!$A:$AL,5,FALSE)</f>
        <v>166</v>
      </c>
      <c r="AE32" s="5">
        <f>VLOOKUP($A32,'SegEnds_NonXtal_Prot#'!$A:$AL,8,FALSE)</f>
        <v>170</v>
      </c>
      <c r="AF32" s="5">
        <f>VLOOKUP($A32,'SegEnds_NonXtal_Prot#'!$A:$AL,11,FALSE)</f>
        <v>201</v>
      </c>
      <c r="AG32" s="5" t="str">
        <f>VLOOKUP($A32,'SegEnds_NonXtal_Prot#'!$A:$AL,14,FALSE)</f>
        <v>-</v>
      </c>
      <c r="AH32" s="5">
        <f>VLOOKUP($A32,'SegEnds_NonXtal_Prot#'!$A:$AL,17,FALSE)</f>
        <v>255</v>
      </c>
      <c r="AI32" s="5" t="str">
        <f>VLOOKUP($A32,'SegEnds_NonXtal_Prot#'!$A:$AL,20,FALSE)</f>
        <v>-</v>
      </c>
      <c r="AJ32" s="5">
        <f>VLOOKUP($A32,'SegEnds_NonXtal_Prot#'!$A:$AL,23,FALSE)</f>
        <v>290</v>
      </c>
      <c r="AK32" s="5">
        <f>VLOOKUP($A32,'SegEnds_NonXtal_Prot#'!$A:$AL,26,FALSE)</f>
        <v>296</v>
      </c>
      <c r="AL32" s="5">
        <f>VLOOKUP($A32,'SegEnds_NonXtal_Prot#'!$A:$AL,29,FALSE)</f>
        <v>335</v>
      </c>
      <c r="AM32" s="5">
        <f>VLOOKUP($A32,'SegEnds_NonXtal_Prot#'!$A:$AL,32,FALSE)</f>
        <v>367</v>
      </c>
      <c r="AN32" s="5">
        <f>VLOOKUP($A32,'SegEnds_NonXtal_Prot#'!$A:$AL,35,FALSE)</f>
        <v>403</v>
      </c>
      <c r="AO32" s="5">
        <f>VLOOKUP($A32,'SegEnds_NonXtal_Prot#'!$A:$AL,38,FALSE)</f>
        <v>429</v>
      </c>
      <c r="AP32" s="5">
        <f t="shared" si="13"/>
        <v>35</v>
      </c>
      <c r="AQ32" s="4">
        <f t="shared" si="14"/>
        <v>3</v>
      </c>
      <c r="AR32" s="4">
        <f t="shared" si="15"/>
        <v>30</v>
      </c>
      <c r="AS32" s="4" t="str">
        <f t="shared" si="16"/>
        <v>-</v>
      </c>
      <c r="AT32" s="4">
        <f t="shared" si="17"/>
        <v>38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35</v>
      </c>
      <c r="AY32" s="4">
        <f t="shared" si="22"/>
        <v>24</v>
      </c>
      <c r="AZ32" s="4">
        <f t="shared" si="23"/>
        <v>29</v>
      </c>
      <c r="BA32" s="4">
        <f t="shared" si="24"/>
        <v>25</v>
      </c>
    </row>
    <row r="33" spans="1:53" x14ac:dyDescent="0.2">
      <c r="A33" s="1" t="str">
        <f>'SegEnds_NonXtal_Prot#'!A355</f>
        <v>gp158_human</v>
      </c>
      <c r="B33" s="1" t="str">
        <f t="shared" si="0"/>
        <v>YLRLAIISFQALCMLLDFVSMLVVYHFGLILLETILFGSLLLYFPVVILYTFRCILLRWARLLGFATVYGTVTLKLHRVLKVFSRTAQRIPYMTGGRVMRMLAVILLVVFDRWDYMTAVAEFLFLLWGVYLCYAVEPRYMAVAVHNELIISAIFHTIRFVMLMLYFAHTHLTVTVTIGLLLIPKFSHSSNNPRDDIATEAYED</v>
      </c>
      <c r="C33" s="29" t="str">
        <f>IF(ISERROR(MATCH(A33,'SegEnds_Xtal_Prot#'!B:B, 0)), "NoXtal", "Xtal")</f>
        <v>NoXtal</v>
      </c>
      <c r="D33" s="4" t="str">
        <f>VLOOKUP(A33,Classification!A:D,2,FALSE)</f>
        <v>C</v>
      </c>
      <c r="E33" s="5" t="str">
        <f>VLOOKUP(A33,Seqs!A:B,2,FALSE)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3" s="5" t="str">
        <f t="shared" si="1"/>
        <v>YLRLAIISFQALCMLLDFVSMLVVYHF</v>
      </c>
      <c r="G33" s="4" t="str">
        <f t="shared" si="2"/>
        <v>AKSIRAS</v>
      </c>
      <c r="H33" s="4" t="str">
        <f t="shared" si="3"/>
        <v>GLILLETILFGSLLLYFPVVILY</v>
      </c>
      <c r="I33" s="4" t="str">
        <f t="shared" si="4"/>
        <v/>
      </c>
      <c r="J33" s="4" t="str">
        <f t="shared" si="5"/>
        <v>TFRCILLRWARLLGFATVYGTVTLKLHRVLKVF</v>
      </c>
      <c r="K33" s="4" t="str">
        <f t="shared" si="6"/>
        <v/>
      </c>
      <c r="L33" s="4" t="str">
        <f t="shared" si="7"/>
        <v>SRTAQRIPYMTGGRVMRMLAVILLVVF</v>
      </c>
      <c r="M33" s="4" t="str">
        <f t="shared" si="8"/>
        <v>CLI</v>
      </c>
      <c r="N33" s="4" t="str">
        <f t="shared" si="9"/>
        <v>DRWDYMTAVAEFLFLLWGVYLCYAV</v>
      </c>
      <c r="O33" s="4" t="str">
        <f t="shared" si="10"/>
        <v>EPRYMAVAVHNELIISAIFHTIRFV</v>
      </c>
      <c r="P33" s="4" t="str">
        <f t="shared" si="11"/>
        <v>MLMLYFAHTHLTVTVTIGLLLIPKFSHSSN</v>
      </c>
      <c r="Q33" s="4" t="str">
        <f t="shared" si="12"/>
        <v>NPRDDIATEAYED</v>
      </c>
      <c r="R33" s="5">
        <f>VLOOKUP($A33,'SegEnds_NonXtal_Prot#'!$A:$AL,3,FALSE)</f>
        <v>415</v>
      </c>
      <c r="S33" s="5">
        <f>VLOOKUP($A33,'SegEnds_NonXtal_Prot#'!$A:$AL,6,FALSE)</f>
        <v>444</v>
      </c>
      <c r="T33" s="5">
        <f>VLOOKUP($A33,'SegEnds_NonXtal_Prot#'!$A:$AL,9,FALSE)</f>
        <v>451</v>
      </c>
      <c r="U33" s="5" t="str">
        <f>VLOOKUP($A33,'SegEnds_NonXtal_Prot#'!$A:$AL,12,FALSE)</f>
        <v>-</v>
      </c>
      <c r="V33" s="5">
        <f>VLOOKUP($A33,'SegEnds_NonXtal_Prot#'!$A:$AL,15,FALSE)</f>
        <v>478</v>
      </c>
      <c r="W33" s="5" t="str">
        <f>VLOOKUP($A33,'SegEnds_NonXtal_Prot#'!$A:$AL,18,FALSE)</f>
        <v>-</v>
      </c>
      <c r="X33" s="5">
        <f>VLOOKUP($A33,'SegEnds_NonXtal_Prot#'!$A:$AL,21,FALSE)</f>
        <v>512</v>
      </c>
      <c r="Y33" s="5">
        <f>VLOOKUP($A33,'SegEnds_NonXtal_Prot#'!$A:$AL,24,FALSE)</f>
        <v>573</v>
      </c>
      <c r="Z33" s="5">
        <f>VLOOKUP($A33,'SegEnds_NonXtal_Prot#'!$A:$AL,27,FALSE)</f>
        <v>576</v>
      </c>
      <c r="AA33" s="5">
        <f>VLOOKUP($A33,'SegEnds_NonXtal_Prot#'!$A:$AL,30,FALSE)</f>
        <v>609</v>
      </c>
      <c r="AB33" s="5">
        <f>VLOOKUP($A33,'SegEnds_NonXtal_Prot#'!$A:$AL,33,FALSE)</f>
        <v>643</v>
      </c>
      <c r="AC33" s="5">
        <f>VLOOKUP($A33,'SegEnds_NonXtal_Prot#'!$A:$AL,36,FALSE)</f>
        <v>673</v>
      </c>
      <c r="AD33" s="5">
        <f>VLOOKUP($A33,'SegEnds_NonXtal_Prot#'!$A:$AL,5,FALSE)</f>
        <v>441</v>
      </c>
      <c r="AE33" s="5">
        <f>VLOOKUP($A33,'SegEnds_NonXtal_Prot#'!$A:$AL,8,FALSE)</f>
        <v>450</v>
      </c>
      <c r="AF33" s="5">
        <f>VLOOKUP($A33,'SegEnds_NonXtal_Prot#'!$A:$AL,11,FALSE)</f>
        <v>473</v>
      </c>
      <c r="AG33" s="5" t="str">
        <f>VLOOKUP($A33,'SegEnds_NonXtal_Prot#'!$A:$AL,14,FALSE)</f>
        <v>-</v>
      </c>
      <c r="AH33" s="5">
        <f>VLOOKUP($A33,'SegEnds_NonXtal_Prot#'!$A:$AL,17,FALSE)</f>
        <v>510</v>
      </c>
      <c r="AI33" s="5" t="str">
        <f>VLOOKUP($A33,'SegEnds_NonXtal_Prot#'!$A:$AL,20,FALSE)</f>
        <v>-</v>
      </c>
      <c r="AJ33" s="5">
        <f>VLOOKUP($A33,'SegEnds_NonXtal_Prot#'!$A:$AL,23,FALSE)</f>
        <v>538</v>
      </c>
      <c r="AK33" s="5">
        <f>VLOOKUP($A33,'SegEnds_NonXtal_Prot#'!$A:$AL,26,FALSE)</f>
        <v>575</v>
      </c>
      <c r="AL33" s="5">
        <f>VLOOKUP($A33,'SegEnds_NonXtal_Prot#'!$A:$AL,29,FALSE)</f>
        <v>600</v>
      </c>
      <c r="AM33" s="5">
        <f>VLOOKUP($A33,'SegEnds_NonXtal_Prot#'!$A:$AL,32,FALSE)</f>
        <v>633</v>
      </c>
      <c r="AN33" s="5">
        <f>VLOOKUP($A33,'SegEnds_NonXtal_Prot#'!$A:$AL,35,FALSE)</f>
        <v>672</v>
      </c>
      <c r="AO33" s="5">
        <f>VLOOKUP($A33,'SegEnds_NonXtal_Prot#'!$A:$AL,38,FALSE)</f>
        <v>685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24</v>
      </c>
      <c r="AY33" s="4">
        <f t="shared" si="22"/>
        <v>24</v>
      </c>
      <c r="AZ33" s="4">
        <f t="shared" si="23"/>
        <v>29</v>
      </c>
      <c r="BA33" s="4">
        <f t="shared" si="24"/>
        <v>12</v>
      </c>
    </row>
    <row r="34" spans="1:53" x14ac:dyDescent="0.2">
      <c r="A34" s="1" t="str">
        <f>'SegEnds_NonXtal_Prot#'!A363</f>
        <v>gpc6a_human</v>
      </c>
      <c r="B34" s="1" t="str">
        <f t="shared" si="0"/>
        <v>SLAILLLILSLLGIIFVLVVGIIFTRNGGLRVCYVILLCHFLNFASTSFFIDFTCKTRQTMFGVSFTLCISCILTKSLKILLAFCLYRPILIIFTCTGIQVVICTLWLIFAILAFGTMLGYIAILAFICFIFAFKGEAKFITFGMLIYFIAWITFIPIYATVPAVEIIVILISNYGILYCTFIPKCYVIICKQEINTKSAFLKM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4" s="5" t="str">
        <f t="shared" si="1"/>
        <v>SLAILLLILSLLGIIFVLVVGIIFTRN</v>
      </c>
      <c r="G34" s="4" t="str">
        <f t="shared" si="2"/>
        <v>TPVVKSS</v>
      </c>
      <c r="H34" s="4" t="str">
        <f t="shared" si="3"/>
        <v>GGLRVCYVILLCHFLNFASTSFFI</v>
      </c>
      <c r="I34" s="4" t="str">
        <f t="shared" si="4"/>
        <v/>
      </c>
      <c r="J34" s="4" t="str">
        <f t="shared" si="5"/>
        <v>DFTCKTRQTMFGVSFTLCISCILTKSLKILLAF</v>
      </c>
      <c r="K34" s="4" t="str">
        <f t="shared" si="6"/>
        <v/>
      </c>
      <c r="L34" s="4" t="str">
        <f t="shared" si="7"/>
        <v>CLYRPILIIFTCTGIQVVICTLWLIFA</v>
      </c>
      <c r="M34" s="4" t="str">
        <f t="shared" si="8"/>
        <v>CEE</v>
      </c>
      <c r="N34" s="4" t="str">
        <f t="shared" si="9"/>
        <v>ILAFGTMLGYIAILAFICFIFAFKG</v>
      </c>
      <c r="O34" s="4" t="str">
        <f t="shared" si="10"/>
        <v>EAKFITFGMLIYFIAWITFIPIYAT</v>
      </c>
      <c r="P34" s="4" t="str">
        <f t="shared" si="11"/>
        <v>VPAVEIIVILISNYGILYCTFIPKCYVIIC</v>
      </c>
      <c r="Q34" s="4" t="str">
        <f t="shared" si="12"/>
        <v>KQEINTKSAFLKM</v>
      </c>
      <c r="R34" s="5">
        <f>VLOOKUP($A34,'SegEnds_NonXtal_Prot#'!$A:$AL,3,FALSE)</f>
        <v>592</v>
      </c>
      <c r="S34" s="5">
        <f>VLOOKUP($A34,'SegEnds_NonXtal_Prot#'!$A:$AL,6,FALSE)</f>
        <v>621</v>
      </c>
      <c r="T34" s="5">
        <f>VLOOKUP($A34,'SegEnds_NonXtal_Prot#'!$A:$AL,9,FALSE)</f>
        <v>628</v>
      </c>
      <c r="U34" s="5" t="str">
        <f>VLOOKUP($A34,'SegEnds_NonXtal_Prot#'!$A:$AL,12,FALSE)</f>
        <v>-</v>
      </c>
      <c r="V34" s="5">
        <f>VLOOKUP($A34,'SegEnds_NonXtal_Prot#'!$A:$AL,15,FALSE)</f>
        <v>656</v>
      </c>
      <c r="W34" s="5" t="str">
        <f>VLOOKUP($A34,'SegEnds_NonXtal_Prot#'!$A:$AL,18,FALSE)</f>
        <v>-</v>
      </c>
      <c r="X34" s="5">
        <f>VLOOKUP($A34,'SegEnds_NonXtal_Prot#'!$A:$AL,21,FALSE)</f>
        <v>700</v>
      </c>
      <c r="Y34" s="5">
        <f>VLOOKUP($A34,'SegEnds_NonXtal_Prot#'!$A:$AL,24,FALSE)</f>
        <v>744</v>
      </c>
      <c r="Z34" s="5">
        <f>VLOOKUP($A34,'SegEnds_NonXtal_Prot#'!$A:$AL,27,FALSE)</f>
        <v>749</v>
      </c>
      <c r="AA34" s="5">
        <f>VLOOKUP($A34,'SegEnds_NonXtal_Prot#'!$A:$AL,30,FALSE)</f>
        <v>780</v>
      </c>
      <c r="AB34" s="5">
        <f>VLOOKUP($A34,'SegEnds_NonXtal_Prot#'!$A:$AL,33,FALSE)</f>
        <v>810</v>
      </c>
      <c r="AC34" s="5">
        <f>VLOOKUP($A34,'SegEnds_NonXtal_Prot#'!$A:$AL,36,FALSE)</f>
        <v>840</v>
      </c>
      <c r="AD34" s="5">
        <f>VLOOKUP($A34,'SegEnds_NonXtal_Prot#'!$A:$AL,5,FALSE)</f>
        <v>618</v>
      </c>
      <c r="AE34" s="5">
        <f>VLOOKUP($A34,'SegEnds_NonXtal_Prot#'!$A:$AL,8,FALSE)</f>
        <v>627</v>
      </c>
      <c r="AF34" s="5">
        <f>VLOOKUP($A34,'SegEnds_NonXtal_Prot#'!$A:$AL,11,FALSE)</f>
        <v>651</v>
      </c>
      <c r="AG34" s="5" t="str">
        <f>VLOOKUP($A34,'SegEnds_NonXtal_Prot#'!$A:$AL,14,FALSE)</f>
        <v>-</v>
      </c>
      <c r="AH34" s="5">
        <f>VLOOKUP($A34,'SegEnds_NonXtal_Prot#'!$A:$AL,17,FALSE)</f>
        <v>688</v>
      </c>
      <c r="AI34" s="5" t="str">
        <f>VLOOKUP($A34,'SegEnds_NonXtal_Prot#'!$A:$AL,20,FALSE)</f>
        <v>-</v>
      </c>
      <c r="AJ34" s="5">
        <f>VLOOKUP($A34,'SegEnds_NonXtal_Prot#'!$A:$AL,23,FALSE)</f>
        <v>726</v>
      </c>
      <c r="AK34" s="5">
        <f>VLOOKUP($A34,'SegEnds_NonXtal_Prot#'!$A:$AL,26,FALSE)</f>
        <v>746</v>
      </c>
      <c r="AL34" s="5">
        <f>VLOOKUP($A34,'SegEnds_NonXtal_Prot#'!$A:$AL,29,FALSE)</f>
        <v>773</v>
      </c>
      <c r="AM34" s="5">
        <f>VLOOKUP($A34,'SegEnds_NonXtal_Prot#'!$A:$AL,32,FALSE)</f>
        <v>804</v>
      </c>
      <c r="AN34" s="5">
        <f>VLOOKUP($A34,'SegEnds_NonXtal_Prot#'!$A:$AL,35,FALSE)</f>
        <v>839</v>
      </c>
      <c r="AO34" s="5">
        <f>VLOOKUP($A34,'SegEnds_NonXtal_Prot#'!$A:$AL,38,FALSE)</f>
        <v>852</v>
      </c>
      <c r="AP34" s="5">
        <f t="shared" si="13"/>
        <v>26</v>
      </c>
      <c r="AQ34" s="4">
        <f t="shared" si="14"/>
        <v>6</v>
      </c>
      <c r="AR34" s="4">
        <f t="shared" si="15"/>
        <v>23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>
        <f t="shared" si="20"/>
        <v>2</v>
      </c>
      <c r="AX34" s="4">
        <f t="shared" si="21"/>
        <v>24</v>
      </c>
      <c r="AY34" s="4">
        <f t="shared" si="22"/>
        <v>24</v>
      </c>
      <c r="AZ34" s="4">
        <f t="shared" si="23"/>
        <v>29</v>
      </c>
      <c r="BA34" s="4">
        <f t="shared" si="24"/>
        <v>12</v>
      </c>
    </row>
    <row r="35" spans="1:53" x14ac:dyDescent="0.2">
      <c r="A35" s="1" t="str">
        <f>'SegEnds_NonXtal_Prot#'!A367</f>
        <v>gpr75_human</v>
      </c>
      <c r="B35" s="1" t="str">
        <f t="shared" si="0"/>
        <v>DLIHTATLVTCTFLLAVIFCLGSYGNFIVFLSFFDPTNFDFMILNLSFCDLFICGVTAPMFTFVLFFSSIPDAFCFTFHLTSSGFIIMSLKTVAVIALHRLRMVLGSFPCTVLLTLLLWATSFTLATLATLKTKGKAILSLYVVDFTFCVAVVSVSYIMIAQTLRKNAQVRKCPPNLSTAKDSKAVVTCVIIVLSVLVCCLPLGISLVQVVLSLYQFELFGFTLIFFKSGLNPFIYSRSAGLRRKVLWCLQ</v>
      </c>
      <c r="C35" s="29" t="str">
        <f>IF(ISERROR(MATCH(A35,'SegEnds_Xtal_Prot#'!B:B, 0)), "NoXtal", "Xtal")</f>
        <v>NoXtal</v>
      </c>
      <c r="D35" s="4" t="str">
        <f>VLOOKUP(A35,Classification!A:D,2,FALSE)</f>
        <v>A</v>
      </c>
      <c r="E35" s="5" t="str">
        <f>VLOOKUP(A35,Seqs!A:B,2,FALSE)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35" s="5" t="str">
        <f t="shared" si="1"/>
        <v>DLIHTATLVTCTFLLAVIFCLGSYGNFIVFLSFFDP</v>
      </c>
      <c r="G35" s="4" t="str">
        <f t="shared" si="2"/>
        <v>RKFR</v>
      </c>
      <c r="H35" s="4" t="str">
        <f t="shared" si="3"/>
        <v>TNFDFMILNLSFCDLFICGVTAPMFTFVLFF</v>
      </c>
      <c r="I35" s="4" t="str">
        <f t="shared" si="4"/>
        <v/>
      </c>
      <c r="J35" s="4" t="str">
        <f t="shared" si="5"/>
        <v>SSIPDAFCFTFHLTSSGFIIMSLKTVAVIALHRLRMVLG</v>
      </c>
      <c r="K35" s="4" t="str">
        <f t="shared" si="6"/>
        <v/>
      </c>
      <c r="L35" s="4" t="str">
        <f t="shared" si="7"/>
        <v>SFPCTVLLTLLLWATSFTLATLATLKT</v>
      </c>
      <c r="M35" s="4" t="str">
        <f t="shared" si="8"/>
        <v>CLP</v>
      </c>
      <c r="N35" s="4" t="str">
        <f t="shared" si="9"/>
        <v>KGKAILSLYVVDFTFCVAVVSVSYIMIAQTLRKNAQVRKCPP</v>
      </c>
      <c r="O35" s="4" t="str">
        <f t="shared" si="10"/>
        <v>NLSTAKDSKAVVTCVIIVLSVLVCCLPLGISLVQVVLS</v>
      </c>
      <c r="P35" s="4" t="str">
        <f t="shared" si="11"/>
        <v>LYQFELFGFTLIFFKSGLNPFIYSR</v>
      </c>
      <c r="Q35" s="4" t="str">
        <f t="shared" si="12"/>
        <v>SAGLRRKVLWCLQ</v>
      </c>
      <c r="R35" s="5">
        <f>VLOOKUP($A35,'SegEnds_NonXtal_Prot#'!$A:$AL,3,FALSE)</f>
        <v>35</v>
      </c>
      <c r="S35" s="5">
        <f>VLOOKUP($A35,'SegEnds_NonXtal_Prot#'!$A:$AL,6,FALSE)</f>
        <v>73</v>
      </c>
      <c r="T35" s="5">
        <f>VLOOKUP($A35,'SegEnds_NonXtal_Prot#'!$A:$AL,9,FALSE)</f>
        <v>77</v>
      </c>
      <c r="U35" s="5" t="str">
        <f>VLOOKUP($A35,'SegEnds_NonXtal_Prot#'!$A:$AL,12,FALSE)</f>
        <v>-</v>
      </c>
      <c r="V35" s="5">
        <f>VLOOKUP($A35,'SegEnds_NonXtal_Prot#'!$A:$AL,15,FALSE)</f>
        <v>111</v>
      </c>
      <c r="W35" s="5" t="str">
        <f>VLOOKUP($A35,'SegEnds_NonXtal_Prot#'!$A:$AL,18,FALSE)</f>
        <v>-</v>
      </c>
      <c r="X35" s="5">
        <f>VLOOKUP($A35,'SegEnds_NonXtal_Prot#'!$A:$AL,21,FALSE)</f>
        <v>157</v>
      </c>
      <c r="Y35" s="5">
        <f>VLOOKUP($A35,'SegEnds_NonXtal_Prot#'!$A:$AL,24,FALSE)</f>
        <v>189</v>
      </c>
      <c r="Z35" s="5">
        <f>VLOOKUP($A35,'SegEnds_NonXtal_Prot#'!$A:$AL,27,FALSE)</f>
        <v>199</v>
      </c>
      <c r="AA35" s="5">
        <f>VLOOKUP($A35,'SegEnds_NonXtal_Prot#'!$A:$AL,30,FALSE)</f>
        <v>310</v>
      </c>
      <c r="AB35" s="5">
        <f>VLOOKUP($A35,'SegEnds_NonXtal_Prot#'!$A:$AL,33,FALSE)</f>
        <v>354</v>
      </c>
      <c r="AC35" s="5">
        <f>VLOOKUP($A35,'SegEnds_NonXtal_Prot#'!$A:$AL,36,FALSE)</f>
        <v>380</v>
      </c>
      <c r="AD35" s="5">
        <f>VLOOKUP($A35,'SegEnds_NonXtal_Prot#'!$A:$AL,5,FALSE)</f>
        <v>70</v>
      </c>
      <c r="AE35" s="5">
        <f>VLOOKUP($A35,'SegEnds_NonXtal_Prot#'!$A:$AL,8,FALSE)</f>
        <v>76</v>
      </c>
      <c r="AF35" s="5">
        <f>VLOOKUP($A35,'SegEnds_NonXtal_Prot#'!$A:$AL,11,FALSE)</f>
        <v>107</v>
      </c>
      <c r="AG35" s="5" t="str">
        <f>VLOOKUP($A35,'SegEnds_NonXtal_Prot#'!$A:$AL,14,FALSE)</f>
        <v>-</v>
      </c>
      <c r="AH35" s="5">
        <f>VLOOKUP($A35,'SegEnds_NonXtal_Prot#'!$A:$AL,17,FALSE)</f>
        <v>149</v>
      </c>
      <c r="AI35" s="5" t="str">
        <f>VLOOKUP($A35,'SegEnds_NonXtal_Prot#'!$A:$AL,20,FALSE)</f>
        <v>-</v>
      </c>
      <c r="AJ35" s="5">
        <f>VLOOKUP($A35,'SegEnds_NonXtal_Prot#'!$A:$AL,23,FALSE)</f>
        <v>183</v>
      </c>
      <c r="AK35" s="5">
        <f>VLOOKUP($A35,'SegEnds_NonXtal_Prot#'!$A:$AL,26,FALSE)</f>
        <v>191</v>
      </c>
      <c r="AL35" s="5">
        <f>VLOOKUP($A35,'SegEnds_NonXtal_Prot#'!$A:$AL,29,FALSE)</f>
        <v>240</v>
      </c>
      <c r="AM35" s="5">
        <f>VLOOKUP($A35,'SegEnds_NonXtal_Prot#'!$A:$AL,32,FALSE)</f>
        <v>347</v>
      </c>
      <c r="AN35" s="5">
        <f>VLOOKUP($A35,'SegEnds_NonXtal_Prot#'!$A:$AL,35,FALSE)</f>
        <v>378</v>
      </c>
      <c r="AO35" s="5">
        <f>VLOOKUP($A35,'SegEnds_NonXtal_Prot#'!$A:$AL,38,FALSE)</f>
        <v>392</v>
      </c>
      <c r="AP35" s="5">
        <f t="shared" si="13"/>
        <v>35</v>
      </c>
      <c r="AQ35" s="4">
        <f t="shared" si="14"/>
        <v>3</v>
      </c>
      <c r="AR35" s="4">
        <f t="shared" si="15"/>
        <v>30</v>
      </c>
      <c r="AS35" s="4" t="str">
        <f t="shared" si="16"/>
        <v>-</v>
      </c>
      <c r="AT35" s="4">
        <f t="shared" si="17"/>
        <v>38</v>
      </c>
      <c r="AU35" s="4" t="str">
        <f t="shared" si="18"/>
        <v>-</v>
      </c>
      <c r="AV35" s="4">
        <f t="shared" si="19"/>
        <v>26</v>
      </c>
      <c r="AW35" s="4">
        <f t="shared" si="20"/>
        <v>2</v>
      </c>
      <c r="AX35" s="4">
        <f t="shared" si="21"/>
        <v>41</v>
      </c>
      <c r="AY35" s="4">
        <f t="shared" si="22"/>
        <v>37</v>
      </c>
      <c r="AZ35" s="4">
        <f t="shared" si="23"/>
        <v>24</v>
      </c>
      <c r="BA35" s="4">
        <f t="shared" si="24"/>
        <v>12</v>
      </c>
    </row>
    <row r="36" spans="1:53" x14ac:dyDescent="0.2">
      <c r="A36" s="1" t="str">
        <f>'SegEnds_NonXtal_Prot#'!A383</f>
        <v>npff1_human</v>
      </c>
      <c r="B36" s="1" t="str">
        <f t="shared" si="0"/>
        <v>AAMFIVAYALIFLLCMVGNTLVCFIVLKNTVTNMFILNLAVSDLLVGIFCMPTTLVDNLIDNATCKMSGLVQGMSVSASVFTLVAIAVERFRCIVHTLRKALVTIAVIWALALLIMCPSAVTLKGMRRVYTTVLFSHIYLAPLALIVVMYARIARKLCQAPGPAPRASRRRARVVHMLVMVALFFTLSWLPLWALLLLIDYGHLVTVYAFPFAHWLAFFNSSANPIIYGYFNENFRRGFQAAF</v>
      </c>
      <c r="C36" s="29" t="str">
        <f>IF(ISERROR(MATCH(A36,'SegEnds_Xtal_Prot#'!B:B, 0)), "NoXtal", "Xtal")</f>
        <v>NoXtal</v>
      </c>
      <c r="D36" s="4" t="str">
        <f>VLOOKUP(A36,Classification!A:D,2,FALSE)</f>
        <v>A</v>
      </c>
      <c r="E36" s="5" t="str">
        <f>VLOOKUP(A36,Seqs!A:B,2,FALSE)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36" s="5" t="str">
        <f t="shared" si="1"/>
        <v>AAMFIVAYALIFLLCMVGNTLVCFIVLKN</v>
      </c>
      <c r="G36" s="4" t="str">
        <f t="shared" si="2"/>
        <v>RHMH</v>
      </c>
      <c r="H36" s="4" t="str">
        <f t="shared" si="3"/>
        <v>TVTNMFILNLAVSDLLVGIFCMPTTLVDNLI</v>
      </c>
      <c r="I36" s="4" t="str">
        <f t="shared" si="4"/>
        <v>GWPF</v>
      </c>
      <c r="J36" s="4" t="str">
        <f t="shared" si="5"/>
        <v>DNATCKMSGLVQGMSVSASVFTLVAIAVERFRCIVH</v>
      </c>
      <c r="K36" s="4" t="str">
        <f t="shared" si="6"/>
        <v/>
      </c>
      <c r="L36" s="4" t="str">
        <f t="shared" si="7"/>
        <v>TLRKALVTIAVIWALALLIMCPSAVTL</v>
      </c>
      <c r="M36" s="4" t="str">
        <f t="shared" si="8"/>
        <v>CWE</v>
      </c>
      <c r="N36" s="4" t="str">
        <f t="shared" si="9"/>
        <v>KGMRRVYTTVLFSHIYLAPLALIVVMYARIARKLCQAPGPA</v>
      </c>
      <c r="O36" s="4" t="str">
        <f t="shared" si="10"/>
        <v>PRASRRRARVVHMLVMVALFFTLSWLPLWALLLLIDYG</v>
      </c>
      <c r="P36" s="4" t="str">
        <f t="shared" si="11"/>
        <v>HLVTVYAFPFAHWLAFFNSSANPIIYGYF</v>
      </c>
      <c r="Q36" s="4" t="str">
        <f t="shared" si="12"/>
        <v>NENFRRGFQAAF</v>
      </c>
      <c r="R36" s="5">
        <f>VLOOKUP($A36,'SegEnds_NonXtal_Prot#'!$A:$AL,3,FALSE)</f>
        <v>43</v>
      </c>
      <c r="S36" s="5">
        <f>VLOOKUP($A36,'SegEnds_NonXtal_Prot#'!$A:$AL,6,FALSE)</f>
        <v>72</v>
      </c>
      <c r="T36" s="5">
        <f>VLOOKUP($A36,'SegEnds_NonXtal_Prot#'!$A:$AL,9,FALSE)</f>
        <v>76</v>
      </c>
      <c r="U36" s="5">
        <f>VLOOKUP($A36,'SegEnds_NonXtal_Prot#'!$A:$AL,12,FALSE)</f>
        <v>108</v>
      </c>
      <c r="V36" s="5">
        <f>VLOOKUP($A36,'SegEnds_NonXtal_Prot#'!$A:$AL,15,FALSE)</f>
        <v>112</v>
      </c>
      <c r="W36" s="5" t="str">
        <f>VLOOKUP($A36,'SegEnds_NonXtal_Prot#'!$A:$AL,18,FALSE)</f>
        <v>-</v>
      </c>
      <c r="X36" s="5">
        <f>VLOOKUP($A36,'SegEnds_NonXtal_Prot#'!$A:$AL,21,FALSE)</f>
        <v>154</v>
      </c>
      <c r="Y36" s="5">
        <f>VLOOKUP($A36,'SegEnds_NonXtal_Prot#'!$A:$AL,24,FALSE)</f>
        <v>203</v>
      </c>
      <c r="Z36" s="5">
        <f>VLOOKUP($A36,'SegEnds_NonXtal_Prot#'!$A:$AL,27,FALSE)</f>
        <v>210</v>
      </c>
      <c r="AA36" s="5">
        <f>VLOOKUP($A36,'SegEnds_NonXtal_Prot#'!$A:$AL,30,FALSE)</f>
        <v>259</v>
      </c>
      <c r="AB36" s="5">
        <f>VLOOKUP($A36,'SegEnds_NonXtal_Prot#'!$A:$AL,33,FALSE)</f>
        <v>304</v>
      </c>
      <c r="AC36" s="5">
        <f>VLOOKUP($A36,'SegEnds_NonXtal_Prot#'!$A:$AL,36,FALSE)</f>
        <v>333</v>
      </c>
      <c r="AD36" s="5">
        <f>VLOOKUP($A36,'SegEnds_NonXtal_Prot#'!$A:$AL,5,FALSE)</f>
        <v>71</v>
      </c>
      <c r="AE36" s="5">
        <f>VLOOKUP($A36,'SegEnds_NonXtal_Prot#'!$A:$AL,8,FALSE)</f>
        <v>75</v>
      </c>
      <c r="AF36" s="5">
        <f>VLOOKUP($A36,'SegEnds_NonXtal_Prot#'!$A:$AL,11,FALSE)</f>
        <v>106</v>
      </c>
      <c r="AG36" s="5">
        <f>VLOOKUP($A36,'SegEnds_NonXtal_Prot#'!$A:$AL,14,FALSE)</f>
        <v>111</v>
      </c>
      <c r="AH36" s="5">
        <f>VLOOKUP($A36,'SegEnds_NonXtal_Prot#'!$A:$AL,17,FALSE)</f>
        <v>147</v>
      </c>
      <c r="AI36" s="5" t="str">
        <f>VLOOKUP($A36,'SegEnds_NonXtal_Prot#'!$A:$AL,20,FALSE)</f>
        <v>-</v>
      </c>
      <c r="AJ36" s="5">
        <f>VLOOKUP($A36,'SegEnds_NonXtal_Prot#'!$A:$AL,23,FALSE)</f>
        <v>180</v>
      </c>
      <c r="AK36" s="5">
        <f>VLOOKUP($A36,'SegEnds_NonXtal_Prot#'!$A:$AL,26,FALSE)</f>
        <v>205</v>
      </c>
      <c r="AL36" s="5">
        <f>VLOOKUP($A36,'SegEnds_NonXtal_Prot#'!$A:$AL,29,FALSE)</f>
        <v>250</v>
      </c>
      <c r="AM36" s="5">
        <f>VLOOKUP($A36,'SegEnds_NonXtal_Prot#'!$A:$AL,32,FALSE)</f>
        <v>296</v>
      </c>
      <c r="AN36" s="5">
        <f>VLOOKUP($A36,'SegEnds_NonXtal_Prot#'!$A:$AL,35,FALSE)</f>
        <v>332</v>
      </c>
      <c r="AO36" s="5">
        <f>VLOOKUP($A36,'SegEnds_NonXtal_Prot#'!$A:$AL,38,FALSE)</f>
        <v>344</v>
      </c>
      <c r="AP36" s="5">
        <f t="shared" si="13"/>
        <v>28</v>
      </c>
      <c r="AQ36" s="4">
        <f t="shared" si="14"/>
        <v>3</v>
      </c>
      <c r="AR36" s="4">
        <f t="shared" si="15"/>
        <v>30</v>
      </c>
      <c r="AS36" s="4">
        <f t="shared" si="16"/>
        <v>3</v>
      </c>
      <c r="AT36" s="4">
        <f t="shared" si="17"/>
        <v>35</v>
      </c>
      <c r="AU36" s="4" t="str">
        <f t="shared" si="18"/>
        <v>-</v>
      </c>
      <c r="AV36" s="4">
        <f t="shared" si="19"/>
        <v>26</v>
      </c>
      <c r="AW36" s="4">
        <f t="shared" si="20"/>
        <v>2</v>
      </c>
      <c r="AX36" s="4">
        <f t="shared" si="21"/>
        <v>40</v>
      </c>
      <c r="AY36" s="4">
        <f t="shared" si="22"/>
        <v>37</v>
      </c>
      <c r="AZ36" s="4">
        <f t="shared" si="23"/>
        <v>28</v>
      </c>
      <c r="BA36" s="4">
        <f t="shared" si="24"/>
        <v>11</v>
      </c>
    </row>
    <row r="37" spans="1:53" x14ac:dyDescent="0.2">
      <c r="A37" s="1" t="str">
        <f>'SegEnds_NonXtal_Prot#'!A392</f>
        <v>pkr1_human</v>
      </c>
      <c r="B37" s="1" t="str">
        <f t="shared" si="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7" s="29" t="str">
        <f>IF(ISERROR(MATCH(A37,'SegEnds_Xtal_Prot#'!B:B, 0)), "NoXtal", "Xtal")</f>
        <v>NoXtal</v>
      </c>
      <c r="D37" s="4" t="str">
        <f>VLOOKUP(A37,Classification!A:D,2,FALSE)</f>
        <v>A</v>
      </c>
      <c r="E37" s="5" t="str">
        <f>VLOOKUP(A37,Seqs!A:B,2,FALSE)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7" s="5" t="str">
        <f t="shared" si="1"/>
        <v>KIVIGMALVGIMLVCGIGNFIFIAALVRY</v>
      </c>
      <c r="G37" s="4" t="str">
        <f t="shared" si="2"/>
        <v>KKLR</v>
      </c>
      <c r="H37" s="4" t="str">
        <f t="shared" si="3"/>
        <v>NLTNLLIANLAISDFLVAIVCCPFEMDYYVV</v>
      </c>
      <c r="I37" s="4" t="str">
        <f t="shared" si="4"/>
        <v>SWEH</v>
      </c>
      <c r="J37" s="4" t="str">
        <f t="shared" si="5"/>
        <v>GHVLCTSVNYLRTVSLYVSTNALLAIAIDRYLAIVH</v>
      </c>
      <c r="K37" s="4" t="str">
        <f t="shared" si="6"/>
        <v/>
      </c>
      <c r="L37" s="4" t="str">
        <f t="shared" si="7"/>
        <v>KCQTATGLIALVWTVSILIAIPSAYFT</v>
      </c>
      <c r="M37" s="4" t="str">
        <f t="shared" si="8"/>
        <v>CGQ</v>
      </c>
      <c r="N37" s="4" t="str">
        <f t="shared" si="9"/>
        <v>QLYYKSYFLFIFGIEFVGPVVTMTLCYARISRELWFKAVPGF</v>
      </c>
      <c r="O37" s="4" t="str">
        <f t="shared" si="10"/>
        <v>QIRKRLRCRRKTVLVLMCILTAYVLCWAPFYGFTIVRDFF</v>
      </c>
      <c r="P37" s="4" t="str">
        <f t="shared" si="11"/>
        <v>EKHYLTAFYIVECIAMSNSMINTLCFVTV</v>
      </c>
      <c r="Q37" s="4" t="str">
        <f t="shared" si="12"/>
        <v>NDTVKYFKKIML</v>
      </c>
      <c r="R37" s="5">
        <f>VLOOKUP($A37,'SegEnds_NonXtal_Prot#'!$A:$AL,3,FALSE)</f>
        <v>62</v>
      </c>
      <c r="S37" s="5">
        <f>VLOOKUP($A37,'SegEnds_NonXtal_Prot#'!$A:$AL,6,FALSE)</f>
        <v>91</v>
      </c>
      <c r="T37" s="5">
        <f>VLOOKUP($A37,'SegEnds_NonXtal_Prot#'!$A:$AL,9,FALSE)</f>
        <v>95</v>
      </c>
      <c r="U37" s="5">
        <f>VLOOKUP($A37,'SegEnds_NonXtal_Prot#'!$A:$AL,12,FALSE)</f>
        <v>129</v>
      </c>
      <c r="V37" s="5">
        <f>VLOOKUP($A37,'SegEnds_NonXtal_Prot#'!$A:$AL,15,FALSE)</f>
        <v>133</v>
      </c>
      <c r="W37" s="5" t="str">
        <f>VLOOKUP($A37,'SegEnds_NonXtal_Prot#'!$A:$AL,18,FALSE)</f>
        <v>-</v>
      </c>
      <c r="X37" s="5">
        <f>VLOOKUP($A37,'SegEnds_NonXtal_Prot#'!$A:$AL,21,FALSE)</f>
        <v>175</v>
      </c>
      <c r="Y37" s="5">
        <f>VLOOKUP($A37,'SegEnds_NonXtal_Prot#'!$A:$AL,24,FALSE)</f>
        <v>217</v>
      </c>
      <c r="Z37" s="5">
        <f>VLOOKUP($A37,'SegEnds_NonXtal_Prot#'!$A:$AL,27,FALSE)</f>
        <v>226</v>
      </c>
      <c r="AA37" s="5">
        <f>VLOOKUP($A37,'SegEnds_NonXtal_Prot#'!$A:$AL,30,FALSE)</f>
        <v>271</v>
      </c>
      <c r="AB37" s="5">
        <f>VLOOKUP($A37,'SegEnds_NonXtal_Prot#'!$A:$AL,33,FALSE)</f>
        <v>317</v>
      </c>
      <c r="AC37" s="5">
        <f>VLOOKUP($A37,'SegEnds_NonXtal_Prot#'!$A:$AL,36,FALSE)</f>
        <v>347</v>
      </c>
      <c r="AD37" s="5">
        <f>VLOOKUP($A37,'SegEnds_NonXtal_Prot#'!$A:$AL,5,FALSE)</f>
        <v>90</v>
      </c>
      <c r="AE37" s="5">
        <f>VLOOKUP($A37,'SegEnds_NonXtal_Prot#'!$A:$AL,8,FALSE)</f>
        <v>94</v>
      </c>
      <c r="AF37" s="5">
        <f>VLOOKUP($A37,'SegEnds_NonXtal_Prot#'!$A:$AL,11,FALSE)</f>
        <v>125</v>
      </c>
      <c r="AG37" s="5">
        <f>VLOOKUP($A37,'SegEnds_NonXtal_Prot#'!$A:$AL,14,FALSE)</f>
        <v>132</v>
      </c>
      <c r="AH37" s="5">
        <f>VLOOKUP($A37,'SegEnds_NonXtal_Prot#'!$A:$AL,17,FALSE)</f>
        <v>168</v>
      </c>
      <c r="AI37" s="5" t="str">
        <f>VLOOKUP($A37,'SegEnds_NonXtal_Prot#'!$A:$AL,20,FALSE)</f>
        <v>-</v>
      </c>
      <c r="AJ37" s="5">
        <f>VLOOKUP($A37,'SegEnds_NonXtal_Prot#'!$A:$AL,23,FALSE)</f>
        <v>201</v>
      </c>
      <c r="AK37" s="5">
        <f>VLOOKUP($A37,'SegEnds_NonXtal_Prot#'!$A:$AL,26,FALSE)</f>
        <v>219</v>
      </c>
      <c r="AL37" s="5">
        <f>VLOOKUP($A37,'SegEnds_NonXtal_Prot#'!$A:$AL,29,FALSE)</f>
        <v>267</v>
      </c>
      <c r="AM37" s="5">
        <f>VLOOKUP($A37,'SegEnds_NonXtal_Prot#'!$A:$AL,32,FALSE)</f>
        <v>310</v>
      </c>
      <c r="AN37" s="5">
        <f>VLOOKUP($A37,'SegEnds_NonXtal_Prot#'!$A:$AL,35,FALSE)</f>
        <v>345</v>
      </c>
      <c r="AO37" s="5">
        <f>VLOOKUP($A37,'SegEnds_NonXtal_Prot#'!$A:$AL,38,FALSE)</f>
        <v>358</v>
      </c>
      <c r="AP37" s="5">
        <f t="shared" si="13"/>
        <v>28</v>
      </c>
      <c r="AQ37" s="4">
        <f t="shared" si="14"/>
        <v>3</v>
      </c>
      <c r="AR37" s="4">
        <f t="shared" si="15"/>
        <v>30</v>
      </c>
      <c r="AS37" s="4">
        <f t="shared" si="16"/>
        <v>3</v>
      </c>
      <c r="AT37" s="4">
        <f t="shared" si="17"/>
        <v>35</v>
      </c>
      <c r="AU37" s="4" t="str">
        <f t="shared" si="18"/>
        <v>-</v>
      </c>
      <c r="AV37" s="4">
        <f t="shared" si="19"/>
        <v>26</v>
      </c>
      <c r="AW37" s="4">
        <f t="shared" si="20"/>
        <v>2</v>
      </c>
      <c r="AX37" s="4">
        <f t="shared" si="21"/>
        <v>41</v>
      </c>
      <c r="AY37" s="4">
        <f t="shared" si="22"/>
        <v>39</v>
      </c>
      <c r="AZ37" s="4">
        <f t="shared" si="23"/>
        <v>28</v>
      </c>
      <c r="BA37" s="4">
        <f t="shared" si="24"/>
        <v>11</v>
      </c>
    </row>
    <row r="38" spans="1:53" x14ac:dyDescent="0.2">
      <c r="A38" s="1" t="str">
        <f>'SegEnds_NonXtal_Prot#'!A398</f>
        <v>sctr_human</v>
      </c>
      <c r="B38" s="1" t="str">
        <f t="shared" si="0"/>
        <v>HSYLLKLKVMYTVGYSSSLVMLLVALGILCAFCTRNYIHMHLFVSFILRALSNFIKDAVLHRAGCKLVMVLFQYCIMANYSWLLVEGLYLHTLLAIERKYLQGFVAFGWGSPAIFVALWAIARHFLEIWWIIRGPVILSILINFILFINILRILMRKLNEVSHYKRLARSTLLLIPLFGIHYIVFAFSPEDAMEIQLFFELALGSFQGLVVAVLYCFLNGEVQLEVQKKWQQWHLREFPLHPVA</v>
      </c>
      <c r="C38" s="29" t="str">
        <f>IF(ISERROR(MATCH(A38,'SegEnds_Xtal_Prot#'!B:B, 0)), "NoXtal", "Xtal")</f>
        <v>NoXtal</v>
      </c>
      <c r="D38" s="4" t="str">
        <f>VLOOKUP(A38,Classification!A:D,2,FALSE)</f>
        <v>B1</v>
      </c>
      <c r="E38" s="5" t="str">
        <f>VLOOKUP(A38,Seqs!A:B,2,FALSE)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8" s="5" t="str">
        <f t="shared" si="1"/>
        <v>HSYLLKLKVMYTVGYSSSLVMLLVALGILCAF</v>
      </c>
      <c r="G38" s="4" t="str">
        <f t="shared" si="2"/>
        <v>RRLH</v>
      </c>
      <c r="H38" s="4" t="str">
        <f t="shared" si="3"/>
        <v>CTRNYIHMHLFVSFILRALSNFIKDAVL</v>
      </c>
      <c r="I38" s="4" t="str">
        <f t="shared" si="4"/>
        <v/>
      </c>
      <c r="J38" s="4" t="str">
        <f t="shared" si="5"/>
        <v>HRAGCKLVMVLFQYCIMANYSWLLVEGLYLHTLLAI</v>
      </c>
      <c r="K38" s="4" t="str">
        <f t="shared" si="6"/>
        <v/>
      </c>
      <c r="L38" s="4" t="str">
        <f t="shared" si="7"/>
        <v>ERKYLQGFVAFGWGSPAIFVALWAIARHFLE</v>
      </c>
      <c r="M38" s="4" t="str">
        <f t="shared" si="8"/>
        <v>CWD</v>
      </c>
      <c r="N38" s="4" t="str">
        <f t="shared" si="9"/>
        <v>IWWIIRGPVILSILINFILFINILRILMRKL</v>
      </c>
      <c r="O38" s="4" t="str">
        <f t="shared" si="10"/>
        <v>NEVSHYKRLARSTLLLIPLFGIHYIVFAFSPEDA</v>
      </c>
      <c r="P38" s="4" t="str">
        <f t="shared" si="11"/>
        <v>MEIQLFFELALGSFQGLVVAVLYCFL</v>
      </c>
      <c r="Q38" s="4" t="str">
        <f t="shared" si="12"/>
        <v>NGEVQLEVQKKWQQWHLREFPLHPVA</v>
      </c>
      <c r="R38" s="5">
        <f>VLOOKUP($A38,'SegEnds_NonXtal_Prot#'!$A:$AL,3,FALSE)</f>
        <v>136</v>
      </c>
      <c r="S38" s="5">
        <f>VLOOKUP($A38,'SegEnds_NonXtal_Prot#'!$A:$AL,6,FALSE)</f>
        <v>168</v>
      </c>
      <c r="T38" s="5">
        <f>VLOOKUP($A38,'SegEnds_NonXtal_Prot#'!$A:$AL,9,FALSE)</f>
        <v>172</v>
      </c>
      <c r="U38" s="5" t="str">
        <f>VLOOKUP($A38,'SegEnds_NonXtal_Prot#'!$A:$AL,12,FALSE)</f>
        <v>-</v>
      </c>
      <c r="V38" s="5">
        <f>VLOOKUP($A38,'SegEnds_NonXtal_Prot#'!$A:$AL,15,FALSE)</f>
        <v>211</v>
      </c>
      <c r="W38" s="5" t="str">
        <f>VLOOKUP($A38,'SegEnds_NonXtal_Prot#'!$A:$AL,18,FALSE)</f>
        <v>-</v>
      </c>
      <c r="X38" s="5">
        <f>VLOOKUP($A38,'SegEnds_NonXtal_Prot#'!$A:$AL,21,FALSE)</f>
        <v>251</v>
      </c>
      <c r="Y38" s="5">
        <f>VLOOKUP($A38,'SegEnds_NonXtal_Prot#'!$A:$AL,24,FALSE)</f>
        <v>285</v>
      </c>
      <c r="Z38" s="5">
        <f>VLOOKUP($A38,'SegEnds_NonXtal_Prot#'!$A:$AL,27,FALSE)</f>
        <v>294</v>
      </c>
      <c r="AA38" s="5">
        <f>VLOOKUP($A38,'SegEnds_NonXtal_Prot#'!$A:$AL,30,FALSE)</f>
        <v>332</v>
      </c>
      <c r="AB38" s="5">
        <f>VLOOKUP($A38,'SegEnds_NonXtal_Prot#'!$A:$AL,33,FALSE)</f>
        <v>366</v>
      </c>
      <c r="AC38" s="5">
        <f>VLOOKUP($A38,'SegEnds_NonXtal_Prot#'!$A:$AL,36,FALSE)</f>
        <v>392</v>
      </c>
      <c r="AD38" s="5">
        <f>VLOOKUP($A38,'SegEnds_NonXtal_Prot#'!$A:$AL,5,FALSE)</f>
        <v>167</v>
      </c>
      <c r="AE38" s="5">
        <f>VLOOKUP($A38,'SegEnds_NonXtal_Prot#'!$A:$AL,8,FALSE)</f>
        <v>171</v>
      </c>
      <c r="AF38" s="5">
        <f>VLOOKUP($A38,'SegEnds_NonXtal_Prot#'!$A:$AL,11,FALSE)</f>
        <v>199</v>
      </c>
      <c r="AG38" s="5" t="str">
        <f>VLOOKUP($A38,'SegEnds_NonXtal_Prot#'!$A:$AL,14,FALSE)</f>
        <v>-</v>
      </c>
      <c r="AH38" s="5">
        <f>VLOOKUP($A38,'SegEnds_NonXtal_Prot#'!$A:$AL,17,FALSE)</f>
        <v>246</v>
      </c>
      <c r="AI38" s="5" t="str">
        <f>VLOOKUP($A38,'SegEnds_NonXtal_Prot#'!$A:$AL,20,FALSE)</f>
        <v>-</v>
      </c>
      <c r="AJ38" s="5">
        <f>VLOOKUP($A38,'SegEnds_NonXtal_Prot#'!$A:$AL,23,FALSE)</f>
        <v>281</v>
      </c>
      <c r="AK38" s="5">
        <f>VLOOKUP($A38,'SegEnds_NonXtal_Prot#'!$A:$AL,26,FALSE)</f>
        <v>287</v>
      </c>
      <c r="AL38" s="5">
        <f>VLOOKUP($A38,'SegEnds_NonXtal_Prot#'!$A:$AL,29,FALSE)</f>
        <v>324</v>
      </c>
      <c r="AM38" s="5">
        <f>VLOOKUP($A38,'SegEnds_NonXtal_Prot#'!$A:$AL,32,FALSE)</f>
        <v>365</v>
      </c>
      <c r="AN38" s="5">
        <f>VLOOKUP($A38,'SegEnds_NonXtal_Prot#'!$A:$AL,35,FALSE)</f>
        <v>391</v>
      </c>
      <c r="AO38" s="5">
        <f>VLOOKUP($A38,'SegEnds_NonXtal_Prot#'!$A:$AL,38,FALSE)</f>
        <v>417</v>
      </c>
      <c r="AP38" s="5">
        <f t="shared" si="13"/>
        <v>31</v>
      </c>
      <c r="AQ38" s="4">
        <f t="shared" si="14"/>
        <v>3</v>
      </c>
      <c r="AR38" s="4">
        <f t="shared" si="15"/>
        <v>27</v>
      </c>
      <c r="AS38" s="4" t="str">
        <f t="shared" si="16"/>
        <v>-</v>
      </c>
      <c r="AT38" s="4">
        <f t="shared" si="17"/>
        <v>35</v>
      </c>
      <c r="AU38" s="4" t="str">
        <f t="shared" si="18"/>
        <v>-</v>
      </c>
      <c r="AV38" s="4">
        <f t="shared" si="19"/>
        <v>30</v>
      </c>
      <c r="AW38" s="4">
        <f t="shared" si="20"/>
        <v>2</v>
      </c>
      <c r="AX38" s="4">
        <f t="shared" si="21"/>
        <v>30</v>
      </c>
      <c r="AY38" s="4">
        <f t="shared" si="22"/>
        <v>33</v>
      </c>
      <c r="AZ38" s="4">
        <f t="shared" si="23"/>
        <v>25</v>
      </c>
      <c r="BA38" s="4">
        <f t="shared" si="24"/>
        <v>25</v>
      </c>
    </row>
    <row r="39" spans="1:53" x14ac:dyDescent="0.2">
      <c r="A39" s="1" t="str">
        <f>'SegEnds_NonXtal_Prot#'!A2</f>
        <v>agtr2_human</v>
      </c>
      <c r="B39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39" s="29" t="str">
        <f>IF(ISERROR(MATCH(A39,'SegEnds_Xtal_Prot#'!B:B, 0)), "NoXtal", "Xtal")</f>
        <v>Xtal</v>
      </c>
      <c r="D39" s="4" t="str">
        <f>VLOOKUP(A39,Classification!A:D,2,FALSE)</f>
        <v>A</v>
      </c>
      <c r="E39" s="5" t="str">
        <f>VLOOKUP(A39,Seqs!A:B,2,FALSE)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39" s="5" t="str">
        <f t="shared" si="1"/>
        <v>DAIPILYYIIFVIGFLVNIVVVTLFCCQ</v>
      </c>
      <c r="G39" s="4" t="str">
        <f t="shared" si="2"/>
        <v/>
      </c>
      <c r="H39" s="4" t="str">
        <f t="shared" si="3"/>
        <v>VSSIYIFNLAVADLLLLATLPLWATYYSY</v>
      </c>
      <c r="I39" s="4" t="str">
        <f t="shared" si="4"/>
        <v>DWLF</v>
      </c>
      <c r="J39" s="4" t="str">
        <f t="shared" si="5"/>
        <v>GPVMCKVFGSFLTLNMFASIFFITCMSVDRYQSVIY</v>
      </c>
      <c r="K39" s="4" t="str">
        <f t="shared" si="6"/>
        <v>PFLSQRR</v>
      </c>
      <c r="L39" s="4" t="str">
        <f t="shared" si="7"/>
        <v>NPWQASYIVPLVWCMACLSSLPTFYFR</v>
      </c>
      <c r="M39" s="4" t="str">
        <f t="shared" si="8"/>
        <v>CIM</v>
      </c>
      <c r="N39" s="4" t="str">
        <f t="shared" si="9"/>
        <v>KYAQWSAGIALMKNILGFIIPLIFIATCYFGIRKHLLKT</v>
      </c>
      <c r="O39" s="4" t="str">
        <f t="shared" si="10"/>
        <v>GKNRITRDQVLKMAAAVVLAFIICWLPFHVLTFLDALAWMG</v>
      </c>
      <c r="P39" s="4" t="str">
        <f t="shared" si="11"/>
        <v>SCEVIAVIDLALPFAILLGFTNSCVNPFLYCFV</v>
      </c>
      <c r="Q39" s="4" t="str">
        <f t="shared" si="12"/>
        <v>GNRFQQKLRSVFRVP</v>
      </c>
      <c r="R39" s="5">
        <f>VLOOKUP($A39,'SegEnds_NonXtal_Prot#'!$A:$AL,3,FALSE)</f>
        <v>45</v>
      </c>
      <c r="S39" s="5" t="str">
        <f>VLOOKUP($A39,'SegEnds_NonXtal_Prot#'!$A:$AL,6,FALSE)</f>
        <v>-</v>
      </c>
      <c r="T39" s="5">
        <f>VLOOKUP($A39,'SegEnds_NonXtal_Prot#'!$A:$AL,9,FALSE)</f>
        <v>78</v>
      </c>
      <c r="U39" s="5">
        <f>VLOOKUP($A39,'SegEnds_NonXtal_Prot#'!$A:$AL,12,FALSE)</f>
        <v>109</v>
      </c>
      <c r="V39" s="5">
        <f>VLOOKUP($A39,'SegEnds_NonXtal_Prot#'!$A:$AL,15,FALSE)</f>
        <v>113</v>
      </c>
      <c r="W39" s="5">
        <f>VLOOKUP($A39,'SegEnds_NonXtal_Prot#'!$A:$AL,18,FALSE)</f>
        <v>149</v>
      </c>
      <c r="X39" s="5">
        <f>VLOOKUP($A39,'SegEnds_NonXtal_Prot#'!$A:$AL,21,FALSE)</f>
        <v>156</v>
      </c>
      <c r="Y39" s="5">
        <f>VLOOKUP($A39,'SegEnds_NonXtal_Prot#'!$A:$AL,24,FALSE)</f>
        <v>195</v>
      </c>
      <c r="Z39" s="5">
        <f>VLOOKUP($A39,'SegEnds_NonXtal_Prot#'!$A:$AL,27,FALSE)</f>
        <v>203</v>
      </c>
      <c r="AA39" s="5">
        <f>VLOOKUP($A39,'SegEnds_NonXtal_Prot#'!$A:$AL,30,FALSE)</f>
        <v>245</v>
      </c>
      <c r="AB39" s="5">
        <f>VLOOKUP($A39,'SegEnds_NonXtal_Prot#'!$A:$AL,33,FALSE)</f>
        <v>289</v>
      </c>
      <c r="AC39" s="5">
        <f>VLOOKUP($A39,'SegEnds_NonXtal_Prot#'!$A:$AL,36,FALSE)</f>
        <v>322</v>
      </c>
      <c r="AD39" s="5">
        <f>VLOOKUP($A39,'SegEnds_NonXtal_Prot#'!$A:$AL,5,FALSE)</f>
        <v>72</v>
      </c>
      <c r="AE39" s="5" t="str">
        <f>VLOOKUP($A39,'SegEnds_NonXtal_Prot#'!$A:$AL,8,FALSE)</f>
        <v>-</v>
      </c>
      <c r="AF39" s="5">
        <f>VLOOKUP($A39,'SegEnds_NonXtal_Prot#'!$A:$AL,11,FALSE)</f>
        <v>106</v>
      </c>
      <c r="AG39" s="5">
        <f>VLOOKUP($A39,'SegEnds_NonXtal_Prot#'!$A:$AL,14,FALSE)</f>
        <v>112</v>
      </c>
      <c r="AH39" s="5">
        <f>VLOOKUP($A39,'SegEnds_NonXtal_Prot#'!$A:$AL,17,FALSE)</f>
        <v>148</v>
      </c>
      <c r="AI39" s="5">
        <f>VLOOKUP($A39,'SegEnds_NonXtal_Prot#'!$A:$AL,20,FALSE)</f>
        <v>155</v>
      </c>
      <c r="AJ39" s="5">
        <f>VLOOKUP($A39,'SegEnds_NonXtal_Prot#'!$A:$AL,23,FALSE)</f>
        <v>182</v>
      </c>
      <c r="AK39" s="5">
        <f>VLOOKUP($A39,'SegEnds_NonXtal_Prot#'!$A:$AL,26,FALSE)</f>
        <v>197</v>
      </c>
      <c r="AL39" s="5">
        <f>VLOOKUP($A39,'SegEnds_NonXtal_Prot#'!$A:$AL,29,FALSE)</f>
        <v>241</v>
      </c>
      <c r="AM39" s="5">
        <f>VLOOKUP($A39,'SegEnds_NonXtal_Prot#'!$A:$AL,32,FALSE)</f>
        <v>285</v>
      </c>
      <c r="AN39" s="5">
        <f>VLOOKUP($A39,'SegEnds_NonXtal_Prot#'!$A:$AL,35,FALSE)</f>
        <v>321</v>
      </c>
      <c r="AO39" s="5">
        <f>VLOOKUP($A39,'SegEnds_NonXtal_Prot#'!$A:$AL,38,FALSE)</f>
        <v>336</v>
      </c>
      <c r="AP39" s="5">
        <f t="shared" si="13"/>
        <v>27</v>
      </c>
      <c r="AQ39" s="4" t="str">
        <f t="shared" si="14"/>
        <v>-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6</v>
      </c>
      <c r="AV39" s="4">
        <f t="shared" si="19"/>
        <v>26</v>
      </c>
      <c r="AW39" s="4">
        <f t="shared" si="20"/>
        <v>2</v>
      </c>
      <c r="AX39" s="4">
        <f t="shared" si="21"/>
        <v>38</v>
      </c>
      <c r="AY39" s="4">
        <f t="shared" si="22"/>
        <v>40</v>
      </c>
      <c r="AZ39" s="4">
        <f t="shared" si="23"/>
        <v>32</v>
      </c>
      <c r="BA39" s="4">
        <f t="shared" si="24"/>
        <v>14</v>
      </c>
    </row>
    <row r="40" spans="1:53" x14ac:dyDescent="0.2">
      <c r="A40" s="1" t="str">
        <f>'SegEnds_NonXtal_Prot#'!A3</f>
        <v>cxcr1_human</v>
      </c>
      <c r="B40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0" s="5" t="str">
        <f t="shared" si="1"/>
        <v>TETLNKYVVIIAYALVFLLSLLGNSLVMLVILYS</v>
      </c>
      <c r="G40" s="4" t="str">
        <f t="shared" si="2"/>
        <v>RVGR</v>
      </c>
      <c r="H40" s="4" t="str">
        <f t="shared" si="3"/>
        <v>SVTDVYLLNLALADLLFALTLPIWAASKVN</v>
      </c>
      <c r="I40" s="4" t="str">
        <f t="shared" si="4"/>
        <v>GWIF</v>
      </c>
      <c r="J40" s="4" t="str">
        <f t="shared" si="5"/>
        <v>GTFLCKVVSLLKEVNFYSGILLLACISVDRYLAIVH</v>
      </c>
      <c r="K40" s="4" t="str">
        <f t="shared" si="6"/>
        <v>ATRTLTQ</v>
      </c>
      <c r="L40" s="4" t="str">
        <f t="shared" si="7"/>
        <v>KRHLVKFVCLGCWGLSMNLSLPFFLFR</v>
      </c>
      <c r="M40" s="4" t="str">
        <f t="shared" si="8"/>
        <v>CYE</v>
      </c>
      <c r="N40" s="4" t="str">
        <f t="shared" si="9"/>
        <v>TAKWRMVLRILPHTFGFIVPLFVMLFCYGFTLRTLFKA</v>
      </c>
      <c r="O40" s="4" t="str">
        <f t="shared" si="10"/>
        <v>KHRAMRVIFAVVLIFLLCWLPYNLVLLADTLMRTQ</v>
      </c>
      <c r="P40" s="4" t="str">
        <f t="shared" si="11"/>
        <v>SCERRNNIGRALDATEILGFLHSCLNPIIYAFI</v>
      </c>
      <c r="Q40" s="4" t="str">
        <f t="shared" si="12"/>
        <v>GQNFRHGFLKIL</v>
      </c>
      <c r="R40" s="5">
        <f>VLOOKUP($A40,'SegEnds_NonXtal_Prot#'!$A:$AL,3,FALSE)</f>
        <v>34</v>
      </c>
      <c r="S40" s="5">
        <f>VLOOKUP($A40,'SegEnds_NonXtal_Prot#'!$A:$AL,6,FALSE)</f>
        <v>68</v>
      </c>
      <c r="T40" s="5">
        <f>VLOOKUP($A40,'SegEnds_NonXtal_Prot#'!$A:$AL,9,FALSE)</f>
        <v>72</v>
      </c>
      <c r="U40" s="5">
        <f>VLOOKUP($A40,'SegEnds_NonXtal_Prot#'!$A:$AL,12,FALSE)</f>
        <v>102</v>
      </c>
      <c r="V40" s="5">
        <f>VLOOKUP($A40,'SegEnds_NonXtal_Prot#'!$A:$AL,15,FALSE)</f>
        <v>106</v>
      </c>
      <c r="W40" s="5">
        <f>VLOOKUP($A40,'SegEnds_NonXtal_Prot#'!$A:$AL,18,FALSE)</f>
        <v>142</v>
      </c>
      <c r="X40" s="5">
        <f>VLOOKUP($A40,'SegEnds_NonXtal_Prot#'!$A:$AL,21,FALSE)</f>
        <v>149</v>
      </c>
      <c r="Y40" s="5">
        <f>VLOOKUP($A40,'SegEnds_NonXtal_Prot#'!$A:$AL,24,FALSE)</f>
        <v>187</v>
      </c>
      <c r="Z40" s="5">
        <f>VLOOKUP($A40,'SegEnds_NonXtal_Prot#'!$A:$AL,27,FALSE)</f>
        <v>195</v>
      </c>
      <c r="AA40" s="5">
        <f>VLOOKUP($A40,'SegEnds_NonXtal_Prot#'!$A:$AL,30,FALSE)</f>
        <v>237</v>
      </c>
      <c r="AB40" s="5">
        <f>VLOOKUP($A40,'SegEnds_NonXtal_Prot#'!$A:$AL,33,FALSE)</f>
        <v>276</v>
      </c>
      <c r="AC40" s="5">
        <f>VLOOKUP($A40,'SegEnds_NonXtal_Prot#'!$A:$AL,36,FALSE)</f>
        <v>309</v>
      </c>
      <c r="AD40" s="5">
        <f>VLOOKUP($A40,'SegEnds_NonXtal_Prot#'!$A:$AL,5,FALSE)</f>
        <v>67</v>
      </c>
      <c r="AE40" s="5">
        <f>VLOOKUP($A40,'SegEnds_NonXtal_Prot#'!$A:$AL,8,FALSE)</f>
        <v>71</v>
      </c>
      <c r="AF40" s="5">
        <f>VLOOKUP($A40,'SegEnds_NonXtal_Prot#'!$A:$AL,11,FALSE)</f>
        <v>101</v>
      </c>
      <c r="AG40" s="5">
        <f>VLOOKUP($A40,'SegEnds_NonXtal_Prot#'!$A:$AL,14,FALSE)</f>
        <v>105</v>
      </c>
      <c r="AH40" s="5">
        <f>VLOOKUP($A40,'SegEnds_NonXtal_Prot#'!$A:$AL,17,FALSE)</f>
        <v>141</v>
      </c>
      <c r="AI40" s="5">
        <f>VLOOKUP($A40,'SegEnds_NonXtal_Prot#'!$A:$AL,20,FALSE)</f>
        <v>148</v>
      </c>
      <c r="AJ40" s="5">
        <f>VLOOKUP($A40,'SegEnds_NonXtal_Prot#'!$A:$AL,23,FALSE)</f>
        <v>175</v>
      </c>
      <c r="AK40" s="5">
        <f>VLOOKUP($A40,'SegEnds_NonXtal_Prot#'!$A:$AL,26,FALSE)</f>
        <v>189</v>
      </c>
      <c r="AL40" s="5">
        <f>VLOOKUP($A40,'SegEnds_NonXtal_Prot#'!$A:$AL,29,FALSE)</f>
        <v>232</v>
      </c>
      <c r="AM40" s="5">
        <f>VLOOKUP($A40,'SegEnds_NonXtal_Prot#'!$A:$AL,32,FALSE)</f>
        <v>271</v>
      </c>
      <c r="AN40" s="5">
        <f>VLOOKUP($A40,'SegEnds_NonXtal_Prot#'!$A:$AL,35,FALSE)</f>
        <v>308</v>
      </c>
      <c r="AO40" s="5">
        <f>VLOOKUP($A40,'SegEnds_NonXtal_Prot#'!$A:$AL,38,FALSE)</f>
        <v>320</v>
      </c>
      <c r="AP40" s="5">
        <f t="shared" si="13"/>
        <v>33</v>
      </c>
      <c r="AQ40" s="4">
        <f t="shared" si="14"/>
        <v>3</v>
      </c>
      <c r="AR40" s="4">
        <f t="shared" si="15"/>
        <v>29</v>
      </c>
      <c r="AS40" s="4">
        <f t="shared" si="16"/>
        <v>3</v>
      </c>
      <c r="AT40" s="4">
        <f t="shared" si="17"/>
        <v>35</v>
      </c>
      <c r="AU40" s="4">
        <f t="shared" si="18"/>
        <v>6</v>
      </c>
      <c r="AV40" s="4">
        <f t="shared" si="19"/>
        <v>26</v>
      </c>
      <c r="AW40" s="4">
        <f t="shared" si="20"/>
        <v>2</v>
      </c>
      <c r="AX40" s="4">
        <f t="shared" si="21"/>
        <v>37</v>
      </c>
      <c r="AY40" s="4">
        <f t="shared" si="22"/>
        <v>34</v>
      </c>
      <c r="AZ40" s="4">
        <f t="shared" si="23"/>
        <v>32</v>
      </c>
      <c r="BA40" s="4">
        <f t="shared" si="24"/>
        <v>11</v>
      </c>
    </row>
    <row r="41" spans="1:53" x14ac:dyDescent="0.2">
      <c r="A41" s="1" t="str">
        <f>'SegEnds_NonXtal_Prot#'!A4</f>
        <v>cxcr2_human</v>
      </c>
      <c r="B41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1" s="5" t="str">
        <f t="shared" si="1"/>
        <v>SLEINKYFVVIIYALVFLLSLLGNSLVMLVILYS</v>
      </c>
      <c r="G41" s="4" t="str">
        <f t="shared" si="2"/>
        <v>RVGR</v>
      </c>
      <c r="H41" s="4" t="str">
        <f t="shared" si="3"/>
        <v>SVTDVYLLNLALADLLFALTLPIWAASKVN</v>
      </c>
      <c r="I41" s="4" t="str">
        <f t="shared" si="4"/>
        <v>GWIF</v>
      </c>
      <c r="J41" s="4" t="str">
        <f t="shared" si="5"/>
        <v>GTFLCKVVSLLKEVNFYSGILLLACISVDRYLAIVH</v>
      </c>
      <c r="K41" s="4" t="str">
        <f t="shared" si="6"/>
        <v>ATRTLTQ</v>
      </c>
      <c r="L41" s="4" t="str">
        <f t="shared" si="7"/>
        <v>KRYLVKFICLSIWGLSLLLALPVLLFR</v>
      </c>
      <c r="M41" s="4" t="str">
        <f t="shared" si="8"/>
        <v>CYE</v>
      </c>
      <c r="N41" s="4" t="str">
        <f t="shared" si="9"/>
        <v>NWRMLLRILPQSFGFIVPLLIMLFCYGFTLRTLFKA</v>
      </c>
      <c r="O41" s="4" t="str">
        <f t="shared" si="10"/>
        <v>KHRAMRVIFAVVLIFLLCWLPYNLVLLADTLMRTQ</v>
      </c>
      <c r="P41" s="4" t="str">
        <f t="shared" si="11"/>
        <v>TCERRNHIDRALDATEILGILHSCLNPLIYAFI</v>
      </c>
      <c r="Q41" s="4" t="str">
        <f t="shared" si="12"/>
        <v>GQKFRHGLLKILAIHGLISKD</v>
      </c>
      <c r="R41" s="5">
        <f>VLOOKUP($A41,'SegEnds_NonXtal_Prot#'!$A:$AL,3,FALSE)</f>
        <v>43</v>
      </c>
      <c r="S41" s="5">
        <f>VLOOKUP($A41,'SegEnds_NonXtal_Prot#'!$A:$AL,6,FALSE)</f>
        <v>77</v>
      </c>
      <c r="T41" s="5">
        <f>VLOOKUP($A41,'SegEnds_NonXtal_Prot#'!$A:$AL,9,FALSE)</f>
        <v>81</v>
      </c>
      <c r="U41" s="5">
        <f>VLOOKUP($A41,'SegEnds_NonXtal_Prot#'!$A:$AL,12,FALSE)</f>
        <v>111</v>
      </c>
      <c r="V41" s="5">
        <f>VLOOKUP($A41,'SegEnds_NonXtal_Prot#'!$A:$AL,15,FALSE)</f>
        <v>115</v>
      </c>
      <c r="W41" s="5">
        <f>VLOOKUP($A41,'SegEnds_NonXtal_Prot#'!$A:$AL,18,FALSE)</f>
        <v>151</v>
      </c>
      <c r="X41" s="5">
        <f>VLOOKUP($A41,'SegEnds_NonXtal_Prot#'!$A:$AL,21,FALSE)</f>
        <v>158</v>
      </c>
      <c r="Y41" s="5">
        <f>VLOOKUP($A41,'SegEnds_NonXtal_Prot#'!$A:$AL,24,FALSE)</f>
        <v>196</v>
      </c>
      <c r="Z41" s="5">
        <f>VLOOKUP($A41,'SegEnds_NonXtal_Prot#'!$A:$AL,27,FALSE)</f>
        <v>206</v>
      </c>
      <c r="AA41" s="5">
        <f>VLOOKUP($A41,'SegEnds_NonXtal_Prot#'!$A:$AL,30,FALSE)</f>
        <v>246</v>
      </c>
      <c r="AB41" s="5">
        <f>VLOOKUP($A41,'SegEnds_NonXtal_Prot#'!$A:$AL,33,FALSE)</f>
        <v>285</v>
      </c>
      <c r="AC41" s="5">
        <f>VLOOKUP($A41,'SegEnds_NonXtal_Prot#'!$A:$AL,36,FALSE)</f>
        <v>318</v>
      </c>
      <c r="AD41" s="5">
        <f>VLOOKUP($A41,'SegEnds_NonXtal_Prot#'!$A:$AL,5,FALSE)</f>
        <v>76</v>
      </c>
      <c r="AE41" s="5">
        <f>VLOOKUP($A41,'SegEnds_NonXtal_Prot#'!$A:$AL,8,FALSE)</f>
        <v>80</v>
      </c>
      <c r="AF41" s="5">
        <f>VLOOKUP($A41,'SegEnds_NonXtal_Prot#'!$A:$AL,11,FALSE)</f>
        <v>110</v>
      </c>
      <c r="AG41" s="5">
        <f>VLOOKUP($A41,'SegEnds_NonXtal_Prot#'!$A:$AL,14,FALSE)</f>
        <v>114</v>
      </c>
      <c r="AH41" s="5">
        <f>VLOOKUP($A41,'SegEnds_NonXtal_Prot#'!$A:$AL,17,FALSE)</f>
        <v>150</v>
      </c>
      <c r="AI41" s="5">
        <f>VLOOKUP($A41,'SegEnds_NonXtal_Prot#'!$A:$AL,20,FALSE)</f>
        <v>157</v>
      </c>
      <c r="AJ41" s="5">
        <f>VLOOKUP($A41,'SegEnds_NonXtal_Prot#'!$A:$AL,23,FALSE)</f>
        <v>184</v>
      </c>
      <c r="AK41" s="5">
        <f>VLOOKUP($A41,'SegEnds_NonXtal_Prot#'!$A:$AL,26,FALSE)</f>
        <v>198</v>
      </c>
      <c r="AL41" s="5">
        <f>VLOOKUP($A41,'SegEnds_NonXtal_Prot#'!$A:$AL,29,FALSE)</f>
        <v>241</v>
      </c>
      <c r="AM41" s="5">
        <f>VLOOKUP($A41,'SegEnds_NonXtal_Prot#'!$A:$AL,32,FALSE)</f>
        <v>280</v>
      </c>
      <c r="AN41" s="5">
        <f>VLOOKUP($A41,'SegEnds_NonXtal_Prot#'!$A:$AL,35,FALSE)</f>
        <v>317</v>
      </c>
      <c r="AO41" s="5">
        <f>VLOOKUP($A41,'SegEnds_NonXtal_Prot#'!$A:$AL,38,FALSE)</f>
        <v>338</v>
      </c>
      <c r="AP41" s="5">
        <f t="shared" si="13"/>
        <v>33</v>
      </c>
      <c r="AQ41" s="4">
        <f t="shared" si="14"/>
        <v>3</v>
      </c>
      <c r="AR41" s="4">
        <f t="shared" si="15"/>
        <v>29</v>
      </c>
      <c r="AS41" s="4">
        <f t="shared" si="16"/>
        <v>3</v>
      </c>
      <c r="AT41" s="4">
        <f t="shared" si="17"/>
        <v>35</v>
      </c>
      <c r="AU41" s="4">
        <f t="shared" si="18"/>
        <v>6</v>
      </c>
      <c r="AV41" s="4">
        <f t="shared" si="19"/>
        <v>26</v>
      </c>
      <c r="AW41" s="4">
        <f t="shared" si="20"/>
        <v>2</v>
      </c>
      <c r="AX41" s="4">
        <f t="shared" si="21"/>
        <v>35</v>
      </c>
      <c r="AY41" s="4">
        <f t="shared" si="22"/>
        <v>34</v>
      </c>
      <c r="AZ41" s="4">
        <f t="shared" si="23"/>
        <v>32</v>
      </c>
      <c r="BA41" s="4">
        <f t="shared" si="24"/>
        <v>20</v>
      </c>
    </row>
    <row r="42" spans="1:53" x14ac:dyDescent="0.2">
      <c r="A42" s="1" t="str">
        <f>'SegEnds_NonXtal_Prot#'!A6</f>
        <v>gp142_human</v>
      </c>
      <c r="B42" s="1" t="str">
        <f t="shared" si="0"/>
        <v>GVIPVIYYSVLLGLGLPVSLLTAVALARLRPSYYYLLALTASDIIIQVVIVFAGFLLQGARQVPQAVVRTANILEFAANHASVWIAILLTVDRYTALCHSSPGRTRRAIAAVLSAALLTGIPFYWWDEVLKWAHCLTVYFIPCGVFLVTNSAIIHRLRRLQPRVGKSTAILLGITTLFTLLWAPRVFVMLYHMYVDWRVHLALDVANMVAMLHTAANFGLYCFVSKTFRATVRQVI</v>
      </c>
      <c r="C42" s="29" t="str">
        <f>IF(ISERROR(MATCH(A42,'SegEnds_Xtal_Prot#'!B:B, 0)), "NoXtal", "Xtal")</f>
        <v>NoXtal</v>
      </c>
      <c r="D42" s="4" t="str">
        <f>VLOOKUP(A42,Classification!A:D,2,FALSE)</f>
        <v>A</v>
      </c>
      <c r="E42" s="5" t="str">
        <f>VLOOKUP(A42,Seqs!A:B,2,FALSE)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2" s="5" t="str">
        <f t="shared" si="1"/>
        <v>GVIPVIYYSVLLGLGLPVSLLTAVALARL</v>
      </c>
      <c r="G42" s="4" t="str">
        <f t="shared" si="2"/>
        <v/>
      </c>
      <c r="H42" s="4" t="str">
        <f t="shared" si="3"/>
        <v>RPSYYYLLALTASDIIIQVVIVFAGFLLQGA</v>
      </c>
      <c r="I42" s="4" t="str">
        <f t="shared" si="4"/>
        <v/>
      </c>
      <c r="J42" s="4" t="str">
        <f t="shared" si="5"/>
        <v>RQVPQAVVRTANILEFAANHASVWIAILLTVDRYTALCH</v>
      </c>
      <c r="K42" s="4" t="str">
        <f t="shared" si="6"/>
        <v>PLHHRAA</v>
      </c>
      <c r="L42" s="4" t="str">
        <f t="shared" si="7"/>
        <v>SSPGRTRRAIAAVLSAALLTGIPFYWW</v>
      </c>
      <c r="M42" s="4" t="str">
        <f t="shared" si="8"/>
        <v/>
      </c>
      <c r="N42" s="4" t="str">
        <f t="shared" si="9"/>
        <v>DEVLKWAHCLTVYFIPCGVFLVTNSAIIHRLRR</v>
      </c>
      <c r="O42" s="4" t="str">
        <f t="shared" si="10"/>
        <v>LQPRVGKSTAILLGITTLFTLLWAPRVFVMLYHMYV</v>
      </c>
      <c r="P42" s="4" t="str">
        <f t="shared" si="11"/>
        <v>DWRVHLALDVANMVAMLHTAANFGLYCFV</v>
      </c>
      <c r="Q42" s="4" t="str">
        <f t="shared" si="12"/>
        <v>SKTFRATVRQVI</v>
      </c>
      <c r="R42" s="5">
        <f>VLOOKUP($A42,'SegEnds_NonXtal_Prot#'!$A:$AL,3,FALSE)</f>
        <v>156</v>
      </c>
      <c r="S42" s="5" t="str">
        <f>VLOOKUP($A42,'SegEnds_NonXtal_Prot#'!$A:$AL,6,FALSE)</f>
        <v>-</v>
      </c>
      <c r="T42" s="5">
        <f>VLOOKUP($A42,'SegEnds_NonXtal_Prot#'!$A:$AL,9,FALSE)</f>
        <v>190</v>
      </c>
      <c r="U42" s="5" t="str">
        <f>VLOOKUP($A42,'SegEnds_NonXtal_Prot#'!$A:$AL,12,FALSE)</f>
        <v>-</v>
      </c>
      <c r="V42" s="5">
        <f>VLOOKUP($A42,'SegEnds_NonXtal_Prot#'!$A:$AL,15,FALSE)</f>
        <v>224</v>
      </c>
      <c r="W42" s="5">
        <f>VLOOKUP($A42,'SegEnds_NonXtal_Prot#'!$A:$AL,18,FALSE)</f>
        <v>263</v>
      </c>
      <c r="X42" s="5">
        <f>VLOOKUP($A42,'SegEnds_NonXtal_Prot#'!$A:$AL,21,FALSE)</f>
        <v>270</v>
      </c>
      <c r="Y42" s="5" t="str">
        <f>VLOOKUP($A42,'SegEnds_NonXtal_Prot#'!$A:$AL,24,FALSE)</f>
        <v>-</v>
      </c>
      <c r="Z42" s="5">
        <f>VLOOKUP($A42,'SegEnds_NonXtal_Prot#'!$A:$AL,27,FALSE)</f>
        <v>310</v>
      </c>
      <c r="AA42" s="5">
        <f>VLOOKUP($A42,'SegEnds_NonXtal_Prot#'!$A:$AL,30,FALSE)</f>
        <v>348</v>
      </c>
      <c r="AB42" s="5">
        <f>VLOOKUP($A42,'SegEnds_NonXtal_Prot#'!$A:$AL,33,FALSE)</f>
        <v>389</v>
      </c>
      <c r="AC42" s="5">
        <f>VLOOKUP($A42,'SegEnds_NonXtal_Prot#'!$A:$AL,36,FALSE)</f>
        <v>418</v>
      </c>
      <c r="AD42" s="5">
        <f>VLOOKUP($A42,'SegEnds_NonXtal_Prot#'!$A:$AL,5,FALSE)</f>
        <v>184</v>
      </c>
      <c r="AE42" s="5" t="str">
        <f>VLOOKUP($A42,'SegEnds_NonXtal_Prot#'!$A:$AL,8,FALSE)</f>
        <v>-</v>
      </c>
      <c r="AF42" s="5">
        <f>VLOOKUP($A42,'SegEnds_NonXtal_Prot#'!$A:$AL,11,FALSE)</f>
        <v>220</v>
      </c>
      <c r="AG42" s="5" t="str">
        <f>VLOOKUP($A42,'SegEnds_NonXtal_Prot#'!$A:$AL,14,FALSE)</f>
        <v>-</v>
      </c>
      <c r="AH42" s="5">
        <f>VLOOKUP($A42,'SegEnds_NonXtal_Prot#'!$A:$AL,17,FALSE)</f>
        <v>262</v>
      </c>
      <c r="AI42" s="5">
        <f>VLOOKUP($A42,'SegEnds_NonXtal_Prot#'!$A:$AL,20,FALSE)</f>
        <v>269</v>
      </c>
      <c r="AJ42" s="5">
        <f>VLOOKUP($A42,'SegEnds_NonXtal_Prot#'!$A:$AL,23,FALSE)</f>
        <v>296</v>
      </c>
      <c r="AK42" s="5" t="str">
        <f>VLOOKUP($A42,'SegEnds_NonXtal_Prot#'!$A:$AL,26,FALSE)</f>
        <v>-</v>
      </c>
      <c r="AL42" s="5">
        <f>VLOOKUP($A42,'SegEnds_NonXtal_Prot#'!$A:$AL,29,FALSE)</f>
        <v>342</v>
      </c>
      <c r="AM42" s="5">
        <f>VLOOKUP($A42,'SegEnds_NonXtal_Prot#'!$A:$AL,32,FALSE)</f>
        <v>383</v>
      </c>
      <c r="AN42" s="5">
        <f>VLOOKUP($A42,'SegEnds_NonXtal_Prot#'!$A:$AL,35,FALSE)</f>
        <v>417</v>
      </c>
      <c r="AO42" s="5">
        <f>VLOOKUP($A42,'SegEnds_NonXtal_Prot#'!$A:$AL,38,FALSE)</f>
        <v>429</v>
      </c>
      <c r="AP42" s="5">
        <f t="shared" si="13"/>
        <v>28</v>
      </c>
      <c r="AQ42" s="4" t="str">
        <f t="shared" si="14"/>
        <v>-</v>
      </c>
      <c r="AR42" s="4">
        <f t="shared" si="15"/>
        <v>30</v>
      </c>
      <c r="AS42" s="4" t="str">
        <f t="shared" si="16"/>
        <v>-</v>
      </c>
      <c r="AT42" s="4">
        <f t="shared" si="17"/>
        <v>38</v>
      </c>
      <c r="AU42" s="4">
        <f t="shared" si="18"/>
        <v>6</v>
      </c>
      <c r="AV42" s="4">
        <f t="shared" si="19"/>
        <v>26</v>
      </c>
      <c r="AW42" s="4" t="str">
        <f t="shared" si="20"/>
        <v>-</v>
      </c>
      <c r="AX42" s="4">
        <f t="shared" si="21"/>
        <v>32</v>
      </c>
      <c r="AY42" s="4">
        <f t="shared" si="22"/>
        <v>35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gp151_human</v>
      </c>
      <c r="B43" s="1" t="str">
        <f t="shared" si="0"/>
        <v>TIIPALLVAVCLVGFVGNLCVIGILLHNSMIHSLILNLSLADLSLLLFSAPIRATAYSGWFVCKSSDWFIHTCMAAKSLTIVVVAKVCFMYASDHNYTIWSVLVAIWTVASLLPLPEWFFSVAEEFMSMFGKLYPLLAFGLPLFFASFYFWRAYDQCKKRNLRNQIRSKQVTVMLLSIAIISALLWLPEWVAWLWVWHLPAPPQGFIALSQVLMFSISSANPLIFLVMSEEFREGLKGVWKWM</v>
      </c>
      <c r="C43" s="29" t="str">
        <f>IF(ISERROR(MATCH(A43,'SegEnds_Xtal_Prot#'!B:B, 0)), "NoXtal", "Xtal")</f>
        <v>NoXtal</v>
      </c>
      <c r="D43" s="4" t="str">
        <f>VLOOKUP(A43,Classification!A:D,2,FALSE)</f>
        <v>A</v>
      </c>
      <c r="E43" s="5" t="str">
        <f>VLOOKUP(A43,Seqs!A:B,2,FALSE)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3" s="5" t="str">
        <f t="shared" si="1"/>
        <v>TIIPALLVAVCLVGFVGNLCVIGILLHN</v>
      </c>
      <c r="G43" s="4" t="str">
        <f t="shared" si="2"/>
        <v/>
      </c>
      <c r="H43" s="4" t="str">
        <f t="shared" si="3"/>
        <v>SMIHSLILNLSLADLSLLLFSAPIRATAYS</v>
      </c>
      <c r="I43" s="4" t="str">
        <f t="shared" si="4"/>
        <v>VWDL</v>
      </c>
      <c r="J43" s="4" t="str">
        <f t="shared" si="5"/>
        <v>GWFVCKSSDWFIHTCMAAKSLTIVVVAKVCFMYASD</v>
      </c>
      <c r="K43" s="4" t="str">
        <f t="shared" si="6"/>
        <v>PAKQVSI</v>
      </c>
      <c r="L43" s="4" t="str">
        <f t="shared" si="7"/>
        <v>HNYTIWSVLVAIWTVASLLPLPEWFFS</v>
      </c>
      <c r="M43" s="4" t="str">
        <f t="shared" si="8"/>
        <v>CLV</v>
      </c>
      <c r="N43" s="4" t="str">
        <f t="shared" si="9"/>
        <v>VAEEFMSMFGKLYPLLAFGLPLFFASFYFWRAYDQCKKR</v>
      </c>
      <c r="O43" s="4" t="str">
        <f t="shared" si="10"/>
        <v>NLRNQIRSKQVTVMLLSIAIISALLWLPEWVAWLWVWHL</v>
      </c>
      <c r="P43" s="4" t="str">
        <f t="shared" si="11"/>
        <v>PAPPQGFIALSQVLMFSISSANPLIFLVM</v>
      </c>
      <c r="Q43" s="4" t="str">
        <f t="shared" si="12"/>
        <v>SEEFREGLKGVWKWM</v>
      </c>
      <c r="R43" s="5">
        <f>VLOOKUP($A43,'SegEnds_NonXtal_Prot#'!$A:$AL,3,FALSE)</f>
        <v>37</v>
      </c>
      <c r="S43" s="5" t="str">
        <f>VLOOKUP($A43,'SegEnds_NonXtal_Prot#'!$A:$AL,6,FALSE)</f>
        <v>-</v>
      </c>
      <c r="T43" s="5">
        <f>VLOOKUP($A43,'SegEnds_NonXtal_Prot#'!$A:$AL,9,FALSE)</f>
        <v>71</v>
      </c>
      <c r="U43" s="5">
        <f>VLOOKUP($A43,'SegEnds_NonXtal_Prot#'!$A:$AL,12,FALSE)</f>
        <v>103</v>
      </c>
      <c r="V43" s="5">
        <f>VLOOKUP($A43,'SegEnds_NonXtal_Prot#'!$A:$AL,15,FALSE)</f>
        <v>107</v>
      </c>
      <c r="W43" s="5">
        <f>VLOOKUP($A43,'SegEnds_NonXtal_Prot#'!$A:$AL,18,FALSE)</f>
        <v>143</v>
      </c>
      <c r="X43" s="5">
        <f>VLOOKUP($A43,'SegEnds_NonXtal_Prot#'!$A:$AL,21,FALSE)</f>
        <v>150</v>
      </c>
      <c r="Y43" s="5">
        <f>VLOOKUP($A43,'SegEnds_NonXtal_Prot#'!$A:$AL,24,FALSE)</f>
        <v>187</v>
      </c>
      <c r="Z43" s="5">
        <f>VLOOKUP($A43,'SegEnds_NonXtal_Prot#'!$A:$AL,27,FALSE)</f>
        <v>194</v>
      </c>
      <c r="AA43" s="5">
        <f>VLOOKUP($A43,'SegEnds_NonXtal_Prot#'!$A:$AL,30,FALSE)</f>
        <v>238</v>
      </c>
      <c r="AB43" s="5">
        <f>VLOOKUP($A43,'SegEnds_NonXtal_Prot#'!$A:$AL,33,FALSE)</f>
        <v>281</v>
      </c>
      <c r="AC43" s="5">
        <f>VLOOKUP($A43,'SegEnds_NonXtal_Prot#'!$A:$AL,36,FALSE)</f>
        <v>310</v>
      </c>
      <c r="AD43" s="5">
        <f>VLOOKUP($A43,'SegEnds_NonXtal_Prot#'!$A:$AL,5,FALSE)</f>
        <v>64</v>
      </c>
      <c r="AE43" s="5" t="str">
        <f>VLOOKUP($A43,'SegEnds_NonXtal_Prot#'!$A:$AL,8,FALSE)</f>
        <v>-</v>
      </c>
      <c r="AF43" s="5">
        <f>VLOOKUP($A43,'SegEnds_NonXtal_Prot#'!$A:$AL,11,FALSE)</f>
        <v>100</v>
      </c>
      <c r="AG43" s="5">
        <f>VLOOKUP($A43,'SegEnds_NonXtal_Prot#'!$A:$AL,14,FALSE)</f>
        <v>106</v>
      </c>
      <c r="AH43" s="5">
        <f>VLOOKUP($A43,'SegEnds_NonXtal_Prot#'!$A:$AL,17,FALSE)</f>
        <v>142</v>
      </c>
      <c r="AI43" s="5">
        <f>VLOOKUP($A43,'SegEnds_NonXtal_Prot#'!$A:$AL,20,FALSE)</f>
        <v>149</v>
      </c>
      <c r="AJ43" s="5">
        <f>VLOOKUP($A43,'SegEnds_NonXtal_Prot#'!$A:$AL,23,FALSE)</f>
        <v>176</v>
      </c>
      <c r="AK43" s="5">
        <f>VLOOKUP($A43,'SegEnds_NonXtal_Prot#'!$A:$AL,26,FALSE)</f>
        <v>189</v>
      </c>
      <c r="AL43" s="5">
        <f>VLOOKUP($A43,'SegEnds_NonXtal_Prot#'!$A:$AL,29,FALSE)</f>
        <v>232</v>
      </c>
      <c r="AM43" s="5">
        <f>VLOOKUP($A43,'SegEnds_NonXtal_Prot#'!$A:$AL,32,FALSE)</f>
        <v>276</v>
      </c>
      <c r="AN43" s="5">
        <f>VLOOKUP($A43,'SegEnds_NonXtal_Prot#'!$A:$AL,35,FALSE)</f>
        <v>309</v>
      </c>
      <c r="AO43" s="5">
        <f>VLOOKUP($A43,'SegEnds_NonXtal_Prot#'!$A:$AL,38,FALSE)</f>
        <v>324</v>
      </c>
      <c r="AP43" s="5">
        <f t="shared" si="13"/>
        <v>27</v>
      </c>
      <c r="AQ43" s="4" t="str">
        <f t="shared" si="14"/>
        <v>-</v>
      </c>
      <c r="AR43" s="4">
        <f t="shared" si="15"/>
        <v>29</v>
      </c>
      <c r="AS43" s="4">
        <f t="shared" si="16"/>
        <v>3</v>
      </c>
      <c r="AT43" s="4">
        <f t="shared" si="17"/>
        <v>35</v>
      </c>
      <c r="AU43" s="4">
        <f t="shared" si="18"/>
        <v>6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38</v>
      </c>
      <c r="AZ43" s="4">
        <f t="shared" si="23"/>
        <v>28</v>
      </c>
      <c r="BA43" s="4">
        <f t="shared" si="24"/>
        <v>14</v>
      </c>
    </row>
    <row r="44" spans="1:53" x14ac:dyDescent="0.2">
      <c r="A44" s="1" t="str">
        <f>'SegEnds_NonXtal_Prot#'!A8</f>
        <v>gp174_human</v>
      </c>
      <c r="B44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44" s="5" t="str">
        <f t="shared" si="1"/>
        <v>FRYFIYAVTYTVILVPGLIGNILALWVFYGY</v>
      </c>
      <c r="G44" s="4" t="str">
        <f t="shared" si="2"/>
        <v/>
      </c>
      <c r="H44" s="4" t="str">
        <f t="shared" si="3"/>
        <v>KRAVIFMINLAIADLLQVLSLPLRIFYYLN</v>
      </c>
      <c r="I44" s="4" t="str">
        <f t="shared" si="4"/>
        <v>DWPF</v>
      </c>
      <c r="J44" s="4" t="str">
        <f t="shared" si="5"/>
        <v>GPGLCMFCFYLKYVNMYASIYFLVCISVRRFWFLMY</v>
      </c>
      <c r="K44" s="4" t="str">
        <f t="shared" si="6"/>
        <v>PFRFHDC</v>
      </c>
      <c r="L44" s="4" t="str">
        <f t="shared" si="7"/>
        <v>KQKYDLYISIAGWLIICLACVLFPLLR</v>
      </c>
      <c r="M44" s="4" t="str">
        <f t="shared" si="8"/>
        <v>CFV</v>
      </c>
      <c r="N44" s="4" t="str">
        <f t="shared" si="9"/>
        <v>LAQSVVMMTIGELIGFVTPLLIVLYCTWKTVLSLQDK</v>
      </c>
      <c r="O44" s="4" t="str">
        <f t="shared" si="10"/>
        <v>AQDLGEKQKALKMILTCAGVFLICFAPYHFSFPLDFLVKSN</v>
      </c>
      <c r="P44" s="4" t="str">
        <f t="shared" si="11"/>
        <v>SCLARRVILIFHSVALCLASLNSCLDPVIYYFS</v>
      </c>
      <c r="Q44" s="4" t="str">
        <f t="shared" si="12"/>
        <v>TNEFRRRLSRQDL</v>
      </c>
      <c r="R44" s="5">
        <f>VLOOKUP($A44,'SegEnds_NonXtal_Prot#'!$A:$AL,3,FALSE)</f>
        <v>17</v>
      </c>
      <c r="S44" s="5" t="str">
        <f>VLOOKUP($A44,'SegEnds_NonXtal_Prot#'!$A:$AL,6,FALSE)</f>
        <v>-</v>
      </c>
      <c r="T44" s="5">
        <f>VLOOKUP($A44,'SegEnds_NonXtal_Prot#'!$A:$AL,9,FALSE)</f>
        <v>52</v>
      </c>
      <c r="U44" s="5">
        <f>VLOOKUP($A44,'SegEnds_NonXtal_Prot#'!$A:$AL,12,FALSE)</f>
        <v>83</v>
      </c>
      <c r="V44" s="5">
        <f>VLOOKUP($A44,'SegEnds_NonXtal_Prot#'!$A:$AL,15,FALSE)</f>
        <v>87</v>
      </c>
      <c r="W44" s="5">
        <f>VLOOKUP($A44,'SegEnds_NonXtal_Prot#'!$A:$AL,18,FALSE)</f>
        <v>123</v>
      </c>
      <c r="X44" s="5">
        <f>VLOOKUP($A44,'SegEnds_NonXtal_Prot#'!$A:$AL,21,FALSE)</f>
        <v>130</v>
      </c>
      <c r="Y44" s="5">
        <f>VLOOKUP($A44,'SegEnds_NonXtal_Prot#'!$A:$AL,24,FALSE)</f>
        <v>168</v>
      </c>
      <c r="Z44" s="5">
        <f>VLOOKUP($A44,'SegEnds_NonXtal_Prot#'!$A:$AL,27,FALSE)</f>
        <v>179</v>
      </c>
      <c r="AA44" s="5">
        <f>VLOOKUP($A44,'SegEnds_NonXtal_Prot#'!$A:$AL,30,FALSE)</f>
        <v>219</v>
      </c>
      <c r="AB44" s="5">
        <f>VLOOKUP($A44,'SegEnds_NonXtal_Prot#'!$A:$AL,33,FALSE)</f>
        <v>263</v>
      </c>
      <c r="AC44" s="5">
        <f>VLOOKUP($A44,'SegEnds_NonXtal_Prot#'!$A:$AL,36,FALSE)</f>
        <v>296</v>
      </c>
      <c r="AD44" s="5">
        <f>VLOOKUP($A44,'SegEnds_NonXtal_Prot#'!$A:$AL,5,FALSE)</f>
        <v>47</v>
      </c>
      <c r="AE44" s="5" t="str">
        <f>VLOOKUP($A44,'SegEnds_NonXtal_Prot#'!$A:$AL,8,FALSE)</f>
        <v>-</v>
      </c>
      <c r="AF44" s="5">
        <f>VLOOKUP($A44,'SegEnds_NonXtal_Prot#'!$A:$AL,11,FALSE)</f>
        <v>81</v>
      </c>
      <c r="AG44" s="5">
        <f>VLOOKUP($A44,'SegEnds_NonXtal_Prot#'!$A:$AL,14,FALSE)</f>
        <v>86</v>
      </c>
      <c r="AH44" s="5">
        <f>VLOOKUP($A44,'SegEnds_NonXtal_Prot#'!$A:$AL,17,FALSE)</f>
        <v>122</v>
      </c>
      <c r="AI44" s="5">
        <f>VLOOKUP($A44,'SegEnds_NonXtal_Prot#'!$A:$AL,20,FALSE)</f>
        <v>129</v>
      </c>
      <c r="AJ44" s="5">
        <f>VLOOKUP($A44,'SegEnds_NonXtal_Prot#'!$A:$AL,23,FALSE)</f>
        <v>156</v>
      </c>
      <c r="AK44" s="5">
        <f>VLOOKUP($A44,'SegEnds_NonXtal_Prot#'!$A:$AL,26,FALSE)</f>
        <v>170</v>
      </c>
      <c r="AL44" s="5">
        <f>VLOOKUP($A44,'SegEnds_NonXtal_Prot#'!$A:$AL,29,FALSE)</f>
        <v>215</v>
      </c>
      <c r="AM44" s="5">
        <f>VLOOKUP($A44,'SegEnds_NonXtal_Prot#'!$A:$AL,32,FALSE)</f>
        <v>259</v>
      </c>
      <c r="AN44" s="5">
        <f>VLOOKUP($A44,'SegEnds_NonXtal_Prot#'!$A:$AL,35,FALSE)</f>
        <v>295</v>
      </c>
      <c r="AO44" s="5">
        <f>VLOOKUP($A44,'SegEnds_NonXtal_Prot#'!$A:$AL,38,FALSE)</f>
        <v>308</v>
      </c>
      <c r="AP44" s="5">
        <f t="shared" si="13"/>
        <v>30</v>
      </c>
      <c r="AQ44" s="4" t="str">
        <f t="shared" si="14"/>
        <v>-</v>
      </c>
      <c r="AR44" s="4">
        <f t="shared" si="15"/>
        <v>29</v>
      </c>
      <c r="AS44" s="4">
        <f t="shared" si="16"/>
        <v>3</v>
      </c>
      <c r="AT44" s="4">
        <f t="shared" si="17"/>
        <v>35</v>
      </c>
      <c r="AU44" s="4">
        <f t="shared" si="18"/>
        <v>6</v>
      </c>
      <c r="AV44" s="4">
        <f t="shared" si="19"/>
        <v>26</v>
      </c>
      <c r="AW44" s="4">
        <f t="shared" si="20"/>
        <v>2</v>
      </c>
      <c r="AX44" s="4">
        <f t="shared" si="21"/>
        <v>36</v>
      </c>
      <c r="AY44" s="4">
        <f t="shared" si="22"/>
        <v>40</v>
      </c>
      <c r="AZ44" s="4">
        <f t="shared" si="23"/>
        <v>32</v>
      </c>
      <c r="BA44" s="4">
        <f t="shared" si="24"/>
        <v>12</v>
      </c>
    </row>
    <row r="45" spans="1:53" x14ac:dyDescent="0.2">
      <c r="A45" s="1" t="str">
        <f>'SegEnds_NonXtal_Prot#'!A9</f>
        <v>lpar1_human</v>
      </c>
      <c r="B45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45" s="5" t="str">
        <f t="shared" si="1"/>
        <v>TVSKLVMGLGITVCIFIMLANLLVMVAIYVN</v>
      </c>
      <c r="G45" s="4" t="str">
        <f t="shared" si="2"/>
        <v>RRFH</v>
      </c>
      <c r="H45" s="4" t="str">
        <f t="shared" si="3"/>
        <v>FPIYYLMANLAAADFFAGLAYFYLMFN</v>
      </c>
      <c r="I45" s="4" t="str">
        <f t="shared" si="4"/>
        <v>GPNTRRL</v>
      </c>
      <c r="J45" s="4" t="str">
        <f t="shared" si="5"/>
        <v>TVSTWLLRQGLIDTSLTASVANLLAIAIERHITVFR</v>
      </c>
      <c r="K45" s="4" t="str">
        <f t="shared" si="6"/>
        <v>MQLHTRM</v>
      </c>
      <c r="L45" s="4" t="str">
        <f t="shared" si="7"/>
        <v>SNRRVVVVIVVIWTMAIVMGAIPSVG</v>
      </c>
      <c r="M45" s="4" t="str">
        <f t="shared" si="8"/>
        <v/>
      </c>
      <c r="N45" s="4" t="str">
        <f t="shared" si="9"/>
        <v>SDSYLVFWAIFNLVTFVVMVVLYAHIFGYVRQRTMRMS</v>
      </c>
      <c r="O45" s="4" t="str">
        <f t="shared" si="10"/>
        <v>GPRRNRDTMMSLLKTVVIVLGAFIICWTPGLVLLLLDVCC</v>
      </c>
      <c r="P45" s="4" t="str">
        <f t="shared" si="11"/>
        <v>DVLAYEKFFLLLAEFNSAMNPIIYSYR</v>
      </c>
      <c r="Q45" s="4" t="str">
        <f t="shared" si="12"/>
        <v>DKEMSATFRQILC</v>
      </c>
      <c r="R45" s="5">
        <f>VLOOKUP($A45,'SegEnds_NonXtal_Prot#'!$A:$AL,3,FALSE)</f>
        <v>47</v>
      </c>
      <c r="S45" s="5">
        <f>VLOOKUP($A45,'SegEnds_NonXtal_Prot#'!$A:$AL,6,FALSE)</f>
        <v>78</v>
      </c>
      <c r="T45" s="5">
        <f>VLOOKUP($A45,'SegEnds_NonXtal_Prot#'!$A:$AL,9,FALSE)</f>
        <v>82</v>
      </c>
      <c r="U45" s="5">
        <f>VLOOKUP($A45,'SegEnds_NonXtal_Prot#'!$A:$AL,12,FALSE)</f>
        <v>110</v>
      </c>
      <c r="V45" s="5">
        <f>VLOOKUP($A45,'SegEnds_NonXtal_Prot#'!$A:$AL,15,FALSE)</f>
        <v>117</v>
      </c>
      <c r="W45" s="5">
        <f>VLOOKUP($A45,'SegEnds_NonXtal_Prot#'!$A:$AL,18,FALSE)</f>
        <v>153</v>
      </c>
      <c r="X45" s="5">
        <f>VLOOKUP($A45,'SegEnds_NonXtal_Prot#'!$A:$AL,21,FALSE)</f>
        <v>160</v>
      </c>
      <c r="Y45" s="5" t="str">
        <f>VLOOKUP($A45,'SegEnds_NonXtal_Prot#'!$A:$AL,24,FALSE)</f>
        <v>-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288</v>
      </c>
      <c r="AC45" s="5">
        <f>VLOOKUP($A45,'SegEnds_NonXtal_Prot#'!$A:$AL,36,FALSE)</f>
        <v>315</v>
      </c>
      <c r="AD45" s="5">
        <f>VLOOKUP($A45,'SegEnds_NonXtal_Prot#'!$A:$AL,5,FALSE)</f>
        <v>77</v>
      </c>
      <c r="AE45" s="5">
        <f>VLOOKUP($A45,'SegEnds_NonXtal_Prot#'!$A:$AL,8,FALSE)</f>
        <v>81</v>
      </c>
      <c r="AF45" s="5">
        <f>VLOOKUP($A45,'SegEnds_NonXtal_Prot#'!$A:$AL,11,FALSE)</f>
        <v>108</v>
      </c>
      <c r="AG45" s="5">
        <f>VLOOKUP($A45,'SegEnds_NonXtal_Prot#'!$A:$AL,14,FALSE)</f>
        <v>116</v>
      </c>
      <c r="AH45" s="5">
        <f>VLOOKUP($A45,'SegEnds_NonXtal_Prot#'!$A:$AL,17,FALSE)</f>
        <v>152</v>
      </c>
      <c r="AI45" s="5">
        <f>VLOOKUP($A45,'SegEnds_NonXtal_Prot#'!$A:$AL,20,FALSE)</f>
        <v>159</v>
      </c>
      <c r="AJ45" s="5">
        <f>VLOOKUP($A45,'SegEnds_NonXtal_Prot#'!$A:$AL,23,FALSE)</f>
        <v>185</v>
      </c>
      <c r="AK45" s="5" t="str">
        <f>VLOOKUP($A45,'SegEnds_NonXtal_Prot#'!$A:$AL,26,FALSE)</f>
        <v>-</v>
      </c>
      <c r="AL45" s="5">
        <f>VLOOKUP($A45,'SegEnds_NonXtal_Prot#'!$A:$AL,29,FALSE)</f>
        <v>240</v>
      </c>
      <c r="AM45" s="5">
        <f>VLOOKUP($A45,'SegEnds_NonXtal_Prot#'!$A:$AL,32,FALSE)</f>
        <v>284</v>
      </c>
      <c r="AN45" s="5">
        <f>VLOOKUP($A45,'SegEnds_NonXtal_Prot#'!$A:$AL,35,FALSE)</f>
        <v>314</v>
      </c>
      <c r="AO45" s="5">
        <f>VLOOKUP($A45,'SegEnds_NonXtal_Prot#'!$A:$AL,38,FALSE)</f>
        <v>327</v>
      </c>
      <c r="AP45" s="5">
        <f t="shared" si="13"/>
        <v>30</v>
      </c>
      <c r="AQ45" s="4">
        <f t="shared" si="14"/>
        <v>3</v>
      </c>
      <c r="AR45" s="4">
        <f t="shared" si="15"/>
        <v>26</v>
      </c>
      <c r="AS45" s="4">
        <f t="shared" si="16"/>
        <v>6</v>
      </c>
      <c r="AT45" s="4">
        <f t="shared" si="17"/>
        <v>35</v>
      </c>
      <c r="AU45" s="4">
        <f t="shared" si="18"/>
        <v>6</v>
      </c>
      <c r="AV45" s="4">
        <f t="shared" si="19"/>
        <v>25</v>
      </c>
      <c r="AW45" s="4" t="str">
        <f t="shared" si="20"/>
        <v>-</v>
      </c>
      <c r="AX45" s="4">
        <f t="shared" si="21"/>
        <v>37</v>
      </c>
      <c r="AY45" s="4">
        <f t="shared" si="22"/>
        <v>39</v>
      </c>
      <c r="AZ45" s="4">
        <f t="shared" si="23"/>
        <v>26</v>
      </c>
      <c r="BA45" s="4">
        <f t="shared" si="24"/>
        <v>12</v>
      </c>
    </row>
    <row r="46" spans="1:53" x14ac:dyDescent="0.2">
      <c r="A46" s="1" t="str">
        <f>'SegEnds_NonXtal_Prot#'!A10</f>
        <v>lpar2_human</v>
      </c>
      <c r="B46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46" s="5" t="str">
        <f t="shared" si="1"/>
        <v>PKDVVVVALGLTVSVLVLLTNLLVIAAIASN</v>
      </c>
      <c r="G46" s="4" t="str">
        <f t="shared" si="2"/>
        <v>RRFH</v>
      </c>
      <c r="H46" s="4" t="str">
        <f t="shared" si="3"/>
        <v>QPIYYLLGNLAAADLFAGVAYLFLMFH</v>
      </c>
      <c r="I46" s="4" t="str">
        <f t="shared" si="4"/>
        <v>GPRTARL</v>
      </c>
      <c r="J46" s="4" t="str">
        <f t="shared" si="5"/>
        <v>SLEGWFLRQGLLDTSLTASVATLLAIAVERHRSVMA</v>
      </c>
      <c r="K46" s="4" t="str">
        <f t="shared" si="6"/>
        <v>VQLHSRL</v>
      </c>
      <c r="L46" s="4" t="str">
        <f t="shared" si="7"/>
        <v>PRGRVVMLIVGVWVAALGLGLLPAHS</v>
      </c>
      <c r="M46" s="4" t="str">
        <f t="shared" si="8"/>
        <v/>
      </c>
      <c r="N46" s="4" t="str">
        <f t="shared" si="9"/>
        <v>SRSYLAVWALSSLLVFLLMVAVYTRIFFYVRRRVQRMA</v>
      </c>
      <c r="O46" s="4" t="str">
        <f t="shared" si="10"/>
        <v>CHPRYRETTLSLVKTVVIILGAFVVCWTPGQVVLLLDGLG</v>
      </c>
      <c r="P46" s="4" t="str">
        <f t="shared" si="11"/>
        <v>NVLAVEKYFLLLAEANSLVNAAVYSCR</v>
      </c>
      <c r="Q46" s="4" t="str">
        <f t="shared" si="12"/>
        <v>DAEMRRTFRRLLC</v>
      </c>
      <c r="R46" s="5">
        <f>VLOOKUP($A46,'SegEnds_NonXtal_Prot#'!$A:$AL,3,FALSE)</f>
        <v>30</v>
      </c>
      <c r="S46" s="5">
        <f>VLOOKUP($A46,'SegEnds_NonXtal_Prot#'!$A:$AL,6,FALSE)</f>
        <v>61</v>
      </c>
      <c r="T46" s="5">
        <f>VLOOKUP($A46,'SegEnds_NonXtal_Prot#'!$A:$AL,9,FALSE)</f>
        <v>65</v>
      </c>
      <c r="U46" s="5">
        <f>VLOOKUP($A46,'SegEnds_NonXtal_Prot#'!$A:$AL,12,FALSE)</f>
        <v>93</v>
      </c>
      <c r="V46" s="5">
        <f>VLOOKUP($A46,'SegEnds_NonXtal_Prot#'!$A:$AL,15,FALSE)</f>
        <v>100</v>
      </c>
      <c r="W46" s="5">
        <f>VLOOKUP($A46,'SegEnds_NonXtal_Prot#'!$A:$AL,18,FALSE)</f>
        <v>136</v>
      </c>
      <c r="X46" s="5">
        <f>VLOOKUP($A46,'SegEnds_NonXtal_Prot#'!$A:$AL,21,FALSE)</f>
        <v>143</v>
      </c>
      <c r="Y46" s="5" t="str">
        <f>VLOOKUP($A46,'SegEnds_NonXtal_Prot#'!$A:$AL,24,FALSE)</f>
        <v>-</v>
      </c>
      <c r="Z46" s="5">
        <f>VLOOKUP($A46,'SegEnds_NonXtal_Prot#'!$A:$AL,27,FALSE)</f>
        <v>186</v>
      </c>
      <c r="AA46" s="5">
        <f>VLOOKUP($A46,'SegEnds_NonXtal_Prot#'!$A:$AL,30,FALSE)</f>
        <v>228</v>
      </c>
      <c r="AB46" s="5">
        <f>VLOOKUP($A46,'SegEnds_NonXtal_Prot#'!$A:$AL,33,FALSE)</f>
        <v>272</v>
      </c>
      <c r="AC46" s="5">
        <f>VLOOKUP($A46,'SegEnds_NonXtal_Prot#'!$A:$AL,36,FALSE)</f>
        <v>299</v>
      </c>
      <c r="AD46" s="5">
        <f>VLOOKUP($A46,'SegEnds_NonXtal_Prot#'!$A:$AL,5,FALSE)</f>
        <v>60</v>
      </c>
      <c r="AE46" s="5">
        <f>VLOOKUP($A46,'SegEnds_NonXtal_Prot#'!$A:$AL,8,FALSE)</f>
        <v>64</v>
      </c>
      <c r="AF46" s="5">
        <f>VLOOKUP($A46,'SegEnds_NonXtal_Prot#'!$A:$AL,11,FALSE)</f>
        <v>91</v>
      </c>
      <c r="AG46" s="5">
        <f>VLOOKUP($A46,'SegEnds_NonXtal_Prot#'!$A:$AL,14,FALSE)</f>
        <v>99</v>
      </c>
      <c r="AH46" s="5">
        <f>VLOOKUP($A46,'SegEnds_NonXtal_Prot#'!$A:$AL,17,FALSE)</f>
        <v>135</v>
      </c>
      <c r="AI46" s="5">
        <f>VLOOKUP($A46,'SegEnds_NonXtal_Prot#'!$A:$AL,20,FALSE)</f>
        <v>142</v>
      </c>
      <c r="AJ46" s="5">
        <f>VLOOKUP($A46,'SegEnds_NonXtal_Prot#'!$A:$AL,23,FALSE)</f>
        <v>168</v>
      </c>
      <c r="AK46" s="5" t="str">
        <f>VLOOKUP($A46,'SegEnds_NonXtal_Prot#'!$A:$AL,26,FALSE)</f>
        <v>-</v>
      </c>
      <c r="AL46" s="5">
        <f>VLOOKUP($A46,'SegEnds_NonXtal_Prot#'!$A:$AL,29,FALSE)</f>
        <v>223</v>
      </c>
      <c r="AM46" s="5">
        <f>VLOOKUP($A46,'SegEnds_NonXtal_Prot#'!$A:$AL,32,FALSE)</f>
        <v>267</v>
      </c>
      <c r="AN46" s="5">
        <f>VLOOKUP($A46,'SegEnds_NonXtal_Prot#'!$A:$AL,35,FALSE)</f>
        <v>298</v>
      </c>
      <c r="AO46" s="5">
        <f>VLOOKUP($A46,'SegEnds_NonXtal_Prot#'!$A:$AL,38,FALSE)</f>
        <v>311</v>
      </c>
      <c r="AP46" s="5">
        <f t="shared" si="13"/>
        <v>30</v>
      </c>
      <c r="AQ46" s="4">
        <f t="shared" si="14"/>
        <v>3</v>
      </c>
      <c r="AR46" s="4">
        <f t="shared" si="15"/>
        <v>26</v>
      </c>
      <c r="AS46" s="4">
        <f t="shared" si="16"/>
        <v>6</v>
      </c>
      <c r="AT46" s="4">
        <f t="shared" si="17"/>
        <v>35</v>
      </c>
      <c r="AU46" s="4">
        <f t="shared" si="18"/>
        <v>6</v>
      </c>
      <c r="AV46" s="4">
        <f t="shared" si="19"/>
        <v>25</v>
      </c>
      <c r="AW46" s="4" t="str">
        <f t="shared" si="20"/>
        <v>-</v>
      </c>
      <c r="AX46" s="4">
        <f t="shared" si="21"/>
        <v>37</v>
      </c>
      <c r="AY46" s="4">
        <f t="shared" si="22"/>
        <v>39</v>
      </c>
      <c r="AZ46" s="4">
        <f t="shared" si="23"/>
        <v>26</v>
      </c>
      <c r="BA46" s="4">
        <f t="shared" si="24"/>
        <v>12</v>
      </c>
    </row>
    <row r="47" spans="1:53" x14ac:dyDescent="0.2">
      <c r="A47" s="1" t="str">
        <f>'SegEnds_NonXtal_Prot#'!A11</f>
        <v>lpar3_human</v>
      </c>
      <c r="B47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47" s="5" t="str">
        <f t="shared" si="1"/>
        <v>TKLVIVLCVGTFFCLFIFFSNSLVIAAVIKN</v>
      </c>
      <c r="G47" s="4" t="str">
        <f t="shared" si="2"/>
        <v>RKFH</v>
      </c>
      <c r="H47" s="4" t="str">
        <f t="shared" si="3"/>
        <v>FPFYYLLANLAAADFFAGIAYVFLMFN</v>
      </c>
      <c r="I47" s="4" t="str">
        <f t="shared" si="4"/>
        <v>GPVSKTL</v>
      </c>
      <c r="J47" s="4" t="str">
        <f t="shared" si="5"/>
        <v>TVNRWFLRQGLLDSSLTASLTNLLVIAVERHMSIMR</v>
      </c>
      <c r="K47" s="4" t="str">
        <f t="shared" si="6"/>
        <v>MRVHSNL</v>
      </c>
      <c r="L47" s="4" t="str">
        <f t="shared" si="7"/>
        <v>TKKRVTLLILLVWAIAIFMGAVPTLG</v>
      </c>
      <c r="M47" s="4" t="str">
        <f t="shared" si="8"/>
        <v/>
      </c>
      <c r="N47" s="4" t="str">
        <f t="shared" si="9"/>
        <v>SRSYLVFWTVSNLMAFLIMVVVYLRIYVYVKRKTNVLS</v>
      </c>
      <c r="O47" s="4" t="str">
        <f t="shared" si="10"/>
        <v>GSISRRRTPMKLMKTVMTVLGAFVVCWTPGLVVLLLDGLN</v>
      </c>
      <c r="P47" s="4" t="str">
        <f t="shared" si="11"/>
        <v>GVQHVKRWFLLLALLNSVVNPIIYSYK</v>
      </c>
      <c r="Q47" s="4" t="str">
        <f t="shared" si="12"/>
        <v>DEDMYGTMKKMIC</v>
      </c>
      <c r="R47" s="5">
        <f>VLOOKUP($A47,'SegEnds_NonXtal_Prot#'!$A:$AL,3,FALSE)</f>
        <v>28</v>
      </c>
      <c r="S47" s="5">
        <f>VLOOKUP($A47,'SegEnds_NonXtal_Prot#'!$A:$AL,6,FALSE)</f>
        <v>59</v>
      </c>
      <c r="T47" s="5">
        <f>VLOOKUP($A47,'SegEnds_NonXtal_Prot#'!$A:$AL,9,FALSE)</f>
        <v>63</v>
      </c>
      <c r="U47" s="5">
        <f>VLOOKUP($A47,'SegEnds_NonXtal_Prot#'!$A:$AL,12,FALSE)</f>
        <v>91</v>
      </c>
      <c r="V47" s="5">
        <f>VLOOKUP($A47,'SegEnds_NonXtal_Prot#'!$A:$AL,15,FALSE)</f>
        <v>98</v>
      </c>
      <c r="W47" s="5">
        <f>VLOOKUP($A47,'SegEnds_NonXtal_Prot#'!$A:$AL,18,FALSE)</f>
        <v>134</v>
      </c>
      <c r="X47" s="5">
        <f>VLOOKUP($A47,'SegEnds_NonXtal_Prot#'!$A:$AL,21,FALSE)</f>
        <v>141</v>
      </c>
      <c r="Y47" s="5" t="str">
        <f>VLOOKUP($A47,'SegEnds_NonXtal_Prot#'!$A:$AL,24,FALSE)</f>
        <v>-</v>
      </c>
      <c r="Z47" s="5">
        <f>VLOOKUP($A47,'SegEnds_NonXtal_Prot#'!$A:$AL,27,FALSE)</f>
        <v>184</v>
      </c>
      <c r="AA47" s="5">
        <f>VLOOKUP($A47,'SegEnds_NonXtal_Prot#'!$A:$AL,30,FALSE)</f>
        <v>226</v>
      </c>
      <c r="AB47" s="5">
        <f>VLOOKUP($A47,'SegEnds_NonXtal_Prot#'!$A:$AL,33,FALSE)</f>
        <v>270</v>
      </c>
      <c r="AC47" s="5">
        <f>VLOOKUP($A47,'SegEnds_NonXtal_Prot#'!$A:$AL,36,FALSE)</f>
        <v>297</v>
      </c>
      <c r="AD47" s="5">
        <f>VLOOKUP($A47,'SegEnds_NonXtal_Prot#'!$A:$AL,5,FALSE)</f>
        <v>58</v>
      </c>
      <c r="AE47" s="5">
        <f>VLOOKUP($A47,'SegEnds_NonXtal_Prot#'!$A:$AL,8,FALSE)</f>
        <v>62</v>
      </c>
      <c r="AF47" s="5">
        <f>VLOOKUP($A47,'SegEnds_NonXtal_Prot#'!$A:$AL,11,FALSE)</f>
        <v>89</v>
      </c>
      <c r="AG47" s="5">
        <f>VLOOKUP($A47,'SegEnds_NonXtal_Prot#'!$A:$AL,14,FALSE)</f>
        <v>97</v>
      </c>
      <c r="AH47" s="5">
        <f>VLOOKUP($A47,'SegEnds_NonXtal_Prot#'!$A:$AL,17,FALSE)</f>
        <v>133</v>
      </c>
      <c r="AI47" s="5">
        <f>VLOOKUP($A47,'SegEnds_NonXtal_Prot#'!$A:$AL,20,FALSE)</f>
        <v>140</v>
      </c>
      <c r="AJ47" s="5">
        <f>VLOOKUP($A47,'SegEnds_NonXtal_Prot#'!$A:$AL,23,FALSE)</f>
        <v>166</v>
      </c>
      <c r="AK47" s="5" t="str">
        <f>VLOOKUP($A47,'SegEnds_NonXtal_Prot#'!$A:$AL,26,FALSE)</f>
        <v>-</v>
      </c>
      <c r="AL47" s="5">
        <f>VLOOKUP($A47,'SegEnds_NonXtal_Prot#'!$A:$AL,29,FALSE)</f>
        <v>221</v>
      </c>
      <c r="AM47" s="5">
        <f>VLOOKUP($A47,'SegEnds_NonXtal_Prot#'!$A:$AL,32,FALSE)</f>
        <v>265</v>
      </c>
      <c r="AN47" s="5">
        <f>VLOOKUP($A47,'SegEnds_NonXtal_Prot#'!$A:$AL,35,FALSE)</f>
        <v>296</v>
      </c>
      <c r="AO47" s="5">
        <f>VLOOKUP($A47,'SegEnds_NonXtal_Prot#'!$A:$AL,38,FALSE)</f>
        <v>309</v>
      </c>
      <c r="AP47" s="5">
        <f t="shared" si="13"/>
        <v>30</v>
      </c>
      <c r="AQ47" s="4">
        <f t="shared" si="14"/>
        <v>3</v>
      </c>
      <c r="AR47" s="4">
        <f t="shared" si="15"/>
        <v>26</v>
      </c>
      <c r="AS47" s="4">
        <f t="shared" si="16"/>
        <v>6</v>
      </c>
      <c r="AT47" s="4">
        <f t="shared" si="17"/>
        <v>35</v>
      </c>
      <c r="AU47" s="4">
        <f t="shared" si="18"/>
        <v>6</v>
      </c>
      <c r="AV47" s="4">
        <f t="shared" si="19"/>
        <v>25</v>
      </c>
      <c r="AW47" s="4" t="str">
        <f t="shared" si="20"/>
        <v>-</v>
      </c>
      <c r="AX47" s="4">
        <f t="shared" si="21"/>
        <v>37</v>
      </c>
      <c r="AY47" s="4">
        <f t="shared" si="22"/>
        <v>39</v>
      </c>
      <c r="AZ47" s="4">
        <f t="shared" si="23"/>
        <v>26</v>
      </c>
      <c r="BA47" s="4">
        <f t="shared" si="24"/>
        <v>12</v>
      </c>
    </row>
    <row r="48" spans="1:53" x14ac:dyDescent="0.2">
      <c r="A48" s="1" t="str">
        <f>'SegEnds_NonXtal_Prot#'!A13</f>
        <v>opsb_human</v>
      </c>
      <c r="B48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48" s="5" t="str">
        <f t="shared" si="1"/>
        <v>VWAFYLQAAFMGTVFLIGFPLNAMVLVATLRY</v>
      </c>
      <c r="G48" s="4" t="str">
        <f t="shared" si="2"/>
        <v>KKLR</v>
      </c>
      <c r="H48" s="4" t="str">
        <f t="shared" si="3"/>
        <v>QPLNYILVNVSFGGFLLCIFSVFPVFVASCN</v>
      </c>
      <c r="I48" s="4" t="str">
        <f t="shared" si="4"/>
        <v>YFVF</v>
      </c>
      <c r="J48" s="4" t="str">
        <f t="shared" si="5"/>
        <v>GRHVCALEGFLGTVAGLVTGWSLAFLAFERYIVICK</v>
      </c>
      <c r="K48" s="4" t="str">
        <f t="shared" si="6"/>
        <v>PFGNFRF</v>
      </c>
      <c r="L48" s="4" t="str">
        <f t="shared" si="7"/>
        <v>SSKHALTVVLATWTIGIGVSIPPFF</v>
      </c>
      <c r="M48" s="4" t="str">
        <f t="shared" si="8"/>
        <v>CGP</v>
      </c>
      <c r="N48" s="4" t="str">
        <f t="shared" si="9"/>
        <v>RSESYTWFLFIFCFIVPLSLICFSYTQLLRALKAVAAQQ</v>
      </c>
      <c r="O48" s="4" t="str">
        <f t="shared" si="10"/>
        <v>ATTQKAEREVSRMVVVMVGSFCVCYVPYAAFAMYMVNN</v>
      </c>
      <c r="P48" s="4" t="str">
        <f t="shared" si="11"/>
        <v>DLRLVTIPSFFSKSACIYNPIIYCFM</v>
      </c>
      <c r="Q48" s="4" t="str">
        <f t="shared" si="12"/>
        <v>NKQFQACIMKMVC</v>
      </c>
      <c r="R48" s="5">
        <f>VLOOKUP($A48,'SegEnds_NonXtal_Prot#'!$A:$AL,3,FALSE)</f>
        <v>31</v>
      </c>
      <c r="S48" s="5">
        <f>VLOOKUP($A48,'SegEnds_NonXtal_Prot#'!$A:$AL,6,FALSE)</f>
        <v>63</v>
      </c>
      <c r="T48" s="5">
        <f>VLOOKUP($A48,'SegEnds_NonXtal_Prot#'!$A:$AL,9,FALSE)</f>
        <v>67</v>
      </c>
      <c r="U48" s="5">
        <f>VLOOKUP($A48,'SegEnds_NonXtal_Prot#'!$A:$AL,12,FALSE)</f>
        <v>99</v>
      </c>
      <c r="V48" s="5">
        <f>VLOOKUP($A48,'SegEnds_NonXtal_Prot#'!$A:$AL,15,FALSE)</f>
        <v>103</v>
      </c>
      <c r="W48" s="5">
        <f>VLOOKUP($A48,'SegEnds_NonXtal_Prot#'!$A:$AL,18,FALSE)</f>
        <v>139</v>
      </c>
      <c r="X48" s="5">
        <f>VLOOKUP($A48,'SegEnds_NonXtal_Prot#'!$A:$AL,21,FALSE)</f>
        <v>146</v>
      </c>
      <c r="Y48" s="5">
        <f>VLOOKUP($A48,'SegEnds_NonXtal_Prot#'!$A:$AL,24,FALSE)</f>
        <v>184</v>
      </c>
      <c r="Z48" s="5">
        <f>VLOOKUP($A48,'SegEnds_NonXtal_Prot#'!$A:$AL,27,FALSE)</f>
        <v>196</v>
      </c>
      <c r="AA48" s="5">
        <f>VLOOKUP($A48,'SegEnds_NonXtal_Prot#'!$A:$AL,30,FALSE)</f>
        <v>238</v>
      </c>
      <c r="AB48" s="5">
        <f>VLOOKUP($A48,'SegEnds_NonXtal_Prot#'!$A:$AL,33,FALSE)</f>
        <v>281</v>
      </c>
      <c r="AC48" s="5">
        <f>VLOOKUP($A48,'SegEnds_NonXtal_Prot#'!$A:$AL,36,FALSE)</f>
        <v>307</v>
      </c>
      <c r="AD48" s="5">
        <f>VLOOKUP($A48,'SegEnds_NonXtal_Prot#'!$A:$AL,5,FALSE)</f>
        <v>62</v>
      </c>
      <c r="AE48" s="5">
        <f>VLOOKUP($A48,'SegEnds_NonXtal_Prot#'!$A:$AL,8,FALSE)</f>
        <v>66</v>
      </c>
      <c r="AF48" s="5">
        <f>VLOOKUP($A48,'SegEnds_NonXtal_Prot#'!$A:$AL,11,FALSE)</f>
        <v>97</v>
      </c>
      <c r="AG48" s="5">
        <f>VLOOKUP($A48,'SegEnds_NonXtal_Prot#'!$A:$AL,14,FALSE)</f>
        <v>102</v>
      </c>
      <c r="AH48" s="5">
        <f>VLOOKUP($A48,'SegEnds_NonXtal_Prot#'!$A:$AL,17,FALSE)</f>
        <v>138</v>
      </c>
      <c r="AI48" s="5">
        <f>VLOOKUP($A48,'SegEnds_NonXtal_Prot#'!$A:$AL,20,FALSE)</f>
        <v>145</v>
      </c>
      <c r="AJ48" s="5">
        <f>VLOOKUP($A48,'SegEnds_NonXtal_Prot#'!$A:$AL,23,FALSE)</f>
        <v>170</v>
      </c>
      <c r="AK48" s="5">
        <f>VLOOKUP($A48,'SegEnds_NonXtal_Prot#'!$A:$AL,26,FALSE)</f>
        <v>186</v>
      </c>
      <c r="AL48" s="5">
        <f>VLOOKUP($A48,'SegEnds_NonXtal_Prot#'!$A:$AL,29,FALSE)</f>
        <v>234</v>
      </c>
      <c r="AM48" s="5">
        <f>VLOOKUP($A48,'SegEnds_NonXtal_Prot#'!$A:$AL,32,FALSE)</f>
        <v>275</v>
      </c>
      <c r="AN48" s="5">
        <f>VLOOKUP($A48,'SegEnds_NonXtal_Prot#'!$A:$AL,35,FALSE)</f>
        <v>306</v>
      </c>
      <c r="AO48" s="5">
        <f>VLOOKUP($A48,'SegEnds_NonXtal_Prot#'!$A:$AL,38,FALSE)</f>
        <v>319</v>
      </c>
      <c r="AP48" s="5">
        <f t="shared" si="13"/>
        <v>31</v>
      </c>
      <c r="AQ48" s="4">
        <f t="shared" si="14"/>
        <v>3</v>
      </c>
      <c r="AR48" s="4">
        <f t="shared" si="15"/>
        <v>30</v>
      </c>
      <c r="AS48" s="4">
        <f t="shared" si="16"/>
        <v>3</v>
      </c>
      <c r="AT48" s="4">
        <f t="shared" si="17"/>
        <v>35</v>
      </c>
      <c r="AU48" s="4">
        <f t="shared" si="18"/>
        <v>6</v>
      </c>
      <c r="AV48" s="4">
        <f t="shared" si="19"/>
        <v>24</v>
      </c>
      <c r="AW48" s="4">
        <f t="shared" si="20"/>
        <v>2</v>
      </c>
      <c r="AX48" s="4">
        <f t="shared" si="21"/>
        <v>38</v>
      </c>
      <c r="AY48" s="4">
        <f t="shared" si="22"/>
        <v>37</v>
      </c>
      <c r="AZ48" s="4">
        <f t="shared" si="23"/>
        <v>25</v>
      </c>
      <c r="BA48" s="4">
        <f t="shared" si="24"/>
        <v>12</v>
      </c>
    </row>
    <row r="49" spans="1:53" x14ac:dyDescent="0.2">
      <c r="A49" s="1" t="str">
        <f>'SegEnds_NonXtal_Prot#'!A14</f>
        <v>opsd_bovin</v>
      </c>
      <c r="B49" s="1" t="str">
        <f t="shared" si="0"/>
        <v>PWQFSMLAAYMFLLIMLGFPINFLTLYVTVQHTPLNYILLNLAVADLFMVFGGFTTTLYTSLHGPTGCNLEGFFATLGGEIALWSLVVLAIERYVVVCKGENHAIMGVAFTWVMALACAAPPLVNNESFVIYMFVVHFIIPLIVIFFCYGQLVFTVKEAAAQQATTQKAEKEVTRMVIIMVIAFLICWLPYAGVAFYIFTHGPIFMTIPAFFAKTSAVYNPVIYIMMNKQFRNCMVTTLC</v>
      </c>
      <c r="C49" s="29" t="str">
        <f>IF(ISERROR(MATCH(A49,'SegEnds_Xtal_Prot#'!B:B, 0)), "NoXtal", "Xtal")</f>
        <v>Xtal</v>
      </c>
      <c r="D49" s="4" t="str">
        <f>VLOOKUP(A49,Classification!A:D,2,FALSE)</f>
        <v>A</v>
      </c>
      <c r="E49" s="5" t="str">
        <f>VLOOKUP(A49,Seqs!A:B,2,FALSE)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49" s="5" t="str">
        <f t="shared" si="1"/>
        <v>PWQFSMLAAYMFLLIMLGFPINFLTLYVTVQH</v>
      </c>
      <c r="G49" s="4" t="str">
        <f t="shared" si="2"/>
        <v>KKLR</v>
      </c>
      <c r="H49" s="4" t="str">
        <f t="shared" si="3"/>
        <v>TPLNYILLNLAVADLFMVFGGFTTTLYTSLH</v>
      </c>
      <c r="I49" s="4" t="str">
        <f t="shared" si="4"/>
        <v>YFVF</v>
      </c>
      <c r="J49" s="4" t="str">
        <f t="shared" si="5"/>
        <v>GPTGCNLEGFFATLGGEIALWSLVVLAIERYVVVCK</v>
      </c>
      <c r="K49" s="4" t="str">
        <f t="shared" si="6"/>
        <v>PMSNFRF</v>
      </c>
      <c r="L49" s="4" t="str">
        <f t="shared" si="7"/>
        <v>GENHAIMGVAFTWVMALACAAPPLV</v>
      </c>
      <c r="M49" s="4" t="str">
        <f t="shared" si="8"/>
        <v>CGI</v>
      </c>
      <c r="N49" s="4" t="str">
        <f t="shared" si="9"/>
        <v>NNESFVIYMFVVHFIIPLIVIFFCYGQLVFTVKEAAAQQ</v>
      </c>
      <c r="O49" s="4" t="str">
        <f t="shared" si="10"/>
        <v>ATTQKAEKEVTRMVIIMVIAFLICWLPYAGVAFYIFTH</v>
      </c>
      <c r="P49" s="4" t="str">
        <f t="shared" si="11"/>
        <v>GPIFMTIPAFFAKTSAVYNPVIYIMM</v>
      </c>
      <c r="Q49" s="4" t="str">
        <f t="shared" si="12"/>
        <v>NKQFRNCMVTTLC</v>
      </c>
      <c r="R49" s="5">
        <f>VLOOKUP($A49,'SegEnds_NonXtal_Prot#'!$A:$AL,3,FALSE)</f>
        <v>34</v>
      </c>
      <c r="S49" s="5">
        <f>VLOOKUP($A49,'SegEnds_NonXtal_Prot#'!$A:$AL,6,FALSE)</f>
        <v>66</v>
      </c>
      <c r="T49" s="5">
        <f>VLOOKUP($A49,'SegEnds_NonXtal_Prot#'!$A:$AL,9,FALSE)</f>
        <v>70</v>
      </c>
      <c r="U49" s="5">
        <f>VLOOKUP($A49,'SegEnds_NonXtal_Prot#'!$A:$AL,12,FALSE)</f>
        <v>102</v>
      </c>
      <c r="V49" s="5">
        <f>VLOOKUP($A49,'SegEnds_NonXtal_Prot#'!$A:$AL,15,FALSE)</f>
        <v>106</v>
      </c>
      <c r="W49" s="5">
        <f>VLOOKUP($A49,'SegEnds_NonXtal_Prot#'!$A:$AL,18,FALSE)</f>
        <v>142</v>
      </c>
      <c r="X49" s="5">
        <f>VLOOKUP($A49,'SegEnds_NonXtal_Prot#'!$A:$AL,21,FALSE)</f>
        <v>149</v>
      </c>
      <c r="Y49" s="5">
        <f>VLOOKUP($A49,'SegEnds_NonXtal_Prot#'!$A:$AL,24,FALSE)</f>
        <v>187</v>
      </c>
      <c r="Z49" s="5">
        <f>VLOOKUP($A49,'SegEnds_NonXtal_Prot#'!$A:$AL,27,FALSE)</f>
        <v>199</v>
      </c>
      <c r="AA49" s="5">
        <f>VLOOKUP($A49,'SegEnds_NonXtal_Prot#'!$A:$AL,30,FALSE)</f>
        <v>241</v>
      </c>
      <c r="AB49" s="5">
        <f>VLOOKUP($A49,'SegEnds_NonXtal_Prot#'!$A:$AL,33,FALSE)</f>
        <v>284</v>
      </c>
      <c r="AC49" s="5">
        <f>VLOOKUP($A49,'SegEnds_NonXtal_Prot#'!$A:$AL,36,FALSE)</f>
        <v>310</v>
      </c>
      <c r="AD49" s="5">
        <f>VLOOKUP($A49,'SegEnds_NonXtal_Prot#'!$A:$AL,5,FALSE)</f>
        <v>65</v>
      </c>
      <c r="AE49" s="5">
        <f>VLOOKUP($A49,'SegEnds_NonXtal_Prot#'!$A:$AL,8,FALSE)</f>
        <v>69</v>
      </c>
      <c r="AF49" s="5">
        <f>VLOOKUP($A49,'SegEnds_NonXtal_Prot#'!$A:$AL,11,FALSE)</f>
        <v>100</v>
      </c>
      <c r="AG49" s="5">
        <f>VLOOKUP($A49,'SegEnds_NonXtal_Prot#'!$A:$AL,14,FALSE)</f>
        <v>105</v>
      </c>
      <c r="AH49" s="5">
        <f>VLOOKUP($A49,'SegEnds_NonXtal_Prot#'!$A:$AL,17,FALSE)</f>
        <v>141</v>
      </c>
      <c r="AI49" s="5">
        <f>VLOOKUP($A49,'SegEnds_NonXtal_Prot#'!$A:$AL,20,FALSE)</f>
        <v>148</v>
      </c>
      <c r="AJ49" s="5">
        <f>VLOOKUP($A49,'SegEnds_NonXtal_Prot#'!$A:$AL,23,FALSE)</f>
        <v>173</v>
      </c>
      <c r="AK49" s="5">
        <f>VLOOKUP($A49,'SegEnds_NonXtal_Prot#'!$A:$AL,26,FALSE)</f>
        <v>189</v>
      </c>
      <c r="AL49" s="5">
        <f>VLOOKUP($A49,'SegEnds_NonXtal_Prot#'!$A:$AL,29,FALSE)</f>
        <v>237</v>
      </c>
      <c r="AM49" s="5">
        <f>VLOOKUP($A49,'SegEnds_NonXtal_Prot#'!$A:$AL,32,FALSE)</f>
        <v>278</v>
      </c>
      <c r="AN49" s="5">
        <f>VLOOKUP($A49,'SegEnds_NonXtal_Prot#'!$A:$AL,35,FALSE)</f>
        <v>309</v>
      </c>
      <c r="AO49" s="5">
        <f>VLOOKUP($A49,'SegEnds_NonXtal_Prot#'!$A:$AL,38,FALSE)</f>
        <v>322</v>
      </c>
      <c r="AP49" s="5">
        <f t="shared" si="13"/>
        <v>31</v>
      </c>
      <c r="AQ49" s="4">
        <f t="shared" si="14"/>
        <v>3</v>
      </c>
      <c r="AR49" s="4">
        <f t="shared" si="15"/>
        <v>30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24</v>
      </c>
      <c r="AW49" s="4">
        <f t="shared" si="20"/>
        <v>2</v>
      </c>
      <c r="AX49" s="4">
        <f t="shared" si="21"/>
        <v>38</v>
      </c>
      <c r="AY49" s="4">
        <f t="shared" si="22"/>
        <v>37</v>
      </c>
      <c r="AZ49" s="4">
        <f t="shared" si="23"/>
        <v>25</v>
      </c>
      <c r="BA49" s="4">
        <f t="shared" si="24"/>
        <v>12</v>
      </c>
    </row>
    <row r="50" spans="1:53" x14ac:dyDescent="0.2">
      <c r="A50" s="1" t="str">
        <f>'SegEnds_NonXtal_Prot#'!A15</f>
        <v>opsd_human</v>
      </c>
      <c r="B50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0" s="29" t="str">
        <f>IF(ISERROR(MATCH(A50,'SegEnds_Xtal_Prot#'!B:B, 0)), "NoXtal", "Xtal")</f>
        <v>Xtal</v>
      </c>
      <c r="D50" s="4" t="str">
        <f>VLOOKUP(A50,Classification!A:D,2,FALSE)</f>
        <v>A</v>
      </c>
      <c r="E50" s="5" t="str">
        <f>VLOOKUP(A50,Seqs!A:B,2,FALSE)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0" s="5" t="str">
        <f t="shared" si="1"/>
        <v>PWQFSMLAAYMFLLIVLGFPINFLTLYVTVQH</v>
      </c>
      <c r="G50" s="4" t="str">
        <f t="shared" si="2"/>
        <v>KKLR</v>
      </c>
      <c r="H50" s="4" t="str">
        <f t="shared" si="3"/>
        <v>TPLNYILLNLAVADLFMVLGGFTSTLYTSLH</v>
      </c>
      <c r="I50" s="4" t="str">
        <f t="shared" si="4"/>
        <v>YFVF</v>
      </c>
      <c r="J50" s="4" t="str">
        <f t="shared" si="5"/>
        <v>GPTGCNLEGFFATLGGEIALWSLVVLAIERYVVVCK</v>
      </c>
      <c r="K50" s="4" t="str">
        <f t="shared" si="6"/>
        <v>PMSNFRF</v>
      </c>
      <c r="L50" s="4" t="str">
        <f t="shared" si="7"/>
        <v>GENHAIMGVAFTWVMALACAAPPLA</v>
      </c>
      <c r="M50" s="4" t="str">
        <f t="shared" si="8"/>
        <v>CGI</v>
      </c>
      <c r="N50" s="4" t="str">
        <f t="shared" si="9"/>
        <v>NNESFVIYMFVVHFTIPMIIIFFCYGQLVFTVKEAAAQQ</v>
      </c>
      <c r="O50" s="4" t="str">
        <f t="shared" si="10"/>
        <v>ATTQKAEKEVTRMVIIMVIAFLICWVPYASVAFYIFTH</v>
      </c>
      <c r="P50" s="4" t="str">
        <f t="shared" si="11"/>
        <v>GPIFMTIPAFFAKSAAIYNPVIYIMM</v>
      </c>
      <c r="Q50" s="4" t="str">
        <f t="shared" si="12"/>
        <v>NKQFRNCMLTTIC</v>
      </c>
      <c r="R50" s="5">
        <f>VLOOKUP($A50,'SegEnds_NonXtal_Prot#'!$A:$AL,3,FALSE)</f>
        <v>34</v>
      </c>
      <c r="S50" s="5">
        <f>VLOOKUP($A50,'SegEnds_NonXtal_Prot#'!$A:$AL,6,FALSE)</f>
        <v>66</v>
      </c>
      <c r="T50" s="5">
        <f>VLOOKUP($A50,'SegEnds_NonXtal_Prot#'!$A:$AL,9,FALSE)</f>
        <v>70</v>
      </c>
      <c r="U50" s="5">
        <f>VLOOKUP($A50,'SegEnds_NonXtal_Prot#'!$A:$AL,12,FALSE)</f>
        <v>102</v>
      </c>
      <c r="V50" s="5">
        <f>VLOOKUP($A50,'SegEnds_NonXtal_Prot#'!$A:$AL,15,FALSE)</f>
        <v>106</v>
      </c>
      <c r="W50" s="5">
        <f>VLOOKUP($A50,'SegEnds_NonXtal_Prot#'!$A:$AL,18,FALSE)</f>
        <v>142</v>
      </c>
      <c r="X50" s="5">
        <f>VLOOKUP($A50,'SegEnds_NonXtal_Prot#'!$A:$AL,21,FALSE)</f>
        <v>149</v>
      </c>
      <c r="Y50" s="5">
        <f>VLOOKUP($A50,'SegEnds_NonXtal_Prot#'!$A:$AL,24,FALSE)</f>
        <v>187</v>
      </c>
      <c r="Z50" s="5">
        <f>VLOOKUP($A50,'SegEnds_NonXtal_Prot#'!$A:$AL,27,FALSE)</f>
        <v>199</v>
      </c>
      <c r="AA50" s="5">
        <f>VLOOKUP($A50,'SegEnds_NonXtal_Prot#'!$A:$AL,30,FALSE)</f>
        <v>241</v>
      </c>
      <c r="AB50" s="5">
        <f>VLOOKUP($A50,'SegEnds_NonXtal_Prot#'!$A:$AL,33,FALSE)</f>
        <v>284</v>
      </c>
      <c r="AC50" s="5">
        <f>VLOOKUP($A50,'SegEnds_NonXtal_Prot#'!$A:$AL,36,FALSE)</f>
        <v>310</v>
      </c>
      <c r="AD50" s="5">
        <f>VLOOKUP($A50,'SegEnds_NonXtal_Prot#'!$A:$AL,5,FALSE)</f>
        <v>65</v>
      </c>
      <c r="AE50" s="5">
        <f>VLOOKUP($A50,'SegEnds_NonXtal_Prot#'!$A:$AL,8,FALSE)</f>
        <v>69</v>
      </c>
      <c r="AF50" s="5">
        <f>VLOOKUP($A50,'SegEnds_NonXtal_Prot#'!$A:$AL,11,FALSE)</f>
        <v>100</v>
      </c>
      <c r="AG50" s="5">
        <f>VLOOKUP($A50,'SegEnds_NonXtal_Prot#'!$A:$AL,14,FALSE)</f>
        <v>105</v>
      </c>
      <c r="AH50" s="5">
        <f>VLOOKUP($A50,'SegEnds_NonXtal_Prot#'!$A:$AL,17,FALSE)</f>
        <v>141</v>
      </c>
      <c r="AI50" s="5">
        <f>VLOOKUP($A50,'SegEnds_NonXtal_Prot#'!$A:$AL,20,FALSE)</f>
        <v>148</v>
      </c>
      <c r="AJ50" s="5">
        <f>VLOOKUP($A50,'SegEnds_NonXtal_Prot#'!$A:$AL,23,FALSE)</f>
        <v>173</v>
      </c>
      <c r="AK50" s="5">
        <f>VLOOKUP($A50,'SegEnds_NonXtal_Prot#'!$A:$AL,26,FALSE)</f>
        <v>189</v>
      </c>
      <c r="AL50" s="5">
        <f>VLOOKUP($A50,'SegEnds_NonXtal_Prot#'!$A:$AL,29,FALSE)</f>
        <v>237</v>
      </c>
      <c r="AM50" s="5">
        <f>VLOOKUP($A50,'SegEnds_NonXtal_Prot#'!$A:$AL,32,FALSE)</f>
        <v>278</v>
      </c>
      <c r="AN50" s="5">
        <f>VLOOKUP($A50,'SegEnds_NonXtal_Prot#'!$A:$AL,35,FALSE)</f>
        <v>309</v>
      </c>
      <c r="AO50" s="5">
        <f>VLOOKUP($A50,'SegEnds_NonXtal_Prot#'!$A:$AL,38,FALSE)</f>
        <v>322</v>
      </c>
      <c r="AP50" s="5">
        <f t="shared" si="13"/>
        <v>31</v>
      </c>
      <c r="AQ50" s="4">
        <f t="shared" si="14"/>
        <v>3</v>
      </c>
      <c r="AR50" s="4">
        <f t="shared" si="15"/>
        <v>30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24</v>
      </c>
      <c r="AW50" s="4">
        <f t="shared" si="20"/>
        <v>2</v>
      </c>
      <c r="AX50" s="4">
        <f t="shared" si="21"/>
        <v>38</v>
      </c>
      <c r="AY50" s="4">
        <f t="shared" si="22"/>
        <v>37</v>
      </c>
      <c r="AZ50" s="4">
        <f t="shared" si="23"/>
        <v>25</v>
      </c>
      <c r="BA50" s="4">
        <f t="shared" si="24"/>
        <v>12</v>
      </c>
    </row>
    <row r="51" spans="1:53" x14ac:dyDescent="0.2">
      <c r="A51" s="1" t="str">
        <f>'SegEnds_NonXtal_Prot#'!A16</f>
        <v>opsg_human</v>
      </c>
      <c r="B51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1" s="29" t="str">
        <f>IF(ISERROR(MATCH(A51,'SegEnds_Xtal_Prot#'!B:B, 0)), "NoXtal", "Xtal")</f>
        <v>NoXtal</v>
      </c>
      <c r="D51" s="4" t="str">
        <f>VLOOKUP(A51,Classification!A:D,2,FALSE)</f>
        <v>A</v>
      </c>
      <c r="E51" s="5" t="str">
        <f>VLOOKUP(A51,Seqs!A:B,2,FALSE)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1" s="5" t="str">
        <f t="shared" si="1"/>
        <v>RWVYHLTSVWMIFVVIASVFTNGLVLAATMKF</v>
      </c>
      <c r="G51" s="4" t="str">
        <f t="shared" si="2"/>
        <v>KKLR</v>
      </c>
      <c r="H51" s="4" t="str">
        <f t="shared" si="3"/>
        <v>HPLNWILVNLAVADLAETVIASTISVVNQVY</v>
      </c>
      <c r="I51" s="4" t="str">
        <f t="shared" si="4"/>
        <v>YFVL</v>
      </c>
      <c r="J51" s="4" t="str">
        <f t="shared" si="5"/>
        <v>GHPMCVLEGYTVSLCGITGLWSLAIISWERWMVVCK</v>
      </c>
      <c r="K51" s="4" t="str">
        <f t="shared" si="6"/>
        <v>PFGNVRF</v>
      </c>
      <c r="L51" s="4" t="str">
        <f t="shared" si="7"/>
        <v>DAKLAIVGIAFSWIWAAVWTAPPIF</v>
      </c>
      <c r="M51" s="4" t="str">
        <f t="shared" si="8"/>
        <v>CGP</v>
      </c>
      <c r="N51" s="4" t="str">
        <f t="shared" si="9"/>
        <v>GVQSYMIVLMVTCCITPLSIIVLCYLQVWLAIRAVAKQQ</v>
      </c>
      <c r="O51" s="4" t="str">
        <f t="shared" si="10"/>
        <v>ESTQKAEKEVTRMVVVMVLAFCFCWGPYAFFACFAAAN</v>
      </c>
      <c r="P51" s="4" t="str">
        <f t="shared" si="11"/>
        <v>HPLMAALPAFFAKSATIYNPVIYVFM</v>
      </c>
      <c r="Q51" s="4" t="str">
        <f t="shared" si="12"/>
        <v>NRQFRNCILQLFG</v>
      </c>
      <c r="R51" s="5">
        <f>VLOOKUP($A51,'SegEnds_NonXtal_Prot#'!$A:$AL,3,FALSE)</f>
        <v>50</v>
      </c>
      <c r="S51" s="5">
        <f>VLOOKUP($A51,'SegEnds_NonXtal_Prot#'!$A:$AL,6,FALSE)</f>
        <v>82</v>
      </c>
      <c r="T51" s="5">
        <f>VLOOKUP($A51,'SegEnds_NonXtal_Prot#'!$A:$AL,9,FALSE)</f>
        <v>86</v>
      </c>
      <c r="U51" s="5">
        <f>VLOOKUP($A51,'SegEnds_NonXtal_Prot#'!$A:$AL,12,FALSE)</f>
        <v>118</v>
      </c>
      <c r="V51" s="5">
        <f>VLOOKUP($A51,'SegEnds_NonXtal_Prot#'!$A:$AL,15,FALSE)</f>
        <v>122</v>
      </c>
      <c r="W51" s="5">
        <f>VLOOKUP($A51,'SegEnds_NonXtal_Prot#'!$A:$AL,18,FALSE)</f>
        <v>158</v>
      </c>
      <c r="X51" s="5">
        <f>VLOOKUP($A51,'SegEnds_NonXtal_Prot#'!$A:$AL,21,FALSE)</f>
        <v>165</v>
      </c>
      <c r="Y51" s="5">
        <f>VLOOKUP($A51,'SegEnds_NonXtal_Prot#'!$A:$AL,24,FALSE)</f>
        <v>203</v>
      </c>
      <c r="Z51" s="5">
        <f>VLOOKUP($A51,'SegEnds_NonXtal_Prot#'!$A:$AL,27,FALSE)</f>
        <v>215</v>
      </c>
      <c r="AA51" s="5">
        <f>VLOOKUP($A51,'SegEnds_NonXtal_Prot#'!$A:$AL,30,FALSE)</f>
        <v>257</v>
      </c>
      <c r="AB51" s="5">
        <f>VLOOKUP($A51,'SegEnds_NonXtal_Prot#'!$A:$AL,33,FALSE)</f>
        <v>300</v>
      </c>
      <c r="AC51" s="5">
        <f>VLOOKUP($A51,'SegEnds_NonXtal_Prot#'!$A:$AL,36,FALSE)</f>
        <v>326</v>
      </c>
      <c r="AD51" s="5">
        <f>VLOOKUP($A51,'SegEnds_NonXtal_Prot#'!$A:$AL,5,FALSE)</f>
        <v>81</v>
      </c>
      <c r="AE51" s="5">
        <f>VLOOKUP($A51,'SegEnds_NonXtal_Prot#'!$A:$AL,8,FALSE)</f>
        <v>85</v>
      </c>
      <c r="AF51" s="5">
        <f>VLOOKUP($A51,'SegEnds_NonXtal_Prot#'!$A:$AL,11,FALSE)</f>
        <v>116</v>
      </c>
      <c r="AG51" s="5">
        <f>VLOOKUP($A51,'SegEnds_NonXtal_Prot#'!$A:$AL,14,FALSE)</f>
        <v>121</v>
      </c>
      <c r="AH51" s="5">
        <f>VLOOKUP($A51,'SegEnds_NonXtal_Prot#'!$A:$AL,17,FALSE)</f>
        <v>157</v>
      </c>
      <c r="AI51" s="5">
        <f>VLOOKUP($A51,'SegEnds_NonXtal_Prot#'!$A:$AL,20,FALSE)</f>
        <v>164</v>
      </c>
      <c r="AJ51" s="5">
        <f>VLOOKUP($A51,'SegEnds_NonXtal_Prot#'!$A:$AL,23,FALSE)</f>
        <v>189</v>
      </c>
      <c r="AK51" s="5">
        <f>VLOOKUP($A51,'SegEnds_NonXtal_Prot#'!$A:$AL,26,FALSE)</f>
        <v>205</v>
      </c>
      <c r="AL51" s="5">
        <f>VLOOKUP($A51,'SegEnds_NonXtal_Prot#'!$A:$AL,29,FALSE)</f>
        <v>253</v>
      </c>
      <c r="AM51" s="5">
        <f>VLOOKUP($A51,'SegEnds_NonXtal_Prot#'!$A:$AL,32,FALSE)</f>
        <v>294</v>
      </c>
      <c r="AN51" s="5">
        <f>VLOOKUP($A51,'SegEnds_NonXtal_Prot#'!$A:$AL,35,FALSE)</f>
        <v>325</v>
      </c>
      <c r="AO51" s="5">
        <f>VLOOKUP($A51,'SegEnds_NonXtal_Prot#'!$A:$AL,38,FALSE)</f>
        <v>338</v>
      </c>
      <c r="AP51" s="5">
        <f t="shared" si="13"/>
        <v>31</v>
      </c>
      <c r="AQ51" s="4">
        <f t="shared" si="14"/>
        <v>3</v>
      </c>
      <c r="AR51" s="4">
        <f t="shared" si="15"/>
        <v>30</v>
      </c>
      <c r="AS51" s="4">
        <f t="shared" si="16"/>
        <v>3</v>
      </c>
      <c r="AT51" s="4">
        <f t="shared" si="17"/>
        <v>35</v>
      </c>
      <c r="AU51" s="4">
        <f t="shared" si="18"/>
        <v>6</v>
      </c>
      <c r="AV51" s="4">
        <f t="shared" si="19"/>
        <v>24</v>
      </c>
      <c r="AW51" s="4">
        <f t="shared" si="20"/>
        <v>2</v>
      </c>
      <c r="AX51" s="4">
        <f t="shared" si="21"/>
        <v>38</v>
      </c>
      <c r="AY51" s="4">
        <f t="shared" si="22"/>
        <v>37</v>
      </c>
      <c r="AZ51" s="4">
        <f t="shared" si="23"/>
        <v>25</v>
      </c>
      <c r="BA51" s="4">
        <f t="shared" si="24"/>
        <v>12</v>
      </c>
    </row>
    <row r="52" spans="1:53" x14ac:dyDescent="0.2">
      <c r="A52" s="1" t="str">
        <f>'SegEnds_NonXtal_Prot#'!A17</f>
        <v>opsr_human</v>
      </c>
      <c r="B52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2" s="5" t="str">
        <f t="shared" si="1"/>
        <v>RWVYHLTSVWMIFVVTASVFTNGLVLAATMKF</v>
      </c>
      <c r="G52" s="4" t="str">
        <f t="shared" si="2"/>
        <v>KKLR</v>
      </c>
      <c r="H52" s="4" t="str">
        <f t="shared" si="3"/>
        <v>HPLNWILVNLAVADLAETVIASTISIVNQVS</v>
      </c>
      <c r="I52" s="4" t="str">
        <f t="shared" si="4"/>
        <v>GYFV</v>
      </c>
      <c r="J52" s="4" t="str">
        <f t="shared" si="5"/>
        <v>LGHPMCVLEGYTVSLCGITGLWSLAIISWERWLVVCK</v>
      </c>
      <c r="K52" s="4" t="str">
        <f t="shared" si="6"/>
        <v>PFGNVRF</v>
      </c>
      <c r="L52" s="4" t="str">
        <f t="shared" si="7"/>
        <v>DAKLAIVGIAFSWIWSAVWTAPPIF</v>
      </c>
      <c r="M52" s="4" t="str">
        <f t="shared" si="8"/>
        <v>CGP</v>
      </c>
      <c r="N52" s="4" t="str">
        <f t="shared" si="9"/>
        <v>GVQSYMIVLMVTCCIIPLAIIMLCYLQVWLAIRAVAKQQ</v>
      </c>
      <c r="O52" s="4" t="str">
        <f t="shared" si="10"/>
        <v>ESTQKAEKEVTRMVVVMIFAYCVCWGPYTFFACFAAAN</v>
      </c>
      <c r="P52" s="4" t="str">
        <f t="shared" si="11"/>
        <v>HPLMAALPAYFAKSATIYNPVIYVFM</v>
      </c>
      <c r="Q52" s="4" t="str">
        <f t="shared" si="12"/>
        <v>NRQFRNCILQLFG</v>
      </c>
      <c r="R52" s="5">
        <f>VLOOKUP($A52,'SegEnds_NonXtal_Prot#'!$A:$AL,3,FALSE)</f>
        <v>50</v>
      </c>
      <c r="S52" s="5">
        <f>VLOOKUP($A52,'SegEnds_NonXtal_Prot#'!$A:$AL,6,FALSE)</f>
        <v>82</v>
      </c>
      <c r="T52" s="5">
        <f>VLOOKUP($A52,'SegEnds_NonXtal_Prot#'!$A:$AL,9,FALSE)</f>
        <v>86</v>
      </c>
      <c r="U52" s="5">
        <f>VLOOKUP($A52,'SegEnds_NonXtal_Prot#'!$A:$AL,12,FALSE)</f>
        <v>117</v>
      </c>
      <c r="V52" s="5">
        <f>VLOOKUP($A52,'SegEnds_NonXtal_Prot#'!$A:$AL,15,FALSE)</f>
        <v>121</v>
      </c>
      <c r="W52" s="5">
        <f>VLOOKUP($A52,'SegEnds_NonXtal_Prot#'!$A:$AL,18,FALSE)</f>
        <v>158</v>
      </c>
      <c r="X52" s="5">
        <f>VLOOKUP($A52,'SegEnds_NonXtal_Prot#'!$A:$AL,21,FALSE)</f>
        <v>165</v>
      </c>
      <c r="Y52" s="5">
        <f>VLOOKUP($A52,'SegEnds_NonXtal_Prot#'!$A:$AL,24,FALSE)</f>
        <v>203</v>
      </c>
      <c r="Z52" s="5">
        <f>VLOOKUP($A52,'SegEnds_NonXtal_Prot#'!$A:$AL,27,FALSE)</f>
        <v>215</v>
      </c>
      <c r="AA52" s="5">
        <f>VLOOKUP($A52,'SegEnds_NonXtal_Prot#'!$A:$AL,30,FALSE)</f>
        <v>257</v>
      </c>
      <c r="AB52" s="5">
        <f>VLOOKUP($A52,'SegEnds_NonXtal_Prot#'!$A:$AL,33,FALSE)</f>
        <v>300</v>
      </c>
      <c r="AC52" s="5">
        <f>VLOOKUP($A52,'SegEnds_NonXtal_Prot#'!$A:$AL,36,FALSE)</f>
        <v>326</v>
      </c>
      <c r="AD52" s="5">
        <f>VLOOKUP($A52,'SegEnds_NonXtal_Prot#'!$A:$AL,5,FALSE)</f>
        <v>81</v>
      </c>
      <c r="AE52" s="5">
        <f>VLOOKUP($A52,'SegEnds_NonXtal_Prot#'!$A:$AL,8,FALSE)</f>
        <v>85</v>
      </c>
      <c r="AF52" s="5">
        <f>VLOOKUP($A52,'SegEnds_NonXtal_Prot#'!$A:$AL,11,FALSE)</f>
        <v>116</v>
      </c>
      <c r="AG52" s="5">
        <f>VLOOKUP($A52,'SegEnds_NonXtal_Prot#'!$A:$AL,14,FALSE)</f>
        <v>120</v>
      </c>
      <c r="AH52" s="5">
        <f>VLOOKUP($A52,'SegEnds_NonXtal_Prot#'!$A:$AL,17,FALSE)</f>
        <v>157</v>
      </c>
      <c r="AI52" s="5">
        <f>VLOOKUP($A52,'SegEnds_NonXtal_Prot#'!$A:$AL,20,FALSE)</f>
        <v>164</v>
      </c>
      <c r="AJ52" s="5">
        <f>VLOOKUP($A52,'SegEnds_NonXtal_Prot#'!$A:$AL,23,FALSE)</f>
        <v>189</v>
      </c>
      <c r="AK52" s="5">
        <f>VLOOKUP($A52,'SegEnds_NonXtal_Prot#'!$A:$AL,26,FALSE)</f>
        <v>205</v>
      </c>
      <c r="AL52" s="5">
        <f>VLOOKUP($A52,'SegEnds_NonXtal_Prot#'!$A:$AL,29,FALSE)</f>
        <v>253</v>
      </c>
      <c r="AM52" s="5">
        <f>VLOOKUP($A52,'SegEnds_NonXtal_Prot#'!$A:$AL,32,FALSE)</f>
        <v>294</v>
      </c>
      <c r="AN52" s="5">
        <f>VLOOKUP($A52,'SegEnds_NonXtal_Prot#'!$A:$AL,35,FALSE)</f>
        <v>325</v>
      </c>
      <c r="AO52" s="5">
        <f>VLOOKUP($A52,'SegEnds_NonXtal_Prot#'!$A:$AL,38,FALSE)</f>
        <v>338</v>
      </c>
      <c r="AP52" s="5">
        <f t="shared" si="13"/>
        <v>31</v>
      </c>
      <c r="AQ52" s="4">
        <f t="shared" si="14"/>
        <v>3</v>
      </c>
      <c r="AR52" s="4">
        <f t="shared" si="15"/>
        <v>30</v>
      </c>
      <c r="AS52" s="4">
        <f t="shared" si="16"/>
        <v>3</v>
      </c>
      <c r="AT52" s="4">
        <f t="shared" si="17"/>
        <v>36</v>
      </c>
      <c r="AU52" s="4">
        <f t="shared" si="18"/>
        <v>6</v>
      </c>
      <c r="AV52" s="4">
        <f t="shared" si="19"/>
        <v>24</v>
      </c>
      <c r="AW52" s="4">
        <f t="shared" si="20"/>
        <v>2</v>
      </c>
      <c r="AX52" s="4">
        <f t="shared" si="21"/>
        <v>38</v>
      </c>
      <c r="AY52" s="4">
        <f t="shared" si="22"/>
        <v>37</v>
      </c>
      <c r="AZ52" s="4">
        <f t="shared" si="23"/>
        <v>25</v>
      </c>
      <c r="BA52" s="4">
        <f t="shared" si="24"/>
        <v>12</v>
      </c>
    </row>
    <row r="53" spans="1:53" x14ac:dyDescent="0.2">
      <c r="A53" s="1" t="str">
        <f>'SegEnds_NonXtal_Prot#'!A18</f>
        <v>p2y10_human</v>
      </c>
      <c r="B53" s="1" t="str">
        <f t="shared" si="0"/>
        <v>FQYSLYATTYILIFIPGLLANSAALWVLCRFNKAIIFMINLSVADLAHVLSLPLRIYYYISQRALCLLCFYLKYLNMYASICFLTCISLQRCFFLLKKRRYDVGISAAIWIVVGTACLPFPILRAVALVGMITVAELAGFVIPVIIIAWCTWKTTISLRQPFQGISERQKALRMVFMCAAVFFICFTPYHINFIFYTMVKETSCPVVRIALYFHPFCLCLASLCCLLDPILYYFMASEFRDQLSRHGS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53" s="5" t="str">
        <f t="shared" si="1"/>
        <v>FQYSLYATTYILIFIPGLLANSAALWVLCRF</v>
      </c>
      <c r="G53" s="4" t="str">
        <f t="shared" si="2"/>
        <v/>
      </c>
      <c r="H53" s="4" t="str">
        <f t="shared" si="3"/>
        <v>NKAIIFMINLSVADLAHVLSLPLRIYYYIS</v>
      </c>
      <c r="I53" s="4" t="str">
        <f t="shared" si="4"/>
        <v>HWPF</v>
      </c>
      <c r="J53" s="4" t="str">
        <f t="shared" si="5"/>
        <v>QRALCLLCFYLKYLNMYASICFLTCISLQRCFFLLK</v>
      </c>
      <c r="K53" s="4" t="str">
        <f t="shared" si="6"/>
        <v>PFRARDW</v>
      </c>
      <c r="L53" s="4" t="str">
        <f t="shared" si="7"/>
        <v>KRRYDVGISAAIWIVVGTACLPFPILR</v>
      </c>
      <c r="M53" s="4" t="str">
        <f t="shared" si="8"/>
        <v>CFA</v>
      </c>
      <c r="N53" s="4" t="str">
        <f t="shared" si="9"/>
        <v>AVALVGMITVAELAGFVIPVIIIAWCTWKTTISLRQP</v>
      </c>
      <c r="O53" s="4" t="str">
        <f t="shared" si="10"/>
        <v>FQGISERQKALRMVFMCAAVFFICFTPYHINFIFYTMVKET</v>
      </c>
      <c r="P53" s="4" t="str">
        <f t="shared" si="11"/>
        <v>SCPVVRIALYFHPFCLCLASLCCLLDPILYYFM</v>
      </c>
      <c r="Q53" s="4" t="str">
        <f t="shared" si="12"/>
        <v>ASEFRDQLSRHGS</v>
      </c>
      <c r="R53" s="5">
        <f>VLOOKUP($A53,'SegEnds_NonXtal_Prot#'!$A:$AL,3,FALSE)</f>
        <v>32</v>
      </c>
      <c r="S53" s="5" t="str">
        <f>VLOOKUP($A53,'SegEnds_NonXtal_Prot#'!$A:$AL,6,FALSE)</f>
        <v>-</v>
      </c>
      <c r="T53" s="5">
        <f>VLOOKUP($A53,'SegEnds_NonXtal_Prot#'!$A:$AL,9,FALSE)</f>
        <v>67</v>
      </c>
      <c r="U53" s="5">
        <f>VLOOKUP($A53,'SegEnds_NonXtal_Prot#'!$A:$AL,12,FALSE)</f>
        <v>98</v>
      </c>
      <c r="V53" s="5">
        <f>VLOOKUP($A53,'SegEnds_NonXtal_Prot#'!$A:$AL,15,FALSE)</f>
        <v>102</v>
      </c>
      <c r="W53" s="5">
        <f>VLOOKUP($A53,'SegEnds_NonXtal_Prot#'!$A:$AL,18,FALSE)</f>
        <v>138</v>
      </c>
      <c r="X53" s="5">
        <f>VLOOKUP($A53,'SegEnds_NonXtal_Prot#'!$A:$AL,21,FALSE)</f>
        <v>145</v>
      </c>
      <c r="Y53" s="5">
        <f>VLOOKUP($A53,'SegEnds_NonXtal_Prot#'!$A:$AL,24,FALSE)</f>
        <v>181</v>
      </c>
      <c r="Z53" s="5">
        <f>VLOOKUP($A53,'SegEnds_NonXtal_Prot#'!$A:$AL,27,FALSE)</f>
        <v>192</v>
      </c>
      <c r="AA53" s="5">
        <f>VLOOKUP($A53,'SegEnds_NonXtal_Prot#'!$A:$AL,30,FALSE)</f>
        <v>232</v>
      </c>
      <c r="AB53" s="5">
        <f>VLOOKUP($A53,'SegEnds_NonXtal_Prot#'!$A:$AL,33,FALSE)</f>
        <v>276</v>
      </c>
      <c r="AC53" s="5">
        <f>VLOOKUP($A53,'SegEnds_NonXtal_Prot#'!$A:$AL,36,FALSE)</f>
        <v>309</v>
      </c>
      <c r="AD53" s="5">
        <f>VLOOKUP($A53,'SegEnds_NonXtal_Prot#'!$A:$AL,5,FALSE)</f>
        <v>62</v>
      </c>
      <c r="AE53" s="5" t="str">
        <f>VLOOKUP($A53,'SegEnds_NonXtal_Prot#'!$A:$AL,8,FALSE)</f>
        <v>-</v>
      </c>
      <c r="AF53" s="5">
        <f>VLOOKUP($A53,'SegEnds_NonXtal_Prot#'!$A:$AL,11,FALSE)</f>
        <v>96</v>
      </c>
      <c r="AG53" s="5">
        <f>VLOOKUP($A53,'SegEnds_NonXtal_Prot#'!$A:$AL,14,FALSE)</f>
        <v>101</v>
      </c>
      <c r="AH53" s="5">
        <f>VLOOKUP($A53,'SegEnds_NonXtal_Prot#'!$A:$AL,17,FALSE)</f>
        <v>137</v>
      </c>
      <c r="AI53" s="5">
        <f>VLOOKUP($A53,'SegEnds_NonXtal_Prot#'!$A:$AL,20,FALSE)</f>
        <v>144</v>
      </c>
      <c r="AJ53" s="5">
        <f>VLOOKUP($A53,'SegEnds_NonXtal_Prot#'!$A:$AL,23,FALSE)</f>
        <v>171</v>
      </c>
      <c r="AK53" s="5">
        <f>VLOOKUP($A53,'SegEnds_NonXtal_Prot#'!$A:$AL,26,FALSE)</f>
        <v>183</v>
      </c>
      <c r="AL53" s="5">
        <f>VLOOKUP($A53,'SegEnds_NonXtal_Prot#'!$A:$AL,29,FALSE)</f>
        <v>228</v>
      </c>
      <c r="AM53" s="5">
        <f>VLOOKUP($A53,'SegEnds_NonXtal_Prot#'!$A:$AL,32,FALSE)</f>
        <v>272</v>
      </c>
      <c r="AN53" s="5">
        <f>VLOOKUP($A53,'SegEnds_NonXtal_Prot#'!$A:$AL,35,FALSE)</f>
        <v>308</v>
      </c>
      <c r="AO53" s="5">
        <f>VLOOKUP($A53,'SegEnds_NonXtal_Prot#'!$A:$AL,38,FALSE)</f>
        <v>321</v>
      </c>
      <c r="AP53" s="5">
        <f t="shared" si="13"/>
        <v>30</v>
      </c>
      <c r="AQ53" s="4" t="str">
        <f t="shared" si="14"/>
        <v>-</v>
      </c>
      <c r="AR53" s="4">
        <f t="shared" si="15"/>
        <v>29</v>
      </c>
      <c r="AS53" s="4">
        <f t="shared" si="16"/>
        <v>3</v>
      </c>
      <c r="AT53" s="4">
        <f t="shared" si="17"/>
        <v>35</v>
      </c>
      <c r="AU53" s="4">
        <f t="shared" si="18"/>
        <v>6</v>
      </c>
      <c r="AV53" s="4">
        <f t="shared" si="19"/>
        <v>26</v>
      </c>
      <c r="AW53" s="4">
        <f t="shared" si="20"/>
        <v>2</v>
      </c>
      <c r="AX53" s="4">
        <f t="shared" si="21"/>
        <v>36</v>
      </c>
      <c r="AY53" s="4">
        <f t="shared" si="22"/>
        <v>40</v>
      </c>
      <c r="AZ53" s="4">
        <f t="shared" si="23"/>
        <v>32</v>
      </c>
      <c r="BA53" s="4">
        <f t="shared" si="24"/>
        <v>12</v>
      </c>
    </row>
    <row r="54" spans="1:53" x14ac:dyDescent="0.2">
      <c r="A54" s="1" t="str">
        <f>'SegEnds_NonXtal_Prot#'!A19</f>
        <v>par2_human</v>
      </c>
      <c r="B54" s="1" t="str">
        <f t="shared" si="0"/>
        <v>GKLTTVFLPIVYTIVFVVGLPSNGMALWVFLFRHPAVIYMANLALADLLSVIWFPLKIAYHIHGEALCNVLIGFFYGNMYCSILFMTCLSVQRYWVIVNKANIAIGISLAIWLLILLVTIPLYVLVGDMFNYFLSLAIGVFLFPAFLTASAYVLMIRMLRSSENSEKKRKRAIKLIVTVLAMYLICFTPSNLLLVVHYFLIQSHVYALYIVALCLSTLNSCIDPFVYYFVSHDFRDHAKNALLCR</v>
      </c>
      <c r="C54" s="29" t="str">
        <f>IF(ISERROR(MATCH(A54,'SegEnds_Xtal_Prot#'!B:B, 0)), "NoXtal", "Xtal")</f>
        <v>Xtal</v>
      </c>
      <c r="D54" s="4" t="str">
        <f>VLOOKUP(A54,Classification!A:D,2,FALSE)</f>
        <v>A</v>
      </c>
      <c r="E54" s="5" t="str">
        <f>VLOOKUP(A54,Seqs!A:B,2,FALSE)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54" s="5" t="str">
        <f t="shared" si="1"/>
        <v>GKLTTVFLPIVYTIVFVVGLPSNGMALWVFLFR</v>
      </c>
      <c r="G54" s="4" t="str">
        <f t="shared" si="2"/>
        <v/>
      </c>
      <c r="H54" s="4" t="str">
        <f t="shared" si="3"/>
        <v>HPAVIYMANLALADLLSVIWFPLKIAYHIH</v>
      </c>
      <c r="I54" s="4" t="str">
        <f t="shared" si="4"/>
        <v>NWIY</v>
      </c>
      <c r="J54" s="4" t="str">
        <f t="shared" si="5"/>
        <v>GEALCNVLIGFFYGNMYCSILFMTCLSVQRYWVIVN</v>
      </c>
      <c r="K54" s="4" t="str">
        <f t="shared" si="6"/>
        <v>PMGHSRK</v>
      </c>
      <c r="L54" s="4" t="str">
        <f t="shared" si="7"/>
        <v>KANIAIGISLAIWLLILLVTIPLYV</v>
      </c>
      <c r="M54" s="4" t="str">
        <f t="shared" si="8"/>
        <v>CHD</v>
      </c>
      <c r="N54" s="4" t="str">
        <f t="shared" si="9"/>
        <v>LVGDMFNYFLSLAIGVFLFPAFLTASAYVLMIRMLRSS</v>
      </c>
      <c r="O54" s="4" t="str">
        <f t="shared" si="10"/>
        <v>ENSEKKRKRAIKLIVTVLAMYLICFTPSNLLLVVHYFLI</v>
      </c>
      <c r="P54" s="4" t="str">
        <f t="shared" si="11"/>
        <v>QSHVYALYIVALCLSTLNSCIDPFVYYFV</v>
      </c>
      <c r="Q54" s="4" t="str">
        <f t="shared" si="12"/>
        <v>SHDFRDHAKNALLCR</v>
      </c>
      <c r="R54" s="5">
        <f>VLOOKUP($A54,'SegEnds_NonXtal_Prot#'!$A:$AL,3,FALSE)</f>
        <v>71</v>
      </c>
      <c r="S54" s="5" t="str">
        <f>VLOOKUP($A54,'SegEnds_NonXtal_Prot#'!$A:$AL,6,FALSE)</f>
        <v>-</v>
      </c>
      <c r="T54" s="5">
        <f>VLOOKUP($A54,'SegEnds_NonXtal_Prot#'!$A:$AL,9,FALSE)</f>
        <v>108</v>
      </c>
      <c r="U54" s="5">
        <f>VLOOKUP($A54,'SegEnds_NonXtal_Prot#'!$A:$AL,12,FALSE)</f>
        <v>140</v>
      </c>
      <c r="V54" s="5">
        <f>VLOOKUP($A54,'SegEnds_NonXtal_Prot#'!$A:$AL,15,FALSE)</f>
        <v>144</v>
      </c>
      <c r="W54" s="5">
        <f>VLOOKUP($A54,'SegEnds_NonXtal_Prot#'!$A:$AL,18,FALSE)</f>
        <v>180</v>
      </c>
      <c r="X54" s="5">
        <f>VLOOKUP($A54,'SegEnds_NonXtal_Prot#'!$A:$AL,21,FALSE)</f>
        <v>187</v>
      </c>
      <c r="Y54" s="5">
        <f>VLOOKUP($A54,'SegEnds_NonXtal_Prot#'!$A:$AL,24,FALSE)</f>
        <v>226</v>
      </c>
      <c r="Z54" s="5">
        <f>VLOOKUP($A54,'SegEnds_NonXtal_Prot#'!$A:$AL,27,FALSE)</f>
        <v>235</v>
      </c>
      <c r="AA54" s="5">
        <f>VLOOKUP($A54,'SegEnds_NonXtal_Prot#'!$A:$AL,30,FALSE)</f>
        <v>276</v>
      </c>
      <c r="AB54" s="5">
        <f>VLOOKUP($A54,'SegEnds_NonXtal_Prot#'!$A:$AL,33,FALSE)</f>
        <v>319</v>
      </c>
      <c r="AC54" s="5">
        <f>VLOOKUP($A54,'SegEnds_NonXtal_Prot#'!$A:$AL,36,FALSE)</f>
        <v>348</v>
      </c>
      <c r="AD54" s="5">
        <f>VLOOKUP($A54,'SegEnds_NonXtal_Prot#'!$A:$AL,5,FALSE)</f>
        <v>103</v>
      </c>
      <c r="AE54" s="5" t="str">
        <f>VLOOKUP($A54,'SegEnds_NonXtal_Prot#'!$A:$AL,8,FALSE)</f>
        <v>-</v>
      </c>
      <c r="AF54" s="5">
        <f>VLOOKUP($A54,'SegEnds_NonXtal_Prot#'!$A:$AL,11,FALSE)</f>
        <v>137</v>
      </c>
      <c r="AG54" s="5">
        <f>VLOOKUP($A54,'SegEnds_NonXtal_Prot#'!$A:$AL,14,FALSE)</f>
        <v>143</v>
      </c>
      <c r="AH54" s="5">
        <f>VLOOKUP($A54,'SegEnds_NonXtal_Prot#'!$A:$AL,17,FALSE)</f>
        <v>179</v>
      </c>
      <c r="AI54" s="5">
        <f>VLOOKUP($A54,'SegEnds_NonXtal_Prot#'!$A:$AL,20,FALSE)</f>
        <v>186</v>
      </c>
      <c r="AJ54" s="5">
        <f>VLOOKUP($A54,'SegEnds_NonXtal_Prot#'!$A:$AL,23,FALSE)</f>
        <v>211</v>
      </c>
      <c r="AK54" s="5">
        <f>VLOOKUP($A54,'SegEnds_NonXtal_Prot#'!$A:$AL,26,FALSE)</f>
        <v>228</v>
      </c>
      <c r="AL54" s="5">
        <f>VLOOKUP($A54,'SegEnds_NonXtal_Prot#'!$A:$AL,29,FALSE)</f>
        <v>272</v>
      </c>
      <c r="AM54" s="5">
        <f>VLOOKUP($A54,'SegEnds_NonXtal_Prot#'!$A:$AL,32,FALSE)</f>
        <v>314</v>
      </c>
      <c r="AN54" s="5">
        <f>VLOOKUP($A54,'SegEnds_NonXtal_Prot#'!$A:$AL,35,FALSE)</f>
        <v>347</v>
      </c>
      <c r="AO54" s="5">
        <f>VLOOKUP($A54,'SegEnds_NonXtal_Prot#'!$A:$AL,38,FALSE)</f>
        <v>362</v>
      </c>
      <c r="AP54" s="5">
        <f t="shared" si="13"/>
        <v>32</v>
      </c>
      <c r="AQ54" s="4" t="str">
        <f t="shared" si="14"/>
        <v>-</v>
      </c>
      <c r="AR54" s="4">
        <f t="shared" si="15"/>
        <v>29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37</v>
      </c>
      <c r="AY54" s="4">
        <f t="shared" si="22"/>
        <v>38</v>
      </c>
      <c r="AZ54" s="4">
        <f t="shared" si="23"/>
        <v>28</v>
      </c>
      <c r="BA54" s="4">
        <f t="shared" si="24"/>
        <v>14</v>
      </c>
    </row>
    <row r="55" spans="1:53" x14ac:dyDescent="0.2">
      <c r="A55" s="1" t="str">
        <f>'SegEnds_NonXtal_Prot#'!A20</f>
        <v>rxfp1_human</v>
      </c>
      <c r="B55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55" s="5" t="str">
        <f t="shared" si="1"/>
        <v>LLASIIQRVFVWVVSAVTCFGNIFVICMRPYI</v>
      </c>
      <c r="G55" s="4" t="str">
        <f t="shared" si="2"/>
        <v>RSEN</v>
      </c>
      <c r="H55" s="4" t="str">
        <f t="shared" si="3"/>
        <v>KLYAMSIISLCCADCLMGIYLFVIGGFDLKF</v>
      </c>
      <c r="I55" s="4" t="str">
        <f t="shared" si="4"/>
        <v/>
      </c>
      <c r="J55" s="4" t="str">
        <f t="shared" si="5"/>
        <v>LWMESTHCQLVGSLAILSTEVSVLLLTFLTLEKYICIVY</v>
      </c>
      <c r="K55" s="4" t="str">
        <f t="shared" si="6"/>
        <v>PFRCVRP</v>
      </c>
      <c r="L55" s="4" t="str">
        <f t="shared" si="7"/>
        <v>GKCRTITVLILIWITGFIVAFIPLSN</v>
      </c>
      <c r="M55" s="4" t="str">
        <f t="shared" si="8"/>
        <v>CFP</v>
      </c>
      <c r="N55" s="4" t="str">
        <f t="shared" si="9"/>
        <v>AQIYSVAIFLGINLAAFIIIVFSYGSMFYSVHQSAITA</v>
      </c>
      <c r="O55" s="4" t="str">
        <f t="shared" si="10"/>
        <v>RNQVKKEMILAKRFFFIVFTDALCWIPIFVVKFLSLLQ</v>
      </c>
      <c r="P55" s="4" t="str">
        <f t="shared" si="11"/>
        <v>GTITSWVVIFILPINSALNPILYTLT</v>
      </c>
      <c r="Q55" s="4" t="str">
        <f t="shared" si="12"/>
        <v>TRPFKEMIHRFWYNYRQRKSMDS</v>
      </c>
      <c r="R55" s="5">
        <f>VLOOKUP($A55,'SegEnds_NonXtal_Prot#'!$A:$AL,3,FALSE)</f>
        <v>402</v>
      </c>
      <c r="S55" s="5">
        <f>VLOOKUP($A55,'SegEnds_NonXtal_Prot#'!$A:$AL,6,FALSE)</f>
        <v>434</v>
      </c>
      <c r="T55" s="5">
        <f>VLOOKUP($A55,'SegEnds_NonXtal_Prot#'!$A:$AL,9,FALSE)</f>
        <v>438</v>
      </c>
      <c r="U55" s="5" t="str">
        <f>VLOOKUP($A55,'SegEnds_NonXtal_Prot#'!$A:$AL,12,FALSE)</f>
        <v>-</v>
      </c>
      <c r="V55" s="5">
        <f>VLOOKUP($A55,'SegEnds_NonXtal_Prot#'!$A:$AL,15,FALSE)</f>
        <v>478</v>
      </c>
      <c r="W55" s="5">
        <f>VLOOKUP($A55,'SegEnds_NonXtal_Prot#'!$A:$AL,18,FALSE)</f>
        <v>517</v>
      </c>
      <c r="X55" s="5">
        <f>VLOOKUP($A55,'SegEnds_NonXtal_Prot#'!$A:$AL,21,FALSE)</f>
        <v>524</v>
      </c>
      <c r="Y55" s="5">
        <f>VLOOKUP($A55,'SegEnds_NonXtal_Prot#'!$A:$AL,24,FALSE)</f>
        <v>563</v>
      </c>
      <c r="Z55" s="5">
        <f>VLOOKUP($A55,'SegEnds_NonXtal_Prot#'!$A:$AL,27,FALSE)</f>
        <v>576</v>
      </c>
      <c r="AA55" s="5">
        <f>VLOOKUP($A55,'SegEnds_NonXtal_Prot#'!$A:$AL,30,FALSE)</f>
        <v>617</v>
      </c>
      <c r="AB55" s="5">
        <f>VLOOKUP($A55,'SegEnds_NonXtal_Prot#'!$A:$AL,33,FALSE)</f>
        <v>659</v>
      </c>
      <c r="AC55" s="5">
        <f>VLOOKUP($A55,'SegEnds_NonXtal_Prot#'!$A:$AL,36,FALSE)</f>
        <v>685</v>
      </c>
      <c r="AD55" s="5">
        <f>VLOOKUP($A55,'SegEnds_NonXtal_Prot#'!$A:$AL,5,FALSE)</f>
        <v>433</v>
      </c>
      <c r="AE55" s="5">
        <f>VLOOKUP($A55,'SegEnds_NonXtal_Prot#'!$A:$AL,8,FALSE)</f>
        <v>437</v>
      </c>
      <c r="AF55" s="5">
        <f>VLOOKUP($A55,'SegEnds_NonXtal_Prot#'!$A:$AL,11,FALSE)</f>
        <v>468</v>
      </c>
      <c r="AG55" s="5" t="str">
        <f>VLOOKUP($A55,'SegEnds_NonXtal_Prot#'!$A:$AL,14,FALSE)</f>
        <v>-</v>
      </c>
      <c r="AH55" s="5">
        <f>VLOOKUP($A55,'SegEnds_NonXtal_Prot#'!$A:$AL,17,FALSE)</f>
        <v>516</v>
      </c>
      <c r="AI55" s="5">
        <f>VLOOKUP($A55,'SegEnds_NonXtal_Prot#'!$A:$AL,20,FALSE)</f>
        <v>523</v>
      </c>
      <c r="AJ55" s="5">
        <f>VLOOKUP($A55,'SegEnds_NonXtal_Prot#'!$A:$AL,23,FALSE)</f>
        <v>549</v>
      </c>
      <c r="AK55" s="5">
        <f>VLOOKUP($A55,'SegEnds_NonXtal_Prot#'!$A:$AL,26,FALSE)</f>
        <v>565</v>
      </c>
      <c r="AL55" s="5">
        <f>VLOOKUP($A55,'SegEnds_NonXtal_Prot#'!$A:$AL,29,FALSE)</f>
        <v>613</v>
      </c>
      <c r="AM55" s="5">
        <f>VLOOKUP($A55,'SegEnds_NonXtal_Prot#'!$A:$AL,32,FALSE)</f>
        <v>654</v>
      </c>
      <c r="AN55" s="5">
        <f>VLOOKUP($A55,'SegEnds_NonXtal_Prot#'!$A:$AL,35,FALSE)</f>
        <v>684</v>
      </c>
      <c r="AO55" s="5">
        <f>VLOOKUP($A55,'SegEnds_NonXtal_Prot#'!$A:$AL,38,FALSE)</f>
        <v>707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 t="str">
        <f t="shared" si="16"/>
        <v>-</v>
      </c>
      <c r="AT55" s="4">
        <f t="shared" si="17"/>
        <v>38</v>
      </c>
      <c r="AU55" s="4">
        <f t="shared" si="18"/>
        <v>6</v>
      </c>
      <c r="AV55" s="4">
        <f t="shared" si="19"/>
        <v>25</v>
      </c>
      <c r="AW55" s="4">
        <f t="shared" si="20"/>
        <v>2</v>
      </c>
      <c r="AX55" s="4">
        <f t="shared" si="21"/>
        <v>37</v>
      </c>
      <c r="AY55" s="4">
        <f t="shared" si="22"/>
        <v>37</v>
      </c>
      <c r="AZ55" s="4">
        <f t="shared" si="23"/>
        <v>25</v>
      </c>
      <c r="BA55" s="4">
        <f t="shared" si="24"/>
        <v>22</v>
      </c>
    </row>
    <row r="56" spans="1:53" x14ac:dyDescent="0.2">
      <c r="A56" s="1" t="str">
        <f>'SegEnds_NonXtal_Prot#'!A21</f>
        <v>rxfp2_human</v>
      </c>
      <c r="B56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56" s="29" t="str">
        <f>IF(ISERROR(MATCH(A56,'SegEnds_Xtal_Prot#'!B:B, 0)), "NoXtal", "Xtal")</f>
        <v>NoXtal</v>
      </c>
      <c r="D56" s="4" t="str">
        <f>VLOOKUP(A56,Classification!A:D,2,FALSE)</f>
        <v>A</v>
      </c>
      <c r="E56" s="5" t="str">
        <f>VLOOKUP(A56,Seqs!A:B,2,FALSE)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56" s="5" t="str">
        <f t="shared" si="1"/>
        <v>LLANNILRIFVWVIAFITCFGNLFVIGMRSFI</v>
      </c>
      <c r="G56" s="4" t="str">
        <f t="shared" si="2"/>
        <v>KAEN</v>
      </c>
      <c r="H56" s="4" t="str">
        <f t="shared" si="3"/>
        <v>TTHAMSIKILCCADCLMGVYLFFVGIFDIKY</v>
      </c>
      <c r="I56" s="4" t="str">
        <f t="shared" si="4"/>
        <v>KYAL</v>
      </c>
      <c r="J56" s="4" t="str">
        <f t="shared" si="5"/>
        <v>LWMESVQCRLMGFLAMLSTEVSVLLLTYLTLEKFLVIVF</v>
      </c>
      <c r="K56" s="4" t="str">
        <f t="shared" si="6"/>
        <v>PFSNIRP</v>
      </c>
      <c r="L56" s="4" t="str">
        <f t="shared" si="7"/>
        <v>GKRQTSVILICIWMAGFLIAVIPFWN</v>
      </c>
      <c r="M56" s="4" t="str">
        <f t="shared" si="8"/>
        <v>CFP</v>
      </c>
      <c r="N56" s="4" t="str">
        <f t="shared" si="9"/>
        <v>SKGYSLGIFLGVNLLAFLIIVFSYITMFCSIQKTALQT</v>
      </c>
      <c r="O56" s="4" t="str">
        <f t="shared" si="10"/>
        <v>RNCFGREVAVANRFFFIVFSDAICWIPVFVVKILSLFR</v>
      </c>
      <c r="P56" s="4" t="str">
        <f t="shared" si="11"/>
        <v>DTMTSWIVIFFLPVNSALNPILYTLT</v>
      </c>
      <c r="Q56" s="4" t="str">
        <f t="shared" si="12"/>
        <v>TNFFKDKLKQLLHKHQRKSIFKI</v>
      </c>
      <c r="R56" s="5">
        <f>VLOOKUP($A56,'SegEnds_NonXtal_Prot#'!$A:$AL,3,FALSE)</f>
        <v>412</v>
      </c>
      <c r="S56" s="5">
        <f>VLOOKUP($A56,'SegEnds_NonXtal_Prot#'!$A:$AL,6,FALSE)</f>
        <v>444</v>
      </c>
      <c r="T56" s="5">
        <f>VLOOKUP($A56,'SegEnds_NonXtal_Prot#'!$A:$AL,9,FALSE)</f>
        <v>448</v>
      </c>
      <c r="U56" s="5">
        <f>VLOOKUP($A56,'SegEnds_NonXtal_Prot#'!$A:$AL,12,FALSE)</f>
        <v>484</v>
      </c>
      <c r="V56" s="5">
        <f>VLOOKUP($A56,'SegEnds_NonXtal_Prot#'!$A:$AL,15,FALSE)</f>
        <v>488</v>
      </c>
      <c r="W56" s="5">
        <f>VLOOKUP($A56,'SegEnds_NonXtal_Prot#'!$A:$AL,18,FALSE)</f>
        <v>527</v>
      </c>
      <c r="X56" s="5">
        <f>VLOOKUP($A56,'SegEnds_NonXtal_Prot#'!$A:$AL,21,FALSE)</f>
        <v>534</v>
      </c>
      <c r="Y56" s="5">
        <f>VLOOKUP($A56,'SegEnds_NonXtal_Prot#'!$A:$AL,24,FALSE)</f>
        <v>573</v>
      </c>
      <c r="Z56" s="5">
        <f>VLOOKUP($A56,'SegEnds_NonXtal_Prot#'!$A:$AL,27,FALSE)</f>
        <v>586</v>
      </c>
      <c r="AA56" s="5">
        <f>VLOOKUP($A56,'SegEnds_NonXtal_Prot#'!$A:$AL,30,FALSE)</f>
        <v>627</v>
      </c>
      <c r="AB56" s="5">
        <f>VLOOKUP($A56,'SegEnds_NonXtal_Prot#'!$A:$AL,33,FALSE)</f>
        <v>669</v>
      </c>
      <c r="AC56" s="5">
        <f>VLOOKUP($A56,'SegEnds_NonXtal_Prot#'!$A:$AL,36,FALSE)</f>
        <v>695</v>
      </c>
      <c r="AD56" s="5">
        <f>VLOOKUP($A56,'SegEnds_NonXtal_Prot#'!$A:$AL,5,FALSE)</f>
        <v>443</v>
      </c>
      <c r="AE56" s="5">
        <f>VLOOKUP($A56,'SegEnds_NonXtal_Prot#'!$A:$AL,8,FALSE)</f>
        <v>447</v>
      </c>
      <c r="AF56" s="5">
        <f>VLOOKUP($A56,'SegEnds_NonXtal_Prot#'!$A:$AL,11,FALSE)</f>
        <v>478</v>
      </c>
      <c r="AG56" s="5">
        <f>VLOOKUP($A56,'SegEnds_NonXtal_Prot#'!$A:$AL,14,FALSE)</f>
        <v>487</v>
      </c>
      <c r="AH56" s="5">
        <f>VLOOKUP($A56,'SegEnds_NonXtal_Prot#'!$A:$AL,17,FALSE)</f>
        <v>526</v>
      </c>
      <c r="AI56" s="5">
        <f>VLOOKUP($A56,'SegEnds_NonXtal_Prot#'!$A:$AL,20,FALSE)</f>
        <v>533</v>
      </c>
      <c r="AJ56" s="5">
        <f>VLOOKUP($A56,'SegEnds_NonXtal_Prot#'!$A:$AL,23,FALSE)</f>
        <v>559</v>
      </c>
      <c r="AK56" s="5">
        <f>VLOOKUP($A56,'SegEnds_NonXtal_Prot#'!$A:$AL,26,FALSE)</f>
        <v>575</v>
      </c>
      <c r="AL56" s="5">
        <f>VLOOKUP($A56,'SegEnds_NonXtal_Prot#'!$A:$AL,29,FALSE)</f>
        <v>623</v>
      </c>
      <c r="AM56" s="5">
        <f>VLOOKUP($A56,'SegEnds_NonXtal_Prot#'!$A:$AL,32,FALSE)</f>
        <v>664</v>
      </c>
      <c r="AN56" s="5">
        <f>VLOOKUP($A56,'SegEnds_NonXtal_Prot#'!$A:$AL,35,FALSE)</f>
        <v>694</v>
      </c>
      <c r="AO56" s="5">
        <f>VLOOKUP($A56,'SegEnds_NonXtal_Prot#'!$A:$AL,38,FALSE)</f>
        <v>717</v>
      </c>
      <c r="AP56" s="5">
        <f t="shared" si="13"/>
        <v>31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38</v>
      </c>
      <c r="AU56" s="4">
        <f t="shared" si="18"/>
        <v>6</v>
      </c>
      <c r="AV56" s="4">
        <f t="shared" si="19"/>
        <v>25</v>
      </c>
      <c r="AW56" s="4">
        <f t="shared" si="20"/>
        <v>2</v>
      </c>
      <c r="AX56" s="4">
        <f t="shared" si="21"/>
        <v>37</v>
      </c>
      <c r="AY56" s="4">
        <f t="shared" si="22"/>
        <v>37</v>
      </c>
      <c r="AZ56" s="4">
        <f t="shared" si="23"/>
        <v>25</v>
      </c>
      <c r="BA56" s="4">
        <f t="shared" si="24"/>
        <v>22</v>
      </c>
    </row>
    <row r="57" spans="1:53" x14ac:dyDescent="0.2">
      <c r="A57" s="1" t="str">
        <f>'SegEnds_NonXtal_Prot#'!A22</f>
        <v>s1pr1_human</v>
      </c>
      <c r="B57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7" s="5" t="str">
        <f t="shared" si="1"/>
        <v>ENSIKLTSVVFILICCFIILENIFVLLTIWKT</v>
      </c>
      <c r="G57" s="4" t="str">
        <f t="shared" si="2"/>
        <v>KKFH</v>
      </c>
      <c r="H57" s="4" t="str">
        <f t="shared" si="3"/>
        <v>RPMYYFIGNLALSDLLAGVAYTANLLL</v>
      </c>
      <c r="I57" s="4" t="str">
        <f t="shared" si="4"/>
        <v>GATTYKL</v>
      </c>
      <c r="J57" s="4" t="str">
        <f t="shared" si="5"/>
        <v>TPAQWFLREGSMFVALSASVFSLLAIAIERYITMLK</v>
      </c>
      <c r="K57" s="4" t="str">
        <f t="shared" si="6"/>
        <v>MKLHNGS</v>
      </c>
      <c r="L57" s="4" t="str">
        <f t="shared" si="7"/>
        <v>NNFRLFLLISACWVISLILGGLPIMG</v>
      </c>
      <c r="M57" s="4" t="str">
        <f t="shared" si="8"/>
        <v/>
      </c>
      <c r="N57" s="4" t="str">
        <f t="shared" si="9"/>
        <v>HKHYILFCTTVFTLLLLSIVILYCRIYSLVRTRSRRLT</v>
      </c>
      <c r="O57" s="4" t="str">
        <f t="shared" si="10"/>
        <v>SRSSEKSLALLKTVIIVLSVFIACWAPLFILLLLDVGC</v>
      </c>
      <c r="P57" s="4" t="str">
        <f t="shared" si="11"/>
        <v>DILFRAEYFLVLAVLNSGTNPIIYTLT</v>
      </c>
      <c r="Q57" s="4" t="str">
        <f t="shared" si="12"/>
        <v>NKEMRRAFIRIMS</v>
      </c>
      <c r="R57" s="5">
        <f>VLOOKUP($A57,'SegEnds_NonXtal_Prot#'!$A:$AL,3,FALSE)</f>
        <v>42</v>
      </c>
      <c r="S57" s="5">
        <f>VLOOKUP($A57,'SegEnds_NonXtal_Prot#'!$A:$AL,6,FALSE)</f>
        <v>74</v>
      </c>
      <c r="T57" s="5">
        <f>VLOOKUP($A57,'SegEnds_NonXtal_Prot#'!$A:$AL,9,FALSE)</f>
        <v>78</v>
      </c>
      <c r="U57" s="5">
        <f>VLOOKUP($A57,'SegEnds_NonXtal_Prot#'!$A:$AL,12,FALSE)</f>
        <v>106</v>
      </c>
      <c r="V57" s="5">
        <f>VLOOKUP($A57,'SegEnds_NonXtal_Prot#'!$A:$AL,15,FALSE)</f>
        <v>113</v>
      </c>
      <c r="W57" s="5">
        <f>VLOOKUP($A57,'SegEnds_NonXtal_Prot#'!$A:$AL,18,FALSE)</f>
        <v>149</v>
      </c>
      <c r="X57" s="5">
        <f>VLOOKUP($A57,'SegEnds_NonXtal_Prot#'!$A:$AL,21,FALSE)</f>
        <v>156</v>
      </c>
      <c r="Y57" s="5" t="str">
        <f>VLOOKUP($A57,'SegEnds_NonXtal_Prot#'!$A:$AL,24,FALSE)</f>
        <v>-</v>
      </c>
      <c r="Z57" s="5">
        <f>VLOOKUP($A57,'SegEnds_NonXtal_Prot#'!$A:$AL,27,FALSE)</f>
        <v>199</v>
      </c>
      <c r="AA57" s="5">
        <f>VLOOKUP($A57,'SegEnds_NonXtal_Prot#'!$A:$AL,30,FALSE)</f>
        <v>245</v>
      </c>
      <c r="AB57" s="5">
        <f>VLOOKUP($A57,'SegEnds_NonXtal_Prot#'!$A:$AL,33,FALSE)</f>
        <v>288</v>
      </c>
      <c r="AC57" s="5">
        <f>VLOOKUP($A57,'SegEnds_NonXtal_Prot#'!$A:$AL,36,FALSE)</f>
        <v>315</v>
      </c>
      <c r="AD57" s="5">
        <f>VLOOKUP($A57,'SegEnds_NonXtal_Prot#'!$A:$AL,5,FALSE)</f>
        <v>73</v>
      </c>
      <c r="AE57" s="5">
        <f>VLOOKUP($A57,'SegEnds_NonXtal_Prot#'!$A:$AL,8,FALSE)</f>
        <v>77</v>
      </c>
      <c r="AF57" s="5">
        <f>VLOOKUP($A57,'SegEnds_NonXtal_Prot#'!$A:$AL,11,FALSE)</f>
        <v>104</v>
      </c>
      <c r="AG57" s="5">
        <f>VLOOKUP($A57,'SegEnds_NonXtal_Prot#'!$A:$AL,14,FALSE)</f>
        <v>112</v>
      </c>
      <c r="AH57" s="5">
        <f>VLOOKUP($A57,'SegEnds_NonXtal_Prot#'!$A:$AL,17,FALSE)</f>
        <v>148</v>
      </c>
      <c r="AI57" s="5">
        <f>VLOOKUP($A57,'SegEnds_NonXtal_Prot#'!$A:$AL,20,FALSE)</f>
        <v>155</v>
      </c>
      <c r="AJ57" s="5">
        <f>VLOOKUP($A57,'SegEnds_NonXtal_Prot#'!$A:$AL,23,FALSE)</f>
        <v>181</v>
      </c>
      <c r="AK57" s="5" t="str">
        <f>VLOOKUP($A57,'SegEnds_NonXtal_Prot#'!$A:$AL,26,FALSE)</f>
        <v>-</v>
      </c>
      <c r="AL57" s="5">
        <f>VLOOKUP($A57,'SegEnds_NonXtal_Prot#'!$A:$AL,29,FALSE)</f>
        <v>236</v>
      </c>
      <c r="AM57" s="5">
        <f>VLOOKUP($A57,'SegEnds_NonXtal_Prot#'!$A:$AL,32,FALSE)</f>
        <v>282</v>
      </c>
      <c r="AN57" s="5">
        <f>VLOOKUP($A57,'SegEnds_NonXtal_Prot#'!$A:$AL,35,FALSE)</f>
        <v>314</v>
      </c>
      <c r="AO57" s="5">
        <f>VLOOKUP($A57,'SegEnds_NonXtal_Prot#'!$A:$AL,38,FALSE)</f>
        <v>327</v>
      </c>
      <c r="AP57" s="5">
        <f t="shared" si="13"/>
        <v>31</v>
      </c>
      <c r="AQ57" s="4">
        <f t="shared" si="14"/>
        <v>3</v>
      </c>
      <c r="AR57" s="4">
        <f t="shared" si="15"/>
        <v>26</v>
      </c>
      <c r="AS57" s="4">
        <f t="shared" si="16"/>
        <v>6</v>
      </c>
      <c r="AT57" s="4">
        <f t="shared" si="17"/>
        <v>35</v>
      </c>
      <c r="AU57" s="4">
        <f t="shared" si="18"/>
        <v>6</v>
      </c>
      <c r="AV57" s="4">
        <f t="shared" si="19"/>
        <v>25</v>
      </c>
      <c r="AW57" s="4" t="str">
        <f t="shared" si="20"/>
        <v>-</v>
      </c>
      <c r="AX57" s="4">
        <f t="shared" si="21"/>
        <v>37</v>
      </c>
      <c r="AY57" s="4">
        <f t="shared" si="22"/>
        <v>37</v>
      </c>
      <c r="AZ57" s="4">
        <f t="shared" si="23"/>
        <v>26</v>
      </c>
      <c r="BA57" s="4">
        <f t="shared" si="24"/>
        <v>12</v>
      </c>
    </row>
    <row r="58" spans="1:53" x14ac:dyDescent="0.2">
      <c r="A58" s="1" t="str">
        <f>'SegEnds_NonXtal_Prot#'!A23</f>
        <v>s1pr2_human</v>
      </c>
      <c r="B58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58" s="5" t="str">
        <f t="shared" si="1"/>
        <v>TTSRQVASAFIVILCCAIVVENLLVLIAVARN</v>
      </c>
      <c r="G58" s="4" t="str">
        <f t="shared" si="2"/>
        <v>SKFH</v>
      </c>
      <c r="H58" s="4" t="str">
        <f t="shared" si="3"/>
        <v>SAMYLFLGNLAASDLLAGVAFVANTLL</v>
      </c>
      <c r="I58" s="4" t="str">
        <f t="shared" si="4"/>
        <v>GSVTLRL</v>
      </c>
      <c r="J58" s="4" t="str">
        <f t="shared" si="5"/>
        <v>TPVQWFAREGSAFITLSASVFSLLAIAIERHVAIAK</v>
      </c>
      <c r="K58" s="4" t="str">
        <f t="shared" si="6"/>
        <v>VKLYGSD</v>
      </c>
      <c r="L58" s="4" t="str">
        <f t="shared" si="7"/>
        <v>KSCRMLLLIGASWLISLVLGGLPILG</v>
      </c>
      <c r="M58" s="4" t="str">
        <f t="shared" si="8"/>
        <v/>
      </c>
      <c r="N58" s="4" t="str">
        <f t="shared" si="9"/>
        <v>AKHYVLCVVTIFSIILLAIVALYVRIYCVVRS</v>
      </c>
      <c r="O58" s="4" t="str">
        <f t="shared" si="10"/>
        <v>AAPQTLALLKTVTIVLGVFIVCWLPAFSILLLDYAC</v>
      </c>
      <c r="P58" s="4" t="str">
        <f t="shared" si="11"/>
        <v>PILYKAHYFFAVSTLNSLLNPVIYTWR</v>
      </c>
      <c r="Q58" s="4" t="str">
        <f t="shared" si="12"/>
        <v>SRDLRREVLRPLQ</v>
      </c>
      <c r="R58" s="5">
        <f>VLOOKUP($A58,'SegEnds_NonXtal_Prot#'!$A:$AL,3,FALSE)</f>
        <v>30</v>
      </c>
      <c r="S58" s="5">
        <f>VLOOKUP($A58,'SegEnds_NonXtal_Prot#'!$A:$AL,6,FALSE)</f>
        <v>62</v>
      </c>
      <c r="T58" s="5">
        <f>VLOOKUP($A58,'SegEnds_NonXtal_Prot#'!$A:$AL,9,FALSE)</f>
        <v>66</v>
      </c>
      <c r="U58" s="5">
        <f>VLOOKUP($A58,'SegEnds_NonXtal_Prot#'!$A:$AL,12,FALSE)</f>
        <v>94</v>
      </c>
      <c r="V58" s="5">
        <f>VLOOKUP($A58,'SegEnds_NonXtal_Prot#'!$A:$AL,15,FALSE)</f>
        <v>101</v>
      </c>
      <c r="W58" s="5">
        <f>VLOOKUP($A58,'SegEnds_NonXtal_Prot#'!$A:$AL,18,FALSE)</f>
        <v>137</v>
      </c>
      <c r="X58" s="5">
        <f>VLOOKUP($A58,'SegEnds_NonXtal_Prot#'!$A:$AL,21,FALSE)</f>
        <v>144</v>
      </c>
      <c r="Y58" s="5" t="str">
        <f>VLOOKUP($A58,'SegEnds_NonXtal_Prot#'!$A:$AL,24,FALSE)</f>
        <v>-</v>
      </c>
      <c r="Z58" s="5">
        <f>VLOOKUP($A58,'SegEnds_NonXtal_Prot#'!$A:$AL,27,FALSE)</f>
        <v>187</v>
      </c>
      <c r="AA58" s="5">
        <f>VLOOKUP($A58,'SegEnds_NonXtal_Prot#'!$A:$AL,30,FALSE)</f>
        <v>224</v>
      </c>
      <c r="AB58" s="5">
        <f>VLOOKUP($A58,'SegEnds_NonXtal_Prot#'!$A:$AL,33,FALSE)</f>
        <v>265</v>
      </c>
      <c r="AC58" s="5">
        <f>VLOOKUP($A58,'SegEnds_NonXtal_Prot#'!$A:$AL,36,FALSE)</f>
        <v>292</v>
      </c>
      <c r="AD58" s="5">
        <f>VLOOKUP($A58,'SegEnds_NonXtal_Prot#'!$A:$AL,5,FALSE)</f>
        <v>61</v>
      </c>
      <c r="AE58" s="5">
        <f>VLOOKUP($A58,'SegEnds_NonXtal_Prot#'!$A:$AL,8,FALSE)</f>
        <v>65</v>
      </c>
      <c r="AF58" s="5">
        <f>VLOOKUP($A58,'SegEnds_NonXtal_Prot#'!$A:$AL,11,FALSE)</f>
        <v>92</v>
      </c>
      <c r="AG58" s="5">
        <f>VLOOKUP($A58,'SegEnds_NonXtal_Prot#'!$A:$AL,14,FALSE)</f>
        <v>100</v>
      </c>
      <c r="AH58" s="5">
        <f>VLOOKUP($A58,'SegEnds_NonXtal_Prot#'!$A:$AL,17,FALSE)</f>
        <v>136</v>
      </c>
      <c r="AI58" s="5">
        <f>VLOOKUP($A58,'SegEnds_NonXtal_Prot#'!$A:$AL,20,FALSE)</f>
        <v>143</v>
      </c>
      <c r="AJ58" s="5">
        <f>VLOOKUP($A58,'SegEnds_NonXtal_Prot#'!$A:$AL,23,FALSE)</f>
        <v>169</v>
      </c>
      <c r="AK58" s="5" t="str">
        <f>VLOOKUP($A58,'SegEnds_NonXtal_Prot#'!$A:$AL,26,FALSE)</f>
        <v>-</v>
      </c>
      <c r="AL58" s="5">
        <f>VLOOKUP($A58,'SegEnds_NonXtal_Prot#'!$A:$AL,29,FALSE)</f>
        <v>218</v>
      </c>
      <c r="AM58" s="5">
        <f>VLOOKUP($A58,'SegEnds_NonXtal_Prot#'!$A:$AL,32,FALSE)</f>
        <v>259</v>
      </c>
      <c r="AN58" s="5">
        <f>VLOOKUP($A58,'SegEnds_NonXtal_Prot#'!$A:$AL,35,FALSE)</f>
        <v>291</v>
      </c>
      <c r="AO58" s="5">
        <f>VLOOKUP($A58,'SegEnds_NonXtal_Prot#'!$A:$AL,38,FALSE)</f>
        <v>304</v>
      </c>
      <c r="AP58" s="5">
        <f t="shared" si="13"/>
        <v>31</v>
      </c>
      <c r="AQ58" s="4">
        <f t="shared" si="14"/>
        <v>3</v>
      </c>
      <c r="AR58" s="4">
        <f t="shared" si="15"/>
        <v>26</v>
      </c>
      <c r="AS58" s="4">
        <f t="shared" si="16"/>
        <v>6</v>
      </c>
      <c r="AT58" s="4">
        <f t="shared" si="17"/>
        <v>35</v>
      </c>
      <c r="AU58" s="4">
        <f t="shared" si="18"/>
        <v>6</v>
      </c>
      <c r="AV58" s="4">
        <f t="shared" si="19"/>
        <v>25</v>
      </c>
      <c r="AW58" s="4" t="str">
        <f t="shared" si="20"/>
        <v>-</v>
      </c>
      <c r="AX58" s="4">
        <f t="shared" si="21"/>
        <v>31</v>
      </c>
      <c r="AY58" s="4">
        <f t="shared" si="22"/>
        <v>35</v>
      </c>
      <c r="AZ58" s="4">
        <f t="shared" si="23"/>
        <v>26</v>
      </c>
      <c r="BA58" s="4">
        <f t="shared" si="24"/>
        <v>12</v>
      </c>
    </row>
    <row r="59" spans="1:53" x14ac:dyDescent="0.2">
      <c r="A59" s="1" t="str">
        <f>'SegEnds_NonXtal_Prot#'!A24</f>
        <v>s1pr3_human</v>
      </c>
      <c r="B59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59" s="5" t="str">
        <f t="shared" si="1"/>
        <v>SEGSTLTTVLFLVICSFIVLENLMVLIAIWKN</v>
      </c>
      <c r="G59" s="4" t="str">
        <f t="shared" si="2"/>
        <v>NKFH</v>
      </c>
      <c r="H59" s="4" t="str">
        <f t="shared" si="3"/>
        <v>NRMYFFIGNLALCDLLAGIAYKVNILM</v>
      </c>
      <c r="I59" s="4" t="str">
        <f t="shared" si="4"/>
        <v>GKKTFSL</v>
      </c>
      <c r="J59" s="4" t="str">
        <f t="shared" si="5"/>
        <v>SPTVWFLREGSMFVALGASTCSLLAIAIERHLTMIK</v>
      </c>
      <c r="K59" s="4" t="str">
        <f t="shared" si="6"/>
        <v>MRPYDAN</v>
      </c>
      <c r="L59" s="4" t="str">
        <f t="shared" si="7"/>
        <v>KRHRVFLLIGMCWLIAFTLGALPILG</v>
      </c>
      <c r="M59" s="4" t="str">
        <f t="shared" si="8"/>
        <v/>
      </c>
      <c r="N59" s="4" t="str">
        <f t="shared" si="9"/>
        <v>SKKYIAFCISIFTAILVTIVILYARIYFLVKSS</v>
      </c>
      <c r="O59" s="4" t="str">
        <f t="shared" si="10"/>
        <v>NHNNSERSMALLRTVVIVVSVFIACWSPLFILFLIDVAC</v>
      </c>
      <c r="P59" s="4" t="str">
        <f t="shared" si="11"/>
        <v>PILFKAQWFIVLAVLNSAMNPVIYTLA</v>
      </c>
      <c r="Q59" s="4" t="str">
        <f t="shared" si="12"/>
        <v>SKEMRRAFFRLVC</v>
      </c>
      <c r="R59" s="5">
        <f>VLOOKUP($A59,'SegEnds_NonXtal_Prot#'!$A:$AL,3,FALSE)</f>
        <v>36</v>
      </c>
      <c r="S59" s="5">
        <f>VLOOKUP($A59,'SegEnds_NonXtal_Prot#'!$A:$AL,6,FALSE)</f>
        <v>68</v>
      </c>
      <c r="T59" s="5">
        <f>VLOOKUP($A59,'SegEnds_NonXtal_Prot#'!$A:$AL,9,FALSE)</f>
        <v>72</v>
      </c>
      <c r="U59" s="5">
        <f>VLOOKUP($A59,'SegEnds_NonXtal_Prot#'!$A:$AL,12,FALSE)</f>
        <v>100</v>
      </c>
      <c r="V59" s="5">
        <f>VLOOKUP($A59,'SegEnds_NonXtal_Prot#'!$A:$AL,15,FALSE)</f>
        <v>107</v>
      </c>
      <c r="W59" s="5">
        <f>VLOOKUP($A59,'SegEnds_NonXtal_Prot#'!$A:$AL,18,FALSE)</f>
        <v>143</v>
      </c>
      <c r="X59" s="5">
        <f>VLOOKUP($A59,'SegEnds_NonXtal_Prot#'!$A:$AL,21,FALSE)</f>
        <v>150</v>
      </c>
      <c r="Y59" s="5" t="str">
        <f>VLOOKUP($A59,'SegEnds_NonXtal_Prot#'!$A:$AL,24,FALSE)</f>
        <v>-</v>
      </c>
      <c r="Z59" s="5">
        <f>VLOOKUP($A59,'SegEnds_NonXtal_Prot#'!$A:$AL,27,FALSE)</f>
        <v>193</v>
      </c>
      <c r="AA59" s="5">
        <f>VLOOKUP($A59,'SegEnds_NonXtal_Prot#'!$A:$AL,30,FALSE)</f>
        <v>231</v>
      </c>
      <c r="AB59" s="5">
        <f>VLOOKUP($A59,'SegEnds_NonXtal_Prot#'!$A:$AL,33,FALSE)</f>
        <v>275</v>
      </c>
      <c r="AC59" s="5">
        <f>VLOOKUP($A59,'SegEnds_NonXtal_Prot#'!$A:$AL,36,FALSE)</f>
        <v>302</v>
      </c>
      <c r="AD59" s="5">
        <f>VLOOKUP($A59,'SegEnds_NonXtal_Prot#'!$A:$AL,5,FALSE)</f>
        <v>67</v>
      </c>
      <c r="AE59" s="5">
        <f>VLOOKUP($A59,'SegEnds_NonXtal_Prot#'!$A:$AL,8,FALSE)</f>
        <v>71</v>
      </c>
      <c r="AF59" s="5">
        <f>VLOOKUP($A59,'SegEnds_NonXtal_Prot#'!$A:$AL,11,FALSE)</f>
        <v>98</v>
      </c>
      <c r="AG59" s="5">
        <f>VLOOKUP($A59,'SegEnds_NonXtal_Prot#'!$A:$AL,14,FALSE)</f>
        <v>106</v>
      </c>
      <c r="AH59" s="5">
        <f>VLOOKUP($A59,'SegEnds_NonXtal_Prot#'!$A:$AL,17,FALSE)</f>
        <v>142</v>
      </c>
      <c r="AI59" s="5">
        <f>VLOOKUP($A59,'SegEnds_NonXtal_Prot#'!$A:$AL,20,FALSE)</f>
        <v>149</v>
      </c>
      <c r="AJ59" s="5">
        <f>VLOOKUP($A59,'SegEnds_NonXtal_Prot#'!$A:$AL,23,FALSE)</f>
        <v>175</v>
      </c>
      <c r="AK59" s="5" t="str">
        <f>VLOOKUP($A59,'SegEnds_NonXtal_Prot#'!$A:$AL,26,FALSE)</f>
        <v>-</v>
      </c>
      <c r="AL59" s="5">
        <f>VLOOKUP($A59,'SegEnds_NonXtal_Prot#'!$A:$AL,29,FALSE)</f>
        <v>225</v>
      </c>
      <c r="AM59" s="5">
        <f>VLOOKUP($A59,'SegEnds_NonXtal_Prot#'!$A:$AL,32,FALSE)</f>
        <v>269</v>
      </c>
      <c r="AN59" s="5">
        <f>VLOOKUP($A59,'SegEnds_NonXtal_Prot#'!$A:$AL,35,FALSE)</f>
        <v>301</v>
      </c>
      <c r="AO59" s="5">
        <f>VLOOKUP($A59,'SegEnds_NonXtal_Prot#'!$A:$AL,38,FALSE)</f>
        <v>314</v>
      </c>
      <c r="AP59" s="5">
        <f t="shared" si="13"/>
        <v>31</v>
      </c>
      <c r="AQ59" s="4">
        <f t="shared" si="14"/>
        <v>3</v>
      </c>
      <c r="AR59" s="4">
        <f t="shared" si="15"/>
        <v>26</v>
      </c>
      <c r="AS59" s="4">
        <f t="shared" si="16"/>
        <v>6</v>
      </c>
      <c r="AT59" s="4">
        <f t="shared" si="17"/>
        <v>35</v>
      </c>
      <c r="AU59" s="4">
        <f t="shared" si="18"/>
        <v>6</v>
      </c>
      <c r="AV59" s="4">
        <f t="shared" si="19"/>
        <v>25</v>
      </c>
      <c r="AW59" s="4" t="str">
        <f t="shared" si="20"/>
        <v>-</v>
      </c>
      <c r="AX59" s="4">
        <f t="shared" si="21"/>
        <v>32</v>
      </c>
      <c r="AY59" s="4">
        <f t="shared" si="22"/>
        <v>38</v>
      </c>
      <c r="AZ59" s="4">
        <f t="shared" si="23"/>
        <v>26</v>
      </c>
      <c r="BA59" s="4">
        <f t="shared" si="24"/>
        <v>12</v>
      </c>
    </row>
    <row r="60" spans="1:53" x14ac:dyDescent="0.2">
      <c r="A60" s="1" t="str">
        <f>'SegEnds_NonXtal_Prot#'!A25</f>
        <v>ur2r_human</v>
      </c>
      <c r="B60" s="1" t="str">
        <f t="shared" si="0"/>
        <v>SLEDLVATGTIGTLLSAMGVVGVVGNAYTLVVTCRSASMYVYVVNLALADLLYLLSIPFIVATYVTGDVGCRVLFGLDFLTMHASIFTLTVMSSERYAAVLRPKGYRKLLALGTWLLALLLTLPVMLAMHRAYLTLLFATSIAGPGLLIGLLYARLARAYRRSQRASPGARALRLVLGIVLLFWACFLPFWLWQLLAQYHPRTARIVNYLTTCLTYGNSCANPFLYTLTRNYRDHLRGRVR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0" s="5" t="str">
        <f t="shared" si="1"/>
        <v>SLEDLVATGTIGTLLSAMGVVGVVGNAYTLVVTCRS</v>
      </c>
      <c r="G60" s="4" t="str">
        <f t="shared" si="2"/>
        <v>LRAV</v>
      </c>
      <c r="H60" s="4" t="str">
        <f t="shared" si="3"/>
        <v>ASMYVYVVNLALADLLYLLSIPFIVATYVT</v>
      </c>
      <c r="I60" s="4" t="str">
        <f t="shared" si="4"/>
        <v>EWHF</v>
      </c>
      <c r="J60" s="4" t="str">
        <f t="shared" si="5"/>
        <v>GDVGCRVLFGLDFLTMHASIFTLTVMSSERYAAVLR</v>
      </c>
      <c r="K60" s="4" t="str">
        <f t="shared" si="6"/>
        <v>PLDTVQR</v>
      </c>
      <c r="L60" s="4" t="str">
        <f t="shared" si="7"/>
        <v>PKGYRKLLALGTWLLALLLTLPVMLAM</v>
      </c>
      <c r="M60" s="4" t="str">
        <f t="shared" si="8"/>
        <v>CLP</v>
      </c>
      <c r="N60" s="4" t="str">
        <f t="shared" si="9"/>
        <v>HRAYLTLLFATSIAGPGLLIGLLYARLARAYRRSQRAS</v>
      </c>
      <c r="O60" s="4" t="str">
        <f t="shared" si="10"/>
        <v>PGARALRLVLGIVLLFWACFLPFWLWQLLAQYH</v>
      </c>
      <c r="P60" s="4" t="str">
        <f t="shared" si="11"/>
        <v>PRTARIVNYLTTCLTYGNSCANPFLYTL</v>
      </c>
      <c r="Q60" s="4" t="str">
        <f t="shared" si="12"/>
        <v>TRNYRDHLRGRVR</v>
      </c>
      <c r="R60" s="5">
        <f>VLOOKUP($A60,'SegEnds_NonXtal_Prot#'!$A:$AL,3,FALSE)</f>
        <v>44</v>
      </c>
      <c r="S60" s="5">
        <f>VLOOKUP($A60,'SegEnds_NonXtal_Prot#'!$A:$AL,6,FALSE)</f>
        <v>80</v>
      </c>
      <c r="T60" s="5">
        <f>VLOOKUP($A60,'SegEnds_NonXtal_Prot#'!$A:$AL,9,FALSE)</f>
        <v>84</v>
      </c>
      <c r="U60" s="5">
        <f>VLOOKUP($A60,'SegEnds_NonXtal_Prot#'!$A:$AL,12,FALSE)</f>
        <v>115</v>
      </c>
      <c r="V60" s="5">
        <f>VLOOKUP($A60,'SegEnds_NonXtal_Prot#'!$A:$AL,15,FALSE)</f>
        <v>119</v>
      </c>
      <c r="W60" s="5">
        <f>VLOOKUP($A60,'SegEnds_NonXtal_Prot#'!$A:$AL,18,FALSE)</f>
        <v>155</v>
      </c>
      <c r="X60" s="5">
        <f>VLOOKUP($A60,'SegEnds_NonXtal_Prot#'!$A:$AL,21,FALSE)</f>
        <v>162</v>
      </c>
      <c r="Y60" s="5">
        <f>VLOOKUP($A60,'SegEnds_NonXtal_Prot#'!$A:$AL,24,FALSE)</f>
        <v>199</v>
      </c>
      <c r="Z60" s="5">
        <f>VLOOKUP($A60,'SegEnds_NonXtal_Prot#'!$A:$AL,27,FALSE)</f>
        <v>208</v>
      </c>
      <c r="AA60" s="5">
        <f>VLOOKUP($A60,'SegEnds_NonXtal_Prot#'!$A:$AL,30,FALSE)</f>
        <v>252</v>
      </c>
      <c r="AB60" s="5">
        <f>VLOOKUP($A60,'SegEnds_NonXtal_Prot#'!$A:$AL,33,FALSE)</f>
        <v>290</v>
      </c>
      <c r="AC60" s="5">
        <f>VLOOKUP($A60,'SegEnds_NonXtal_Prot#'!$A:$AL,36,FALSE)</f>
        <v>319</v>
      </c>
      <c r="AD60" s="5">
        <f>VLOOKUP($A60,'SegEnds_NonXtal_Prot#'!$A:$AL,5,FALSE)</f>
        <v>79</v>
      </c>
      <c r="AE60" s="5">
        <f>VLOOKUP($A60,'SegEnds_NonXtal_Prot#'!$A:$AL,8,FALSE)</f>
        <v>83</v>
      </c>
      <c r="AF60" s="5">
        <f>VLOOKUP($A60,'SegEnds_NonXtal_Prot#'!$A:$AL,11,FALSE)</f>
        <v>113</v>
      </c>
      <c r="AG60" s="5">
        <f>VLOOKUP($A60,'SegEnds_NonXtal_Prot#'!$A:$AL,14,FALSE)</f>
        <v>118</v>
      </c>
      <c r="AH60" s="5">
        <f>VLOOKUP($A60,'SegEnds_NonXtal_Prot#'!$A:$AL,17,FALSE)</f>
        <v>154</v>
      </c>
      <c r="AI60" s="5">
        <f>VLOOKUP($A60,'SegEnds_NonXtal_Prot#'!$A:$AL,20,FALSE)</f>
        <v>161</v>
      </c>
      <c r="AJ60" s="5">
        <f>VLOOKUP($A60,'SegEnds_NonXtal_Prot#'!$A:$AL,23,FALSE)</f>
        <v>188</v>
      </c>
      <c r="AK60" s="5">
        <f>VLOOKUP($A60,'SegEnds_NonXtal_Prot#'!$A:$AL,26,FALSE)</f>
        <v>201</v>
      </c>
      <c r="AL60" s="5">
        <f>VLOOKUP($A60,'SegEnds_NonXtal_Prot#'!$A:$AL,29,FALSE)</f>
        <v>245</v>
      </c>
      <c r="AM60" s="5">
        <f>VLOOKUP($A60,'SegEnds_NonXtal_Prot#'!$A:$AL,32,FALSE)</f>
        <v>284</v>
      </c>
      <c r="AN60" s="5">
        <f>VLOOKUP($A60,'SegEnds_NonXtal_Prot#'!$A:$AL,35,FALSE)</f>
        <v>317</v>
      </c>
      <c r="AO60" s="5">
        <f>VLOOKUP($A60,'SegEnds_NonXtal_Prot#'!$A:$AL,38,FALSE)</f>
        <v>331</v>
      </c>
      <c r="AP60" s="5">
        <f t="shared" si="13"/>
        <v>35</v>
      </c>
      <c r="AQ60" s="4">
        <f t="shared" si="14"/>
        <v>3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26</v>
      </c>
      <c r="AW60" s="4">
        <f t="shared" si="20"/>
        <v>2</v>
      </c>
      <c r="AX60" s="4">
        <f t="shared" si="21"/>
        <v>37</v>
      </c>
      <c r="AY60" s="4">
        <f t="shared" si="22"/>
        <v>32</v>
      </c>
      <c r="AZ60" s="4">
        <f t="shared" si="23"/>
        <v>27</v>
      </c>
      <c r="BA60" s="4">
        <f t="shared" si="24"/>
        <v>12</v>
      </c>
    </row>
    <row r="61" spans="1:53" x14ac:dyDescent="0.2">
      <c r="A61" s="1" t="str">
        <f>'SegEnds_NonXtal_Prot#'!A27</f>
        <v>v1br_human</v>
      </c>
      <c r="B61" s="1" t="str">
        <f t="shared" si="0"/>
        <v>EELAKVEIGVLATVLVLATGGNLAVLLTLGQLSRMHLFVLHLALTDLAVALFQVLPQLLQGPDLLCRAVKYLQVLSMFASTYMLLAMTLDRYLAVCHPGQSTYLLIAAPWLLAAIFSLPQVFIRAYLTWTTLAIFVLPVTMLTACYSLICHEICKNLKVKTQAWNTISRAKIRTVKMTFVIVLAYIACWAPFFSVQMWSVWDEDSTNVAFTISMLLGNLNSCCNPWIYMGFNSHLLPRPLRHLA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1" s="5" t="str">
        <f t="shared" si="1"/>
        <v>EELAKVEIGVLATVLVLATGGNLAVLLTLGQL</v>
      </c>
      <c r="G61" s="4" t="str">
        <f t="shared" si="2"/>
        <v>GRKR</v>
      </c>
      <c r="H61" s="4" t="str">
        <f t="shared" si="3"/>
        <v>SRMHLFVLHLALTDLAVALFQVLPQLL</v>
      </c>
      <c r="I61" s="4" t="str">
        <f t="shared" si="4"/>
        <v>YRF</v>
      </c>
      <c r="J61" s="4" t="str">
        <f t="shared" si="5"/>
        <v>QGPDLLCRAVKYLQVLSMFASTYMLLAMTLDRYLAVCH</v>
      </c>
      <c r="K61" s="4" t="str">
        <f t="shared" si="6"/>
        <v>PLRSLQQ</v>
      </c>
      <c r="L61" s="4" t="str">
        <f t="shared" si="7"/>
        <v>PGQSTYLLIAAPWLLAAIFSLPQVFI</v>
      </c>
      <c r="M61" s="4" t="str">
        <f t="shared" si="8"/>
        <v/>
      </c>
      <c r="N61" s="4" t="str">
        <f t="shared" si="9"/>
        <v>RAYLTWTTLAIFVLPVTMLTACYSLICHEICKNLKVKTQAW</v>
      </c>
      <c r="O61" s="4" t="str">
        <f t="shared" si="10"/>
        <v>NTISRAKIRTVKMTFVIVLAYIACWAPFFSVQMWSVWD</v>
      </c>
      <c r="P61" s="4" t="str">
        <f t="shared" si="11"/>
        <v>EDSTNVAFTISMLLGNLNSCCNPWIYMGF</v>
      </c>
      <c r="Q61" s="4" t="str">
        <f t="shared" si="12"/>
        <v>NSHLLPRPLRHLA</v>
      </c>
      <c r="R61" s="5">
        <f>VLOOKUP($A61,'SegEnds_NonXtal_Prot#'!$A:$AL,3,FALSE)</f>
        <v>31</v>
      </c>
      <c r="S61" s="5">
        <f>VLOOKUP($A61,'SegEnds_NonXtal_Prot#'!$A:$AL,6,FALSE)</f>
        <v>63</v>
      </c>
      <c r="T61" s="5">
        <f>VLOOKUP($A61,'SegEnds_NonXtal_Prot#'!$A:$AL,9,FALSE)</f>
        <v>67</v>
      </c>
      <c r="U61" s="5">
        <f>VLOOKUP($A61,'SegEnds_NonXtal_Prot#'!$A:$AL,12,FALSE)</f>
        <v>98</v>
      </c>
      <c r="V61" s="5">
        <f>VLOOKUP($A61,'SegEnds_NonXtal_Prot#'!$A:$AL,15,FALSE)</f>
        <v>101</v>
      </c>
      <c r="W61" s="5">
        <f>VLOOKUP($A61,'SegEnds_NonXtal_Prot#'!$A:$AL,18,FALSE)</f>
        <v>139</v>
      </c>
      <c r="X61" s="5">
        <f>VLOOKUP($A61,'SegEnds_NonXtal_Prot#'!$A:$AL,21,FALSE)</f>
        <v>146</v>
      </c>
      <c r="Y61" s="5" t="str">
        <f>VLOOKUP($A61,'SegEnds_NonXtal_Prot#'!$A:$AL,24,FALSE)</f>
        <v>-</v>
      </c>
      <c r="Z61" s="5">
        <f>VLOOKUP($A61,'SegEnds_NonXtal_Prot#'!$A:$AL,27,FALSE)</f>
        <v>197</v>
      </c>
      <c r="AA61" s="5">
        <f>VLOOKUP($A61,'SegEnds_NonXtal_Prot#'!$A:$AL,30,FALSE)</f>
        <v>270</v>
      </c>
      <c r="AB61" s="5">
        <f>VLOOKUP($A61,'SegEnds_NonXtal_Prot#'!$A:$AL,33,FALSE)</f>
        <v>313</v>
      </c>
      <c r="AC61" s="5">
        <f>VLOOKUP($A61,'SegEnds_NonXtal_Prot#'!$A:$AL,36,FALSE)</f>
        <v>342</v>
      </c>
      <c r="AD61" s="5">
        <f>VLOOKUP($A61,'SegEnds_NonXtal_Prot#'!$A:$AL,5,FALSE)</f>
        <v>62</v>
      </c>
      <c r="AE61" s="5">
        <f>VLOOKUP($A61,'SegEnds_NonXtal_Prot#'!$A:$AL,8,FALSE)</f>
        <v>66</v>
      </c>
      <c r="AF61" s="5">
        <f>VLOOKUP($A61,'SegEnds_NonXtal_Prot#'!$A:$AL,11,FALSE)</f>
        <v>93</v>
      </c>
      <c r="AG61" s="5">
        <f>VLOOKUP($A61,'SegEnds_NonXtal_Prot#'!$A:$AL,14,FALSE)</f>
        <v>100</v>
      </c>
      <c r="AH61" s="5">
        <f>VLOOKUP($A61,'SegEnds_NonXtal_Prot#'!$A:$AL,17,FALSE)</f>
        <v>138</v>
      </c>
      <c r="AI61" s="5">
        <f>VLOOKUP($A61,'SegEnds_NonXtal_Prot#'!$A:$AL,20,FALSE)</f>
        <v>145</v>
      </c>
      <c r="AJ61" s="5">
        <f>VLOOKUP($A61,'SegEnds_NonXtal_Prot#'!$A:$AL,23,FALSE)</f>
        <v>171</v>
      </c>
      <c r="AK61" s="5">
        <f>VLOOKUP($A61,'SegEnds_NonXtal_Prot#'!$A:$AL,26,FALSE)</f>
        <v>188</v>
      </c>
      <c r="AL61" s="5">
        <f>VLOOKUP($A61,'SegEnds_NonXtal_Prot#'!$A:$AL,29,FALSE)</f>
        <v>237</v>
      </c>
      <c r="AM61" s="5">
        <f>VLOOKUP($A61,'SegEnds_NonXtal_Prot#'!$A:$AL,32,FALSE)</f>
        <v>307</v>
      </c>
      <c r="AN61" s="5">
        <f>VLOOKUP($A61,'SegEnds_NonXtal_Prot#'!$A:$AL,35,FALSE)</f>
        <v>341</v>
      </c>
      <c r="AO61" s="5">
        <f>VLOOKUP($A61,'SegEnds_NonXtal_Prot#'!$A:$AL,38,FALSE)</f>
        <v>354</v>
      </c>
      <c r="AP61" s="5">
        <f t="shared" si="13"/>
        <v>31</v>
      </c>
      <c r="AQ61" s="4">
        <f t="shared" si="14"/>
        <v>3</v>
      </c>
      <c r="AR61" s="4">
        <f t="shared" si="15"/>
        <v>26</v>
      </c>
      <c r="AS61" s="4">
        <f t="shared" si="16"/>
        <v>2</v>
      </c>
      <c r="AT61" s="4">
        <f t="shared" si="17"/>
        <v>37</v>
      </c>
      <c r="AU61" s="4">
        <f t="shared" si="18"/>
        <v>6</v>
      </c>
      <c r="AV61" s="4">
        <f t="shared" si="19"/>
        <v>25</v>
      </c>
      <c r="AW61" s="4" t="str">
        <f t="shared" si="20"/>
        <v>-</v>
      </c>
      <c r="AX61" s="4">
        <f t="shared" si="21"/>
        <v>40</v>
      </c>
      <c r="AY61" s="4">
        <f t="shared" si="22"/>
        <v>37</v>
      </c>
      <c r="AZ61" s="4">
        <f t="shared" si="23"/>
        <v>28</v>
      </c>
      <c r="BA61" s="4">
        <f t="shared" si="24"/>
        <v>12</v>
      </c>
    </row>
    <row r="62" spans="1:53" x14ac:dyDescent="0.2">
      <c r="A62" s="1" t="str">
        <f>'SegEnds_NonXtal_Prot#'!A28</f>
        <v>ccr9_human</v>
      </c>
      <c r="B62" s="1" t="str">
        <f t="shared" si="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62" s="29" t="str">
        <f>IF(ISERROR(MATCH(A62,'SegEnds_Xtal_Prot#'!B:B, 0)), "NoXtal", "Xtal")</f>
        <v>Xtal</v>
      </c>
      <c r="D62" s="4" t="str">
        <f>VLOOKUP(A62,Classification!A:D,2,FALSE)</f>
        <v>A</v>
      </c>
      <c r="E62" s="5" t="str">
        <f>VLOOKUP(A62,Seqs!A:B,2,FALSE)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62" s="5" t="str">
        <f t="shared" si="1"/>
        <v>VRQFASHFLPPLYWLVFIVGALGNSLVILVYWYC</v>
      </c>
      <c r="G62" s="4" t="str">
        <f t="shared" si="2"/>
        <v>TRVK</v>
      </c>
      <c r="H62" s="4" t="str">
        <f t="shared" si="3"/>
        <v>TMTDMFLLNLAIADLLFLVTLPFWAIAAAD</v>
      </c>
      <c r="I62" s="4" t="str">
        <f t="shared" si="4"/>
        <v>QWKF</v>
      </c>
      <c r="J62" s="4" t="str">
        <f t="shared" si="5"/>
        <v>QTFMCKVVNSMYKMNFYSCVLLIMCISVDRYIAIAQ</v>
      </c>
      <c r="K62" s="4" t="str">
        <f t="shared" si="6"/>
        <v>AMRAHTW</v>
      </c>
      <c r="L62" s="4" t="str">
        <f t="shared" si="7"/>
        <v>REKRLLYSKMVCFTIWVLAAALCIPEILYS</v>
      </c>
      <c r="M62" s="4" t="str">
        <f t="shared" si="8"/>
        <v>CTM</v>
      </c>
      <c r="N62" s="4" t="str">
        <f t="shared" si="9"/>
        <v>KLKSAVLTLKVILGFFLPFVVMACCYTIIIHTLIQA</v>
      </c>
      <c r="O62" s="4" t="str">
        <f t="shared" si="10"/>
        <v>KHKALKVTITVLTVFVLSQFPYNCILLVQTIDAYAM</v>
      </c>
      <c r="P62" s="4" t="str">
        <f t="shared" si="11"/>
        <v>NCAVSTNIDICFQVTQTIAFFHSCLNPVLYVFV</v>
      </c>
      <c r="Q62" s="4" t="str">
        <f t="shared" si="12"/>
        <v>GERFRRDLVKTLKNLGCISQA</v>
      </c>
      <c r="R62" s="5">
        <f>VLOOKUP($A62,'SegEnds_NonXtal_Prot#'!$A:$AL,3,FALSE)</f>
        <v>43</v>
      </c>
      <c r="S62" s="5">
        <f>VLOOKUP($A62,'SegEnds_NonXtal_Prot#'!$A:$AL,6,FALSE)</f>
        <v>77</v>
      </c>
      <c r="T62" s="5">
        <f>VLOOKUP($A62,'SegEnds_NonXtal_Prot#'!$A:$AL,9,FALSE)</f>
        <v>81</v>
      </c>
      <c r="U62" s="5">
        <f>VLOOKUP($A62,'SegEnds_NonXtal_Prot#'!$A:$AL,12,FALSE)</f>
        <v>111</v>
      </c>
      <c r="V62" s="5">
        <f>VLOOKUP($A62,'SegEnds_NonXtal_Prot#'!$A:$AL,15,FALSE)</f>
        <v>115</v>
      </c>
      <c r="W62" s="5">
        <f>VLOOKUP($A62,'SegEnds_NonXtal_Prot#'!$A:$AL,18,FALSE)</f>
        <v>151</v>
      </c>
      <c r="X62" s="5">
        <f>VLOOKUP($A62,'SegEnds_NonXtal_Prot#'!$A:$AL,21,FALSE)</f>
        <v>158</v>
      </c>
      <c r="Y62" s="5">
        <f>VLOOKUP($A62,'SegEnds_NonXtal_Prot#'!$A:$AL,24,FALSE)</f>
        <v>198</v>
      </c>
      <c r="Z62" s="5">
        <f>VLOOKUP($A62,'SegEnds_NonXtal_Prot#'!$A:$AL,27,FALSE)</f>
        <v>209</v>
      </c>
      <c r="AA62" s="5">
        <f>VLOOKUP($A62,'SegEnds_NonXtal_Prot#'!$A:$AL,30,FALSE)</f>
        <v>249</v>
      </c>
      <c r="AB62" s="5">
        <f>VLOOKUP($A62,'SegEnds_NonXtal_Prot#'!$A:$AL,33,FALSE)</f>
        <v>288</v>
      </c>
      <c r="AC62" s="5">
        <f>VLOOKUP($A62,'SegEnds_NonXtal_Prot#'!$A:$AL,36,FALSE)</f>
        <v>321</v>
      </c>
      <c r="AD62" s="5">
        <f>VLOOKUP($A62,'SegEnds_NonXtal_Prot#'!$A:$AL,5,FALSE)</f>
        <v>76</v>
      </c>
      <c r="AE62" s="5">
        <f>VLOOKUP($A62,'SegEnds_NonXtal_Prot#'!$A:$AL,8,FALSE)</f>
        <v>80</v>
      </c>
      <c r="AF62" s="5">
        <f>VLOOKUP($A62,'SegEnds_NonXtal_Prot#'!$A:$AL,11,FALSE)</f>
        <v>110</v>
      </c>
      <c r="AG62" s="5">
        <f>VLOOKUP($A62,'SegEnds_NonXtal_Prot#'!$A:$AL,14,FALSE)</f>
        <v>114</v>
      </c>
      <c r="AH62" s="5">
        <f>VLOOKUP($A62,'SegEnds_NonXtal_Prot#'!$A:$AL,17,FALSE)</f>
        <v>150</v>
      </c>
      <c r="AI62" s="5">
        <f>VLOOKUP($A62,'SegEnds_NonXtal_Prot#'!$A:$AL,20,FALSE)</f>
        <v>157</v>
      </c>
      <c r="AJ62" s="5">
        <f>VLOOKUP($A62,'SegEnds_NonXtal_Prot#'!$A:$AL,23,FALSE)</f>
        <v>187</v>
      </c>
      <c r="AK62" s="5">
        <f>VLOOKUP($A62,'SegEnds_NonXtal_Prot#'!$A:$AL,26,FALSE)</f>
        <v>200</v>
      </c>
      <c r="AL62" s="5">
        <f>VLOOKUP($A62,'SegEnds_NonXtal_Prot#'!$A:$AL,29,FALSE)</f>
        <v>244</v>
      </c>
      <c r="AM62" s="5">
        <f>VLOOKUP($A62,'SegEnds_NonXtal_Prot#'!$A:$AL,32,FALSE)</f>
        <v>284</v>
      </c>
      <c r="AN62" s="5">
        <f>VLOOKUP($A62,'SegEnds_NonXtal_Prot#'!$A:$AL,35,FALSE)</f>
        <v>320</v>
      </c>
      <c r="AO62" s="5">
        <f>VLOOKUP($A62,'SegEnds_NonXtal_Prot#'!$A:$AL,38,FALSE)</f>
        <v>341</v>
      </c>
      <c r="AP62" s="5">
        <f t="shared" si="13"/>
        <v>33</v>
      </c>
      <c r="AQ62" s="4">
        <f t="shared" si="14"/>
        <v>3</v>
      </c>
      <c r="AR62" s="4">
        <f t="shared" si="15"/>
        <v>29</v>
      </c>
      <c r="AS62" s="4">
        <f t="shared" si="16"/>
        <v>3</v>
      </c>
      <c r="AT62" s="4">
        <f t="shared" si="17"/>
        <v>35</v>
      </c>
      <c r="AU62" s="4">
        <f t="shared" si="18"/>
        <v>6</v>
      </c>
      <c r="AV62" s="4">
        <f t="shared" si="19"/>
        <v>29</v>
      </c>
      <c r="AW62" s="4">
        <f t="shared" si="20"/>
        <v>2</v>
      </c>
      <c r="AX62" s="4">
        <f t="shared" si="21"/>
        <v>35</v>
      </c>
      <c r="AY62" s="4">
        <f t="shared" si="22"/>
        <v>35</v>
      </c>
      <c r="AZ62" s="4">
        <f t="shared" si="23"/>
        <v>32</v>
      </c>
      <c r="BA62" s="4">
        <f t="shared" si="24"/>
        <v>20</v>
      </c>
    </row>
    <row r="63" spans="1:53" x14ac:dyDescent="0.2">
      <c r="A63" s="1" t="str">
        <f>'SegEnds_NonXtal_Prot#'!A30</f>
        <v>gnrhr_human</v>
      </c>
      <c r="B63" s="1" t="str">
        <f t="shared" si="0"/>
        <v>KIRVTVTFFLFLLSATFNASFLLKLQKWRMKLLLKHLTLANLLETLIVMPLDGMWNIGELLCKVLSYLKLFSMYAPAFMMVVISLDRSLAITRNSKVGQSMVGLAWILSSVFAGPQLYIFSQWWHQAFYNFFTFSCLFIIPLFIMLICNAKIIFTLTRVLHQDPHQSKNNIPRARLKTLKMTVAFATSFTVCWTPYYVLGIWYWFDNRLSDPVNHFFFLFAFLNPCFDPLIYGYF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63" s="5" t="str">
        <f t="shared" si="1"/>
        <v>KIRVTVTFFLFLLSATFNASFLLKLQKW</v>
      </c>
      <c r="G63" s="4" t="str">
        <f t="shared" si="2"/>
        <v>KKLS</v>
      </c>
      <c r="H63" s="4" t="str">
        <f t="shared" si="3"/>
        <v>RMKLLLKHLTLANLLETLIVMPLDGMWNI</v>
      </c>
      <c r="I63" s="4" t="str">
        <f t="shared" si="4"/>
        <v>QWYA</v>
      </c>
      <c r="J63" s="4" t="str">
        <f t="shared" si="5"/>
        <v>GELLCKVLSYLKLFSMYAPAFMMVVISLDRSLAITR</v>
      </c>
      <c r="K63" s="4" t="str">
        <f t="shared" si="6"/>
        <v>PLAL</v>
      </c>
      <c r="L63" s="4" t="str">
        <f t="shared" si="7"/>
        <v>NSKVGQSMVGLAWILSSVFAGPQLYIF</v>
      </c>
      <c r="M63" s="4" t="str">
        <f t="shared" si="8"/>
        <v>CSF</v>
      </c>
      <c r="N63" s="4" t="str">
        <f t="shared" si="9"/>
        <v>SQWWHQAFYNFFTFSCLFIIPLFIMLICNAKIIFTLTRVLHQDPH</v>
      </c>
      <c r="O63" s="4" t="str">
        <f t="shared" si="10"/>
        <v>QSKNNIPRARLKTLKMTVAFATSFTVCWTPYYVLGIWYWFD</v>
      </c>
      <c r="P63" s="4" t="str">
        <f t="shared" si="11"/>
        <v>NRLSDPVNHFFFLFAFLNPCFDPLIYGYF</v>
      </c>
      <c r="Q63" s="4" t="str">
        <f t="shared" si="12"/>
        <v/>
      </c>
      <c r="R63" s="5">
        <f>VLOOKUP($A63,'SegEnds_NonXtal_Prot#'!$A:$AL,3,FALSE)</f>
        <v>36</v>
      </c>
      <c r="S63" s="5">
        <f>VLOOKUP($A63,'SegEnds_NonXtal_Prot#'!$A:$AL,6,FALSE)</f>
        <v>71</v>
      </c>
      <c r="T63" s="5">
        <f>VLOOKUP($A63,'SegEnds_NonXtal_Prot#'!$A:$AL,9,FALSE)</f>
        <v>75</v>
      </c>
      <c r="U63" s="5">
        <f>VLOOKUP($A63,'SegEnds_NonXtal_Prot#'!$A:$AL,12,FALSE)</f>
        <v>106</v>
      </c>
      <c r="V63" s="5">
        <f>VLOOKUP($A63,'SegEnds_NonXtal_Prot#'!$A:$AL,15,FALSE)</f>
        <v>110</v>
      </c>
      <c r="W63" s="5">
        <f>VLOOKUP($A63,'SegEnds_NonXtal_Prot#'!$A:$AL,18,FALSE)</f>
        <v>146</v>
      </c>
      <c r="X63" s="5">
        <f>VLOOKUP($A63,'SegEnds_NonXtal_Prot#'!$A:$AL,21,FALSE)</f>
        <v>152</v>
      </c>
      <c r="Y63" s="5">
        <f>VLOOKUP($A63,'SegEnds_NonXtal_Prot#'!$A:$AL,24,FALSE)</f>
        <v>200</v>
      </c>
      <c r="Z63" s="5">
        <f>VLOOKUP($A63,'SegEnds_NonXtal_Prot#'!$A:$AL,27,FALSE)</f>
        <v>203</v>
      </c>
      <c r="AA63" s="5">
        <f>VLOOKUP($A63,'SegEnds_NonXtal_Prot#'!$A:$AL,30,FALSE)</f>
        <v>253</v>
      </c>
      <c r="AB63" s="5">
        <f>VLOOKUP($A63,'SegEnds_NonXtal_Prot#'!$A:$AL,33,FALSE)</f>
        <v>298</v>
      </c>
      <c r="AC63" s="5" t="str">
        <f>VLOOKUP($A63,'SegEnds_NonXtal_Prot#'!$A:$AL,36,FALSE)</f>
        <v>-</v>
      </c>
      <c r="AD63" s="5">
        <f>VLOOKUP($A63,'SegEnds_NonXtal_Prot#'!$A:$AL,5,FALSE)</f>
        <v>63</v>
      </c>
      <c r="AE63" s="5">
        <f>VLOOKUP($A63,'SegEnds_NonXtal_Prot#'!$A:$AL,8,FALSE)</f>
        <v>74</v>
      </c>
      <c r="AF63" s="5">
        <f>VLOOKUP($A63,'SegEnds_NonXtal_Prot#'!$A:$AL,11,FALSE)</f>
        <v>103</v>
      </c>
      <c r="AG63" s="5">
        <f>VLOOKUP($A63,'SegEnds_NonXtal_Prot#'!$A:$AL,14,FALSE)</f>
        <v>109</v>
      </c>
      <c r="AH63" s="5">
        <f>VLOOKUP($A63,'SegEnds_NonXtal_Prot#'!$A:$AL,17,FALSE)</f>
        <v>145</v>
      </c>
      <c r="AI63" s="5">
        <f>VLOOKUP($A63,'SegEnds_NonXtal_Prot#'!$A:$AL,20,FALSE)</f>
        <v>149</v>
      </c>
      <c r="AJ63" s="5">
        <f>VLOOKUP($A63,'SegEnds_NonXtal_Prot#'!$A:$AL,23,FALSE)</f>
        <v>178</v>
      </c>
      <c r="AK63" s="5">
        <f>VLOOKUP($A63,'SegEnds_NonXtal_Prot#'!$A:$AL,26,FALSE)</f>
        <v>202</v>
      </c>
      <c r="AL63" s="5">
        <f>VLOOKUP($A63,'SegEnds_NonXtal_Prot#'!$A:$AL,29,FALSE)</f>
        <v>247</v>
      </c>
      <c r="AM63" s="5">
        <f>VLOOKUP($A63,'SegEnds_NonXtal_Prot#'!$A:$AL,32,FALSE)</f>
        <v>293</v>
      </c>
      <c r="AN63" s="5">
        <f>VLOOKUP($A63,'SegEnds_NonXtal_Prot#'!$A:$AL,35,FALSE)</f>
        <v>326</v>
      </c>
      <c r="AO63" s="5" t="str">
        <f>VLOOKUP($A63,'SegEnds_NonXtal_Prot#'!$A:$AL,38,FALSE)</f>
        <v>-</v>
      </c>
      <c r="AP63" s="5">
        <f t="shared" si="13"/>
        <v>27</v>
      </c>
      <c r="AQ63" s="4">
        <f t="shared" si="14"/>
        <v>3</v>
      </c>
      <c r="AR63" s="4">
        <f t="shared" si="15"/>
        <v>28</v>
      </c>
      <c r="AS63" s="4">
        <f t="shared" si="16"/>
        <v>3</v>
      </c>
      <c r="AT63" s="4">
        <f t="shared" si="17"/>
        <v>35</v>
      </c>
      <c r="AU63" s="4">
        <f t="shared" si="18"/>
        <v>3</v>
      </c>
      <c r="AV63" s="4">
        <f t="shared" si="19"/>
        <v>26</v>
      </c>
      <c r="AW63" s="4">
        <f t="shared" si="20"/>
        <v>2</v>
      </c>
      <c r="AX63" s="4">
        <f t="shared" si="21"/>
        <v>44</v>
      </c>
      <c r="AY63" s="4">
        <f t="shared" si="22"/>
        <v>40</v>
      </c>
      <c r="AZ63" s="4">
        <f t="shared" si="23"/>
        <v>28</v>
      </c>
      <c r="BA63" s="4" t="str">
        <f t="shared" si="24"/>
        <v>-</v>
      </c>
    </row>
    <row r="64" spans="1:53" x14ac:dyDescent="0.2">
      <c r="A64" s="1" t="str">
        <f>'SegEnds_NonXtal_Prot#'!A31</f>
        <v>gpr19_human</v>
      </c>
      <c r="B64" s="1" t="str">
        <f t="shared" si="0"/>
        <v>EVATASIFFGILWLFSIFGNSLVCLVIHRSSTTNYFVVSMACADLLISVASTPFVLLQFTTGSATCKVVRYFQYLTPGVQIYVLLSICIDRFYTIVYSREKAKKMIAASWVFDAGFVTPVLFFYSWEGTAYTVIHFLVGFVIPSVLIILFYQKVIKYIWRIGTDGRTMNIVPRTKVKTIKMFLILNLLFLLSWLPFHVAQLWHPHESSLVFTAITWISFSSSASKPTLYSIYNANFRRGMKETF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64" s="5" t="str">
        <f t="shared" si="1"/>
        <v>EVATASIFFGILWLFSIFGNSLVCLVIHRS</v>
      </c>
      <c r="G64" s="4" t="str">
        <f t="shared" si="2"/>
        <v>RRTQ</v>
      </c>
      <c r="H64" s="4" t="str">
        <f t="shared" si="3"/>
        <v>STTNYFVVSMACADLLISVASTPFVLLQFTT</v>
      </c>
      <c r="I64" s="4" t="str">
        <f t="shared" si="4"/>
        <v>RWTL</v>
      </c>
      <c r="J64" s="4" t="str">
        <f t="shared" si="5"/>
        <v>GSATCKVVRYFQYLTPGVQIYVLLSICIDRFYTIVY</v>
      </c>
      <c r="K64" s="4" t="str">
        <f t="shared" si="6"/>
        <v>PLSF</v>
      </c>
      <c r="L64" s="4" t="str">
        <f t="shared" si="7"/>
        <v>SREKAKKMIAASWVFDAGFVTPVLFFY</v>
      </c>
      <c r="M64" s="4" t="str">
        <f t="shared" si="8"/>
        <v>CNY</v>
      </c>
      <c r="N64" s="4" t="str">
        <f t="shared" si="9"/>
        <v>SWEGTAYTVIHFLVGFVIPSVLIILFYQKVIKYIWRIGTDGR</v>
      </c>
      <c r="O64" s="4" t="str">
        <f t="shared" si="10"/>
        <v>TMNIVPRTKVKTIKMFLILNLLFLLSWLPFHVAQLWHPHE</v>
      </c>
      <c r="P64" s="4" t="str">
        <f t="shared" si="11"/>
        <v>SSLVFTAITWISFSSSASKPTLYSIY</v>
      </c>
      <c r="Q64" s="4" t="str">
        <f t="shared" si="12"/>
        <v>NANFRRGMKETF</v>
      </c>
      <c r="R64" s="5">
        <f>VLOOKUP($A64,'SegEnds_NonXtal_Prot#'!$A:$AL,3,FALSE)</f>
        <v>64</v>
      </c>
      <c r="S64" s="5">
        <f>VLOOKUP($A64,'SegEnds_NonXtal_Prot#'!$A:$AL,6,FALSE)</f>
        <v>94</v>
      </c>
      <c r="T64" s="5">
        <f>VLOOKUP($A64,'SegEnds_NonXtal_Prot#'!$A:$AL,9,FALSE)</f>
        <v>98</v>
      </c>
      <c r="U64" s="5">
        <f>VLOOKUP($A64,'SegEnds_NonXtal_Prot#'!$A:$AL,12,FALSE)</f>
        <v>130</v>
      </c>
      <c r="V64" s="5">
        <f>VLOOKUP($A64,'SegEnds_NonXtal_Prot#'!$A:$AL,15,FALSE)</f>
        <v>134</v>
      </c>
      <c r="W64" s="5">
        <f>VLOOKUP($A64,'SegEnds_NonXtal_Prot#'!$A:$AL,18,FALSE)</f>
        <v>170</v>
      </c>
      <c r="X64" s="5">
        <f>VLOOKUP($A64,'SegEnds_NonXtal_Prot#'!$A:$AL,21,FALSE)</f>
        <v>176</v>
      </c>
      <c r="Y64" s="5">
        <f>VLOOKUP($A64,'SegEnds_NonXtal_Prot#'!$A:$AL,24,FALSE)</f>
        <v>210</v>
      </c>
      <c r="Z64" s="5">
        <f>VLOOKUP($A64,'SegEnds_NonXtal_Prot#'!$A:$AL,27,FALSE)</f>
        <v>217</v>
      </c>
      <c r="AA64" s="5">
        <f>VLOOKUP($A64,'SegEnds_NonXtal_Prot#'!$A:$AL,30,FALSE)</f>
        <v>263</v>
      </c>
      <c r="AB64" s="5">
        <f>VLOOKUP($A64,'SegEnds_NonXtal_Prot#'!$A:$AL,33,FALSE)</f>
        <v>308</v>
      </c>
      <c r="AC64" s="5">
        <f>VLOOKUP($A64,'SegEnds_NonXtal_Prot#'!$A:$AL,36,FALSE)</f>
        <v>334</v>
      </c>
      <c r="AD64" s="5">
        <f>VLOOKUP($A64,'SegEnds_NonXtal_Prot#'!$A:$AL,5,FALSE)</f>
        <v>93</v>
      </c>
      <c r="AE64" s="5">
        <f>VLOOKUP($A64,'SegEnds_NonXtal_Prot#'!$A:$AL,8,FALSE)</f>
        <v>97</v>
      </c>
      <c r="AF64" s="5">
        <f>VLOOKUP($A64,'SegEnds_NonXtal_Prot#'!$A:$AL,11,FALSE)</f>
        <v>128</v>
      </c>
      <c r="AG64" s="5">
        <f>VLOOKUP($A64,'SegEnds_NonXtal_Prot#'!$A:$AL,14,FALSE)</f>
        <v>133</v>
      </c>
      <c r="AH64" s="5">
        <f>VLOOKUP($A64,'SegEnds_NonXtal_Prot#'!$A:$AL,17,FALSE)</f>
        <v>169</v>
      </c>
      <c r="AI64" s="5">
        <f>VLOOKUP($A64,'SegEnds_NonXtal_Prot#'!$A:$AL,20,FALSE)</f>
        <v>173</v>
      </c>
      <c r="AJ64" s="5">
        <f>VLOOKUP($A64,'SegEnds_NonXtal_Prot#'!$A:$AL,23,FALSE)</f>
        <v>202</v>
      </c>
      <c r="AK64" s="5">
        <f>VLOOKUP($A64,'SegEnds_NonXtal_Prot#'!$A:$AL,26,FALSE)</f>
        <v>212</v>
      </c>
      <c r="AL64" s="5">
        <f>VLOOKUP($A64,'SegEnds_NonXtal_Prot#'!$A:$AL,29,FALSE)</f>
        <v>258</v>
      </c>
      <c r="AM64" s="5">
        <f>VLOOKUP($A64,'SegEnds_NonXtal_Prot#'!$A:$AL,32,FALSE)</f>
        <v>302</v>
      </c>
      <c r="AN64" s="5">
        <f>VLOOKUP($A64,'SegEnds_NonXtal_Prot#'!$A:$AL,35,FALSE)</f>
        <v>333</v>
      </c>
      <c r="AO64" s="5">
        <f>VLOOKUP($A64,'SegEnds_NonXtal_Prot#'!$A:$AL,38,FALSE)</f>
        <v>345</v>
      </c>
      <c r="AP64" s="5">
        <f t="shared" si="13"/>
        <v>29</v>
      </c>
      <c r="AQ64" s="4">
        <f t="shared" si="14"/>
        <v>3</v>
      </c>
      <c r="AR64" s="4">
        <f t="shared" si="15"/>
        <v>30</v>
      </c>
      <c r="AS64" s="4">
        <f t="shared" si="16"/>
        <v>3</v>
      </c>
      <c r="AT64" s="4">
        <f t="shared" si="17"/>
        <v>35</v>
      </c>
      <c r="AU64" s="4">
        <f t="shared" si="18"/>
        <v>3</v>
      </c>
      <c r="AV64" s="4">
        <f t="shared" si="19"/>
        <v>26</v>
      </c>
      <c r="AW64" s="4">
        <f t="shared" si="20"/>
        <v>2</v>
      </c>
      <c r="AX64" s="4">
        <f t="shared" si="21"/>
        <v>41</v>
      </c>
      <c r="AY64" s="4">
        <f t="shared" si="22"/>
        <v>39</v>
      </c>
      <c r="AZ64" s="4">
        <f t="shared" si="23"/>
        <v>25</v>
      </c>
      <c r="BA64" s="4">
        <f t="shared" si="24"/>
        <v>11</v>
      </c>
    </row>
    <row r="65" spans="1:53" x14ac:dyDescent="0.2">
      <c r="A65" s="1" t="str">
        <f>'SegEnds_NonXtal_Prot#'!A32</f>
        <v>gpr22_human</v>
      </c>
      <c r="B65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65" s="5" t="str">
        <f t="shared" si="1"/>
        <v>SLTGFLMLEIVLGLGSNLTVLVLYCMK</v>
      </c>
      <c r="G65" s="4" t="str">
        <f t="shared" si="2"/>
        <v>SNLI</v>
      </c>
      <c r="H65" s="4" t="str">
        <f t="shared" si="3"/>
        <v>NSVSNIITMNLHVLDVIICVGCIPLTIVILLL</v>
      </c>
      <c r="I65" s="4" t="str">
        <f t="shared" si="4"/>
        <v/>
      </c>
      <c r="J65" s="4" t="str">
        <f t="shared" si="5"/>
        <v>TALICCFHEACVSFASVSTAINVFAITLDRYDISVK</v>
      </c>
      <c r="K65" s="4" t="str">
        <f t="shared" si="6"/>
        <v>PANR</v>
      </c>
      <c r="L65" s="4" t="str">
        <f t="shared" si="7"/>
        <v>TMGRAVMLMISIWIFSFFSFLIPFIE</v>
      </c>
      <c r="M65" s="4" t="str">
        <f t="shared" si="8"/>
        <v>CVS</v>
      </c>
      <c r="N65" s="4" t="str">
        <f t="shared" si="9"/>
        <v>GMYYHLLVQIPIFFFTVVVMLITYTKILQALNIRIGTRFS</v>
      </c>
      <c r="O65" s="4" t="str">
        <f t="shared" si="10"/>
        <v>RERRERQKRVFRMSLLIISTFLLCWTPISVLNTTILCL</v>
      </c>
      <c r="P65" s="4" t="str">
        <f t="shared" si="11"/>
        <v>LVKLRLCFLVMAYGTTIFHPLLYAFT</v>
      </c>
      <c r="Q65" s="4" t="str">
        <f t="shared" si="12"/>
        <v>RQKFQKVLKSKMK</v>
      </c>
      <c r="R65" s="5">
        <f>VLOOKUP($A65,'SegEnds_NonXtal_Prot#'!$A:$AL,3,FALSE)</f>
        <v>43</v>
      </c>
      <c r="S65" s="5">
        <f>VLOOKUP($A65,'SegEnds_NonXtal_Prot#'!$A:$AL,6,FALSE)</f>
        <v>70</v>
      </c>
      <c r="T65" s="5">
        <f>VLOOKUP($A65,'SegEnds_NonXtal_Prot#'!$A:$AL,9,FALSE)</f>
        <v>74</v>
      </c>
      <c r="U65" s="5" t="str">
        <f>VLOOKUP($A65,'SegEnds_NonXtal_Prot#'!$A:$AL,12,FALSE)</f>
        <v>-</v>
      </c>
      <c r="V65" s="5">
        <f>VLOOKUP($A65,'SegEnds_NonXtal_Prot#'!$A:$AL,15,FALSE)</f>
        <v>111</v>
      </c>
      <c r="W65" s="5">
        <f>VLOOKUP($A65,'SegEnds_NonXtal_Prot#'!$A:$AL,18,FALSE)</f>
        <v>147</v>
      </c>
      <c r="X65" s="5">
        <f>VLOOKUP($A65,'SegEnds_NonXtal_Prot#'!$A:$AL,21,FALSE)</f>
        <v>153</v>
      </c>
      <c r="Y65" s="5">
        <f>VLOOKUP($A65,'SegEnds_NonXtal_Prot#'!$A:$AL,24,FALSE)</f>
        <v>197</v>
      </c>
      <c r="Z65" s="5">
        <f>VLOOKUP($A65,'SegEnds_NonXtal_Prot#'!$A:$AL,27,FALSE)</f>
        <v>208</v>
      </c>
      <c r="AA65" s="5">
        <f>VLOOKUP($A65,'SegEnds_NonXtal_Prot#'!$A:$AL,30,FALSE)</f>
        <v>302</v>
      </c>
      <c r="AB65" s="5">
        <f>VLOOKUP($A65,'SegEnds_NonXtal_Prot#'!$A:$AL,33,FALSE)</f>
        <v>345</v>
      </c>
      <c r="AC65" s="5">
        <f>VLOOKUP($A65,'SegEnds_NonXtal_Prot#'!$A:$AL,36,FALSE)</f>
        <v>371</v>
      </c>
      <c r="AD65" s="5">
        <f>VLOOKUP($A65,'SegEnds_NonXtal_Prot#'!$A:$AL,5,FALSE)</f>
        <v>69</v>
      </c>
      <c r="AE65" s="5">
        <f>VLOOKUP($A65,'SegEnds_NonXtal_Prot#'!$A:$AL,8,FALSE)</f>
        <v>73</v>
      </c>
      <c r="AF65" s="5">
        <f>VLOOKUP($A65,'SegEnds_NonXtal_Prot#'!$A:$AL,11,FALSE)</f>
        <v>105</v>
      </c>
      <c r="AG65" s="5" t="str">
        <f>VLOOKUP($A65,'SegEnds_NonXtal_Prot#'!$A:$AL,14,FALSE)</f>
        <v>-</v>
      </c>
      <c r="AH65" s="5">
        <f>VLOOKUP($A65,'SegEnds_NonXtal_Prot#'!$A:$AL,17,FALSE)</f>
        <v>146</v>
      </c>
      <c r="AI65" s="5">
        <f>VLOOKUP($A65,'SegEnds_NonXtal_Prot#'!$A:$AL,20,FALSE)</f>
        <v>150</v>
      </c>
      <c r="AJ65" s="5">
        <f>VLOOKUP($A65,'SegEnds_NonXtal_Prot#'!$A:$AL,23,FALSE)</f>
        <v>178</v>
      </c>
      <c r="AK65" s="5">
        <f>VLOOKUP($A65,'SegEnds_NonXtal_Prot#'!$A:$AL,26,FALSE)</f>
        <v>199</v>
      </c>
      <c r="AL65" s="5">
        <f>VLOOKUP($A65,'SegEnds_NonXtal_Prot#'!$A:$AL,29,FALSE)</f>
        <v>247</v>
      </c>
      <c r="AM65" s="5">
        <f>VLOOKUP($A65,'SegEnds_NonXtal_Prot#'!$A:$AL,32,FALSE)</f>
        <v>339</v>
      </c>
      <c r="AN65" s="5">
        <f>VLOOKUP($A65,'SegEnds_NonXtal_Prot#'!$A:$AL,35,FALSE)</f>
        <v>370</v>
      </c>
      <c r="AO65" s="5">
        <f>VLOOKUP($A65,'SegEnds_NonXtal_Prot#'!$A:$AL,38,FALSE)</f>
        <v>383</v>
      </c>
      <c r="AP65" s="5">
        <f t="shared" si="13"/>
        <v>26</v>
      </c>
      <c r="AQ65" s="4">
        <f t="shared" si="14"/>
        <v>3</v>
      </c>
      <c r="AR65" s="4">
        <f t="shared" si="15"/>
        <v>31</v>
      </c>
      <c r="AS65" s="4" t="str">
        <f t="shared" si="16"/>
        <v>-</v>
      </c>
      <c r="AT65" s="4">
        <f t="shared" si="17"/>
        <v>35</v>
      </c>
      <c r="AU65" s="4">
        <f t="shared" si="18"/>
        <v>3</v>
      </c>
      <c r="AV65" s="4">
        <f t="shared" si="19"/>
        <v>25</v>
      </c>
      <c r="AW65" s="4">
        <f t="shared" si="20"/>
        <v>2</v>
      </c>
      <c r="AX65" s="4">
        <f t="shared" si="21"/>
        <v>39</v>
      </c>
      <c r="AY65" s="4">
        <f t="shared" si="22"/>
        <v>37</v>
      </c>
      <c r="AZ65" s="4">
        <f t="shared" si="23"/>
        <v>25</v>
      </c>
      <c r="BA65" s="4">
        <f t="shared" si="24"/>
        <v>12</v>
      </c>
    </row>
    <row r="66" spans="1:53" x14ac:dyDescent="0.2">
      <c r="A66" s="1" t="str">
        <f>'SegEnds_NonXtal_Prot#'!A33</f>
        <v>npsr1_human</v>
      </c>
      <c r="B66" s="1" t="str">
        <f t="shared" ref="B66:B129" si="25">F66&amp;H66&amp;J66&amp;L66&amp;N66&amp;O66&amp;P66&amp;Q66</f>
        <v>EQLITLWVLFVFTIVGNSVVLFSTWRRSRMTFFVTQLAITDSFTGLVNILTDINWRFTPDLVCRVVRYLQVVLLYASTYVLVSLSIDRYHAIVYGEKQARVLIVIAWSLSFLFSIPTLIWTPYMTIVAFLVYFIPLTIISIMYGIVIRTIWIKSKTYETVIGLISKAKIKAIKYSIIIILAFICCWSPYFLFDILDNFNTQERFYASVIIQNLPALNSAINPLIYCVFSSSISFPCREQRS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66" s="5" t="str">
        <f t="shared" ref="F66:F129" si="26">IFERROR(MID($E66,R66,(AP66+1)),"")</f>
        <v>EQLITLWVLFVFTIVGNSVVLFSTWRR</v>
      </c>
      <c r="G66" s="4" t="str">
        <f t="shared" ref="G66:G129" si="27">IFERROR(MID($E66,S66,(AQ66+1)),"")</f>
        <v/>
      </c>
      <c r="H66" s="4" t="str">
        <f t="shared" ref="H66:H129" si="28">IFERROR(MID($E66,T66,(AR66+1)),"")</f>
        <v>SRMTFFVTQLAITDSFTGLVNILTDINWRFT</v>
      </c>
      <c r="I66" s="4" t="str">
        <f t="shared" ref="I66:I129" si="29">IFERROR(MID($E66,U66,(AS66+1)),"")</f>
        <v>DFTA</v>
      </c>
      <c r="J66" s="4" t="str">
        <f t="shared" ref="J66:J129" si="30">IFERROR(MID($E66,V66,(AT66+1)),"")</f>
        <v>PDLVCRVVRYLQVVLLYASTYVLVSLSIDRYHAIVY</v>
      </c>
      <c r="K66" s="4" t="str">
        <f t="shared" ref="K66:K129" si="31">IFERROR(MID($E66,W66,(AU66+1)),"")</f>
        <v>PMKF</v>
      </c>
      <c r="L66" s="4" t="str">
        <f t="shared" ref="L66:L129" si="32">IFERROR(MID($E66,X66,(AV66+1)),"")</f>
        <v>GEKQARVLIVIAWSLSFLFSIPTLI</v>
      </c>
      <c r="M66" s="4" t="str">
        <f t="shared" ref="M66:M129" si="33">IFERROR(MID($E66,Y66,(AW66+1)),"")</f>
        <v>CWA</v>
      </c>
      <c r="N66" s="4" t="str">
        <f t="shared" ref="N66:N129" si="34">IFERROR(MID($E66,Z66,(AX66+1)),"")</f>
        <v>WTPYMTIVAFLVYFIPLTIISIMYGIVIRTIWIKSKTYETVI</v>
      </c>
      <c r="O66" s="4" t="str">
        <f t="shared" ref="O66:O129" si="35">IFERROR(MID($E66,AA66,(AY66+1)),"")</f>
        <v>GLISKAKIKAIKYSIIIILAFICCWSPYFLFDILDNFN</v>
      </c>
      <c r="P66" s="4" t="str">
        <f t="shared" ref="P66:P129" si="36">IFERROR(MID($E66,AB66,(AZ66+1)),"")</f>
        <v>TQERFYASVIIQNLPALNSAINPLIYCVF</v>
      </c>
      <c r="Q66" s="4" t="str">
        <f t="shared" ref="Q66:Q129" si="37">IFERROR(MID($E66,AC66,(BA66+1)),"")</f>
        <v>SSSISFPCREQRS</v>
      </c>
      <c r="R66" s="5">
        <f>VLOOKUP($A66,'SegEnds_NonXtal_Prot#'!$A:$AL,3,FALSE)</f>
        <v>51</v>
      </c>
      <c r="S66" s="5" t="str">
        <f>VLOOKUP($A66,'SegEnds_NonXtal_Prot#'!$A:$AL,6,FALSE)</f>
        <v>-</v>
      </c>
      <c r="T66" s="5">
        <f>VLOOKUP($A66,'SegEnds_NonXtal_Prot#'!$A:$AL,9,FALSE)</f>
        <v>81</v>
      </c>
      <c r="U66" s="5">
        <f>VLOOKUP($A66,'SegEnds_NonXtal_Prot#'!$A:$AL,12,FALSE)</f>
        <v>113</v>
      </c>
      <c r="V66" s="5">
        <f>VLOOKUP($A66,'SegEnds_NonXtal_Prot#'!$A:$AL,15,FALSE)</f>
        <v>117</v>
      </c>
      <c r="W66" s="5">
        <f>VLOOKUP($A66,'SegEnds_NonXtal_Prot#'!$A:$AL,18,FALSE)</f>
        <v>153</v>
      </c>
      <c r="X66" s="5">
        <f>VLOOKUP($A66,'SegEnds_NonXtal_Prot#'!$A:$AL,21,FALSE)</f>
        <v>159</v>
      </c>
      <c r="Y66" s="5">
        <f>VLOOKUP($A66,'SegEnds_NonXtal_Prot#'!$A:$AL,24,FALSE)</f>
        <v>197</v>
      </c>
      <c r="Z66" s="5">
        <f>VLOOKUP($A66,'SegEnds_NonXtal_Prot#'!$A:$AL,27,FALSE)</f>
        <v>207</v>
      </c>
      <c r="AA66" s="5">
        <f>VLOOKUP($A66,'SegEnds_NonXtal_Prot#'!$A:$AL,30,FALSE)</f>
        <v>263</v>
      </c>
      <c r="AB66" s="5">
        <f>VLOOKUP($A66,'SegEnds_NonXtal_Prot#'!$A:$AL,33,FALSE)</f>
        <v>305</v>
      </c>
      <c r="AC66" s="5">
        <f>VLOOKUP($A66,'SegEnds_NonXtal_Prot#'!$A:$AL,36,FALSE)</f>
        <v>334</v>
      </c>
      <c r="AD66" s="5">
        <f>VLOOKUP($A66,'SegEnds_NonXtal_Prot#'!$A:$AL,5,FALSE)</f>
        <v>77</v>
      </c>
      <c r="AE66" s="5" t="str">
        <f>VLOOKUP($A66,'SegEnds_NonXtal_Prot#'!$A:$AL,8,FALSE)</f>
        <v>-</v>
      </c>
      <c r="AF66" s="5">
        <f>VLOOKUP($A66,'SegEnds_NonXtal_Prot#'!$A:$AL,11,FALSE)</f>
        <v>111</v>
      </c>
      <c r="AG66" s="5">
        <f>VLOOKUP($A66,'SegEnds_NonXtal_Prot#'!$A:$AL,14,FALSE)</f>
        <v>116</v>
      </c>
      <c r="AH66" s="5">
        <f>VLOOKUP($A66,'SegEnds_NonXtal_Prot#'!$A:$AL,17,FALSE)</f>
        <v>152</v>
      </c>
      <c r="AI66" s="5">
        <f>VLOOKUP($A66,'SegEnds_NonXtal_Prot#'!$A:$AL,20,FALSE)</f>
        <v>156</v>
      </c>
      <c r="AJ66" s="5">
        <f>VLOOKUP($A66,'SegEnds_NonXtal_Prot#'!$A:$AL,23,FALSE)</f>
        <v>183</v>
      </c>
      <c r="AK66" s="5">
        <f>VLOOKUP($A66,'SegEnds_NonXtal_Prot#'!$A:$AL,26,FALSE)</f>
        <v>199</v>
      </c>
      <c r="AL66" s="5">
        <f>VLOOKUP($A66,'SegEnds_NonXtal_Prot#'!$A:$AL,29,FALSE)</f>
        <v>248</v>
      </c>
      <c r="AM66" s="5">
        <f>VLOOKUP($A66,'SegEnds_NonXtal_Prot#'!$A:$AL,32,FALSE)</f>
        <v>300</v>
      </c>
      <c r="AN66" s="5">
        <f>VLOOKUP($A66,'SegEnds_NonXtal_Prot#'!$A:$AL,35,FALSE)</f>
        <v>333</v>
      </c>
      <c r="AO66" s="5">
        <f>VLOOKUP($A66,'SegEnds_NonXtal_Prot#'!$A:$AL,38,FALSE)</f>
        <v>346</v>
      </c>
      <c r="AP66" s="5">
        <f t="shared" ref="AP66:AP129" si="38">IFERROR(AD66-R66,"-")</f>
        <v>26</v>
      </c>
      <c r="AQ66" s="4" t="str">
        <f t="shared" ref="AQ66:AQ129" si="39">IFERROR(AE66-S66,"-")</f>
        <v>-</v>
      </c>
      <c r="AR66" s="4">
        <f t="shared" ref="AR66:AR129" si="40">IFERROR(AF66-T66,"-")</f>
        <v>30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3</v>
      </c>
      <c r="AV66" s="4">
        <f t="shared" ref="AV66:AV129" si="44">IFERROR(AJ66-X66,"-")</f>
        <v>24</v>
      </c>
      <c r="AW66" s="4">
        <f t="shared" ref="AW66:AW129" si="45">IFERROR(AK66-Y66,"-")</f>
        <v>2</v>
      </c>
      <c r="AX66" s="4">
        <f t="shared" ref="AX66:AX129" si="46">IFERROR(AL66-Z66,"-")</f>
        <v>41</v>
      </c>
      <c r="AY66" s="4">
        <f t="shared" ref="AY66:AY129" si="47">IFERROR(AM66-AA66,"-")</f>
        <v>37</v>
      </c>
      <c r="AZ66" s="4">
        <f t="shared" ref="AZ66:AZ129" si="48">IFERROR(AN66-AB66,"-")</f>
        <v>28</v>
      </c>
      <c r="BA66" s="4">
        <f t="shared" ref="BA66:BA129" si="49">IFERROR(AO66-AC66,"-")</f>
        <v>12</v>
      </c>
    </row>
    <row r="67" spans="1:53" x14ac:dyDescent="0.2">
      <c r="A67" s="1" t="str">
        <f>'SegEnds_NonXtal_Prot#'!A34</f>
        <v>ox1r_human</v>
      </c>
      <c r="B67" s="1" t="str">
        <f t="shared" si="25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67" s="29" t="str">
        <f>IF(ISERROR(MATCH(A67,'SegEnds_Xtal_Prot#'!B:B, 0)), "NoXtal", "Xtal")</f>
        <v>Xtal</v>
      </c>
      <c r="D67" s="4" t="str">
        <f>VLOOKUP(A67,Classification!A:D,2,FALSE)</f>
        <v>A</v>
      </c>
      <c r="E67" s="5" t="str">
        <f>VLOOKUP(A67,Seqs!A:B,2,FALSE)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67" s="5" t="str">
        <f t="shared" si="26"/>
        <v>EWVLIAAYVAVFVVALVGNTLVCLAVWRN</v>
      </c>
      <c r="G67" s="4" t="str">
        <f t="shared" si="27"/>
        <v>HHMR</v>
      </c>
      <c r="H67" s="4" t="str">
        <f t="shared" si="28"/>
        <v>TVTNYFIVNLSLADVLVTAICLPASLLVDIT</v>
      </c>
      <c r="I67" s="4" t="str">
        <f t="shared" si="29"/>
        <v>SWLF</v>
      </c>
      <c r="J67" s="4" t="str">
        <f t="shared" si="30"/>
        <v>GHALCKVIPYLQAVSVSVAVLTLSFIALDRWYAICH</v>
      </c>
      <c r="K67" s="4" t="str">
        <f t="shared" si="31"/>
        <v>PLLF</v>
      </c>
      <c r="L67" s="4" t="str">
        <f t="shared" si="32"/>
        <v>TARRARGSILGIWAVSLAIMVPQAAVM</v>
      </c>
      <c r="M67" s="4" t="str">
        <f t="shared" si="33"/>
        <v>CDE</v>
      </c>
      <c r="N67" s="4" t="str">
        <f t="shared" si="34"/>
        <v>DLYPKIYHSCFFIVTYLAPLGLMAMAYFQIFRKLWGRQIP</v>
      </c>
      <c r="O67" s="4" t="str">
        <f t="shared" si="35"/>
        <v>FLAEVKQMRARRKTAKMLMVVLLVFALCYLPISVLNVLKRVF</v>
      </c>
      <c r="P67" s="4" t="str">
        <f t="shared" si="36"/>
        <v>REAVYACFTFSHWLVYANSAANPIIYNFL</v>
      </c>
      <c r="Q67" s="4" t="str">
        <f t="shared" si="37"/>
        <v>SGKFREQFKAAF</v>
      </c>
      <c r="R67" s="5">
        <f>VLOOKUP($A67,'SegEnds_NonXtal_Prot#'!$A:$AL,3,FALSE)</f>
        <v>46</v>
      </c>
      <c r="S67" s="5">
        <f>VLOOKUP($A67,'SegEnds_NonXtal_Prot#'!$A:$AL,6,FALSE)</f>
        <v>75</v>
      </c>
      <c r="T67" s="5">
        <f>VLOOKUP($A67,'SegEnds_NonXtal_Prot#'!$A:$AL,9,FALSE)</f>
        <v>79</v>
      </c>
      <c r="U67" s="5">
        <f>VLOOKUP($A67,'SegEnds_NonXtal_Prot#'!$A:$AL,12,FALSE)</f>
        <v>111</v>
      </c>
      <c r="V67" s="5">
        <f>VLOOKUP($A67,'SegEnds_NonXtal_Prot#'!$A:$AL,15,FALSE)</f>
        <v>115</v>
      </c>
      <c r="W67" s="5">
        <f>VLOOKUP($A67,'SegEnds_NonXtal_Prot#'!$A:$AL,18,FALSE)</f>
        <v>151</v>
      </c>
      <c r="X67" s="5">
        <f>VLOOKUP($A67,'SegEnds_NonXtal_Prot#'!$A:$AL,21,FALSE)</f>
        <v>157</v>
      </c>
      <c r="Y67" s="5">
        <f>VLOOKUP($A67,'SegEnds_NonXtal_Prot#'!$A:$AL,24,FALSE)</f>
        <v>202</v>
      </c>
      <c r="Z67" s="5">
        <f>VLOOKUP($A67,'SegEnds_NonXtal_Prot#'!$A:$AL,27,FALSE)</f>
        <v>209</v>
      </c>
      <c r="AA67" s="5">
        <f>VLOOKUP($A67,'SegEnds_NonXtal_Prot#'!$A:$AL,30,FALSE)</f>
        <v>283</v>
      </c>
      <c r="AB67" s="5">
        <f>VLOOKUP($A67,'SegEnds_NonXtal_Prot#'!$A:$AL,33,FALSE)</f>
        <v>333</v>
      </c>
      <c r="AC67" s="5">
        <f>VLOOKUP($A67,'SegEnds_NonXtal_Prot#'!$A:$AL,36,FALSE)</f>
        <v>362</v>
      </c>
      <c r="AD67" s="5">
        <f>VLOOKUP($A67,'SegEnds_NonXtal_Prot#'!$A:$AL,5,FALSE)</f>
        <v>74</v>
      </c>
      <c r="AE67" s="5">
        <f>VLOOKUP($A67,'SegEnds_NonXtal_Prot#'!$A:$AL,8,FALSE)</f>
        <v>78</v>
      </c>
      <c r="AF67" s="5">
        <f>VLOOKUP($A67,'SegEnds_NonXtal_Prot#'!$A:$AL,11,FALSE)</f>
        <v>109</v>
      </c>
      <c r="AG67" s="5">
        <f>VLOOKUP($A67,'SegEnds_NonXtal_Prot#'!$A:$AL,14,FALSE)</f>
        <v>114</v>
      </c>
      <c r="AH67" s="5">
        <f>VLOOKUP($A67,'SegEnds_NonXtal_Prot#'!$A:$AL,17,FALSE)</f>
        <v>150</v>
      </c>
      <c r="AI67" s="5">
        <f>VLOOKUP($A67,'SegEnds_NonXtal_Prot#'!$A:$AL,20,FALSE)</f>
        <v>154</v>
      </c>
      <c r="AJ67" s="5">
        <f>VLOOKUP($A67,'SegEnds_NonXtal_Prot#'!$A:$AL,23,FALSE)</f>
        <v>183</v>
      </c>
      <c r="AK67" s="5">
        <f>VLOOKUP($A67,'SegEnds_NonXtal_Prot#'!$A:$AL,26,FALSE)</f>
        <v>204</v>
      </c>
      <c r="AL67" s="5">
        <f>VLOOKUP($A67,'SegEnds_NonXtal_Prot#'!$A:$AL,29,FALSE)</f>
        <v>248</v>
      </c>
      <c r="AM67" s="5">
        <f>VLOOKUP($A67,'SegEnds_NonXtal_Prot#'!$A:$AL,32,FALSE)</f>
        <v>324</v>
      </c>
      <c r="AN67" s="5">
        <f>VLOOKUP($A67,'SegEnds_NonXtal_Prot#'!$A:$AL,35,FALSE)</f>
        <v>361</v>
      </c>
      <c r="AO67" s="5">
        <f>VLOOKUP($A67,'SegEnds_NonXtal_Prot#'!$A:$AL,38,FALSE)</f>
        <v>373</v>
      </c>
      <c r="AP67" s="5">
        <f t="shared" si="38"/>
        <v>28</v>
      </c>
      <c r="AQ67" s="4">
        <f t="shared" si="39"/>
        <v>3</v>
      </c>
      <c r="AR67" s="4">
        <f t="shared" si="40"/>
        <v>30</v>
      </c>
      <c r="AS67" s="4">
        <f t="shared" si="41"/>
        <v>3</v>
      </c>
      <c r="AT67" s="4">
        <f t="shared" si="42"/>
        <v>35</v>
      </c>
      <c r="AU67" s="4">
        <f t="shared" si="43"/>
        <v>3</v>
      </c>
      <c r="AV67" s="4">
        <f t="shared" si="44"/>
        <v>26</v>
      </c>
      <c r="AW67" s="4">
        <f t="shared" si="45"/>
        <v>2</v>
      </c>
      <c r="AX67" s="4">
        <f t="shared" si="46"/>
        <v>39</v>
      </c>
      <c r="AY67" s="4">
        <f t="shared" si="47"/>
        <v>41</v>
      </c>
      <c r="AZ67" s="4">
        <f t="shared" si="48"/>
        <v>28</v>
      </c>
      <c r="BA67" s="4">
        <f t="shared" si="49"/>
        <v>11</v>
      </c>
    </row>
    <row r="68" spans="1:53" x14ac:dyDescent="0.2">
      <c r="A68" s="1" t="str">
        <f>'SegEnds_NonXtal_Prot#'!A35</f>
        <v>ox2r_human</v>
      </c>
      <c r="B68" s="1" t="str">
        <f t="shared" si="25"/>
        <v>YEWVLIAGYIIVFVVALIGNVLVCVAVWKNTVTNYFIVNLSLADVLVTITCLPATLVVDITGQSLCKVIPYLQTVSVSVSVLTLSCIALDRWYAICHTAKRARNSIVIIWIVSCIIMIPQAIVMEIYPKMYHICFFLVTYMAPLCLMVLAYLQIFRKLWCRQIPVAAEIKQIRARRKTARMLMIVLLVFAICYLPISILNVLKRVFRETVYAWFTFSHWLVYANSAANPIIYNFLSGKFREEFKAAF</v>
      </c>
      <c r="C68" s="29" t="str">
        <f>IF(ISERROR(MATCH(A68,'SegEnds_Xtal_Prot#'!B:B, 0)), "NoXtal", "Xtal")</f>
        <v>Xtal</v>
      </c>
      <c r="D68" s="4" t="str">
        <f>VLOOKUP(A68,Classification!A:D,2,FALSE)</f>
        <v>A</v>
      </c>
      <c r="E68" s="5" t="str">
        <f>VLOOKUP(A68,Seqs!A:B,2,FALSE)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68" s="5" t="str">
        <f t="shared" si="26"/>
        <v>YEWVLIAGYIIVFVVALIGNVLVCVAVWKN</v>
      </c>
      <c r="G68" s="4" t="str">
        <f t="shared" si="27"/>
        <v>HHMR</v>
      </c>
      <c r="H68" s="4" t="str">
        <f t="shared" si="28"/>
        <v>TVTNYFIVNLSLADVLVTITCLPATLVVDIT</v>
      </c>
      <c r="I68" s="4" t="str">
        <f t="shared" si="29"/>
        <v>TWFF</v>
      </c>
      <c r="J68" s="4" t="str">
        <f t="shared" si="30"/>
        <v>GQSLCKVIPYLQTVSVSVSVLTLSCIALDRWYAICH</v>
      </c>
      <c r="K68" s="4" t="str">
        <f t="shared" si="31"/>
        <v>PLMF</v>
      </c>
      <c r="L68" s="4" t="str">
        <f t="shared" si="32"/>
        <v>TAKRARNSIVIIWIVSCIIMIPQAIVM</v>
      </c>
      <c r="M68" s="4" t="str">
        <f t="shared" si="33"/>
        <v>CDE</v>
      </c>
      <c r="N68" s="4" t="str">
        <f t="shared" si="34"/>
        <v>EIYPKMYHICFFLVTYMAPLCLMVLAYLQIFRKLWCRQIP</v>
      </c>
      <c r="O68" s="4" t="str">
        <f t="shared" si="35"/>
        <v>VAAEIKQIRARRKTARMLMIVLLVFAICYLPISILNVLKRVF</v>
      </c>
      <c r="P68" s="4" t="str">
        <f t="shared" si="36"/>
        <v>RETVYAWFTFSHWLVYANSAANPIIYNFL</v>
      </c>
      <c r="Q68" s="4" t="str">
        <f t="shared" si="37"/>
        <v>SGKFREEFKAAF</v>
      </c>
      <c r="R68" s="5">
        <f>VLOOKUP($A68,'SegEnds_NonXtal_Prot#'!$A:$AL,3,FALSE)</f>
        <v>53</v>
      </c>
      <c r="S68" s="5">
        <f>VLOOKUP($A68,'SegEnds_NonXtal_Prot#'!$A:$AL,6,FALSE)</f>
        <v>83</v>
      </c>
      <c r="T68" s="5">
        <f>VLOOKUP($A68,'SegEnds_NonXtal_Prot#'!$A:$AL,9,FALSE)</f>
        <v>87</v>
      </c>
      <c r="U68" s="5">
        <f>VLOOKUP($A68,'SegEnds_NonXtal_Prot#'!$A:$AL,12,FALSE)</f>
        <v>119</v>
      </c>
      <c r="V68" s="5">
        <f>VLOOKUP($A68,'SegEnds_NonXtal_Prot#'!$A:$AL,15,FALSE)</f>
        <v>123</v>
      </c>
      <c r="W68" s="5">
        <f>VLOOKUP($A68,'SegEnds_NonXtal_Prot#'!$A:$AL,18,FALSE)</f>
        <v>159</v>
      </c>
      <c r="X68" s="5">
        <f>VLOOKUP($A68,'SegEnds_NonXtal_Prot#'!$A:$AL,21,FALSE)</f>
        <v>165</v>
      </c>
      <c r="Y68" s="5">
        <f>VLOOKUP($A68,'SegEnds_NonXtal_Prot#'!$A:$AL,24,FALSE)</f>
        <v>210</v>
      </c>
      <c r="Z68" s="5">
        <f>VLOOKUP($A68,'SegEnds_NonXtal_Prot#'!$A:$AL,27,FALSE)</f>
        <v>217</v>
      </c>
      <c r="AA68" s="5">
        <f>VLOOKUP($A68,'SegEnds_NonXtal_Prot#'!$A:$AL,30,FALSE)</f>
        <v>289</v>
      </c>
      <c r="AB68" s="5">
        <f>VLOOKUP($A68,'SegEnds_NonXtal_Prot#'!$A:$AL,33,FALSE)</f>
        <v>339</v>
      </c>
      <c r="AC68" s="5">
        <f>VLOOKUP($A68,'SegEnds_NonXtal_Prot#'!$A:$AL,36,FALSE)</f>
        <v>368</v>
      </c>
      <c r="AD68" s="5">
        <f>VLOOKUP($A68,'SegEnds_NonXtal_Prot#'!$A:$AL,5,FALSE)</f>
        <v>82</v>
      </c>
      <c r="AE68" s="5">
        <f>VLOOKUP($A68,'SegEnds_NonXtal_Prot#'!$A:$AL,8,FALSE)</f>
        <v>86</v>
      </c>
      <c r="AF68" s="5">
        <f>VLOOKUP($A68,'SegEnds_NonXtal_Prot#'!$A:$AL,11,FALSE)</f>
        <v>117</v>
      </c>
      <c r="AG68" s="5">
        <f>VLOOKUP($A68,'SegEnds_NonXtal_Prot#'!$A:$AL,14,FALSE)</f>
        <v>122</v>
      </c>
      <c r="AH68" s="5">
        <f>VLOOKUP($A68,'SegEnds_NonXtal_Prot#'!$A:$AL,17,FALSE)</f>
        <v>158</v>
      </c>
      <c r="AI68" s="5">
        <f>VLOOKUP($A68,'SegEnds_NonXtal_Prot#'!$A:$AL,20,FALSE)</f>
        <v>162</v>
      </c>
      <c r="AJ68" s="5">
        <f>VLOOKUP($A68,'SegEnds_NonXtal_Prot#'!$A:$AL,23,FALSE)</f>
        <v>191</v>
      </c>
      <c r="AK68" s="5">
        <f>VLOOKUP($A68,'SegEnds_NonXtal_Prot#'!$A:$AL,26,FALSE)</f>
        <v>212</v>
      </c>
      <c r="AL68" s="5">
        <f>VLOOKUP($A68,'SegEnds_NonXtal_Prot#'!$A:$AL,29,FALSE)</f>
        <v>256</v>
      </c>
      <c r="AM68" s="5">
        <f>VLOOKUP($A68,'SegEnds_NonXtal_Prot#'!$A:$AL,32,FALSE)</f>
        <v>330</v>
      </c>
      <c r="AN68" s="5">
        <f>VLOOKUP($A68,'SegEnds_NonXtal_Prot#'!$A:$AL,35,FALSE)</f>
        <v>367</v>
      </c>
      <c r="AO68" s="5">
        <f>VLOOKUP($A68,'SegEnds_NonXtal_Prot#'!$A:$AL,38,FALSE)</f>
        <v>379</v>
      </c>
      <c r="AP68" s="5">
        <f t="shared" si="38"/>
        <v>29</v>
      </c>
      <c r="AQ68" s="4">
        <f t="shared" si="39"/>
        <v>3</v>
      </c>
      <c r="AR68" s="4">
        <f t="shared" si="40"/>
        <v>30</v>
      </c>
      <c r="AS68" s="4">
        <f t="shared" si="41"/>
        <v>3</v>
      </c>
      <c r="AT68" s="4">
        <f t="shared" si="42"/>
        <v>35</v>
      </c>
      <c r="AU68" s="4">
        <f t="shared" si="43"/>
        <v>3</v>
      </c>
      <c r="AV68" s="4">
        <f t="shared" si="44"/>
        <v>26</v>
      </c>
      <c r="AW68" s="4">
        <f t="shared" si="45"/>
        <v>2</v>
      </c>
      <c r="AX68" s="4">
        <f t="shared" si="46"/>
        <v>39</v>
      </c>
      <c r="AY68" s="4">
        <f t="shared" si="47"/>
        <v>41</v>
      </c>
      <c r="AZ68" s="4">
        <f t="shared" si="48"/>
        <v>28</v>
      </c>
      <c r="BA68" s="4">
        <f t="shared" si="49"/>
        <v>11</v>
      </c>
    </row>
    <row r="69" spans="1:53" x14ac:dyDescent="0.2">
      <c r="A69" s="1" t="str">
        <f>'SegEnds_NonXtal_Prot#'!A36</f>
        <v>prlhr_human</v>
      </c>
      <c r="B69" s="1" t="str">
        <f t="shared" si="25"/>
        <v>LKGLIVLLYSVVVVVGLVGNCLLVLVIARVNVTNFLIGNLALSDVLMCTACVPLTLAYAFEGGGLCHLVFFLQPVTVYVSVFTLTTIAVDRYVVLVHSLRLSAYAVLAIWALSAVLALPAAVHTERQRQLYAWGLLLVTYLLPLLVILLSYVRVSVKLRNRVVPGCQADWDRARRRRTFCLLVVIVVVFAVCWLPLHVFNLLRDLDPYAFGLVQLLCHWLAMSSACYNPFIYAWLHDSFREELRKLL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69" s="5" t="str">
        <f t="shared" si="26"/>
        <v>LKGLIVLLYSVVVVVGLVGNCLLVLVIARV</v>
      </c>
      <c r="G69" s="4" t="str">
        <f t="shared" si="27"/>
        <v>RRLH</v>
      </c>
      <c r="H69" s="4" t="str">
        <f t="shared" si="28"/>
        <v>NVTNFLIGNLALSDVLMCTACVPLTLAYAFE</v>
      </c>
      <c r="I69" s="4" t="str">
        <f t="shared" si="29"/>
        <v>GWVF</v>
      </c>
      <c r="J69" s="4" t="str">
        <f t="shared" si="30"/>
        <v>GGGLCHLVFFLQPVTVYVSVFTLTTIAVDRYVVLVH</v>
      </c>
      <c r="K69" s="4" t="str">
        <f t="shared" si="31"/>
        <v>PLRR</v>
      </c>
      <c r="L69" s="4" t="str">
        <f t="shared" si="32"/>
        <v>SLRLSAYAVLAIWALSAVLALPAAVHT</v>
      </c>
      <c r="M69" s="4" t="str">
        <f t="shared" si="33"/>
        <v>CEE</v>
      </c>
      <c r="N69" s="4" t="str">
        <f t="shared" si="34"/>
        <v>ERQRQLYAWGLLLVTYLLPLLVILLSYVRVSVKLRNRVVPGC</v>
      </c>
      <c r="O69" s="4" t="str">
        <f t="shared" si="35"/>
        <v>QADWDRARRRRTFCLLVVIVVVFAVCWLPLHVFNLLRDLD</v>
      </c>
      <c r="P69" s="4" t="str">
        <f t="shared" si="36"/>
        <v>PYAFGLVQLLCHWLAMSSACYNPFIYAWL</v>
      </c>
      <c r="Q69" s="4" t="str">
        <f t="shared" si="37"/>
        <v>HDSFREELRKLL</v>
      </c>
      <c r="R69" s="5">
        <f>VLOOKUP($A69,'SegEnds_NonXtal_Prot#'!$A:$AL,3,FALSE)</f>
        <v>59</v>
      </c>
      <c r="S69" s="5">
        <f>VLOOKUP($A69,'SegEnds_NonXtal_Prot#'!$A:$AL,6,FALSE)</f>
        <v>89</v>
      </c>
      <c r="T69" s="5">
        <f>VLOOKUP($A69,'SegEnds_NonXtal_Prot#'!$A:$AL,9,FALSE)</f>
        <v>93</v>
      </c>
      <c r="U69" s="5">
        <f>VLOOKUP($A69,'SegEnds_NonXtal_Prot#'!$A:$AL,12,FALSE)</f>
        <v>126</v>
      </c>
      <c r="V69" s="5">
        <f>VLOOKUP($A69,'SegEnds_NonXtal_Prot#'!$A:$AL,15,FALSE)</f>
        <v>130</v>
      </c>
      <c r="W69" s="5">
        <f>VLOOKUP($A69,'SegEnds_NonXtal_Prot#'!$A:$AL,18,FALSE)</f>
        <v>166</v>
      </c>
      <c r="X69" s="5">
        <f>VLOOKUP($A69,'SegEnds_NonXtal_Prot#'!$A:$AL,21,FALSE)</f>
        <v>172</v>
      </c>
      <c r="Y69" s="5">
        <f>VLOOKUP($A69,'SegEnds_NonXtal_Prot#'!$A:$AL,24,FALSE)</f>
        <v>211</v>
      </c>
      <c r="Z69" s="5">
        <f>VLOOKUP($A69,'SegEnds_NonXtal_Prot#'!$A:$AL,27,FALSE)</f>
        <v>219</v>
      </c>
      <c r="AA69" s="5">
        <f>VLOOKUP($A69,'SegEnds_NonXtal_Prot#'!$A:$AL,30,FALSE)</f>
        <v>265</v>
      </c>
      <c r="AB69" s="5">
        <f>VLOOKUP($A69,'SegEnds_NonXtal_Prot#'!$A:$AL,33,FALSE)</f>
        <v>310</v>
      </c>
      <c r="AC69" s="5">
        <f>VLOOKUP($A69,'SegEnds_NonXtal_Prot#'!$A:$AL,36,FALSE)</f>
        <v>339</v>
      </c>
      <c r="AD69" s="5">
        <f>VLOOKUP($A69,'SegEnds_NonXtal_Prot#'!$A:$AL,5,FALSE)</f>
        <v>88</v>
      </c>
      <c r="AE69" s="5">
        <f>VLOOKUP($A69,'SegEnds_NonXtal_Prot#'!$A:$AL,8,FALSE)</f>
        <v>92</v>
      </c>
      <c r="AF69" s="5">
        <f>VLOOKUP($A69,'SegEnds_NonXtal_Prot#'!$A:$AL,11,FALSE)</f>
        <v>123</v>
      </c>
      <c r="AG69" s="5">
        <f>VLOOKUP($A69,'SegEnds_NonXtal_Prot#'!$A:$AL,14,FALSE)</f>
        <v>129</v>
      </c>
      <c r="AH69" s="5">
        <f>VLOOKUP($A69,'SegEnds_NonXtal_Prot#'!$A:$AL,17,FALSE)</f>
        <v>165</v>
      </c>
      <c r="AI69" s="5">
        <f>VLOOKUP($A69,'SegEnds_NonXtal_Prot#'!$A:$AL,20,FALSE)</f>
        <v>169</v>
      </c>
      <c r="AJ69" s="5">
        <f>VLOOKUP($A69,'SegEnds_NonXtal_Prot#'!$A:$AL,23,FALSE)</f>
        <v>198</v>
      </c>
      <c r="AK69" s="5">
        <f>VLOOKUP($A69,'SegEnds_NonXtal_Prot#'!$A:$AL,26,FALSE)</f>
        <v>213</v>
      </c>
      <c r="AL69" s="5">
        <f>VLOOKUP($A69,'SegEnds_NonXtal_Prot#'!$A:$AL,29,FALSE)</f>
        <v>260</v>
      </c>
      <c r="AM69" s="5">
        <f>VLOOKUP($A69,'SegEnds_NonXtal_Prot#'!$A:$AL,32,FALSE)</f>
        <v>304</v>
      </c>
      <c r="AN69" s="5">
        <f>VLOOKUP($A69,'SegEnds_NonXtal_Prot#'!$A:$AL,35,FALSE)</f>
        <v>338</v>
      </c>
      <c r="AO69" s="5">
        <f>VLOOKUP($A69,'SegEnds_NonXtal_Prot#'!$A:$AL,38,FALSE)</f>
        <v>350</v>
      </c>
      <c r="AP69" s="5">
        <f t="shared" si="38"/>
        <v>29</v>
      </c>
      <c r="AQ69" s="4">
        <f t="shared" si="39"/>
        <v>3</v>
      </c>
      <c r="AR69" s="4">
        <f t="shared" si="40"/>
        <v>30</v>
      </c>
      <c r="AS69" s="4">
        <f t="shared" si="41"/>
        <v>3</v>
      </c>
      <c r="AT69" s="4">
        <f t="shared" si="42"/>
        <v>35</v>
      </c>
      <c r="AU69" s="4">
        <f t="shared" si="43"/>
        <v>3</v>
      </c>
      <c r="AV69" s="4">
        <f t="shared" si="44"/>
        <v>26</v>
      </c>
      <c r="AW69" s="4">
        <f t="shared" si="45"/>
        <v>2</v>
      </c>
      <c r="AX69" s="4">
        <f t="shared" si="46"/>
        <v>41</v>
      </c>
      <c r="AY69" s="4">
        <f t="shared" si="47"/>
        <v>39</v>
      </c>
      <c r="AZ69" s="4">
        <f t="shared" si="48"/>
        <v>28</v>
      </c>
      <c r="BA69" s="4">
        <f t="shared" si="49"/>
        <v>11</v>
      </c>
    </row>
    <row r="70" spans="1:53" x14ac:dyDescent="0.2">
      <c r="A70" s="1" t="str">
        <f>'SegEnds_NonXtal_Prot#'!A37</f>
        <v>s1pr5_human</v>
      </c>
      <c r="B70" s="1" t="str">
        <f t="shared" si="25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70" s="29" t="str">
        <f>IF(ISERROR(MATCH(A70,'SegEnds_Xtal_Prot#'!B:B, 0)), "NoXtal", "Xtal")</f>
        <v>NoXtal</v>
      </c>
      <c r="D70" s="4" t="str">
        <f>VLOOKUP(A70,Classification!A:D,2,FALSE)</f>
        <v>A</v>
      </c>
      <c r="E70" s="5" t="str">
        <f>VLOOKUP(A70,Seqs!A:B,2,FALSE)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70" s="5" t="str">
        <f t="shared" si="26"/>
        <v>GAGLRADAVVCLAVCAFIVLENLAVLLVLGRH</v>
      </c>
      <c r="G70" s="4" t="str">
        <f t="shared" si="27"/>
        <v>PRFH</v>
      </c>
      <c r="H70" s="4" t="str">
        <f t="shared" si="28"/>
        <v>APMFLLLGSLTLSDLLAGAAYAANILL</v>
      </c>
      <c r="I70" s="4" t="str">
        <f t="shared" si="29"/>
        <v>GPLTLKL</v>
      </c>
      <c r="J70" s="4" t="str">
        <f t="shared" si="30"/>
        <v>SPALWFAREGGVFVALTASVLSLLAIALERSLTMAR</v>
      </c>
      <c r="K70" s="4" t="str">
        <f t="shared" si="31"/>
        <v>RGPAPVS</v>
      </c>
      <c r="L70" s="4" t="str">
        <f t="shared" si="32"/>
        <v>SRGRTLAMAAAAWGVSLLLGLLPALG</v>
      </c>
      <c r="M70" s="4" t="str">
        <f t="shared" si="33"/>
        <v/>
      </c>
      <c r="N70" s="4" t="str">
        <f t="shared" si="34"/>
        <v>AKAYVLFCVLAFVGILAAICALYARIYCQVRANARRLPA</v>
      </c>
      <c r="O70" s="4" t="str">
        <f t="shared" si="35"/>
        <v>STRARRKPRSLALLRTLSVVLLAFVACWGPLFLLLLLDVAC</v>
      </c>
      <c r="P70" s="4" t="str">
        <f t="shared" si="36"/>
        <v>PVLLQADPFLGLAMANSLLNPIIYTLT</v>
      </c>
      <c r="Q70" s="4" t="str">
        <f t="shared" si="37"/>
        <v>NRDLRHALLRLVC</v>
      </c>
      <c r="R70" s="5">
        <f>VLOOKUP($A70,'SegEnds_NonXtal_Prot#'!$A:$AL,3,FALSE)</f>
        <v>33</v>
      </c>
      <c r="S70" s="5">
        <f>VLOOKUP($A70,'SegEnds_NonXtal_Prot#'!$A:$AL,6,FALSE)</f>
        <v>65</v>
      </c>
      <c r="T70" s="5">
        <f>VLOOKUP($A70,'SegEnds_NonXtal_Prot#'!$A:$AL,9,FALSE)</f>
        <v>69</v>
      </c>
      <c r="U70" s="5">
        <f>VLOOKUP($A70,'SegEnds_NonXtal_Prot#'!$A:$AL,12,FALSE)</f>
        <v>97</v>
      </c>
      <c r="V70" s="5">
        <f>VLOOKUP($A70,'SegEnds_NonXtal_Prot#'!$A:$AL,15,FALSE)</f>
        <v>104</v>
      </c>
      <c r="W70" s="5">
        <f>VLOOKUP($A70,'SegEnds_NonXtal_Prot#'!$A:$AL,18,FALSE)</f>
        <v>140</v>
      </c>
      <c r="X70" s="5">
        <f>VLOOKUP($A70,'SegEnds_NonXtal_Prot#'!$A:$AL,21,FALSE)</f>
        <v>147</v>
      </c>
      <c r="Y70" s="5" t="str">
        <f>VLOOKUP($A70,'SegEnds_NonXtal_Prot#'!$A:$AL,24,FALSE)</f>
        <v>-</v>
      </c>
      <c r="Z70" s="5">
        <f>VLOOKUP($A70,'SegEnds_NonXtal_Prot#'!$A:$AL,27,FALSE)</f>
        <v>190</v>
      </c>
      <c r="AA70" s="5">
        <f>VLOOKUP($A70,'SegEnds_NonXtal_Prot#'!$A:$AL,30,FALSE)</f>
        <v>237</v>
      </c>
      <c r="AB70" s="5">
        <f>VLOOKUP($A70,'SegEnds_NonXtal_Prot#'!$A:$AL,33,FALSE)</f>
        <v>283</v>
      </c>
      <c r="AC70" s="5">
        <f>VLOOKUP($A70,'SegEnds_NonXtal_Prot#'!$A:$AL,36,FALSE)</f>
        <v>310</v>
      </c>
      <c r="AD70" s="5">
        <f>VLOOKUP($A70,'SegEnds_NonXtal_Prot#'!$A:$AL,5,FALSE)</f>
        <v>64</v>
      </c>
      <c r="AE70" s="5">
        <f>VLOOKUP($A70,'SegEnds_NonXtal_Prot#'!$A:$AL,8,FALSE)</f>
        <v>68</v>
      </c>
      <c r="AF70" s="5">
        <f>VLOOKUP($A70,'SegEnds_NonXtal_Prot#'!$A:$AL,11,FALSE)</f>
        <v>95</v>
      </c>
      <c r="AG70" s="5">
        <f>VLOOKUP($A70,'SegEnds_NonXtal_Prot#'!$A:$AL,14,FALSE)</f>
        <v>103</v>
      </c>
      <c r="AH70" s="5">
        <f>VLOOKUP($A70,'SegEnds_NonXtal_Prot#'!$A:$AL,17,FALSE)</f>
        <v>139</v>
      </c>
      <c r="AI70" s="5">
        <f>VLOOKUP($A70,'SegEnds_NonXtal_Prot#'!$A:$AL,20,FALSE)</f>
        <v>146</v>
      </c>
      <c r="AJ70" s="5">
        <f>VLOOKUP($A70,'SegEnds_NonXtal_Prot#'!$A:$AL,23,FALSE)</f>
        <v>172</v>
      </c>
      <c r="AK70" s="5" t="str">
        <f>VLOOKUP($A70,'SegEnds_NonXtal_Prot#'!$A:$AL,26,FALSE)</f>
        <v>-</v>
      </c>
      <c r="AL70" s="5">
        <f>VLOOKUP($A70,'SegEnds_NonXtal_Prot#'!$A:$AL,29,FALSE)</f>
        <v>228</v>
      </c>
      <c r="AM70" s="5">
        <f>VLOOKUP($A70,'SegEnds_NonXtal_Prot#'!$A:$AL,32,FALSE)</f>
        <v>277</v>
      </c>
      <c r="AN70" s="5">
        <f>VLOOKUP($A70,'SegEnds_NonXtal_Prot#'!$A:$AL,35,FALSE)</f>
        <v>309</v>
      </c>
      <c r="AO70" s="5">
        <f>VLOOKUP($A70,'SegEnds_NonXtal_Prot#'!$A:$AL,38,FALSE)</f>
        <v>322</v>
      </c>
      <c r="AP70" s="5">
        <f t="shared" si="38"/>
        <v>31</v>
      </c>
      <c r="AQ70" s="4">
        <f t="shared" si="39"/>
        <v>3</v>
      </c>
      <c r="AR70" s="4">
        <f t="shared" si="40"/>
        <v>26</v>
      </c>
      <c r="AS70" s="4">
        <f t="shared" si="41"/>
        <v>6</v>
      </c>
      <c r="AT70" s="4">
        <f t="shared" si="42"/>
        <v>35</v>
      </c>
      <c r="AU70" s="4">
        <f t="shared" si="43"/>
        <v>6</v>
      </c>
      <c r="AV70" s="4">
        <f t="shared" si="44"/>
        <v>25</v>
      </c>
      <c r="AW70" s="4" t="str">
        <f t="shared" si="45"/>
        <v>-</v>
      </c>
      <c r="AX70" s="4">
        <f t="shared" si="46"/>
        <v>38</v>
      </c>
      <c r="AY70" s="4">
        <f t="shared" si="47"/>
        <v>40</v>
      </c>
      <c r="AZ70" s="4">
        <f t="shared" si="48"/>
        <v>26</v>
      </c>
      <c r="BA70" s="4">
        <f t="shared" si="49"/>
        <v>12</v>
      </c>
    </row>
    <row r="71" spans="1:53" x14ac:dyDescent="0.2">
      <c r="A71" s="1" t="str">
        <f>'SegEnds_NonXtal_Prot#'!A38</f>
        <v>5ht1a_human</v>
      </c>
      <c r="B71" s="1" t="str">
        <f t="shared" si="25"/>
        <v>VSYQVITSLLLGTLIFCAVLGNACVVAAIALENVANYLIGSLAVTDLMVSVLVLPMAALYQVLGQVTCDLFIALDVLCCTSSILHLCAIALDRYWAITDTPRRAAALISLTWLIGFLISIPPMLGDHGYTIYSTFGAFYIPLLLMLVLYGRIFRAARFRIRKTVKKVKMALARERKTVKTLGIIMGTFILCWLPFFIVALVLPFPTLLGAIINWLGYSNSLLNPVIYAYFNKDFQNAFKKII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71" s="5" t="str">
        <f t="shared" si="26"/>
        <v>VSYQVITSLLLGTLIFCAVLGNACVVAAIALE</v>
      </c>
      <c r="G71" s="4" t="str">
        <f t="shared" si="27"/>
        <v>RSLQ</v>
      </c>
      <c r="H71" s="4" t="str">
        <f t="shared" si="28"/>
        <v>NVANYLIGSLAVTDLMVSVLVLPMAALYQVL</v>
      </c>
      <c r="I71" s="4" t="str">
        <f t="shared" si="29"/>
        <v>KWTL</v>
      </c>
      <c r="J71" s="4" t="str">
        <f t="shared" si="30"/>
        <v>GQVTCDLFIALDVLCCTSSILHLCAIALDRYWAITD</v>
      </c>
      <c r="K71" s="4" t="str">
        <f t="shared" si="31"/>
        <v>PIDYVNKR</v>
      </c>
      <c r="L71" s="4" t="str">
        <f t="shared" si="32"/>
        <v>TPRRAAALISLTWLIGFLISIPPMLG</v>
      </c>
      <c r="M71" s="4" t="str">
        <f t="shared" si="33"/>
        <v>CTI</v>
      </c>
      <c r="N71" s="4" t="str">
        <f t="shared" si="34"/>
        <v>DHGYTIYSTFGAFYIPLLLMLVLYGRIFRAARFRIRKTVKKV</v>
      </c>
      <c r="O71" s="4" t="str">
        <f t="shared" si="35"/>
        <v>KMALARERKTVKTLGIIMGTFILCWLPFFIVALVLPF</v>
      </c>
      <c r="P71" s="4" t="str">
        <f t="shared" si="36"/>
        <v>PTLLGAIINWLGYSNSLLNPVIYAYF</v>
      </c>
      <c r="Q71" s="4" t="str">
        <f t="shared" si="37"/>
        <v>NKDFQNAFKKII</v>
      </c>
      <c r="R71" s="5">
        <f>VLOOKUP($A71,'SegEnds_NonXtal_Prot#'!$A:$AL,3,FALSE)</f>
        <v>33</v>
      </c>
      <c r="S71" s="5">
        <f>VLOOKUP($A71,'SegEnds_NonXtal_Prot#'!$A:$AL,6,FALSE)</f>
        <v>65</v>
      </c>
      <c r="T71" s="5">
        <f>VLOOKUP($A71,'SegEnds_NonXtal_Prot#'!$A:$AL,9,FALSE)</f>
        <v>69</v>
      </c>
      <c r="U71" s="5">
        <f>VLOOKUP($A71,'SegEnds_NonXtal_Prot#'!$A:$AL,12,FALSE)</f>
        <v>101</v>
      </c>
      <c r="V71" s="5">
        <f>VLOOKUP($A71,'SegEnds_NonXtal_Prot#'!$A:$AL,15,FALSE)</f>
        <v>105</v>
      </c>
      <c r="W71" s="5">
        <f>VLOOKUP($A71,'SegEnds_NonXtal_Prot#'!$A:$AL,18,FALSE)</f>
        <v>141</v>
      </c>
      <c r="X71" s="5">
        <f>VLOOKUP($A71,'SegEnds_NonXtal_Prot#'!$A:$AL,21,FALSE)</f>
        <v>149</v>
      </c>
      <c r="Y71" s="5">
        <f>VLOOKUP($A71,'SegEnds_NonXtal_Prot#'!$A:$AL,24,FALSE)</f>
        <v>187</v>
      </c>
      <c r="Z71" s="5">
        <f>VLOOKUP($A71,'SegEnds_NonXtal_Prot#'!$A:$AL,27,FALSE)</f>
        <v>192</v>
      </c>
      <c r="AA71" s="5">
        <f>VLOOKUP($A71,'SegEnds_NonXtal_Prot#'!$A:$AL,30,FALSE)</f>
        <v>334</v>
      </c>
      <c r="AB71" s="5">
        <f>VLOOKUP($A71,'SegEnds_NonXtal_Prot#'!$A:$AL,33,FALSE)</f>
        <v>378</v>
      </c>
      <c r="AC71" s="5">
        <f>VLOOKUP($A71,'SegEnds_NonXtal_Prot#'!$A:$AL,36,FALSE)</f>
        <v>404</v>
      </c>
      <c r="AD71" s="5">
        <f>VLOOKUP($A71,'SegEnds_NonXtal_Prot#'!$A:$AL,5,FALSE)</f>
        <v>64</v>
      </c>
      <c r="AE71" s="5">
        <f>VLOOKUP($A71,'SegEnds_NonXtal_Prot#'!$A:$AL,8,FALSE)</f>
        <v>68</v>
      </c>
      <c r="AF71" s="5">
        <f>VLOOKUP($A71,'SegEnds_NonXtal_Prot#'!$A:$AL,11,FALSE)</f>
        <v>99</v>
      </c>
      <c r="AG71" s="5">
        <f>VLOOKUP($A71,'SegEnds_NonXtal_Prot#'!$A:$AL,14,FALSE)</f>
        <v>104</v>
      </c>
      <c r="AH71" s="5">
        <f>VLOOKUP($A71,'SegEnds_NonXtal_Prot#'!$A:$AL,17,FALSE)</f>
        <v>140</v>
      </c>
      <c r="AI71" s="5">
        <f>VLOOKUP($A71,'SegEnds_NonXtal_Prot#'!$A:$AL,20,FALSE)</f>
        <v>148</v>
      </c>
      <c r="AJ71" s="5">
        <f>VLOOKUP($A71,'SegEnds_NonXtal_Prot#'!$A:$AL,23,FALSE)</f>
        <v>174</v>
      </c>
      <c r="AK71" s="5">
        <f>VLOOKUP($A71,'SegEnds_NonXtal_Prot#'!$A:$AL,26,FALSE)</f>
        <v>189</v>
      </c>
      <c r="AL71" s="5">
        <f>VLOOKUP($A71,'SegEnds_NonXtal_Prot#'!$A:$AL,29,FALSE)</f>
        <v>233</v>
      </c>
      <c r="AM71" s="5">
        <f>VLOOKUP($A71,'SegEnds_NonXtal_Prot#'!$A:$AL,32,FALSE)</f>
        <v>370</v>
      </c>
      <c r="AN71" s="5">
        <f>VLOOKUP($A71,'SegEnds_NonXtal_Prot#'!$A:$AL,35,FALSE)</f>
        <v>403</v>
      </c>
      <c r="AO71" s="5">
        <f>VLOOKUP($A71,'SegEnds_NonXtal_Prot#'!$A:$AL,38,FALSE)</f>
        <v>415</v>
      </c>
      <c r="AP71" s="5">
        <f t="shared" si="38"/>
        <v>31</v>
      </c>
      <c r="AQ71" s="4">
        <f t="shared" si="39"/>
        <v>3</v>
      </c>
      <c r="AR71" s="4">
        <f t="shared" si="40"/>
        <v>30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41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'SegEnds_NonXtal_Prot#'!A39</f>
        <v>5ht1b_human</v>
      </c>
      <c r="B72" s="1" t="str">
        <f t="shared" si="25"/>
        <v>LPWKVLLVMLLALITLATTLSNAFVIATVYRTTPANYLIASLAVTDLLVSILVMPISTMYTVTGQVVCDFWLSSDITCCTASILHLCVIALDRYWAITDTPKRAAVMIALVWVFSISISLPPFFWHILYTVYSTVGAFYFPTLLLIALYGRIYVEARSRILKQTPKLMAARERKATKTLGIILGAFIVCWLPFFIISLVMPIHLAIFDFFTWLGYLNSLINPIIYTMSNEDFKQAFHKLI</v>
      </c>
      <c r="C72" s="29" t="str">
        <f>IF(ISERROR(MATCH(A72,'SegEnds_Xtal_Prot#'!B:B, 0)), "NoXtal", "Xtal")</f>
        <v>Xtal</v>
      </c>
      <c r="D72" s="4" t="str">
        <f>VLOOKUP(A72,Classification!A:D,2,FALSE)</f>
        <v>A</v>
      </c>
      <c r="E72" s="5" t="str">
        <f>VLOOKUP(A72,Seqs!A:B,2,FALSE)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2" s="5" t="str">
        <f t="shared" si="26"/>
        <v>LPWKVLLVMLLALITLATTLSNAFVIATVYRT</v>
      </c>
      <c r="G72" s="4" t="str">
        <f t="shared" si="27"/>
        <v>RKLH</v>
      </c>
      <c r="H72" s="4" t="str">
        <f t="shared" si="28"/>
        <v>TPANYLIASLAVTDLLVSILVMPISTMYTVT</v>
      </c>
      <c r="I72" s="4" t="str">
        <f t="shared" si="29"/>
        <v>RWTL</v>
      </c>
      <c r="J72" s="4" t="str">
        <f t="shared" si="30"/>
        <v>GQVVCDFWLSSDITCCTASILHLCVIALDRYWAITD</v>
      </c>
      <c r="K72" s="4" t="str">
        <f t="shared" si="31"/>
        <v>AVEYSAKR</v>
      </c>
      <c r="L72" s="4" t="str">
        <f t="shared" si="32"/>
        <v>TPKRAAVMIALVWVFSISISLPPFFW</v>
      </c>
      <c r="M72" s="4" t="str">
        <f t="shared" si="33"/>
        <v>CVV</v>
      </c>
      <c r="N72" s="4" t="str">
        <f t="shared" si="34"/>
        <v>HILYTVYSTVGAFYFPTLLLIALYGRIYVEARSRILKQTP</v>
      </c>
      <c r="O72" s="4" t="str">
        <f t="shared" si="35"/>
        <v>KLMAARERKATKTLGIILGAFIVCWLPFFIISLVMPI</v>
      </c>
      <c r="P72" s="4" t="str">
        <f t="shared" si="36"/>
        <v>HLAIFDFFTWLGYLNSLINPIIYTMS</v>
      </c>
      <c r="Q72" s="4" t="str">
        <f t="shared" si="37"/>
        <v>NEDFKQAFHKLI</v>
      </c>
      <c r="R72" s="5">
        <f>VLOOKUP($A72,'SegEnds_NonXtal_Prot#'!$A:$AL,3,FALSE)</f>
        <v>46</v>
      </c>
      <c r="S72" s="5">
        <f>VLOOKUP($A72,'SegEnds_NonXtal_Prot#'!$A:$AL,6,FALSE)</f>
        <v>78</v>
      </c>
      <c r="T72" s="5">
        <f>VLOOKUP($A72,'SegEnds_NonXtal_Prot#'!$A:$AL,9,FALSE)</f>
        <v>82</v>
      </c>
      <c r="U72" s="5">
        <f>VLOOKUP($A72,'SegEnds_NonXtal_Prot#'!$A:$AL,12,FALSE)</f>
        <v>114</v>
      </c>
      <c r="V72" s="5">
        <f>VLOOKUP($A72,'SegEnds_NonXtal_Prot#'!$A:$AL,15,FALSE)</f>
        <v>118</v>
      </c>
      <c r="W72" s="5">
        <f>VLOOKUP($A72,'SegEnds_NonXtal_Prot#'!$A:$AL,18,FALSE)</f>
        <v>154</v>
      </c>
      <c r="X72" s="5">
        <f>VLOOKUP($A72,'SegEnds_NonXtal_Prot#'!$A:$AL,21,FALSE)</f>
        <v>162</v>
      </c>
      <c r="Y72" s="5">
        <f>VLOOKUP($A72,'SegEnds_NonXtal_Prot#'!$A:$AL,24,FALSE)</f>
        <v>199</v>
      </c>
      <c r="Z72" s="5">
        <f>VLOOKUP($A72,'SegEnds_NonXtal_Prot#'!$A:$AL,27,FALSE)</f>
        <v>205</v>
      </c>
      <c r="AA72" s="5">
        <f>VLOOKUP($A72,'SegEnds_NonXtal_Prot#'!$A:$AL,30,FALSE)</f>
        <v>303</v>
      </c>
      <c r="AB72" s="5">
        <f>VLOOKUP($A72,'SegEnds_NonXtal_Prot#'!$A:$AL,33,FALSE)</f>
        <v>347</v>
      </c>
      <c r="AC72" s="5">
        <f>VLOOKUP($A72,'SegEnds_NonXtal_Prot#'!$A:$AL,36,FALSE)</f>
        <v>373</v>
      </c>
      <c r="AD72" s="5">
        <f>VLOOKUP($A72,'SegEnds_NonXtal_Prot#'!$A:$AL,5,FALSE)</f>
        <v>77</v>
      </c>
      <c r="AE72" s="5">
        <f>VLOOKUP($A72,'SegEnds_NonXtal_Prot#'!$A:$AL,8,FALSE)</f>
        <v>81</v>
      </c>
      <c r="AF72" s="5">
        <f>VLOOKUP($A72,'SegEnds_NonXtal_Prot#'!$A:$AL,11,FALSE)</f>
        <v>112</v>
      </c>
      <c r="AG72" s="5">
        <f>VLOOKUP($A72,'SegEnds_NonXtal_Prot#'!$A:$AL,14,FALSE)</f>
        <v>117</v>
      </c>
      <c r="AH72" s="5">
        <f>VLOOKUP($A72,'SegEnds_NonXtal_Prot#'!$A:$AL,17,FALSE)</f>
        <v>153</v>
      </c>
      <c r="AI72" s="5">
        <f>VLOOKUP($A72,'SegEnds_NonXtal_Prot#'!$A:$AL,20,FALSE)</f>
        <v>161</v>
      </c>
      <c r="AJ72" s="5">
        <f>VLOOKUP($A72,'SegEnds_NonXtal_Prot#'!$A:$AL,23,FALSE)</f>
        <v>187</v>
      </c>
      <c r="AK72" s="5">
        <f>VLOOKUP($A72,'SegEnds_NonXtal_Prot#'!$A:$AL,26,FALSE)</f>
        <v>201</v>
      </c>
      <c r="AL72" s="5">
        <f>VLOOKUP($A72,'SegEnds_NonXtal_Prot#'!$A:$AL,29,FALSE)</f>
        <v>244</v>
      </c>
      <c r="AM72" s="5">
        <f>VLOOKUP($A72,'SegEnds_NonXtal_Prot#'!$A:$AL,32,FALSE)</f>
        <v>339</v>
      </c>
      <c r="AN72" s="5">
        <f>VLOOKUP($A72,'SegEnds_NonXtal_Prot#'!$A:$AL,35,FALSE)</f>
        <v>372</v>
      </c>
      <c r="AO72" s="5">
        <f>VLOOKUP($A72,'SegEnds_NonXtal_Prot#'!$A:$AL,38,FALSE)</f>
        <v>384</v>
      </c>
      <c r="AP72" s="5">
        <f t="shared" si="38"/>
        <v>31</v>
      </c>
      <c r="AQ72" s="4">
        <f t="shared" si="39"/>
        <v>3</v>
      </c>
      <c r="AR72" s="4">
        <f t="shared" si="40"/>
        <v>30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39</v>
      </c>
      <c r="AY72" s="4">
        <f t="shared" si="47"/>
        <v>36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'SegEnds_NonXtal_Prot#'!A40</f>
        <v>5ht1d_human</v>
      </c>
      <c r="B73" s="1" t="str">
        <f t="shared" si="25"/>
        <v>QALKISLAVVLSVITLATVLSNAFVLTTILLTTPANYLIGSLATTDLLVSILVMPISIAYTITGQILCDIWLSSDITCCTASILHLCVIALDRYWAITDTAGHAATMIAIVWAISICISIPPLFWQISYTIYSTCGAFYIPSVLLIILYGRIYRAARNRILNPPSRISAARERKATKILGIILGAFIICWLPFFVVSLVLPIHPALFDFFTWLGYLNSLINPIIYTVFNEEFRQAFQKIV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3" s="5" t="str">
        <f t="shared" si="26"/>
        <v>QALKISLAVVLSVITLATVLSNAFVLTTILLT</v>
      </c>
      <c r="G73" s="4" t="str">
        <f t="shared" si="27"/>
        <v>RKLH</v>
      </c>
      <c r="H73" s="4" t="str">
        <f t="shared" si="28"/>
        <v>TPANYLIGSLATTDLLVSILVMPISIAYTIT</v>
      </c>
      <c r="I73" s="4" t="str">
        <f t="shared" si="29"/>
        <v>TWNF</v>
      </c>
      <c r="J73" s="4" t="str">
        <f t="shared" si="30"/>
        <v>GQILCDIWLSSDITCCTASILHLCVIALDRYWAITD</v>
      </c>
      <c r="K73" s="4" t="str">
        <f t="shared" si="31"/>
        <v>ALEYSKRR</v>
      </c>
      <c r="L73" s="4" t="str">
        <f t="shared" si="32"/>
        <v>TAGHAATMIAIVWAISICISIPPLFW</v>
      </c>
      <c r="M73" s="4" t="str">
        <f t="shared" si="33"/>
        <v>CLV</v>
      </c>
      <c r="N73" s="4" t="str">
        <f t="shared" si="34"/>
        <v>QISYTIYSTCGAFYIPSVLLIILYGRIYRAARNRILNPPS</v>
      </c>
      <c r="O73" s="4" t="str">
        <f t="shared" si="35"/>
        <v>RISAARERKATKILGIILGAFIICWLPFFVVSLVLPI</v>
      </c>
      <c r="P73" s="4" t="str">
        <f t="shared" si="36"/>
        <v>HPALFDFFTWLGYLNSLINPIIYTVF</v>
      </c>
      <c r="Q73" s="4" t="str">
        <f t="shared" si="37"/>
        <v>NEEFRQAFQKIV</v>
      </c>
      <c r="R73" s="5">
        <f>VLOOKUP($A73,'SegEnds_NonXtal_Prot#'!$A:$AL,3,FALSE)</f>
        <v>35</v>
      </c>
      <c r="S73" s="5">
        <f>VLOOKUP($A73,'SegEnds_NonXtal_Prot#'!$A:$AL,6,FALSE)</f>
        <v>67</v>
      </c>
      <c r="T73" s="5">
        <f>VLOOKUP($A73,'SegEnds_NonXtal_Prot#'!$A:$AL,9,FALSE)</f>
        <v>71</v>
      </c>
      <c r="U73" s="5">
        <f>VLOOKUP($A73,'SegEnds_NonXtal_Prot#'!$A:$AL,12,FALSE)</f>
        <v>103</v>
      </c>
      <c r="V73" s="5">
        <f>VLOOKUP($A73,'SegEnds_NonXtal_Prot#'!$A:$AL,15,FALSE)</f>
        <v>107</v>
      </c>
      <c r="W73" s="5">
        <f>VLOOKUP($A73,'SegEnds_NonXtal_Prot#'!$A:$AL,18,FALSE)</f>
        <v>143</v>
      </c>
      <c r="X73" s="5">
        <f>VLOOKUP($A73,'SegEnds_NonXtal_Prot#'!$A:$AL,21,FALSE)</f>
        <v>151</v>
      </c>
      <c r="Y73" s="5">
        <f>VLOOKUP($A73,'SegEnds_NonXtal_Prot#'!$A:$AL,24,FALSE)</f>
        <v>188</v>
      </c>
      <c r="Z73" s="5">
        <f>VLOOKUP($A73,'SegEnds_NonXtal_Prot#'!$A:$AL,27,FALSE)</f>
        <v>194</v>
      </c>
      <c r="AA73" s="5">
        <f>VLOOKUP($A73,'SegEnds_NonXtal_Prot#'!$A:$AL,30,FALSE)</f>
        <v>290</v>
      </c>
      <c r="AB73" s="5">
        <f>VLOOKUP($A73,'SegEnds_NonXtal_Prot#'!$A:$AL,33,FALSE)</f>
        <v>334</v>
      </c>
      <c r="AC73" s="5">
        <f>VLOOKUP($A73,'SegEnds_NonXtal_Prot#'!$A:$AL,36,FALSE)</f>
        <v>360</v>
      </c>
      <c r="AD73" s="5">
        <f>VLOOKUP($A73,'SegEnds_NonXtal_Prot#'!$A:$AL,5,FALSE)</f>
        <v>66</v>
      </c>
      <c r="AE73" s="5">
        <f>VLOOKUP($A73,'SegEnds_NonXtal_Prot#'!$A:$AL,8,FALSE)</f>
        <v>70</v>
      </c>
      <c r="AF73" s="5">
        <f>VLOOKUP($A73,'SegEnds_NonXtal_Prot#'!$A:$AL,11,FALSE)</f>
        <v>101</v>
      </c>
      <c r="AG73" s="5">
        <f>VLOOKUP($A73,'SegEnds_NonXtal_Prot#'!$A:$AL,14,FALSE)</f>
        <v>106</v>
      </c>
      <c r="AH73" s="5">
        <f>VLOOKUP($A73,'SegEnds_NonXtal_Prot#'!$A:$AL,17,FALSE)</f>
        <v>142</v>
      </c>
      <c r="AI73" s="5">
        <f>VLOOKUP($A73,'SegEnds_NonXtal_Prot#'!$A:$AL,20,FALSE)</f>
        <v>150</v>
      </c>
      <c r="AJ73" s="5">
        <f>VLOOKUP($A73,'SegEnds_NonXtal_Prot#'!$A:$AL,23,FALSE)</f>
        <v>176</v>
      </c>
      <c r="AK73" s="5">
        <f>VLOOKUP($A73,'SegEnds_NonXtal_Prot#'!$A:$AL,26,FALSE)</f>
        <v>190</v>
      </c>
      <c r="AL73" s="5">
        <f>VLOOKUP($A73,'SegEnds_NonXtal_Prot#'!$A:$AL,29,FALSE)</f>
        <v>233</v>
      </c>
      <c r="AM73" s="5">
        <f>VLOOKUP($A73,'SegEnds_NonXtal_Prot#'!$A:$AL,32,FALSE)</f>
        <v>326</v>
      </c>
      <c r="AN73" s="5">
        <f>VLOOKUP($A73,'SegEnds_NonXtal_Prot#'!$A:$AL,35,FALSE)</f>
        <v>359</v>
      </c>
      <c r="AO73" s="5">
        <f>VLOOKUP($A73,'SegEnds_NonXtal_Prot#'!$A:$AL,38,FALSE)</f>
        <v>371</v>
      </c>
      <c r="AP73" s="5">
        <f t="shared" si="38"/>
        <v>31</v>
      </c>
      <c r="AQ73" s="4">
        <f t="shared" si="39"/>
        <v>3</v>
      </c>
      <c r="AR73" s="4">
        <f t="shared" si="40"/>
        <v>30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39</v>
      </c>
      <c r="AY73" s="4">
        <f t="shared" si="47"/>
        <v>36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'SegEnds_NonXtal_Prot#'!A41</f>
        <v>5ht1e_human</v>
      </c>
      <c r="B74" s="1" t="str">
        <f t="shared" si="25"/>
        <v>ITEKMLICMTLVVITTLTTLLNLAVIMAIGTTQPANYLICSLAVTDLLVAVLVMPLSIIYIVMGYFLCEVWLSVDMTCCTCSILHLCVIALDRYWAITNTAKRAALMILTVWTISIFISMPPLFWHVIYTIYSTLGAFYIPLTLILILYYRIYHAAKSLYQKRGSSRQISSTRERKAARILGLILGAFILSWLPFFIKELIVGLSSSEVADFLTWLGYVNSLINPLLYTSFNEDFKLAFKKLI</v>
      </c>
      <c r="C74" s="29" t="str">
        <f>IF(ISERROR(MATCH(A74,'SegEnds_Xtal_Prot#'!B:B, 0)), "NoXtal", "Xtal")</f>
        <v>NoXtal</v>
      </c>
      <c r="D74" s="4" t="str">
        <f>VLOOKUP(A74,Classification!A:D,2,FALSE)</f>
        <v>A</v>
      </c>
      <c r="E74" s="5" t="str">
        <f>VLOOKUP(A74,Seqs!A:B,2,FALSE)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4" s="5" t="str">
        <f t="shared" si="26"/>
        <v>ITEKMLICMTLVVITTLTTLLNLAVIMAIGTT</v>
      </c>
      <c r="G74" s="4" t="str">
        <f t="shared" si="27"/>
        <v>KKLH</v>
      </c>
      <c r="H74" s="4" t="str">
        <f t="shared" si="28"/>
        <v>QPANYLICSLAVTDLLVAVLVMPLSIIYIVM</v>
      </c>
      <c r="I74" s="4" t="str">
        <f t="shared" si="29"/>
        <v>RWKL</v>
      </c>
      <c r="J74" s="4" t="str">
        <f t="shared" si="30"/>
        <v>GYFLCEVWLSVDMTCCTCSILHLCVIALDRYWAITN</v>
      </c>
      <c r="K74" s="4" t="str">
        <f t="shared" si="31"/>
        <v>AIEYARKR</v>
      </c>
      <c r="L74" s="4" t="str">
        <f t="shared" si="32"/>
        <v>TAKRAALMILTVWTISIFISMPPLFW</v>
      </c>
      <c r="M74" s="4" t="str">
        <f t="shared" si="33"/>
        <v>CTI</v>
      </c>
      <c r="N74" s="4" t="str">
        <f t="shared" si="34"/>
        <v>HVIYTIYSTLGAFYIPLTLILILYYRIYHAAKSLYQKRGSSR</v>
      </c>
      <c r="O74" s="4" t="str">
        <f t="shared" si="35"/>
        <v>QISSTRERKAARILGLILGAFILSWLPFFIKELIVGLS</v>
      </c>
      <c r="P74" s="4" t="str">
        <f t="shared" si="36"/>
        <v>SSEVADFLTWLGYVNSLINPLLYTSF</v>
      </c>
      <c r="Q74" s="4" t="str">
        <f t="shared" si="37"/>
        <v>NEDFKLAFKKLI</v>
      </c>
      <c r="R74" s="5">
        <f>VLOOKUP($A74,'SegEnds_NonXtal_Prot#'!$A:$AL,3,FALSE)</f>
        <v>19</v>
      </c>
      <c r="S74" s="5">
        <f>VLOOKUP($A74,'SegEnds_NonXtal_Prot#'!$A:$AL,6,FALSE)</f>
        <v>51</v>
      </c>
      <c r="T74" s="5">
        <f>VLOOKUP($A74,'SegEnds_NonXtal_Prot#'!$A:$AL,9,FALSE)</f>
        <v>55</v>
      </c>
      <c r="U74" s="5">
        <f>VLOOKUP($A74,'SegEnds_NonXtal_Prot#'!$A:$AL,12,FALSE)</f>
        <v>87</v>
      </c>
      <c r="V74" s="5">
        <f>VLOOKUP($A74,'SegEnds_NonXtal_Prot#'!$A:$AL,15,FALSE)</f>
        <v>91</v>
      </c>
      <c r="W74" s="5">
        <f>VLOOKUP($A74,'SegEnds_NonXtal_Prot#'!$A:$AL,18,FALSE)</f>
        <v>127</v>
      </c>
      <c r="X74" s="5">
        <f>VLOOKUP($A74,'SegEnds_NonXtal_Prot#'!$A:$AL,21,FALSE)</f>
        <v>135</v>
      </c>
      <c r="Y74" s="5">
        <f>VLOOKUP($A74,'SegEnds_NonXtal_Prot#'!$A:$AL,24,FALSE)</f>
        <v>173</v>
      </c>
      <c r="Z74" s="5">
        <f>VLOOKUP($A74,'SegEnds_NonXtal_Prot#'!$A:$AL,27,FALSE)</f>
        <v>179</v>
      </c>
      <c r="AA74" s="5">
        <f>VLOOKUP($A74,'SegEnds_NonXtal_Prot#'!$A:$AL,30,FALSE)</f>
        <v>280</v>
      </c>
      <c r="AB74" s="5">
        <f>VLOOKUP($A74,'SegEnds_NonXtal_Prot#'!$A:$AL,33,FALSE)</f>
        <v>322</v>
      </c>
      <c r="AC74" s="5">
        <f>VLOOKUP($A74,'SegEnds_NonXtal_Prot#'!$A:$AL,36,FALSE)</f>
        <v>348</v>
      </c>
      <c r="AD74" s="5">
        <f>VLOOKUP($A74,'SegEnds_NonXtal_Prot#'!$A:$AL,5,FALSE)</f>
        <v>50</v>
      </c>
      <c r="AE74" s="5">
        <f>VLOOKUP($A74,'SegEnds_NonXtal_Prot#'!$A:$AL,8,FALSE)</f>
        <v>54</v>
      </c>
      <c r="AF74" s="5">
        <f>VLOOKUP($A74,'SegEnds_NonXtal_Prot#'!$A:$AL,11,FALSE)</f>
        <v>85</v>
      </c>
      <c r="AG74" s="5">
        <f>VLOOKUP($A74,'SegEnds_NonXtal_Prot#'!$A:$AL,14,FALSE)</f>
        <v>90</v>
      </c>
      <c r="AH74" s="5">
        <f>VLOOKUP($A74,'SegEnds_NonXtal_Prot#'!$A:$AL,17,FALSE)</f>
        <v>126</v>
      </c>
      <c r="AI74" s="5">
        <f>VLOOKUP($A74,'SegEnds_NonXtal_Prot#'!$A:$AL,20,FALSE)</f>
        <v>134</v>
      </c>
      <c r="AJ74" s="5">
        <f>VLOOKUP($A74,'SegEnds_NonXtal_Prot#'!$A:$AL,23,FALSE)</f>
        <v>160</v>
      </c>
      <c r="AK74" s="5">
        <f>VLOOKUP($A74,'SegEnds_NonXtal_Prot#'!$A:$AL,26,FALSE)</f>
        <v>175</v>
      </c>
      <c r="AL74" s="5">
        <f>VLOOKUP($A74,'SegEnds_NonXtal_Prot#'!$A:$AL,29,FALSE)</f>
        <v>220</v>
      </c>
      <c r="AM74" s="5">
        <f>VLOOKUP($A74,'SegEnds_NonXtal_Prot#'!$A:$AL,32,FALSE)</f>
        <v>317</v>
      </c>
      <c r="AN74" s="5">
        <f>VLOOKUP($A74,'SegEnds_NonXtal_Prot#'!$A:$AL,35,FALSE)</f>
        <v>347</v>
      </c>
      <c r="AO74" s="5">
        <f>VLOOKUP($A74,'SegEnds_NonXtal_Prot#'!$A:$AL,38,FALSE)</f>
        <v>359</v>
      </c>
      <c r="AP74" s="5">
        <f t="shared" si="38"/>
        <v>31</v>
      </c>
      <c r="AQ74" s="4">
        <f t="shared" si="39"/>
        <v>3</v>
      </c>
      <c r="AR74" s="4">
        <f t="shared" si="40"/>
        <v>30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25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25</v>
      </c>
      <c r="BA74" s="4">
        <f t="shared" si="49"/>
        <v>11</v>
      </c>
    </row>
    <row r="75" spans="1:53" x14ac:dyDescent="0.2">
      <c r="A75" s="1" t="str">
        <f>'SegEnds_NonXtal_Prot#'!A42</f>
        <v>5ht1f_human</v>
      </c>
      <c r="B75" s="1" t="str">
        <f t="shared" si="25"/>
        <v>MPSKILVSLTLSGLALMTTTINSLVIAAIIVTHPANYLICSLAVTDFLVAVLVMPFSIVYIVRGQVVCDIWLSVDITCCTCSILHLSAIALDRYRAITDTPKHAGIMITIVWIISVFISMPPLFWHIVSTIYSTFGAFYIPLALILILYYKIYRAAKTLYHKRQASRKISGTRERKAATTLGLILGAFVICWLPFFVKELVVNVCSEEMSNFLAWLGYLNSLINPLIYTIFNEDFKKAFQKLV</v>
      </c>
      <c r="C75" s="29" t="str">
        <f>IF(ISERROR(MATCH(A75,'SegEnds_Xtal_Prot#'!B:B, 0)), "NoXtal", "Xtal")</f>
        <v>NoXtal</v>
      </c>
      <c r="D75" s="4" t="str">
        <f>VLOOKUP(A75,Classification!A:D,2,FALSE)</f>
        <v>A</v>
      </c>
      <c r="E75" s="5" t="str">
        <f>VLOOKUP(A75,Seqs!A:B,2,FALSE)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5" s="5" t="str">
        <f t="shared" si="26"/>
        <v>MPSKILVSLTLSGLALMTTTINSLVIAAIIVT</v>
      </c>
      <c r="G75" s="4" t="str">
        <f t="shared" si="27"/>
        <v>RKLH</v>
      </c>
      <c r="H75" s="4" t="str">
        <f t="shared" si="28"/>
        <v>HPANYLICSLAVTDFLVAVLVMPFSIVYIVR</v>
      </c>
      <c r="I75" s="4" t="str">
        <f t="shared" si="29"/>
        <v>SWIM</v>
      </c>
      <c r="J75" s="4" t="str">
        <f t="shared" si="30"/>
        <v>GQVVCDIWLSVDITCCTCSILHLSAIALDRYRAITD</v>
      </c>
      <c r="K75" s="4" t="str">
        <f t="shared" si="31"/>
        <v>AVEYARKR</v>
      </c>
      <c r="L75" s="4" t="str">
        <f t="shared" si="32"/>
        <v>TPKHAGIMITIVWIISVFISMPPLFW</v>
      </c>
      <c r="M75" s="4" t="str">
        <f t="shared" si="33"/>
        <v>CII</v>
      </c>
      <c r="N75" s="4" t="str">
        <f t="shared" si="34"/>
        <v>HIVSTIYSTFGAFYIPLALILILYYKIYRAAKTLYHKRQASR</v>
      </c>
      <c r="O75" s="4" t="str">
        <f t="shared" si="35"/>
        <v>KISGTRERKAATTLGLILGAFVICWLPFFVKELVVNVC</v>
      </c>
      <c r="P75" s="4" t="str">
        <f t="shared" si="36"/>
        <v>SEEMSNFLAWLGYLNSLINPLIYTIF</v>
      </c>
      <c r="Q75" s="4" t="str">
        <f t="shared" si="37"/>
        <v>NEDFKKAFQKLV</v>
      </c>
      <c r="R75" s="5">
        <f>VLOOKUP($A75,'SegEnds_NonXtal_Prot#'!$A:$AL,3,FALSE)</f>
        <v>20</v>
      </c>
      <c r="S75" s="5">
        <f>VLOOKUP($A75,'SegEnds_NonXtal_Prot#'!$A:$AL,6,FALSE)</f>
        <v>52</v>
      </c>
      <c r="T75" s="5">
        <f>VLOOKUP($A75,'SegEnds_NonXtal_Prot#'!$A:$AL,9,FALSE)</f>
        <v>56</v>
      </c>
      <c r="U75" s="5">
        <f>VLOOKUP($A75,'SegEnds_NonXtal_Prot#'!$A:$AL,12,FALSE)</f>
        <v>88</v>
      </c>
      <c r="V75" s="5">
        <f>VLOOKUP($A75,'SegEnds_NonXtal_Prot#'!$A:$AL,15,FALSE)</f>
        <v>92</v>
      </c>
      <c r="W75" s="5">
        <f>VLOOKUP($A75,'SegEnds_NonXtal_Prot#'!$A:$AL,18,FALSE)</f>
        <v>128</v>
      </c>
      <c r="X75" s="5">
        <f>VLOOKUP($A75,'SegEnds_NonXtal_Prot#'!$A:$AL,21,FALSE)</f>
        <v>136</v>
      </c>
      <c r="Y75" s="5">
        <f>VLOOKUP($A75,'SegEnds_NonXtal_Prot#'!$A:$AL,24,FALSE)</f>
        <v>172</v>
      </c>
      <c r="Z75" s="5">
        <f>VLOOKUP($A75,'SegEnds_NonXtal_Prot#'!$A:$AL,27,FALSE)</f>
        <v>178</v>
      </c>
      <c r="AA75" s="5">
        <f>VLOOKUP($A75,'SegEnds_NonXtal_Prot#'!$A:$AL,30,FALSE)</f>
        <v>282</v>
      </c>
      <c r="AB75" s="5">
        <f>VLOOKUP($A75,'SegEnds_NonXtal_Prot#'!$A:$AL,33,FALSE)</f>
        <v>325</v>
      </c>
      <c r="AC75" s="5">
        <f>VLOOKUP($A75,'SegEnds_NonXtal_Prot#'!$A:$AL,36,FALSE)</f>
        <v>351</v>
      </c>
      <c r="AD75" s="5">
        <f>VLOOKUP($A75,'SegEnds_NonXtal_Prot#'!$A:$AL,5,FALSE)</f>
        <v>51</v>
      </c>
      <c r="AE75" s="5">
        <f>VLOOKUP($A75,'SegEnds_NonXtal_Prot#'!$A:$AL,8,FALSE)</f>
        <v>55</v>
      </c>
      <c r="AF75" s="5">
        <f>VLOOKUP($A75,'SegEnds_NonXtal_Prot#'!$A:$AL,11,FALSE)</f>
        <v>86</v>
      </c>
      <c r="AG75" s="5">
        <f>VLOOKUP($A75,'SegEnds_NonXtal_Prot#'!$A:$AL,14,FALSE)</f>
        <v>91</v>
      </c>
      <c r="AH75" s="5">
        <f>VLOOKUP($A75,'SegEnds_NonXtal_Prot#'!$A:$AL,17,FALSE)</f>
        <v>127</v>
      </c>
      <c r="AI75" s="5">
        <f>VLOOKUP($A75,'SegEnds_NonXtal_Prot#'!$A:$AL,20,FALSE)</f>
        <v>135</v>
      </c>
      <c r="AJ75" s="5">
        <f>VLOOKUP($A75,'SegEnds_NonXtal_Prot#'!$A:$AL,23,FALSE)</f>
        <v>161</v>
      </c>
      <c r="AK75" s="5">
        <f>VLOOKUP($A75,'SegEnds_NonXtal_Prot#'!$A:$AL,26,FALSE)</f>
        <v>174</v>
      </c>
      <c r="AL75" s="5">
        <f>VLOOKUP($A75,'SegEnds_NonXtal_Prot#'!$A:$AL,29,FALSE)</f>
        <v>219</v>
      </c>
      <c r="AM75" s="5">
        <f>VLOOKUP($A75,'SegEnds_NonXtal_Prot#'!$A:$AL,32,FALSE)</f>
        <v>319</v>
      </c>
      <c r="AN75" s="5">
        <f>VLOOKUP($A75,'SegEnds_NonXtal_Prot#'!$A:$AL,35,FALSE)</f>
        <v>350</v>
      </c>
      <c r="AO75" s="5">
        <f>VLOOKUP($A75,'SegEnds_NonXtal_Prot#'!$A:$AL,38,FALSE)</f>
        <v>362</v>
      </c>
      <c r="AP75" s="5">
        <f t="shared" si="38"/>
        <v>31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25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25</v>
      </c>
      <c r="BA75" s="4">
        <f t="shared" si="49"/>
        <v>11</v>
      </c>
    </row>
    <row r="76" spans="1:53" x14ac:dyDescent="0.2">
      <c r="A76" s="1" t="str">
        <f>'SegEnds_NonXtal_Prot#'!A43</f>
        <v>5ht2a_human</v>
      </c>
      <c r="B76" s="1" t="str">
        <f t="shared" si="25"/>
        <v>KNWSALLTAVVIILTIAGNILVIMAVSLENATNYFLMSLAIADMLLGFLVMPVSMLTILYPSKLCAVWIYLDVLFSTASIMHLCAISLDRYVAIQNSRTKAFLKIIAVWTISVGISMPIPVFGDDNFVLIGSFVSFFIPLTIMVITYFLTIKSLQKEATLCVSDLMQSISNEQKACKVLGIVFFLFVVMWCPFFITNIMAVICEDVIGALLNVFVWIGYLSSAVNPLVYTLFNKTYRSAFSRYI</v>
      </c>
      <c r="C76" s="29" t="str">
        <f>IF(ISERROR(MATCH(A76,'SegEnds_Xtal_Prot#'!B:B, 0)), "NoXtal", "Xtal")</f>
        <v>NoXtal</v>
      </c>
      <c r="D76" s="4" t="str">
        <f>VLOOKUP(A76,Classification!A:D,2,FALSE)</f>
        <v>A</v>
      </c>
      <c r="E76" s="5" t="str">
        <f>VLOOKUP(A76,Seqs!A:B,2,FALSE)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6" s="5" t="str">
        <f t="shared" si="26"/>
        <v>KNWSALLTAVVIILTIAGNILVIMAVSLE</v>
      </c>
      <c r="G76" s="4" t="str">
        <f t="shared" si="27"/>
        <v>KKLQ</v>
      </c>
      <c r="H76" s="4" t="str">
        <f t="shared" si="28"/>
        <v>NATNYFLMSLAIADMLLGFLVMPVSMLTILY</v>
      </c>
      <c r="I76" s="4" t="str">
        <f t="shared" si="29"/>
        <v>RWPL</v>
      </c>
      <c r="J76" s="4" t="str">
        <f t="shared" si="30"/>
        <v>PSKLCAVWIYLDVLFSTASIMHLCAISLDRYVAIQN</v>
      </c>
      <c r="K76" s="4" t="str">
        <f t="shared" si="31"/>
        <v>PIHHSRFN</v>
      </c>
      <c r="L76" s="4" t="str">
        <f t="shared" si="32"/>
        <v>SRTKAFLKIIAVWTISVGISMPIPVFG</v>
      </c>
      <c r="M76" s="4" t="str">
        <f t="shared" si="33"/>
        <v>CLL</v>
      </c>
      <c r="N76" s="4" t="str">
        <f t="shared" si="34"/>
        <v>DDNFVLIGSFVSFFIPLTIMVITYFLTIKSLQKEATLCVSDL</v>
      </c>
      <c r="O76" s="4" t="str">
        <f t="shared" si="35"/>
        <v>MQSISNEQKACKVLGIVFFLFVVMWCPFFITNIMAVIC</v>
      </c>
      <c r="P76" s="4" t="str">
        <f t="shared" si="36"/>
        <v>EDVIGALLNVFVWIGYLSSAVNPLVYTLF</v>
      </c>
      <c r="Q76" s="4" t="str">
        <f t="shared" si="37"/>
        <v>NKTYRSAFSRYI</v>
      </c>
      <c r="R76" s="5">
        <f>VLOOKUP($A76,'SegEnds_NonXtal_Prot#'!$A:$AL,3,FALSE)</f>
        <v>74</v>
      </c>
      <c r="S76" s="5">
        <f>VLOOKUP($A76,'SegEnds_NonXtal_Prot#'!$A:$AL,6,FALSE)</f>
        <v>103</v>
      </c>
      <c r="T76" s="5">
        <f>VLOOKUP($A76,'SegEnds_NonXtal_Prot#'!$A:$AL,9,FALSE)</f>
        <v>107</v>
      </c>
      <c r="U76" s="5">
        <f>VLOOKUP($A76,'SegEnds_NonXtal_Prot#'!$A:$AL,12,FALSE)</f>
        <v>140</v>
      </c>
      <c r="V76" s="5">
        <f>VLOOKUP($A76,'SegEnds_NonXtal_Prot#'!$A:$AL,15,FALSE)</f>
        <v>144</v>
      </c>
      <c r="W76" s="5">
        <f>VLOOKUP($A76,'SegEnds_NonXtal_Prot#'!$A:$AL,18,FALSE)</f>
        <v>180</v>
      </c>
      <c r="X76" s="5">
        <f>VLOOKUP($A76,'SegEnds_NonXtal_Prot#'!$A:$AL,21,FALSE)</f>
        <v>188</v>
      </c>
      <c r="Y76" s="5">
        <f>VLOOKUP($A76,'SegEnds_NonXtal_Prot#'!$A:$AL,24,FALSE)</f>
        <v>227</v>
      </c>
      <c r="Z76" s="5">
        <f>VLOOKUP($A76,'SegEnds_NonXtal_Prot#'!$A:$AL,27,FALSE)</f>
        <v>231</v>
      </c>
      <c r="AA76" s="5">
        <f>VLOOKUP($A76,'SegEnds_NonXtal_Prot#'!$A:$AL,30,FALSE)</f>
        <v>312</v>
      </c>
      <c r="AB76" s="5">
        <f>VLOOKUP($A76,'SegEnds_NonXtal_Prot#'!$A:$AL,33,FALSE)</f>
        <v>355</v>
      </c>
      <c r="AC76" s="5">
        <f>VLOOKUP($A76,'SegEnds_NonXtal_Prot#'!$A:$AL,36,FALSE)</f>
        <v>384</v>
      </c>
      <c r="AD76" s="5">
        <f>VLOOKUP($A76,'SegEnds_NonXtal_Prot#'!$A:$AL,5,FALSE)</f>
        <v>102</v>
      </c>
      <c r="AE76" s="5">
        <f>VLOOKUP($A76,'SegEnds_NonXtal_Prot#'!$A:$AL,8,FALSE)</f>
        <v>106</v>
      </c>
      <c r="AF76" s="5">
        <f>VLOOKUP($A76,'SegEnds_NonXtal_Prot#'!$A:$AL,11,FALSE)</f>
        <v>137</v>
      </c>
      <c r="AG76" s="5">
        <f>VLOOKUP($A76,'SegEnds_NonXtal_Prot#'!$A:$AL,14,FALSE)</f>
        <v>143</v>
      </c>
      <c r="AH76" s="5">
        <f>VLOOKUP($A76,'SegEnds_NonXtal_Prot#'!$A:$AL,17,FALSE)</f>
        <v>179</v>
      </c>
      <c r="AI76" s="5">
        <f>VLOOKUP($A76,'SegEnds_NonXtal_Prot#'!$A:$AL,20,FALSE)</f>
        <v>187</v>
      </c>
      <c r="AJ76" s="5">
        <f>VLOOKUP($A76,'SegEnds_NonXtal_Prot#'!$A:$AL,23,FALSE)</f>
        <v>214</v>
      </c>
      <c r="AK76" s="5">
        <f>VLOOKUP($A76,'SegEnds_NonXtal_Prot#'!$A:$AL,26,FALSE)</f>
        <v>229</v>
      </c>
      <c r="AL76" s="5">
        <f>VLOOKUP($A76,'SegEnds_NonXtal_Prot#'!$A:$AL,29,FALSE)</f>
        <v>272</v>
      </c>
      <c r="AM76" s="5">
        <f>VLOOKUP($A76,'SegEnds_NonXtal_Prot#'!$A:$AL,32,FALSE)</f>
        <v>349</v>
      </c>
      <c r="AN76" s="5">
        <f>VLOOKUP($A76,'SegEnds_NonXtal_Prot#'!$A:$AL,35,FALSE)</f>
        <v>383</v>
      </c>
      <c r="AO76" s="5">
        <f>VLOOKUP($A76,'SegEnds_NonXtal_Prot#'!$A:$AL,38,FALSE)</f>
        <v>395</v>
      </c>
      <c r="AP76" s="5">
        <f t="shared" si="38"/>
        <v>28</v>
      </c>
      <c r="AQ76" s="4">
        <f t="shared" si="39"/>
        <v>3</v>
      </c>
      <c r="AR76" s="4">
        <f t="shared" si="40"/>
        <v>30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26</v>
      </c>
      <c r="AW76" s="4">
        <f t="shared" si="45"/>
        <v>2</v>
      </c>
      <c r="AX76" s="4">
        <f t="shared" si="46"/>
        <v>41</v>
      </c>
      <c r="AY76" s="4">
        <f t="shared" si="47"/>
        <v>37</v>
      </c>
      <c r="AZ76" s="4">
        <f t="shared" si="48"/>
        <v>28</v>
      </c>
      <c r="BA76" s="4">
        <f t="shared" si="49"/>
        <v>11</v>
      </c>
    </row>
    <row r="77" spans="1:53" x14ac:dyDescent="0.2">
      <c r="A77" s="1" t="str">
        <f>'SegEnds_NonXtal_Prot#'!A44</f>
        <v>5ht2b_human</v>
      </c>
      <c r="B77" s="1" t="str">
        <f t="shared" si="25"/>
        <v>LHWAALLILMVIIPTIGGNTLVILAVSLEYATNYFLMSLAVADLLVGLFVMPIALLTIMFPLVLCPAWLFLDVLFSTASIMHLCAISVDRYIAIKKSRATAFIKITVVWLISIGIAIPVPIKGFGDFMLFGSLAAFFTPLAIMIVTYFLTIHALQKKAYLVKNKPVQTISNEQRASKVLGIVFFLFLLMWCPFFITNITLVLCQTTLQMLLEIFVWIGYVSSGVNPLVYTLFNKTFRDAFGRYI</v>
      </c>
      <c r="C77" s="29" t="str">
        <f>IF(ISERROR(MATCH(A77,'SegEnds_Xtal_Prot#'!B:B, 0)), "NoXtal", "Xtal")</f>
        <v>Xtal</v>
      </c>
      <c r="D77" s="4" t="str">
        <f>VLOOKUP(A77,Classification!A:D,2,FALSE)</f>
        <v>A</v>
      </c>
      <c r="E77" s="5" t="str">
        <f>VLOOKUP(A77,Seqs!A:B,2,FALSE)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7" s="5" t="str">
        <f t="shared" si="26"/>
        <v>LHWAALLILMVIIPTIGGNTLVILAVSLE</v>
      </c>
      <c r="G77" s="4" t="str">
        <f t="shared" si="27"/>
        <v>KKLQ</v>
      </c>
      <c r="H77" s="4" t="str">
        <f t="shared" si="28"/>
        <v>YATNYFLMSLAVADLLVGLFVMPIALLTIMF</v>
      </c>
      <c r="I77" s="4" t="str">
        <f t="shared" si="29"/>
        <v>MWPL</v>
      </c>
      <c r="J77" s="4" t="str">
        <f t="shared" si="30"/>
        <v>PLVLCPAWLFLDVLFSTASIMHLCAISVDRYIAIKK</v>
      </c>
      <c r="K77" s="4" t="str">
        <f t="shared" si="31"/>
        <v>PIQANQYN</v>
      </c>
      <c r="L77" s="4" t="str">
        <f t="shared" si="32"/>
        <v>SRATAFIKITVVWLISIGIAIPVPIKG</v>
      </c>
      <c r="M77" s="4" t="str">
        <f t="shared" si="33"/>
        <v>CVL</v>
      </c>
      <c r="N77" s="4" t="str">
        <f t="shared" si="34"/>
        <v>FGDFMLFGSLAAFFTPLAIMIVTYFLTIHALQKKAYLVKNKP</v>
      </c>
      <c r="O77" s="4" t="str">
        <f t="shared" si="35"/>
        <v>VQTISNEQRASKVLGIVFFLFLLMWCPFFITNITLVLC</v>
      </c>
      <c r="P77" s="4" t="str">
        <f t="shared" si="36"/>
        <v>QTTLQMLLEIFVWIGYVSSGVNPLVYTLF</v>
      </c>
      <c r="Q77" s="4" t="str">
        <f t="shared" si="37"/>
        <v>NKTFRDAFGRYI</v>
      </c>
      <c r="R77" s="5">
        <f>VLOOKUP($A77,'SegEnds_NonXtal_Prot#'!$A:$AL,3,FALSE)</f>
        <v>54</v>
      </c>
      <c r="S77" s="5">
        <f>VLOOKUP($A77,'SegEnds_NonXtal_Prot#'!$A:$AL,6,FALSE)</f>
        <v>83</v>
      </c>
      <c r="T77" s="5">
        <f>VLOOKUP($A77,'SegEnds_NonXtal_Prot#'!$A:$AL,9,FALSE)</f>
        <v>87</v>
      </c>
      <c r="U77" s="5">
        <f>VLOOKUP($A77,'SegEnds_NonXtal_Prot#'!$A:$AL,12,FALSE)</f>
        <v>120</v>
      </c>
      <c r="V77" s="5">
        <f>VLOOKUP($A77,'SegEnds_NonXtal_Prot#'!$A:$AL,15,FALSE)</f>
        <v>124</v>
      </c>
      <c r="W77" s="5">
        <f>VLOOKUP($A77,'SegEnds_NonXtal_Prot#'!$A:$AL,18,FALSE)</f>
        <v>160</v>
      </c>
      <c r="X77" s="5">
        <f>VLOOKUP($A77,'SegEnds_NonXtal_Prot#'!$A:$AL,21,FALSE)</f>
        <v>168</v>
      </c>
      <c r="Y77" s="5">
        <f>VLOOKUP($A77,'SegEnds_NonXtal_Prot#'!$A:$AL,24,FALSE)</f>
        <v>207</v>
      </c>
      <c r="Z77" s="5">
        <f>VLOOKUP($A77,'SegEnds_NonXtal_Prot#'!$A:$AL,27,FALSE)</f>
        <v>214</v>
      </c>
      <c r="AA77" s="5">
        <f>VLOOKUP($A77,'SegEnds_NonXtal_Prot#'!$A:$AL,30,FALSE)</f>
        <v>313</v>
      </c>
      <c r="AB77" s="5">
        <f>VLOOKUP($A77,'SegEnds_NonXtal_Prot#'!$A:$AL,33,FALSE)</f>
        <v>355</v>
      </c>
      <c r="AC77" s="5">
        <f>VLOOKUP($A77,'SegEnds_NonXtal_Prot#'!$A:$AL,36,FALSE)</f>
        <v>384</v>
      </c>
      <c r="AD77" s="5">
        <f>VLOOKUP($A77,'SegEnds_NonXtal_Prot#'!$A:$AL,5,FALSE)</f>
        <v>82</v>
      </c>
      <c r="AE77" s="5">
        <f>VLOOKUP($A77,'SegEnds_NonXtal_Prot#'!$A:$AL,8,FALSE)</f>
        <v>86</v>
      </c>
      <c r="AF77" s="5">
        <f>VLOOKUP($A77,'SegEnds_NonXtal_Prot#'!$A:$AL,11,FALSE)</f>
        <v>117</v>
      </c>
      <c r="AG77" s="5">
        <f>VLOOKUP($A77,'SegEnds_NonXtal_Prot#'!$A:$AL,14,FALSE)</f>
        <v>123</v>
      </c>
      <c r="AH77" s="5">
        <f>VLOOKUP($A77,'SegEnds_NonXtal_Prot#'!$A:$AL,17,FALSE)</f>
        <v>159</v>
      </c>
      <c r="AI77" s="5">
        <f>VLOOKUP($A77,'SegEnds_NonXtal_Prot#'!$A:$AL,20,FALSE)</f>
        <v>167</v>
      </c>
      <c r="AJ77" s="5">
        <f>VLOOKUP($A77,'SegEnds_NonXtal_Prot#'!$A:$AL,23,FALSE)</f>
        <v>194</v>
      </c>
      <c r="AK77" s="5">
        <f>VLOOKUP($A77,'SegEnds_NonXtal_Prot#'!$A:$AL,26,FALSE)</f>
        <v>209</v>
      </c>
      <c r="AL77" s="5">
        <f>VLOOKUP($A77,'SegEnds_NonXtal_Prot#'!$A:$AL,29,FALSE)</f>
        <v>255</v>
      </c>
      <c r="AM77" s="5">
        <f>VLOOKUP($A77,'SegEnds_NonXtal_Prot#'!$A:$AL,32,FALSE)</f>
        <v>350</v>
      </c>
      <c r="AN77" s="5">
        <f>VLOOKUP($A77,'SegEnds_NonXtal_Prot#'!$A:$AL,35,FALSE)</f>
        <v>383</v>
      </c>
      <c r="AO77" s="5">
        <f>VLOOKUP($A77,'SegEnds_NonXtal_Prot#'!$A:$AL,38,FALSE)</f>
        <v>395</v>
      </c>
      <c r="AP77" s="5">
        <f t="shared" si="38"/>
        <v>28</v>
      </c>
      <c r="AQ77" s="4">
        <f t="shared" si="39"/>
        <v>3</v>
      </c>
      <c r="AR77" s="4">
        <f t="shared" si="40"/>
        <v>30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26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28</v>
      </c>
      <c r="BA77" s="4">
        <f t="shared" si="49"/>
        <v>11</v>
      </c>
    </row>
    <row r="78" spans="1:53" x14ac:dyDescent="0.2">
      <c r="A78" s="1" t="str">
        <f>'SegEnds_NonXtal_Prot#'!A45</f>
        <v>5ht2c_human</v>
      </c>
      <c r="B78" s="1" t="str">
        <f t="shared" si="25"/>
        <v>QNWPALSIVIIIIMTIGGNILVIMAVSMENATNYFLMSLAIADMLVGLLVMPLSLLAILYPRYLCPVWISLDVLFSTASIMHLCAISLDRYVAIRNSRTKAIMKIAIVWAISIGVSVPIPVIGDPNFVLIGSFVAFFIPLTIMVITYCLTIYVLRRQALMLLHMQAINNERKASKVLGIVFFVFLIMWCPFFITNILSVLCQKLMEKLLNVFVWIGYVCSGINPLVYTLFNKIYRRAFSNYL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8" s="5" t="str">
        <f t="shared" si="26"/>
        <v>QNWPALSIVIIIIMTIGGNILVIMAVSME</v>
      </c>
      <c r="G78" s="4" t="str">
        <f t="shared" si="27"/>
        <v>KKLH</v>
      </c>
      <c r="H78" s="4" t="str">
        <f t="shared" si="28"/>
        <v>NATNYFLMSLAIADMLVGLLVMPLSLLAILY</v>
      </c>
      <c r="I78" s="4" t="str">
        <f t="shared" si="29"/>
        <v>VWPL</v>
      </c>
      <c r="J78" s="4" t="str">
        <f t="shared" si="30"/>
        <v>PRYLCPVWISLDVLFSTASIMHLCAISLDRYVAIRN</v>
      </c>
      <c r="K78" s="4" t="str">
        <f t="shared" si="31"/>
        <v>PIEHSRFN</v>
      </c>
      <c r="L78" s="4" t="str">
        <f t="shared" si="32"/>
        <v>SRTKAIMKIAIVWAISIGVSVPIPVIG</v>
      </c>
      <c r="M78" s="4" t="str">
        <f t="shared" si="33"/>
        <v>CVL</v>
      </c>
      <c r="N78" s="4" t="str">
        <f t="shared" si="34"/>
        <v>DPNFVLIGSFVAFFIPLTIMVITYCLTIYVLRRQALMLLH</v>
      </c>
      <c r="O78" s="4" t="str">
        <f t="shared" si="35"/>
        <v>MQAINNERKASKVLGIVFFVFLIMWCPFFITNILSVLC</v>
      </c>
      <c r="P78" s="4" t="str">
        <f t="shared" si="36"/>
        <v>QKLMEKLLNVFVWIGYVCSGINPLVYTLF</v>
      </c>
      <c r="Q78" s="4" t="str">
        <f t="shared" si="37"/>
        <v>NKIYRRAFSNYL</v>
      </c>
      <c r="R78" s="5">
        <f>VLOOKUP($A78,'SegEnds_NonXtal_Prot#'!$A:$AL,3,FALSE)</f>
        <v>53</v>
      </c>
      <c r="S78" s="5">
        <f>VLOOKUP($A78,'SegEnds_NonXtal_Prot#'!$A:$AL,6,FALSE)</f>
        <v>82</v>
      </c>
      <c r="T78" s="5">
        <f>VLOOKUP($A78,'SegEnds_NonXtal_Prot#'!$A:$AL,9,FALSE)</f>
        <v>86</v>
      </c>
      <c r="U78" s="5">
        <f>VLOOKUP($A78,'SegEnds_NonXtal_Prot#'!$A:$AL,12,FALSE)</f>
        <v>119</v>
      </c>
      <c r="V78" s="5">
        <f>VLOOKUP($A78,'SegEnds_NonXtal_Prot#'!$A:$AL,15,FALSE)</f>
        <v>123</v>
      </c>
      <c r="W78" s="5">
        <f>VLOOKUP($A78,'SegEnds_NonXtal_Prot#'!$A:$AL,18,FALSE)</f>
        <v>159</v>
      </c>
      <c r="X78" s="5">
        <f>VLOOKUP($A78,'SegEnds_NonXtal_Prot#'!$A:$AL,21,FALSE)</f>
        <v>167</v>
      </c>
      <c r="Y78" s="5">
        <f>VLOOKUP($A78,'SegEnds_NonXtal_Prot#'!$A:$AL,24,FALSE)</f>
        <v>207</v>
      </c>
      <c r="Z78" s="5">
        <f>VLOOKUP($A78,'SegEnds_NonXtal_Prot#'!$A:$AL,27,FALSE)</f>
        <v>211</v>
      </c>
      <c r="AA78" s="5">
        <f>VLOOKUP($A78,'SegEnds_NonXtal_Prot#'!$A:$AL,30,FALSE)</f>
        <v>300</v>
      </c>
      <c r="AB78" s="5">
        <f>VLOOKUP($A78,'SegEnds_NonXtal_Prot#'!$A:$AL,33,FALSE)</f>
        <v>343</v>
      </c>
      <c r="AC78" s="5">
        <f>VLOOKUP($A78,'SegEnds_NonXtal_Prot#'!$A:$AL,36,FALSE)</f>
        <v>372</v>
      </c>
      <c r="AD78" s="5">
        <f>VLOOKUP($A78,'SegEnds_NonXtal_Prot#'!$A:$AL,5,FALSE)</f>
        <v>81</v>
      </c>
      <c r="AE78" s="5">
        <f>VLOOKUP($A78,'SegEnds_NonXtal_Prot#'!$A:$AL,8,FALSE)</f>
        <v>85</v>
      </c>
      <c r="AF78" s="5">
        <f>VLOOKUP($A78,'SegEnds_NonXtal_Prot#'!$A:$AL,11,FALSE)</f>
        <v>116</v>
      </c>
      <c r="AG78" s="5">
        <f>VLOOKUP($A78,'SegEnds_NonXtal_Prot#'!$A:$AL,14,FALSE)</f>
        <v>122</v>
      </c>
      <c r="AH78" s="5">
        <f>VLOOKUP($A78,'SegEnds_NonXtal_Prot#'!$A:$AL,17,FALSE)</f>
        <v>158</v>
      </c>
      <c r="AI78" s="5">
        <f>VLOOKUP($A78,'SegEnds_NonXtal_Prot#'!$A:$AL,20,FALSE)</f>
        <v>166</v>
      </c>
      <c r="AJ78" s="5">
        <f>VLOOKUP($A78,'SegEnds_NonXtal_Prot#'!$A:$AL,23,FALSE)</f>
        <v>193</v>
      </c>
      <c r="AK78" s="5">
        <f>VLOOKUP($A78,'SegEnds_NonXtal_Prot#'!$A:$AL,26,FALSE)</f>
        <v>209</v>
      </c>
      <c r="AL78" s="5">
        <f>VLOOKUP($A78,'SegEnds_NonXtal_Prot#'!$A:$AL,29,FALSE)</f>
        <v>250</v>
      </c>
      <c r="AM78" s="5">
        <f>VLOOKUP($A78,'SegEnds_NonXtal_Prot#'!$A:$AL,32,FALSE)</f>
        <v>337</v>
      </c>
      <c r="AN78" s="5">
        <f>VLOOKUP($A78,'SegEnds_NonXtal_Prot#'!$A:$AL,35,FALSE)</f>
        <v>371</v>
      </c>
      <c r="AO78" s="5">
        <f>VLOOKUP($A78,'SegEnds_NonXtal_Prot#'!$A:$AL,38,FALSE)</f>
        <v>383</v>
      </c>
      <c r="AP78" s="5">
        <f t="shared" si="38"/>
        <v>28</v>
      </c>
      <c r="AQ78" s="4">
        <f t="shared" si="39"/>
        <v>3</v>
      </c>
      <c r="AR78" s="4">
        <f t="shared" si="40"/>
        <v>30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26</v>
      </c>
      <c r="AW78" s="4">
        <f t="shared" si="45"/>
        <v>2</v>
      </c>
      <c r="AX78" s="4">
        <f t="shared" si="46"/>
        <v>39</v>
      </c>
      <c r="AY78" s="4">
        <f t="shared" si="47"/>
        <v>37</v>
      </c>
      <c r="AZ78" s="4">
        <f t="shared" si="48"/>
        <v>28</v>
      </c>
      <c r="BA78" s="4">
        <f t="shared" si="49"/>
        <v>11</v>
      </c>
    </row>
    <row r="79" spans="1:53" x14ac:dyDescent="0.2">
      <c r="A79" s="1" t="str">
        <f>'SegEnds_NonXtal_Prot#'!A48</f>
        <v>5ht6r_human</v>
      </c>
      <c r="B79" s="1" t="str">
        <f t="shared" si="25"/>
        <v>SGWVAAALCVVIALTAAANSLLIALICTQNTSNFFLVSLFTSDLMVGLVVMPPAMLNALYARGLCLLWTAFDVMCCSASILNLCLISLDRYLLILSTPLRALALVLGAWSLAALASFLPLLLGSLPFVLVASGLTFFLPSGAICFTYCRILLAARKQAVQVASLTTKHSRKALKASLTLGILLGMFFVTWLPFFVANIVQAVCPGLFDVLTWLGYCNSTMNPIIYPLFMRDFKRALGRFL</v>
      </c>
      <c r="C79" s="29" t="str">
        <f>IF(ISERROR(MATCH(A79,'SegEnds_Xtal_Prot#'!B:B, 0)), "NoXtal", "Xtal")</f>
        <v>NoXtal</v>
      </c>
      <c r="D79" s="4" t="str">
        <f>VLOOKUP(A79,Classification!A:D,2,FALSE)</f>
        <v>A</v>
      </c>
      <c r="E79" s="5" t="str">
        <f>VLOOKUP(A79,Seqs!A:B,2,FALSE)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79" s="5" t="str">
        <f t="shared" si="26"/>
        <v>SGWVAAALCVVIALTAAANSLLIALICTQ</v>
      </c>
      <c r="G79" s="4" t="str">
        <f t="shared" si="27"/>
        <v>PALR</v>
      </c>
      <c r="H79" s="4" t="str">
        <f t="shared" si="28"/>
        <v>NTSNFFLVSLFTSDLMVGLVVMPPAMLNALY</v>
      </c>
      <c r="I79" s="4" t="str">
        <f t="shared" si="29"/>
        <v>RWVL</v>
      </c>
      <c r="J79" s="4" t="str">
        <f t="shared" si="30"/>
        <v>ARGLCLLWTAFDVMCCSASILNLCLISLDRYLLILS</v>
      </c>
      <c r="K79" s="4" t="str">
        <f t="shared" si="31"/>
        <v>PLRYKLRM</v>
      </c>
      <c r="L79" s="4" t="str">
        <f t="shared" si="32"/>
        <v>TPLRALALVLGAWSLAALASFLPLLLG</v>
      </c>
      <c r="M79" s="4" t="str">
        <f t="shared" si="33"/>
        <v>CRL</v>
      </c>
      <c r="N79" s="4" t="str">
        <f t="shared" si="34"/>
        <v>SLPFVLVASGLTFFLPSGAICFTYCRILLAARKQAVQVASLT</v>
      </c>
      <c r="O79" s="4" t="str">
        <f t="shared" si="35"/>
        <v>TKHSRKALKASLTLGILLGMFFVTWLPFFVANIVQAVC</v>
      </c>
      <c r="P79" s="4" t="str">
        <f t="shared" si="36"/>
        <v>PGLFDVLTWLGYCNSTMNPIIYPLF</v>
      </c>
      <c r="Q79" s="4" t="str">
        <f t="shared" si="37"/>
        <v>MRDFKRALGRFL</v>
      </c>
      <c r="R79" s="5">
        <f>VLOOKUP($A79,'SegEnds_NonXtal_Prot#'!$A:$AL,3,FALSE)</f>
        <v>26</v>
      </c>
      <c r="S79" s="5">
        <f>VLOOKUP($A79,'SegEnds_NonXtal_Prot#'!$A:$AL,6,FALSE)</f>
        <v>55</v>
      </c>
      <c r="T79" s="5">
        <f>VLOOKUP($A79,'SegEnds_NonXtal_Prot#'!$A:$AL,9,FALSE)</f>
        <v>59</v>
      </c>
      <c r="U79" s="5">
        <f>VLOOKUP($A79,'SegEnds_NonXtal_Prot#'!$A:$AL,12,FALSE)</f>
        <v>91</v>
      </c>
      <c r="V79" s="5">
        <f>VLOOKUP($A79,'SegEnds_NonXtal_Prot#'!$A:$AL,15,FALSE)</f>
        <v>95</v>
      </c>
      <c r="W79" s="5">
        <f>VLOOKUP($A79,'SegEnds_NonXtal_Prot#'!$A:$AL,18,FALSE)</f>
        <v>131</v>
      </c>
      <c r="X79" s="5">
        <f>VLOOKUP($A79,'SegEnds_NonXtal_Prot#'!$A:$AL,21,FALSE)</f>
        <v>139</v>
      </c>
      <c r="Y79" s="5">
        <f>VLOOKUP($A79,'SegEnds_NonXtal_Prot#'!$A:$AL,24,FALSE)</f>
        <v>180</v>
      </c>
      <c r="Z79" s="5">
        <f>VLOOKUP($A79,'SegEnds_NonXtal_Prot#'!$A:$AL,27,FALSE)</f>
        <v>185</v>
      </c>
      <c r="AA79" s="5">
        <f>VLOOKUP($A79,'SegEnds_NonXtal_Prot#'!$A:$AL,30,FALSE)</f>
        <v>257</v>
      </c>
      <c r="AB79" s="5">
        <f>VLOOKUP($A79,'SegEnds_NonXtal_Prot#'!$A:$AL,33,FALSE)</f>
        <v>299</v>
      </c>
      <c r="AC79" s="5">
        <f>VLOOKUP($A79,'SegEnds_NonXtal_Prot#'!$A:$AL,36,FALSE)</f>
        <v>324</v>
      </c>
      <c r="AD79" s="5">
        <f>VLOOKUP($A79,'SegEnds_NonXtal_Prot#'!$A:$AL,5,FALSE)</f>
        <v>54</v>
      </c>
      <c r="AE79" s="5">
        <f>VLOOKUP($A79,'SegEnds_NonXtal_Prot#'!$A:$AL,8,FALSE)</f>
        <v>58</v>
      </c>
      <c r="AF79" s="5">
        <f>VLOOKUP($A79,'SegEnds_NonXtal_Prot#'!$A:$AL,11,FALSE)</f>
        <v>89</v>
      </c>
      <c r="AG79" s="5">
        <f>VLOOKUP($A79,'SegEnds_NonXtal_Prot#'!$A:$AL,14,FALSE)</f>
        <v>94</v>
      </c>
      <c r="AH79" s="5">
        <f>VLOOKUP($A79,'SegEnds_NonXtal_Prot#'!$A:$AL,17,FALSE)</f>
        <v>130</v>
      </c>
      <c r="AI79" s="5">
        <f>VLOOKUP($A79,'SegEnds_NonXtal_Prot#'!$A:$AL,20,FALSE)</f>
        <v>138</v>
      </c>
      <c r="AJ79" s="5">
        <f>VLOOKUP($A79,'SegEnds_NonXtal_Prot#'!$A:$AL,23,FALSE)</f>
        <v>165</v>
      </c>
      <c r="AK79" s="5">
        <f>VLOOKUP($A79,'SegEnds_NonXtal_Prot#'!$A:$AL,26,FALSE)</f>
        <v>182</v>
      </c>
      <c r="AL79" s="5">
        <f>VLOOKUP($A79,'SegEnds_NonXtal_Prot#'!$A:$AL,29,FALSE)</f>
        <v>226</v>
      </c>
      <c r="AM79" s="5">
        <f>VLOOKUP($A79,'SegEnds_NonXtal_Prot#'!$A:$AL,32,FALSE)</f>
        <v>294</v>
      </c>
      <c r="AN79" s="5">
        <f>VLOOKUP($A79,'SegEnds_NonXtal_Prot#'!$A:$AL,35,FALSE)</f>
        <v>323</v>
      </c>
      <c r="AO79" s="5">
        <f>VLOOKUP($A79,'SegEnds_NonXtal_Prot#'!$A:$AL,38,FALSE)</f>
        <v>335</v>
      </c>
      <c r="AP79" s="5">
        <f t="shared" si="38"/>
        <v>28</v>
      </c>
      <c r="AQ79" s="4">
        <f t="shared" si="39"/>
        <v>3</v>
      </c>
      <c r="AR79" s="4">
        <f t="shared" si="40"/>
        <v>30</v>
      </c>
      <c r="AS79" s="4">
        <f t="shared" si="41"/>
        <v>3</v>
      </c>
      <c r="AT79" s="4">
        <f t="shared" si="42"/>
        <v>35</v>
      </c>
      <c r="AU79" s="4">
        <f t="shared" si="43"/>
        <v>7</v>
      </c>
      <c r="AV79" s="4">
        <f t="shared" si="44"/>
        <v>26</v>
      </c>
      <c r="AW79" s="4">
        <f t="shared" si="45"/>
        <v>2</v>
      </c>
      <c r="AX79" s="4">
        <f t="shared" si="46"/>
        <v>41</v>
      </c>
      <c r="AY79" s="4">
        <f t="shared" si="47"/>
        <v>37</v>
      </c>
      <c r="AZ79" s="4">
        <f t="shared" si="48"/>
        <v>24</v>
      </c>
      <c r="BA79" s="4">
        <f t="shared" si="49"/>
        <v>11</v>
      </c>
    </row>
    <row r="80" spans="1:53" x14ac:dyDescent="0.2">
      <c r="A80" s="1" t="str">
        <f>'SegEnds_NonXtal_Prot#'!A49</f>
        <v>5ht7r_human</v>
      </c>
      <c r="B80" s="1" t="str">
        <f t="shared" si="25"/>
        <v>RVEKVVIGSILTLITLLTIAGNCLVVISVCFVQPSNYLIVSLALADLSVAVAVMPFVSVTDLIGHFFCNVFIAMDVMCCTASIMTLCVISIDRYLGITRNGKCMAKMILSVWLLSASITLPPLFGDFGYTIYSTAVAFYIPMSVMLFMYYQIYKAARKSAAKHKFPGISIFKREQKAATTLGIIVGAFTVCWLPFFLLSTARPFISCIPLWVERTFLWLGYANSLINPFIYAFFNRDLRTTYRSLL</v>
      </c>
      <c r="C80" s="29" t="str">
        <f>IF(ISERROR(MATCH(A80,'SegEnds_Xtal_Prot#'!B:B, 0)), "NoXtal", "Xtal")</f>
        <v>NoXtal</v>
      </c>
      <c r="D80" s="4" t="str">
        <f>VLOOKUP(A80,Classification!A:D,2,FALSE)</f>
        <v>A</v>
      </c>
      <c r="E80" s="5" t="str">
        <f>VLOOKUP(A80,Seqs!A:B,2,FALSE)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80" s="5" t="str">
        <f t="shared" si="26"/>
        <v>RVEKVVIGSILTLITLLTIAGNCLVVISVCFV</v>
      </c>
      <c r="G80" s="4" t="str">
        <f t="shared" si="27"/>
        <v>KKLR</v>
      </c>
      <c r="H80" s="4" t="str">
        <f t="shared" si="28"/>
        <v>QPSNYLIVSLALADLSVAVAVMPFVSVTDLI</v>
      </c>
      <c r="I80" s="4" t="str">
        <f t="shared" si="29"/>
        <v>KWIF</v>
      </c>
      <c r="J80" s="4" t="str">
        <f t="shared" si="30"/>
        <v>GHFFCNVFIAMDVMCCTASIMTLCVISIDRYLGITR</v>
      </c>
      <c r="K80" s="4" t="str">
        <f t="shared" si="31"/>
        <v>PLTYPVRQ</v>
      </c>
      <c r="L80" s="4" t="str">
        <f t="shared" si="32"/>
        <v>NGKCMAKMILSVWLLSASITLPPLFG</v>
      </c>
      <c r="M80" s="4" t="str">
        <f t="shared" si="33"/>
        <v>CLI</v>
      </c>
      <c r="N80" s="4" t="str">
        <f t="shared" si="34"/>
        <v>DFGYTIYSTAVAFYIPMSVMLFMYYQIYKAARKSAAKHKFPG</v>
      </c>
      <c r="O80" s="4" t="str">
        <f t="shared" si="35"/>
        <v>ISIFKREQKAATTLGIIVGAFTVCWLPFFLLSTARPFI</v>
      </c>
      <c r="P80" s="4" t="str">
        <f t="shared" si="36"/>
        <v>SCIPLWVERTFLWLGYANSLINPFIYAFF</v>
      </c>
      <c r="Q80" s="4" t="str">
        <f t="shared" si="37"/>
        <v>NRDLRTTYRSLL</v>
      </c>
      <c r="R80" s="5">
        <f>VLOOKUP($A80,'SegEnds_NonXtal_Prot#'!$A:$AL,3,FALSE)</f>
        <v>78</v>
      </c>
      <c r="S80" s="5">
        <f>VLOOKUP($A80,'SegEnds_NonXtal_Prot#'!$A:$AL,6,FALSE)</f>
        <v>110</v>
      </c>
      <c r="T80" s="5">
        <f>VLOOKUP($A80,'SegEnds_NonXtal_Prot#'!$A:$AL,9,FALSE)</f>
        <v>114</v>
      </c>
      <c r="U80" s="5">
        <f>VLOOKUP($A80,'SegEnds_NonXtal_Prot#'!$A:$AL,12,FALSE)</f>
        <v>147</v>
      </c>
      <c r="V80" s="5">
        <f>VLOOKUP($A80,'SegEnds_NonXtal_Prot#'!$A:$AL,15,FALSE)</f>
        <v>151</v>
      </c>
      <c r="W80" s="5">
        <f>VLOOKUP($A80,'SegEnds_NonXtal_Prot#'!$A:$AL,18,FALSE)</f>
        <v>187</v>
      </c>
      <c r="X80" s="5">
        <f>VLOOKUP($A80,'SegEnds_NonXtal_Prot#'!$A:$AL,21,FALSE)</f>
        <v>195</v>
      </c>
      <c r="Y80" s="5">
        <f>VLOOKUP($A80,'SegEnds_NonXtal_Prot#'!$A:$AL,24,FALSE)</f>
        <v>231</v>
      </c>
      <c r="Z80" s="5">
        <f>VLOOKUP($A80,'SegEnds_NonXtal_Prot#'!$A:$AL,27,FALSE)</f>
        <v>236</v>
      </c>
      <c r="AA80" s="5">
        <f>VLOOKUP($A80,'SegEnds_NonXtal_Prot#'!$A:$AL,30,FALSE)</f>
        <v>316</v>
      </c>
      <c r="AB80" s="5">
        <f>VLOOKUP($A80,'SegEnds_NonXtal_Prot#'!$A:$AL,33,FALSE)</f>
        <v>359</v>
      </c>
      <c r="AC80" s="5">
        <f>VLOOKUP($A80,'SegEnds_NonXtal_Prot#'!$A:$AL,36,FALSE)</f>
        <v>388</v>
      </c>
      <c r="AD80" s="5">
        <f>VLOOKUP($A80,'SegEnds_NonXtal_Prot#'!$A:$AL,5,FALSE)</f>
        <v>109</v>
      </c>
      <c r="AE80" s="5">
        <f>VLOOKUP($A80,'SegEnds_NonXtal_Prot#'!$A:$AL,8,FALSE)</f>
        <v>113</v>
      </c>
      <c r="AF80" s="5">
        <f>VLOOKUP($A80,'SegEnds_NonXtal_Prot#'!$A:$AL,11,FALSE)</f>
        <v>144</v>
      </c>
      <c r="AG80" s="5">
        <f>VLOOKUP($A80,'SegEnds_NonXtal_Prot#'!$A:$AL,14,FALSE)</f>
        <v>150</v>
      </c>
      <c r="AH80" s="5">
        <f>VLOOKUP($A80,'SegEnds_NonXtal_Prot#'!$A:$AL,17,FALSE)</f>
        <v>186</v>
      </c>
      <c r="AI80" s="5">
        <f>VLOOKUP($A80,'SegEnds_NonXtal_Prot#'!$A:$AL,20,FALSE)</f>
        <v>194</v>
      </c>
      <c r="AJ80" s="5">
        <f>VLOOKUP($A80,'SegEnds_NonXtal_Prot#'!$A:$AL,23,FALSE)</f>
        <v>220</v>
      </c>
      <c r="AK80" s="5">
        <f>VLOOKUP($A80,'SegEnds_NonXtal_Prot#'!$A:$AL,26,FALSE)</f>
        <v>233</v>
      </c>
      <c r="AL80" s="5">
        <f>VLOOKUP($A80,'SegEnds_NonXtal_Prot#'!$A:$AL,29,FALSE)</f>
        <v>277</v>
      </c>
      <c r="AM80" s="5">
        <f>VLOOKUP($A80,'SegEnds_NonXtal_Prot#'!$A:$AL,32,FALSE)</f>
        <v>353</v>
      </c>
      <c r="AN80" s="5">
        <f>VLOOKUP($A80,'SegEnds_NonXtal_Prot#'!$A:$AL,35,FALSE)</f>
        <v>387</v>
      </c>
      <c r="AO80" s="5">
        <f>VLOOKUP($A80,'SegEnds_NonXtal_Prot#'!$A:$AL,38,FALSE)</f>
        <v>399</v>
      </c>
      <c r="AP80" s="5">
        <f t="shared" si="38"/>
        <v>31</v>
      </c>
      <c r="AQ80" s="4">
        <f t="shared" si="39"/>
        <v>3</v>
      </c>
      <c r="AR80" s="4">
        <f t="shared" si="40"/>
        <v>30</v>
      </c>
      <c r="AS80" s="4">
        <f t="shared" si="41"/>
        <v>3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41</v>
      </c>
      <c r="AY80" s="4">
        <f t="shared" si="47"/>
        <v>37</v>
      </c>
      <c r="AZ80" s="4">
        <f t="shared" si="48"/>
        <v>28</v>
      </c>
      <c r="BA80" s="4">
        <f t="shared" si="49"/>
        <v>11</v>
      </c>
    </row>
    <row r="81" spans="1:53" x14ac:dyDescent="0.2">
      <c r="A81" s="1" t="str">
        <f>'SegEnds_NonXtal_Prot#'!A50</f>
        <v>aa1r_human</v>
      </c>
      <c r="B81" s="1" t="str">
        <f t="shared" si="25"/>
        <v>SAFQAAYIGIEVLIALVSVPGNVLVIWAVKVNDATFCFIVSLAVADVAVGALVIPLAILINIGYFHTCLMVACPVLILTQSSILALLAIAVDRYLRVKITPRRAAVAIAGCWILSFVVGLTPMFGSMEYMVYFNFFVWVLPPLLLMVLIYLEVFYLIRKQLNKKQKYYGKELKIAKSLALILFLFALSWLPLHILNCITLFCPSILTYIAIFLTHGNSAMNPIVYAFRIQKFRVTFLKIWNDHFRCQPAPP</v>
      </c>
      <c r="C81" s="29" t="str">
        <f>IF(ISERROR(MATCH(A81,'SegEnds_Xtal_Prot#'!B:B, 0)), "NoXtal", "Xtal")</f>
        <v>Xtal</v>
      </c>
      <c r="D81" s="4" t="str">
        <f>VLOOKUP(A81,Classification!A:D,2,FALSE)</f>
        <v>A</v>
      </c>
      <c r="E81" s="5" t="str">
        <f>VLOOKUP(A81,Seqs!A:B,2,FALSE)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81" s="5" t="str">
        <f t="shared" si="26"/>
        <v>SAFQAAYIGIEVLIALVSVPGNVLVIWAVKVN</v>
      </c>
      <c r="G81" s="4" t="str">
        <f t="shared" si="27"/>
        <v>QALR</v>
      </c>
      <c r="H81" s="4" t="str">
        <f t="shared" si="28"/>
        <v>DATFCFIVSLAVADVAVGALVIPLAILINIG</v>
      </c>
      <c r="I81" s="4" t="str">
        <f t="shared" si="29"/>
        <v>PQT</v>
      </c>
      <c r="J81" s="4" t="str">
        <f t="shared" si="30"/>
        <v>YFHTCLMVACPVLILTQSSILALLAIAVDRYLRVKI</v>
      </c>
      <c r="K81" s="4" t="str">
        <f t="shared" si="31"/>
        <v>PLRYKMVV</v>
      </c>
      <c r="L81" s="4" t="str">
        <f t="shared" si="32"/>
        <v>TPRRAAVAIAGCWILSFVVGLTPMFG</v>
      </c>
      <c r="M81" s="4" t="str">
        <f t="shared" si="33"/>
        <v>CEF</v>
      </c>
      <c r="N81" s="4" t="str">
        <f t="shared" si="34"/>
        <v>SMEYMVYFNFFVWVLPPLLLMVLIYLEVFYLIRKQLNKK</v>
      </c>
      <c r="O81" s="4" t="str">
        <f t="shared" si="35"/>
        <v>QKYYGKELKIAKSLALILFLFALSWLPLHILNCITLFC</v>
      </c>
      <c r="P81" s="4" t="str">
        <f t="shared" si="36"/>
        <v>PSILTYIAIFLTHGNSAMNPIVYAFR</v>
      </c>
      <c r="Q81" s="4" t="str">
        <f t="shared" si="37"/>
        <v>IQKFRVTFLKIWNDHFRCQPAPP</v>
      </c>
      <c r="R81" s="5">
        <f>VLOOKUP($A81,'SegEnds_NonXtal_Prot#'!$A:$AL,3,FALSE)</f>
        <v>6</v>
      </c>
      <c r="S81" s="5">
        <f>VLOOKUP($A81,'SegEnds_NonXtal_Prot#'!$A:$AL,6,FALSE)</f>
        <v>38</v>
      </c>
      <c r="T81" s="5">
        <f>VLOOKUP($A81,'SegEnds_NonXtal_Prot#'!$A:$AL,9,FALSE)</f>
        <v>42</v>
      </c>
      <c r="U81" s="5">
        <f>VLOOKUP($A81,'SegEnds_NonXtal_Prot#'!$A:$AL,12,FALSE)</f>
        <v>73</v>
      </c>
      <c r="V81" s="5">
        <f>VLOOKUP($A81,'SegEnds_NonXtal_Prot#'!$A:$AL,15,FALSE)</f>
        <v>76</v>
      </c>
      <c r="W81" s="5">
        <f>VLOOKUP($A81,'SegEnds_NonXtal_Prot#'!$A:$AL,18,FALSE)</f>
        <v>112</v>
      </c>
      <c r="X81" s="5">
        <f>VLOOKUP($A81,'SegEnds_NonXtal_Prot#'!$A:$AL,21,FALSE)</f>
        <v>120</v>
      </c>
      <c r="Y81" s="5">
        <f>VLOOKUP($A81,'SegEnds_NonXtal_Prot#'!$A:$AL,24,FALSE)</f>
        <v>169</v>
      </c>
      <c r="Z81" s="5">
        <f>VLOOKUP($A81,'SegEnds_NonXtal_Prot#'!$A:$AL,27,FALSE)</f>
        <v>176</v>
      </c>
      <c r="AA81" s="5">
        <f>VLOOKUP($A81,'SegEnds_NonXtal_Prot#'!$A:$AL,30,FALSE)</f>
        <v>223</v>
      </c>
      <c r="AB81" s="5">
        <f>VLOOKUP($A81,'SegEnds_NonXtal_Prot#'!$A:$AL,33,FALSE)</f>
        <v>266</v>
      </c>
      <c r="AC81" s="5">
        <f>VLOOKUP($A81,'SegEnds_NonXtal_Prot#'!$A:$AL,36,FALSE)</f>
        <v>292</v>
      </c>
      <c r="AD81" s="5">
        <f>VLOOKUP($A81,'SegEnds_NonXtal_Prot#'!$A:$AL,5,FALSE)</f>
        <v>37</v>
      </c>
      <c r="AE81" s="5">
        <f>VLOOKUP($A81,'SegEnds_NonXtal_Prot#'!$A:$AL,8,FALSE)</f>
        <v>41</v>
      </c>
      <c r="AF81" s="5">
        <f>VLOOKUP($A81,'SegEnds_NonXtal_Prot#'!$A:$AL,11,FALSE)</f>
        <v>72</v>
      </c>
      <c r="AG81" s="5">
        <f>VLOOKUP($A81,'SegEnds_NonXtal_Prot#'!$A:$AL,14,FALSE)</f>
        <v>75</v>
      </c>
      <c r="AH81" s="5">
        <f>VLOOKUP($A81,'SegEnds_NonXtal_Prot#'!$A:$AL,17,FALSE)</f>
        <v>111</v>
      </c>
      <c r="AI81" s="5">
        <f>VLOOKUP($A81,'SegEnds_NonXtal_Prot#'!$A:$AL,20,FALSE)</f>
        <v>119</v>
      </c>
      <c r="AJ81" s="5">
        <f>VLOOKUP($A81,'SegEnds_NonXtal_Prot#'!$A:$AL,23,FALSE)</f>
        <v>145</v>
      </c>
      <c r="AK81" s="5">
        <f>VLOOKUP($A81,'SegEnds_NonXtal_Prot#'!$A:$AL,26,FALSE)</f>
        <v>171</v>
      </c>
      <c r="AL81" s="5">
        <f>VLOOKUP($A81,'SegEnds_NonXtal_Prot#'!$A:$AL,29,FALSE)</f>
        <v>214</v>
      </c>
      <c r="AM81" s="5">
        <f>VLOOKUP($A81,'SegEnds_NonXtal_Prot#'!$A:$AL,32,FALSE)</f>
        <v>260</v>
      </c>
      <c r="AN81" s="5">
        <f>VLOOKUP($A81,'SegEnds_NonXtal_Prot#'!$A:$AL,35,FALSE)</f>
        <v>291</v>
      </c>
      <c r="AO81" s="5">
        <f>VLOOKUP($A81,'SegEnds_NonXtal_Prot#'!$A:$AL,38,FALSE)</f>
        <v>314</v>
      </c>
      <c r="AP81" s="5">
        <f t="shared" si="38"/>
        <v>31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38</v>
      </c>
      <c r="AY81" s="4">
        <f t="shared" si="47"/>
        <v>37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'SegEnds_NonXtal_Prot#'!A51</f>
        <v>aa2ar_human</v>
      </c>
      <c r="B82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2" s="29" t="str">
        <f>IF(ISERROR(MATCH(A82,'SegEnds_Xtal_Prot#'!B:B, 0)), "NoXtal", "Xtal")</f>
        <v>Xtal</v>
      </c>
      <c r="D82" s="4" t="str">
        <f>VLOOKUP(A82,Classification!A:D,2,FALSE)</f>
        <v>A</v>
      </c>
      <c r="E82" s="5" t="str">
        <f>VLOOKUP(A82,Seqs!A:B,2,FALSE)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2" s="5" t="str">
        <f t="shared" si="26"/>
        <v>MPIMGSSVYITVELAIAVLAILGNVLVCWAVWLN</v>
      </c>
      <c r="G82" s="4" t="str">
        <f t="shared" si="27"/>
        <v>SNLQ</v>
      </c>
      <c r="H82" s="4" t="str">
        <f t="shared" si="28"/>
        <v>NVTNYFVVSLAAADIAVGVLAIPFAITISTG</v>
      </c>
      <c r="I82" s="4" t="str">
        <f t="shared" si="29"/>
        <v>FCA</v>
      </c>
      <c r="J82" s="4" t="str">
        <f t="shared" si="30"/>
        <v>ACHGCLFIACFVLVLTQSSIFSLLAIAIDRYIAIRI</v>
      </c>
      <c r="K82" s="4" t="str">
        <f t="shared" si="31"/>
        <v>PLRYNGLV</v>
      </c>
      <c r="L82" s="4" t="str">
        <f t="shared" si="32"/>
        <v>TGTRAKGIIAICWVLSFAIGLTPMLG</v>
      </c>
      <c r="M82" s="4" t="str">
        <f t="shared" si="33"/>
        <v>CLF</v>
      </c>
      <c r="N82" s="4" t="str">
        <f t="shared" si="34"/>
        <v>PMNYMVYFNFFACVLVPLLLMLGVYLRIFLAARRQLKQMES</v>
      </c>
      <c r="O82" s="4" t="str">
        <f t="shared" si="35"/>
        <v>ERARSTLQKEVHAAKSLAIIVGLFALCWLPLHIINCFTFFC</v>
      </c>
      <c r="P82" s="4" t="str">
        <f t="shared" si="36"/>
        <v>PLWLMYLAIVLSHTNSVVNPFIYAYR</v>
      </c>
      <c r="Q82" s="4" t="str">
        <f t="shared" si="37"/>
        <v>IREFRQTFRKIIRSHVLRQQEPF</v>
      </c>
      <c r="R82" s="5">
        <f>VLOOKUP($A82,'SegEnds_NonXtal_Prot#'!$A:$AL,3,FALSE)</f>
        <v>1</v>
      </c>
      <c r="S82" s="5">
        <f>VLOOKUP($A82,'SegEnds_NonXtal_Prot#'!$A:$AL,6,FALSE)</f>
        <v>35</v>
      </c>
      <c r="T82" s="5">
        <f>VLOOKUP($A82,'SegEnds_NonXtal_Prot#'!$A:$AL,9,FALSE)</f>
        <v>39</v>
      </c>
      <c r="U82" s="5">
        <f>VLOOKUP($A82,'SegEnds_NonXtal_Prot#'!$A:$AL,12,FALSE)</f>
        <v>70</v>
      </c>
      <c r="V82" s="5">
        <f>VLOOKUP($A82,'SegEnds_NonXtal_Prot#'!$A:$AL,15,FALSE)</f>
        <v>73</v>
      </c>
      <c r="W82" s="5">
        <f>VLOOKUP($A82,'SegEnds_NonXtal_Prot#'!$A:$AL,18,FALSE)</f>
        <v>109</v>
      </c>
      <c r="X82" s="5">
        <f>VLOOKUP($A82,'SegEnds_NonXtal_Prot#'!$A:$AL,21,FALSE)</f>
        <v>117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219</v>
      </c>
      <c r="AB82" s="5">
        <f>VLOOKUP($A82,'SegEnds_NonXtal_Prot#'!$A:$AL,33,FALSE)</f>
        <v>266</v>
      </c>
      <c r="AC82" s="5">
        <f>VLOOKUP($A82,'SegEnds_NonXtal_Prot#'!$A:$AL,36,FALSE)</f>
        <v>292</v>
      </c>
      <c r="AD82" s="5">
        <f>VLOOKUP($A82,'SegEnds_NonXtal_Prot#'!$A:$AL,5,FALSE)</f>
        <v>34</v>
      </c>
      <c r="AE82" s="5">
        <f>VLOOKUP($A82,'SegEnds_NonXtal_Prot#'!$A:$AL,8,FALSE)</f>
        <v>38</v>
      </c>
      <c r="AF82" s="5">
        <f>VLOOKUP($A82,'SegEnds_NonXtal_Prot#'!$A:$AL,11,FALSE)</f>
        <v>69</v>
      </c>
      <c r="AG82" s="5">
        <f>VLOOKUP($A82,'SegEnds_NonXtal_Prot#'!$A:$AL,14,FALSE)</f>
        <v>72</v>
      </c>
      <c r="AH82" s="5">
        <f>VLOOKUP($A82,'SegEnds_NonXtal_Prot#'!$A:$AL,17,FALSE)</f>
        <v>108</v>
      </c>
      <c r="AI82" s="5">
        <f>VLOOKUP($A82,'SegEnds_NonXtal_Prot#'!$A:$AL,20,FALSE)</f>
        <v>116</v>
      </c>
      <c r="AJ82" s="5">
        <f>VLOOKUP($A82,'SegEnds_NonXtal_Prot#'!$A:$AL,23,FALSE)</f>
        <v>142</v>
      </c>
      <c r="AK82" s="5">
        <f>VLOOKUP($A82,'SegEnds_NonXtal_Prot#'!$A:$AL,26,FALSE)</f>
        <v>168</v>
      </c>
      <c r="AL82" s="5">
        <f>VLOOKUP($A82,'SegEnds_NonXtal_Prot#'!$A:$AL,29,FALSE)</f>
        <v>213</v>
      </c>
      <c r="AM82" s="5">
        <f>VLOOKUP($A82,'SegEnds_NonXtal_Prot#'!$A:$AL,32,FALSE)</f>
        <v>259</v>
      </c>
      <c r="AN82" s="5">
        <f>VLOOKUP($A82,'SegEnds_NonXtal_Prot#'!$A:$AL,35,FALSE)</f>
        <v>291</v>
      </c>
      <c r="AO82" s="5">
        <f>VLOOKUP($A82,'SegEnds_NonXtal_Prot#'!$A:$AL,38,FALSE)</f>
        <v>314</v>
      </c>
      <c r="AP82" s="5">
        <f t="shared" si="38"/>
        <v>33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40</v>
      </c>
      <c r="AY82" s="4">
        <f t="shared" si="47"/>
        <v>40</v>
      </c>
      <c r="AZ82" s="4">
        <f t="shared" si="48"/>
        <v>25</v>
      </c>
      <c r="BA82" s="4">
        <f t="shared" si="49"/>
        <v>22</v>
      </c>
    </row>
    <row r="83" spans="1:53" x14ac:dyDescent="0.2">
      <c r="A83" s="1" t="str">
        <f>'SegEnds_NonXtal_Prot#'!A52</f>
        <v>aa2br_human</v>
      </c>
      <c r="B83" s="1" t="str">
        <f t="shared" si="25"/>
        <v>LLETQDALYVALELVIAALSVAGNVLVCAAVGTATPTNYFLVSLAAADVAVGLFAIPFAITISLGDFYGCLFLACFVLVLTQSSIFSLLAVAVDRYLAICVTGTRARGVIAVLWVLAFGIGLTPFLGPMSYMVYFNFFGCVLPPLLIMLVIYIKIFLVACRQLQRTEHSRTTLQREIHAAKSLAMIVGIFALCWLPVHAVNCVTLFQKNKPKWAMNMAILLSHANSVVNPIVYAYRNRDFRYTFHKIISRYLLCQADVK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3" s="5" t="str">
        <f t="shared" si="26"/>
        <v>LLETQDALYVALELVIAALSVAGNVLVCAAVGTA</v>
      </c>
      <c r="G83" s="4" t="str">
        <f t="shared" si="27"/>
        <v>NTLQ</v>
      </c>
      <c r="H83" s="4" t="str">
        <f t="shared" si="28"/>
        <v>TPTNYFLVSLAAADVAVGLFAIPFAITISLG</v>
      </c>
      <c r="I83" s="4" t="str">
        <f t="shared" si="29"/>
        <v>FCT</v>
      </c>
      <c r="J83" s="4" t="str">
        <f t="shared" si="30"/>
        <v>DFYGCLFLACFVLVLTQSSIFSLLAVAVDRYLAICV</v>
      </c>
      <c r="K83" s="4" t="str">
        <f t="shared" si="31"/>
        <v>PLRYKSLV</v>
      </c>
      <c r="L83" s="4" t="str">
        <f t="shared" si="32"/>
        <v>TGTRARGVIAVLWVLAFGIGLTPFLG</v>
      </c>
      <c r="M83" s="4" t="str">
        <f t="shared" si="33"/>
        <v>CLF</v>
      </c>
      <c r="N83" s="4" t="str">
        <f t="shared" si="34"/>
        <v>PMSYMVYFNFFGCVLPPLLIMLVIYIKIFLVACRQLQRTE</v>
      </c>
      <c r="O83" s="4" t="str">
        <f t="shared" si="35"/>
        <v>HSRTTLQREIHAAKSLAMIVGIFALCWLPVHAVNCVTLFQ</v>
      </c>
      <c r="P83" s="4" t="str">
        <f t="shared" si="36"/>
        <v>KNKPKWAMNMAILLSHANSVVNPIVYAYR</v>
      </c>
      <c r="Q83" s="4" t="str">
        <f t="shared" si="37"/>
        <v>NRDFRYTFHKIISRYLLCQADVK</v>
      </c>
      <c r="R83" s="5">
        <f>VLOOKUP($A83,'SegEnds_NonXtal_Prot#'!$A:$AL,3,FALSE)</f>
        <v>2</v>
      </c>
      <c r="S83" s="5">
        <f>VLOOKUP($A83,'SegEnds_NonXtal_Prot#'!$A:$AL,6,FALSE)</f>
        <v>36</v>
      </c>
      <c r="T83" s="5">
        <f>VLOOKUP($A83,'SegEnds_NonXtal_Prot#'!$A:$AL,9,FALSE)</f>
        <v>40</v>
      </c>
      <c r="U83" s="5">
        <f>VLOOKUP($A83,'SegEnds_NonXtal_Prot#'!$A:$AL,12,FALSE)</f>
        <v>71</v>
      </c>
      <c r="V83" s="5">
        <f>VLOOKUP($A83,'SegEnds_NonXtal_Prot#'!$A:$AL,15,FALSE)</f>
        <v>74</v>
      </c>
      <c r="W83" s="5">
        <f>VLOOKUP($A83,'SegEnds_NonXtal_Prot#'!$A:$AL,18,FALSE)</f>
        <v>110</v>
      </c>
      <c r="X83" s="5">
        <f>VLOOKUP($A83,'SegEnds_NonXtal_Prot#'!$A:$AL,21,FALSE)</f>
        <v>118</v>
      </c>
      <c r="Y83" s="5">
        <f>VLOOKUP($A83,'SegEnds_NonXtal_Prot#'!$A:$AL,24,FALSE)</f>
        <v>171</v>
      </c>
      <c r="Z83" s="5">
        <f>VLOOKUP($A83,'SegEnds_NonXtal_Prot#'!$A:$AL,27,FALSE)</f>
        <v>178</v>
      </c>
      <c r="AA83" s="5">
        <f>VLOOKUP($A83,'SegEnds_NonXtal_Prot#'!$A:$AL,30,FALSE)</f>
        <v>221</v>
      </c>
      <c r="AB83" s="5">
        <f>VLOOKUP($A83,'SegEnds_NonXtal_Prot#'!$A:$AL,33,FALSE)</f>
        <v>265</v>
      </c>
      <c r="AC83" s="5">
        <f>VLOOKUP($A83,'SegEnds_NonXtal_Prot#'!$A:$AL,36,FALSE)</f>
        <v>294</v>
      </c>
      <c r="AD83" s="5">
        <f>VLOOKUP($A83,'SegEnds_NonXtal_Prot#'!$A:$AL,5,FALSE)</f>
        <v>35</v>
      </c>
      <c r="AE83" s="5">
        <f>VLOOKUP($A83,'SegEnds_NonXtal_Prot#'!$A:$AL,8,FALSE)</f>
        <v>39</v>
      </c>
      <c r="AF83" s="5">
        <f>VLOOKUP($A83,'SegEnds_NonXtal_Prot#'!$A:$AL,11,FALSE)</f>
        <v>70</v>
      </c>
      <c r="AG83" s="5">
        <f>VLOOKUP($A83,'SegEnds_NonXtal_Prot#'!$A:$AL,14,FALSE)</f>
        <v>73</v>
      </c>
      <c r="AH83" s="5">
        <f>VLOOKUP($A83,'SegEnds_NonXtal_Prot#'!$A:$AL,17,FALSE)</f>
        <v>109</v>
      </c>
      <c r="AI83" s="5">
        <f>VLOOKUP($A83,'SegEnds_NonXtal_Prot#'!$A:$AL,20,FALSE)</f>
        <v>117</v>
      </c>
      <c r="AJ83" s="5">
        <f>VLOOKUP($A83,'SegEnds_NonXtal_Prot#'!$A:$AL,23,FALSE)</f>
        <v>143</v>
      </c>
      <c r="AK83" s="5">
        <f>VLOOKUP($A83,'SegEnds_NonXtal_Prot#'!$A:$AL,26,FALSE)</f>
        <v>173</v>
      </c>
      <c r="AL83" s="5">
        <f>VLOOKUP($A83,'SegEnds_NonXtal_Prot#'!$A:$AL,29,FALSE)</f>
        <v>217</v>
      </c>
      <c r="AM83" s="5">
        <f>VLOOKUP($A83,'SegEnds_NonXtal_Prot#'!$A:$AL,32,FALSE)</f>
        <v>260</v>
      </c>
      <c r="AN83" s="5">
        <f>VLOOKUP($A83,'SegEnds_NonXtal_Prot#'!$A:$AL,35,FALSE)</f>
        <v>293</v>
      </c>
      <c r="AO83" s="5">
        <f>VLOOKUP($A83,'SegEnds_NonXtal_Prot#'!$A:$AL,38,FALSE)</f>
        <v>316</v>
      </c>
      <c r="AP83" s="5">
        <f t="shared" si="38"/>
        <v>33</v>
      </c>
      <c r="AQ83" s="4">
        <f t="shared" si="39"/>
        <v>3</v>
      </c>
      <c r="AR83" s="4">
        <f t="shared" si="40"/>
        <v>30</v>
      </c>
      <c r="AS83" s="4">
        <f t="shared" si="41"/>
        <v>2</v>
      </c>
      <c r="AT83" s="4">
        <f t="shared" si="42"/>
        <v>35</v>
      </c>
      <c r="AU83" s="4">
        <f t="shared" si="43"/>
        <v>7</v>
      </c>
      <c r="AV83" s="4">
        <f t="shared" si="44"/>
        <v>25</v>
      </c>
      <c r="AW83" s="4">
        <f t="shared" si="45"/>
        <v>2</v>
      </c>
      <c r="AX83" s="4">
        <f t="shared" si="46"/>
        <v>39</v>
      </c>
      <c r="AY83" s="4">
        <f t="shared" si="47"/>
        <v>39</v>
      </c>
      <c r="AZ83" s="4">
        <f t="shared" si="48"/>
        <v>28</v>
      </c>
      <c r="BA83" s="4">
        <f t="shared" si="49"/>
        <v>22</v>
      </c>
    </row>
    <row r="84" spans="1:53" x14ac:dyDescent="0.2">
      <c r="A84" s="1" t="str">
        <f>'SegEnds_NonXtal_Prot#'!A53</f>
        <v>aa3r_human</v>
      </c>
      <c r="B84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4" s="29" t="str">
        <f>IF(ISERROR(MATCH(A84,'SegEnds_Xtal_Prot#'!B:B, 0)), "NoXtal", "Xtal")</f>
        <v>NoXtal</v>
      </c>
      <c r="D84" s="4" t="str">
        <f>VLOOKUP(A84,Classification!A:D,2,FALSE)</f>
        <v>A</v>
      </c>
      <c r="E84" s="5" t="str">
        <f>VLOOKUP(A84,Seqs!A:B,2,FALSE)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4" s="5" t="str">
        <f t="shared" si="26"/>
        <v>SLANVTYITMEIFIGLCAIVGNVLVICVVKLN</v>
      </c>
      <c r="G84" s="4" t="str">
        <f t="shared" si="27"/>
        <v>PSLQ</v>
      </c>
      <c r="H84" s="4" t="str">
        <f t="shared" si="28"/>
        <v>TTTFYFIVSLALADIAVGVLVMPLAIVVSLG</v>
      </c>
      <c r="I84" s="4" t="str">
        <f t="shared" si="29"/>
        <v>ITI</v>
      </c>
      <c r="J84" s="4" t="str">
        <f t="shared" si="30"/>
        <v>HFYSCLFMTCLLLIFTHASIMSLLAIAVDRYLRVKL</v>
      </c>
      <c r="K84" s="4" t="str">
        <f t="shared" si="31"/>
        <v>TVRYKRVT</v>
      </c>
      <c r="L84" s="4" t="str">
        <f t="shared" si="32"/>
        <v>THRRIWLALGLCWLVSFLVGLTPMFG</v>
      </c>
      <c r="M84" s="4" t="str">
        <f t="shared" si="33"/>
        <v>CQF</v>
      </c>
      <c r="N84" s="4" t="str">
        <f t="shared" si="34"/>
        <v>RMDYMVYFSFLTWIFIPLVVMCAIYLDIFYIIRNKLSLNL</v>
      </c>
      <c r="O84" s="4" t="str">
        <f t="shared" si="35"/>
        <v>ETGAFYGREFKTAKSLFLVLFLFALSWLPLSIINCIIYFN</v>
      </c>
      <c r="P84" s="4" t="str">
        <f t="shared" si="36"/>
        <v>QLVLYMGILLSHANSMMNPIVYAYK</v>
      </c>
      <c r="Q84" s="4" t="str">
        <f t="shared" si="37"/>
        <v>IKKFKETYLLILKACVVCHPSDS</v>
      </c>
      <c r="R84" s="5">
        <f>VLOOKUP($A84,'SegEnds_NonXtal_Prot#'!$A:$AL,3,FALSE)</f>
        <v>9</v>
      </c>
      <c r="S84" s="5">
        <f>VLOOKUP($A84,'SegEnds_NonXtal_Prot#'!$A:$AL,6,FALSE)</f>
        <v>41</v>
      </c>
      <c r="T84" s="5">
        <f>VLOOKUP($A84,'SegEnds_NonXtal_Prot#'!$A:$AL,9,FALSE)</f>
        <v>45</v>
      </c>
      <c r="U84" s="5">
        <f>VLOOKUP($A84,'SegEnds_NonXtal_Prot#'!$A:$AL,12,FALSE)</f>
        <v>76</v>
      </c>
      <c r="V84" s="5">
        <f>VLOOKUP($A84,'SegEnds_NonXtal_Prot#'!$A:$AL,15,FALSE)</f>
        <v>79</v>
      </c>
      <c r="W84" s="5">
        <f>VLOOKUP($A84,'SegEnds_NonXtal_Prot#'!$A:$AL,18,FALSE)</f>
        <v>115</v>
      </c>
      <c r="X84" s="5">
        <f>VLOOKUP($A84,'SegEnds_NonXtal_Prot#'!$A:$AL,21,FALSE)</f>
        <v>123</v>
      </c>
      <c r="Y84" s="5">
        <f>VLOOKUP($A84,'SegEnds_NonXtal_Prot#'!$A:$AL,24,FALSE)</f>
        <v>166</v>
      </c>
      <c r="Z84" s="5">
        <f>VLOOKUP($A84,'SegEnds_NonXtal_Prot#'!$A:$AL,27,FALSE)</f>
        <v>173</v>
      </c>
      <c r="AA84" s="5">
        <f>VLOOKUP($A84,'SegEnds_NonXtal_Prot#'!$A:$AL,30,FALSE)</f>
        <v>217</v>
      </c>
      <c r="AB84" s="5">
        <f>VLOOKUP($A84,'SegEnds_NonXtal_Prot#'!$A:$AL,33,FALSE)</f>
        <v>261</v>
      </c>
      <c r="AC84" s="5">
        <f>VLOOKUP($A84,'SegEnds_NonXtal_Prot#'!$A:$AL,36,FALSE)</f>
        <v>286</v>
      </c>
      <c r="AD84" s="5">
        <f>VLOOKUP($A84,'SegEnds_NonXtal_Prot#'!$A:$AL,5,FALSE)</f>
        <v>40</v>
      </c>
      <c r="AE84" s="5">
        <f>VLOOKUP($A84,'SegEnds_NonXtal_Prot#'!$A:$AL,8,FALSE)</f>
        <v>44</v>
      </c>
      <c r="AF84" s="5">
        <f>VLOOKUP($A84,'SegEnds_NonXtal_Prot#'!$A:$AL,11,FALSE)</f>
        <v>75</v>
      </c>
      <c r="AG84" s="5">
        <f>VLOOKUP($A84,'SegEnds_NonXtal_Prot#'!$A:$AL,14,FALSE)</f>
        <v>78</v>
      </c>
      <c r="AH84" s="5">
        <f>VLOOKUP($A84,'SegEnds_NonXtal_Prot#'!$A:$AL,17,FALSE)</f>
        <v>114</v>
      </c>
      <c r="AI84" s="5">
        <f>VLOOKUP($A84,'SegEnds_NonXtal_Prot#'!$A:$AL,20,FALSE)</f>
        <v>122</v>
      </c>
      <c r="AJ84" s="5">
        <f>VLOOKUP($A84,'SegEnds_NonXtal_Prot#'!$A:$AL,23,FALSE)</f>
        <v>148</v>
      </c>
      <c r="AK84" s="5">
        <f>VLOOKUP($A84,'SegEnds_NonXtal_Prot#'!$A:$AL,26,FALSE)</f>
        <v>168</v>
      </c>
      <c r="AL84" s="5">
        <f>VLOOKUP($A84,'SegEnds_NonXtal_Prot#'!$A:$AL,29,FALSE)</f>
        <v>212</v>
      </c>
      <c r="AM84" s="5">
        <f>VLOOKUP($A84,'SegEnds_NonXtal_Prot#'!$A:$AL,32,FALSE)</f>
        <v>256</v>
      </c>
      <c r="AN84" s="5">
        <f>VLOOKUP($A84,'SegEnds_NonXtal_Prot#'!$A:$AL,35,FALSE)</f>
        <v>285</v>
      </c>
      <c r="AO84" s="5">
        <f>VLOOKUP($A84,'SegEnds_NonXtal_Prot#'!$A:$AL,38,FALSE)</f>
        <v>308</v>
      </c>
      <c r="AP84" s="5">
        <f t="shared" si="38"/>
        <v>31</v>
      </c>
      <c r="AQ84" s="4">
        <f t="shared" si="39"/>
        <v>3</v>
      </c>
      <c r="AR84" s="4">
        <f t="shared" si="40"/>
        <v>30</v>
      </c>
      <c r="AS84" s="4">
        <f t="shared" si="41"/>
        <v>2</v>
      </c>
      <c r="AT84" s="4">
        <f t="shared" si="42"/>
        <v>35</v>
      </c>
      <c r="AU84" s="4">
        <f t="shared" si="43"/>
        <v>7</v>
      </c>
      <c r="AV84" s="4">
        <f t="shared" si="44"/>
        <v>25</v>
      </c>
      <c r="AW84" s="4">
        <f t="shared" si="45"/>
        <v>2</v>
      </c>
      <c r="AX84" s="4">
        <f t="shared" si="46"/>
        <v>39</v>
      </c>
      <c r="AY84" s="4">
        <f t="shared" si="47"/>
        <v>39</v>
      </c>
      <c r="AZ84" s="4">
        <f t="shared" si="48"/>
        <v>24</v>
      </c>
      <c r="BA84" s="4">
        <f t="shared" si="49"/>
        <v>22</v>
      </c>
    </row>
    <row r="85" spans="1:53" x14ac:dyDescent="0.2">
      <c r="A85" s="1" t="str">
        <f>'SegEnds_NonXtal_Prot#'!A54</f>
        <v>ackr2_human</v>
      </c>
      <c r="B85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5" s="29" t="str">
        <f>IF(ISERROR(MATCH(A85,'SegEnds_Xtal_Prot#'!B:B, 0)), "NoXtal", "Xtal")</f>
        <v>NoXtal</v>
      </c>
      <c r="D85" s="4" t="str">
        <f>VLOOKUP(A85,Classification!A:D,2,FALSE)</f>
        <v>A</v>
      </c>
      <c r="E85" s="5" t="str">
        <f>VLOOKUP(A85,Seqs!A:B,2,FALSE)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5" s="5" t="str">
        <f t="shared" si="26"/>
        <v>KDAVVSFGKVFLPVFYSLIFVLGLSGNLLLLMVLLRY</v>
      </c>
      <c r="G85" s="4" t="str">
        <f t="shared" si="27"/>
        <v>VPRR</v>
      </c>
      <c r="H85" s="4" t="str">
        <f t="shared" si="28"/>
        <v>RMVEIYLLNLAISNLLFLVTLPFWGISVAW</v>
      </c>
      <c r="I85" s="4" t="str">
        <f t="shared" si="29"/>
        <v>HWVF</v>
      </c>
      <c r="J85" s="4" t="str">
        <f t="shared" si="30"/>
        <v>GSFLCKMVSTLYTINFYSGIFFISCMSLDKYLEIVH</v>
      </c>
      <c r="K85" s="4" t="str">
        <f t="shared" si="31"/>
        <v>AQPYHRLR</v>
      </c>
      <c r="L85" s="4" t="str">
        <f t="shared" si="32"/>
        <v>TRAKSLLLATIVWAVSLAVSIPDMVFV</v>
      </c>
      <c r="M85" s="4" t="str">
        <f t="shared" si="33"/>
        <v>CHA</v>
      </c>
      <c r="N85" s="4" t="str">
        <f t="shared" si="34"/>
        <v>HGTIWKLFLRFQQNLLGFLLPLLAMIFFYSRIGCVLVRL</v>
      </c>
      <c r="O85" s="4" t="str">
        <f t="shared" si="35"/>
        <v>QGRALKIAAALVVAFFVLWFPYNLTLFLHTLLDLQ</v>
      </c>
      <c r="P85" s="4" t="str">
        <f t="shared" si="36"/>
        <v>NCEVSQHLDYALQVTESIAFLHCCFSPILYAFS</v>
      </c>
      <c r="Q85" s="4" t="str">
        <f t="shared" si="37"/>
        <v>SHRFRQYLKAFLA</v>
      </c>
      <c r="R85" s="5">
        <f>VLOOKUP($A85,'SegEnds_NonXtal_Prot#'!$A:$AL,3,FALSE)</f>
        <v>38</v>
      </c>
      <c r="S85" s="5">
        <f>VLOOKUP($A85,'SegEnds_NonXtal_Prot#'!$A:$AL,6,FALSE)</f>
        <v>75</v>
      </c>
      <c r="T85" s="5">
        <f>VLOOKUP($A85,'SegEnds_NonXtal_Prot#'!$A:$AL,9,FALSE)</f>
        <v>79</v>
      </c>
      <c r="U85" s="5">
        <f>VLOOKUP($A85,'SegEnds_NonXtal_Prot#'!$A:$AL,12,FALSE)</f>
        <v>109</v>
      </c>
      <c r="V85" s="5">
        <f>VLOOKUP($A85,'SegEnds_NonXtal_Prot#'!$A:$AL,15,FALSE)</f>
        <v>113</v>
      </c>
      <c r="W85" s="5">
        <f>VLOOKUP($A85,'SegEnds_NonXtal_Prot#'!$A:$AL,18,FALSE)</f>
        <v>149</v>
      </c>
      <c r="X85" s="5">
        <f>VLOOKUP($A85,'SegEnds_NonXtal_Prot#'!$A:$AL,21,FALSE)</f>
        <v>157</v>
      </c>
      <c r="Y85" s="5">
        <f>VLOOKUP($A85,'SegEnds_NonXtal_Prot#'!$A:$AL,24,FALSE)</f>
        <v>195</v>
      </c>
      <c r="Z85" s="5">
        <f>VLOOKUP($A85,'SegEnds_NonXtal_Prot#'!$A:$AL,27,FALSE)</f>
        <v>202</v>
      </c>
      <c r="AA85" s="5">
        <f>VLOOKUP($A85,'SegEnds_NonXtal_Prot#'!$A:$AL,30,FALSE)</f>
        <v>245</v>
      </c>
      <c r="AB85" s="5">
        <f>VLOOKUP($A85,'SegEnds_NonXtal_Prot#'!$A:$AL,33,FALSE)</f>
        <v>283</v>
      </c>
      <c r="AC85" s="5">
        <f>VLOOKUP($A85,'SegEnds_NonXtal_Prot#'!$A:$AL,36,FALSE)</f>
        <v>316</v>
      </c>
      <c r="AD85" s="5">
        <f>VLOOKUP($A85,'SegEnds_NonXtal_Prot#'!$A:$AL,5,FALSE)</f>
        <v>74</v>
      </c>
      <c r="AE85" s="5">
        <f>VLOOKUP($A85,'SegEnds_NonXtal_Prot#'!$A:$AL,8,FALSE)</f>
        <v>78</v>
      </c>
      <c r="AF85" s="5">
        <f>VLOOKUP($A85,'SegEnds_NonXtal_Prot#'!$A:$AL,11,FALSE)</f>
        <v>108</v>
      </c>
      <c r="AG85" s="5">
        <f>VLOOKUP($A85,'SegEnds_NonXtal_Prot#'!$A:$AL,14,FALSE)</f>
        <v>112</v>
      </c>
      <c r="AH85" s="5">
        <f>VLOOKUP($A85,'SegEnds_NonXtal_Prot#'!$A:$AL,17,FALSE)</f>
        <v>148</v>
      </c>
      <c r="AI85" s="5">
        <f>VLOOKUP($A85,'SegEnds_NonXtal_Prot#'!$A:$AL,20,FALSE)</f>
        <v>156</v>
      </c>
      <c r="AJ85" s="5">
        <f>VLOOKUP($A85,'SegEnds_NonXtal_Prot#'!$A:$AL,23,FALSE)</f>
        <v>183</v>
      </c>
      <c r="AK85" s="5">
        <f>VLOOKUP($A85,'SegEnds_NonXtal_Prot#'!$A:$AL,26,FALSE)</f>
        <v>197</v>
      </c>
      <c r="AL85" s="5">
        <f>VLOOKUP($A85,'SegEnds_NonXtal_Prot#'!$A:$AL,29,FALSE)</f>
        <v>240</v>
      </c>
      <c r="AM85" s="5">
        <f>VLOOKUP($A85,'SegEnds_NonXtal_Prot#'!$A:$AL,32,FALSE)</f>
        <v>279</v>
      </c>
      <c r="AN85" s="5">
        <f>VLOOKUP($A85,'SegEnds_NonXtal_Prot#'!$A:$AL,35,FALSE)</f>
        <v>315</v>
      </c>
      <c r="AO85" s="5">
        <f>VLOOKUP($A85,'SegEnds_NonXtal_Prot#'!$A:$AL,38,FALSE)</f>
        <v>328</v>
      </c>
      <c r="AP85" s="5">
        <f t="shared" si="38"/>
        <v>36</v>
      </c>
      <c r="AQ85" s="4">
        <f t="shared" si="39"/>
        <v>3</v>
      </c>
      <c r="AR85" s="4">
        <f t="shared" si="40"/>
        <v>29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26</v>
      </c>
      <c r="AW85" s="4">
        <f t="shared" si="45"/>
        <v>2</v>
      </c>
      <c r="AX85" s="4">
        <f t="shared" si="46"/>
        <v>38</v>
      </c>
      <c r="AY85" s="4">
        <f t="shared" si="47"/>
        <v>34</v>
      </c>
      <c r="AZ85" s="4">
        <f t="shared" si="48"/>
        <v>32</v>
      </c>
      <c r="BA85" s="4">
        <f t="shared" si="49"/>
        <v>12</v>
      </c>
    </row>
    <row r="86" spans="1:53" x14ac:dyDescent="0.2">
      <c r="A86" s="1" t="str">
        <f>'SegEnds_NonXtal_Prot#'!A55</f>
        <v>acm1_human</v>
      </c>
      <c r="B86" s="1" t="str">
        <f t="shared" si="25"/>
        <v>PWQVAFIGITTGLLSLATVTGNLLVLISFKVNTVNNYFLLSLACADLIIGTFSMNLYTTYLLMGTLACDLWLALDYVASNASVMNLLLISFDRYFSVTRTPRRAALMIGLAWLVSFVLWAPAILFWQYLVGQPIITFGTAMAAFYLPVTVMCTLYWRIYRETENRARELAALTFSLVKEKKAARTLSAILLAFILTWTPYNIMVLVSTFCPETLWELGYWLCYVNSTINPMCYALCNKAFRDTFRLLLL</v>
      </c>
      <c r="C86" s="29" t="str">
        <f>IF(ISERROR(MATCH(A86,'SegEnds_Xtal_Prot#'!B:B, 0)), "NoXtal", "Xtal")</f>
        <v>Xtal</v>
      </c>
      <c r="D86" s="4" t="str">
        <f>VLOOKUP(A86,Classification!A:D,2,FALSE)</f>
        <v>A</v>
      </c>
      <c r="E86" s="5" t="str">
        <f>VLOOKUP(A86,Seqs!A:B,2,FALSE)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6" s="5" t="str">
        <f t="shared" si="26"/>
        <v>PWQVAFIGITTGLLSLATVTGNLLVLISFKVN</v>
      </c>
      <c r="G86" s="4" t="str">
        <f t="shared" si="27"/>
        <v>TELK</v>
      </c>
      <c r="H86" s="4" t="str">
        <f t="shared" si="28"/>
        <v>TVNNYFLLSLACADLIIGTFSMNLYTTYLLM</v>
      </c>
      <c r="I86" s="4" t="str">
        <f t="shared" si="29"/>
        <v>HWAL</v>
      </c>
      <c r="J86" s="4" t="str">
        <f t="shared" si="30"/>
        <v>GTLACDLWLALDYVASNASVMNLLLISFDRYFSVTR</v>
      </c>
      <c r="K86" s="4" t="str">
        <f t="shared" si="31"/>
        <v>PLSYRAKR</v>
      </c>
      <c r="L86" s="4" t="str">
        <f t="shared" si="32"/>
        <v>TPRRAALMIGLAWLVSFVLWAPAILFWQYLVG</v>
      </c>
      <c r="M86" s="4" t="str">
        <f t="shared" si="33"/>
        <v>CYI</v>
      </c>
      <c r="N86" s="4" t="str">
        <f t="shared" si="34"/>
        <v>QPIITFGTAMAAFYLPVTVMCTLYWRIYRETENRARELAAL</v>
      </c>
      <c r="O86" s="4" t="str">
        <f t="shared" si="35"/>
        <v>TFSLVKEKKAARTLSAILLAFILTWTPYNIMVLVSTFC</v>
      </c>
      <c r="P86" s="4" t="str">
        <f t="shared" si="36"/>
        <v>PETLWELGYWLCYVNSTINPMCYALC</v>
      </c>
      <c r="Q86" s="4" t="str">
        <f t="shared" si="37"/>
        <v>NKAFRDTFRLLLL</v>
      </c>
      <c r="R86" s="5">
        <f>VLOOKUP($A86,'SegEnds_NonXtal_Prot#'!$A:$AL,3,FALSE)</f>
        <v>22</v>
      </c>
      <c r="S86" s="5">
        <f>VLOOKUP($A86,'SegEnds_NonXtal_Prot#'!$A:$AL,6,FALSE)</f>
        <v>54</v>
      </c>
      <c r="T86" s="5">
        <f>VLOOKUP($A86,'SegEnds_NonXtal_Prot#'!$A:$AL,9,FALSE)</f>
        <v>58</v>
      </c>
      <c r="U86" s="5">
        <f>VLOOKUP($A86,'SegEnds_NonXtal_Prot#'!$A:$AL,12,FALSE)</f>
        <v>90</v>
      </c>
      <c r="V86" s="5">
        <f>VLOOKUP($A86,'SegEnds_NonXtal_Prot#'!$A:$AL,15,FALSE)</f>
        <v>94</v>
      </c>
      <c r="W86" s="5">
        <f>VLOOKUP($A86,'SegEnds_NonXtal_Prot#'!$A:$AL,18,FALSE)</f>
        <v>130</v>
      </c>
      <c r="X86" s="5">
        <f>VLOOKUP($A86,'SegEnds_NonXtal_Prot#'!$A:$AL,21,FALSE)</f>
        <v>138</v>
      </c>
      <c r="Y86" s="5">
        <f>VLOOKUP($A86,'SegEnds_NonXtal_Prot#'!$A:$AL,24,FALSE)</f>
        <v>178</v>
      </c>
      <c r="Z86" s="5">
        <f>VLOOKUP($A86,'SegEnds_NonXtal_Prot#'!$A:$AL,27,FALSE)</f>
        <v>185</v>
      </c>
      <c r="AA86" s="5">
        <f>VLOOKUP($A86,'SegEnds_NonXtal_Prot#'!$A:$AL,30,FALSE)</f>
        <v>354</v>
      </c>
      <c r="AB86" s="5">
        <f>VLOOKUP($A86,'SegEnds_NonXtal_Prot#'!$A:$AL,33,FALSE)</f>
        <v>396</v>
      </c>
      <c r="AC86" s="5">
        <f>VLOOKUP($A86,'SegEnds_NonXtal_Prot#'!$A:$AL,36,FALSE)</f>
        <v>422</v>
      </c>
      <c r="AD86" s="5">
        <f>VLOOKUP($A86,'SegEnds_NonXtal_Prot#'!$A:$AL,5,FALSE)</f>
        <v>53</v>
      </c>
      <c r="AE86" s="5">
        <f>VLOOKUP($A86,'SegEnds_NonXtal_Prot#'!$A:$AL,8,FALSE)</f>
        <v>57</v>
      </c>
      <c r="AF86" s="5">
        <f>VLOOKUP($A86,'SegEnds_NonXtal_Prot#'!$A:$AL,11,FALSE)</f>
        <v>88</v>
      </c>
      <c r="AG86" s="5">
        <f>VLOOKUP($A86,'SegEnds_NonXtal_Prot#'!$A:$AL,14,FALSE)</f>
        <v>93</v>
      </c>
      <c r="AH86" s="5">
        <f>VLOOKUP($A86,'SegEnds_NonXtal_Prot#'!$A:$AL,17,FALSE)</f>
        <v>129</v>
      </c>
      <c r="AI86" s="5">
        <f>VLOOKUP($A86,'SegEnds_NonXtal_Prot#'!$A:$AL,20,FALSE)</f>
        <v>137</v>
      </c>
      <c r="AJ86" s="5">
        <f>VLOOKUP($A86,'SegEnds_NonXtal_Prot#'!$A:$AL,23,FALSE)</f>
        <v>169</v>
      </c>
      <c r="AK86" s="5">
        <f>VLOOKUP($A86,'SegEnds_NonXtal_Prot#'!$A:$AL,26,FALSE)</f>
        <v>180</v>
      </c>
      <c r="AL86" s="5">
        <f>VLOOKUP($A86,'SegEnds_NonXtal_Prot#'!$A:$AL,29,FALSE)</f>
        <v>225</v>
      </c>
      <c r="AM86" s="5">
        <f>VLOOKUP($A86,'SegEnds_NonXtal_Prot#'!$A:$AL,32,FALSE)</f>
        <v>391</v>
      </c>
      <c r="AN86" s="5">
        <f>VLOOKUP($A86,'SegEnds_NonXtal_Prot#'!$A:$AL,35,FALSE)</f>
        <v>421</v>
      </c>
      <c r="AO86" s="5">
        <f>VLOOKUP($A86,'SegEnds_NonXtal_Prot#'!$A:$AL,38,FALSE)</f>
        <v>434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12</v>
      </c>
    </row>
    <row r="87" spans="1:53" x14ac:dyDescent="0.2">
      <c r="A87" s="1" t="str">
        <f>'SegEnds_NonXtal_Prot#'!A56</f>
        <v>acm2_human</v>
      </c>
      <c r="B87" s="1" t="str">
        <f t="shared" si="25"/>
        <v>KTFEVVFIVLVAGSLSLVTIIGNILVMVSIKVNTVNNYFLFSLACADLIIGVFSMNLYTLYTVIGPVVCDLWLALDYVVSNASVMNLLIISFDRYFCVTKTTKMAGMMIAAAWVLSFILWAPAILFWQFIVGNAAVTFGTAIAAFYLPVIIMTVLYWHISRASKSRIKKDKKEKPPPSREKKVTRTILAILLAFIITWAPYNVMVLINTFCPNTVWTIGYWLCYINSTINPACYALCNATFKKTFKHLLM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7" s="5" t="str">
        <f t="shared" si="26"/>
        <v>KTFEVVFIVLVAGSLSLVTIIGNILVMVSIKVN</v>
      </c>
      <c r="G87" s="4" t="str">
        <f t="shared" si="27"/>
        <v>RHLQ</v>
      </c>
      <c r="H87" s="4" t="str">
        <f t="shared" si="28"/>
        <v>TVNNYFLFSLACADLIIGVFSMNLYTLYTVI</v>
      </c>
      <c r="I87" s="4" t="str">
        <f t="shared" si="29"/>
        <v>YWPL</v>
      </c>
      <c r="J87" s="4" t="str">
        <f t="shared" si="30"/>
        <v>GPVVCDLWLALDYVVSNASVMNLLIISFDRYFCVTK</v>
      </c>
      <c r="K87" s="4" t="str">
        <f t="shared" si="31"/>
        <v>PLTYPVKR</v>
      </c>
      <c r="L87" s="4" t="str">
        <f t="shared" si="32"/>
        <v>TTKMAGMMIAAAWVLSFILWAPAILFWQFIVG</v>
      </c>
      <c r="M87" s="4" t="str">
        <f t="shared" si="33"/>
        <v>CYI</v>
      </c>
      <c r="N87" s="4" t="str">
        <f t="shared" si="34"/>
        <v>NAAVTFGTAIAAFYLPVIIMTVLYWHISRASKSRIKKDKKE</v>
      </c>
      <c r="O87" s="4" t="str">
        <f t="shared" si="35"/>
        <v>KPPPSREKKVTRTILAILLAFIITWAPYNVMVLINTFC</v>
      </c>
      <c r="P87" s="4" t="str">
        <f t="shared" si="36"/>
        <v>PNTVWTIGYWLCYINSTINPACYALC</v>
      </c>
      <c r="Q87" s="4" t="str">
        <f t="shared" si="37"/>
        <v>NATFKKTFKHLLM</v>
      </c>
      <c r="R87" s="5">
        <f>VLOOKUP($A87,'SegEnds_NonXtal_Prot#'!$A:$AL,3,FALSE)</f>
        <v>19</v>
      </c>
      <c r="S87" s="5">
        <f>VLOOKUP($A87,'SegEnds_NonXtal_Prot#'!$A:$AL,6,FALSE)</f>
        <v>52</v>
      </c>
      <c r="T87" s="5">
        <f>VLOOKUP($A87,'SegEnds_NonXtal_Prot#'!$A:$AL,9,FALSE)</f>
        <v>56</v>
      </c>
      <c r="U87" s="5">
        <f>VLOOKUP($A87,'SegEnds_NonXtal_Prot#'!$A:$AL,12,FALSE)</f>
        <v>88</v>
      </c>
      <c r="V87" s="5">
        <f>VLOOKUP($A87,'SegEnds_NonXtal_Prot#'!$A:$AL,15,FALSE)</f>
        <v>92</v>
      </c>
      <c r="W87" s="5">
        <f>VLOOKUP($A87,'SegEnds_NonXtal_Prot#'!$A:$AL,18,FALSE)</f>
        <v>128</v>
      </c>
      <c r="X87" s="5">
        <f>VLOOKUP($A87,'SegEnds_NonXtal_Prot#'!$A:$AL,21,FALSE)</f>
        <v>136</v>
      </c>
      <c r="Y87" s="5">
        <f>VLOOKUP($A87,'SegEnds_NonXtal_Prot#'!$A:$AL,24,FALSE)</f>
        <v>176</v>
      </c>
      <c r="Z87" s="5">
        <f>VLOOKUP($A87,'SegEnds_NonXtal_Prot#'!$A:$AL,27,FALSE)</f>
        <v>183</v>
      </c>
      <c r="AA87" s="5">
        <f>VLOOKUP($A87,'SegEnds_NonXtal_Prot#'!$A:$AL,30,FALSE)</f>
        <v>376</v>
      </c>
      <c r="AB87" s="5">
        <f>VLOOKUP($A87,'SegEnds_NonXtal_Prot#'!$A:$AL,33,FALSE)</f>
        <v>418</v>
      </c>
      <c r="AC87" s="5">
        <f>VLOOKUP($A87,'SegEnds_NonXtal_Prot#'!$A:$AL,36,FALSE)</f>
        <v>444</v>
      </c>
      <c r="AD87" s="5">
        <f>VLOOKUP($A87,'SegEnds_NonXtal_Prot#'!$A:$AL,5,FALSE)</f>
        <v>51</v>
      </c>
      <c r="AE87" s="5">
        <f>VLOOKUP($A87,'SegEnds_NonXtal_Prot#'!$A:$AL,8,FALSE)</f>
        <v>55</v>
      </c>
      <c r="AF87" s="5">
        <f>VLOOKUP($A87,'SegEnds_NonXtal_Prot#'!$A:$AL,11,FALSE)</f>
        <v>86</v>
      </c>
      <c r="AG87" s="5">
        <f>VLOOKUP($A87,'SegEnds_NonXtal_Prot#'!$A:$AL,14,FALSE)</f>
        <v>91</v>
      </c>
      <c r="AH87" s="5">
        <f>VLOOKUP($A87,'SegEnds_NonXtal_Prot#'!$A:$AL,17,FALSE)</f>
        <v>127</v>
      </c>
      <c r="AI87" s="5">
        <f>VLOOKUP($A87,'SegEnds_NonXtal_Prot#'!$A:$AL,20,FALSE)</f>
        <v>135</v>
      </c>
      <c r="AJ87" s="5">
        <f>VLOOKUP($A87,'SegEnds_NonXtal_Prot#'!$A:$AL,23,FALSE)</f>
        <v>167</v>
      </c>
      <c r="AK87" s="5">
        <f>VLOOKUP($A87,'SegEnds_NonXtal_Prot#'!$A:$AL,26,FALSE)</f>
        <v>178</v>
      </c>
      <c r="AL87" s="5">
        <f>VLOOKUP($A87,'SegEnds_NonXtal_Prot#'!$A:$AL,29,FALSE)</f>
        <v>223</v>
      </c>
      <c r="AM87" s="5">
        <f>VLOOKUP($A87,'SegEnds_NonXtal_Prot#'!$A:$AL,32,FALSE)</f>
        <v>413</v>
      </c>
      <c r="AN87" s="5">
        <f>VLOOKUP($A87,'SegEnds_NonXtal_Prot#'!$A:$AL,35,FALSE)</f>
        <v>443</v>
      </c>
      <c r="AO87" s="5">
        <f>VLOOKUP($A87,'SegEnds_NonXtal_Prot#'!$A:$AL,38,FALSE)</f>
        <v>456</v>
      </c>
      <c r="AP87" s="5">
        <f t="shared" si="38"/>
        <v>32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12</v>
      </c>
    </row>
    <row r="88" spans="1:53" x14ac:dyDescent="0.2">
      <c r="A88" s="1" t="str">
        <f>'SegEnds_NonXtal_Prot#'!A57</f>
        <v>acm3_human</v>
      </c>
      <c r="B88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8" s="29" t="str">
        <f>IF(ISERROR(MATCH(A88,'SegEnds_Xtal_Prot#'!B:B, 0)), "NoXtal", "Xtal")</f>
        <v>NoXtal</v>
      </c>
      <c r="D88" s="4" t="str">
        <f>VLOOKUP(A88,Classification!A:D,2,FALSE)</f>
        <v>A</v>
      </c>
      <c r="E88" s="5" t="str">
        <f>VLOOKUP(A88,Seqs!A:B,2,FALSE)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8" s="5" t="str">
        <f t="shared" si="26"/>
        <v>VWQVVFIAFLTGILALVTIIGNILVIVSFKVN</v>
      </c>
      <c r="G88" s="4" t="str">
        <f t="shared" si="27"/>
        <v>KQLK</v>
      </c>
      <c r="H88" s="4" t="str">
        <f t="shared" si="28"/>
        <v>TVNNYFLLSLACADLIIGVISMNLFTTYIIM</v>
      </c>
      <c r="I88" s="4" t="str">
        <f t="shared" si="29"/>
        <v>RWAL</v>
      </c>
      <c r="J88" s="4" t="str">
        <f t="shared" si="30"/>
        <v>GNLACDLWLAIDYVASNASVMNLLVISFDRYFSITR</v>
      </c>
      <c r="K88" s="4" t="str">
        <f t="shared" si="31"/>
        <v>PLTYRAKR</v>
      </c>
      <c r="L88" s="4" t="str">
        <f t="shared" si="32"/>
        <v>TTKRAGVMIGLAWVISFVLWAPAILFWQYFVG</v>
      </c>
      <c r="M88" s="4" t="str">
        <f t="shared" si="33"/>
        <v>CFI</v>
      </c>
      <c r="N88" s="4" t="str">
        <f t="shared" si="34"/>
        <v>EPTITFGTAIAAFYMPVTIMTILYWRIYKETEKRTKELAGL</v>
      </c>
      <c r="O88" s="4" t="str">
        <f t="shared" si="35"/>
        <v>RMSLVKEKKAAQTLSAILLAFIITWTPYNIMVLVNTFC</v>
      </c>
      <c r="P88" s="4" t="str">
        <f t="shared" si="36"/>
        <v>PKTFWNLGYWLCYINSTVNPVCYALC</v>
      </c>
      <c r="Q88" s="4" t="str">
        <f t="shared" si="37"/>
        <v>NKTFRTTFKMLL</v>
      </c>
      <c r="R88" s="5">
        <f>VLOOKUP($A88,'SegEnds_NonXtal_Prot#'!$A:$AL,3,FALSE)</f>
        <v>65</v>
      </c>
      <c r="S88" s="5">
        <f>VLOOKUP($A88,'SegEnds_NonXtal_Prot#'!$A:$AL,6,FALSE)</f>
        <v>97</v>
      </c>
      <c r="T88" s="5">
        <f>VLOOKUP($A88,'SegEnds_NonXtal_Prot#'!$A:$AL,9,FALSE)</f>
        <v>101</v>
      </c>
      <c r="U88" s="5">
        <f>VLOOKUP($A88,'SegEnds_NonXtal_Prot#'!$A:$AL,12,FALSE)</f>
        <v>133</v>
      </c>
      <c r="V88" s="5">
        <f>VLOOKUP($A88,'SegEnds_NonXtal_Prot#'!$A:$AL,15,FALSE)</f>
        <v>137</v>
      </c>
      <c r="W88" s="5">
        <f>VLOOKUP($A88,'SegEnds_NonXtal_Prot#'!$A:$AL,18,FALSE)</f>
        <v>173</v>
      </c>
      <c r="X88" s="5">
        <f>VLOOKUP($A88,'SegEnds_NonXtal_Prot#'!$A:$AL,21,FALSE)</f>
        <v>181</v>
      </c>
      <c r="Y88" s="5">
        <f>VLOOKUP($A88,'SegEnds_NonXtal_Prot#'!$A:$AL,24,FALSE)</f>
        <v>221</v>
      </c>
      <c r="Z88" s="5">
        <f>VLOOKUP($A88,'SegEnds_NonXtal_Prot#'!$A:$AL,27,FALSE)</f>
        <v>228</v>
      </c>
      <c r="AA88" s="5">
        <f>VLOOKUP($A88,'SegEnds_NonXtal_Prot#'!$A:$AL,30,FALSE)</f>
        <v>480</v>
      </c>
      <c r="AB88" s="5">
        <f>VLOOKUP($A88,'SegEnds_NonXtal_Prot#'!$A:$AL,33,FALSE)</f>
        <v>522</v>
      </c>
      <c r="AC88" s="5">
        <f>VLOOKUP($A88,'SegEnds_NonXtal_Prot#'!$A:$AL,36,FALSE)</f>
        <v>548</v>
      </c>
      <c r="AD88" s="5">
        <f>VLOOKUP($A88,'SegEnds_NonXtal_Prot#'!$A:$AL,5,FALSE)</f>
        <v>96</v>
      </c>
      <c r="AE88" s="5">
        <f>VLOOKUP($A88,'SegEnds_NonXtal_Prot#'!$A:$AL,8,FALSE)</f>
        <v>100</v>
      </c>
      <c r="AF88" s="5">
        <f>VLOOKUP($A88,'SegEnds_NonXtal_Prot#'!$A:$AL,11,FALSE)</f>
        <v>131</v>
      </c>
      <c r="AG88" s="5">
        <f>VLOOKUP($A88,'SegEnds_NonXtal_Prot#'!$A:$AL,14,FALSE)</f>
        <v>136</v>
      </c>
      <c r="AH88" s="5">
        <f>VLOOKUP($A88,'SegEnds_NonXtal_Prot#'!$A:$AL,17,FALSE)</f>
        <v>172</v>
      </c>
      <c r="AI88" s="5">
        <f>VLOOKUP($A88,'SegEnds_NonXtal_Prot#'!$A:$AL,20,FALSE)</f>
        <v>180</v>
      </c>
      <c r="AJ88" s="5">
        <f>VLOOKUP($A88,'SegEnds_NonXtal_Prot#'!$A:$AL,23,FALSE)</f>
        <v>212</v>
      </c>
      <c r="AK88" s="5">
        <f>VLOOKUP($A88,'SegEnds_NonXtal_Prot#'!$A:$AL,26,FALSE)</f>
        <v>223</v>
      </c>
      <c r="AL88" s="5">
        <f>VLOOKUP($A88,'SegEnds_NonXtal_Prot#'!$A:$AL,29,FALSE)</f>
        <v>268</v>
      </c>
      <c r="AM88" s="5">
        <f>VLOOKUP($A88,'SegEnds_NonXtal_Prot#'!$A:$AL,32,FALSE)</f>
        <v>517</v>
      </c>
      <c r="AN88" s="5">
        <f>VLOOKUP($A88,'SegEnds_NonXtal_Prot#'!$A:$AL,35,FALSE)</f>
        <v>547</v>
      </c>
      <c r="AO88" s="5">
        <f>VLOOKUP($A88,'SegEnds_NonXtal_Prot#'!$A:$AL,38,FALSE)</f>
        <v>559</v>
      </c>
      <c r="AP88" s="5">
        <f t="shared" si="38"/>
        <v>31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11</v>
      </c>
    </row>
    <row r="89" spans="1:53" x14ac:dyDescent="0.2">
      <c r="A89" s="1" t="str">
        <f>'SegEnds_NonXtal_Prot#'!A58</f>
        <v>acm3_rat</v>
      </c>
      <c r="B89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9" s="29" t="str">
        <f>IF(ISERROR(MATCH(A89,'SegEnds_Xtal_Prot#'!B:B, 0)), "NoXtal", "Xtal")</f>
        <v>Xtal</v>
      </c>
      <c r="D89" s="4" t="str">
        <f>VLOOKUP(A89,Classification!A:D,2,FALSE)</f>
        <v>A</v>
      </c>
      <c r="E89" s="5" t="str">
        <f>VLOOKUP(A89,Seqs!A:B,2,FALSE)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9" s="5" t="str">
        <f t="shared" si="26"/>
        <v>IWQVVFIAFLTGFLALVTIIGNILVIVAFKVN</v>
      </c>
      <c r="G89" s="4" t="str">
        <f t="shared" si="27"/>
        <v>KQLK</v>
      </c>
      <c r="H89" s="4" t="str">
        <f t="shared" si="28"/>
        <v>TVNNYFLLSLACADLIIGVISMNLFTTYIIM</v>
      </c>
      <c r="I89" s="4" t="str">
        <f t="shared" si="29"/>
        <v>RWAL</v>
      </c>
      <c r="J89" s="4" t="str">
        <f t="shared" si="30"/>
        <v>GNLACDLWLSIDYVASNASVMNLLVISFDRYFSITR</v>
      </c>
      <c r="K89" s="4" t="str">
        <f t="shared" si="31"/>
        <v>PLTYRAKR</v>
      </c>
      <c r="L89" s="4" t="str">
        <f t="shared" si="32"/>
        <v>TTKRAGVMIGLAWVISFVLWAPAILFWQYFVG</v>
      </c>
      <c r="M89" s="4" t="str">
        <f t="shared" si="33"/>
        <v>CFI</v>
      </c>
      <c r="N89" s="4" t="str">
        <f t="shared" si="34"/>
        <v>EPTITFGTAIAAFYMPVTIMTILYWRIYKETEKRTKELAGL</v>
      </c>
      <c r="O89" s="4" t="str">
        <f t="shared" si="35"/>
        <v>RMSLIKEKKAAQTLSAILLAFIITWTPYNIMVLVNTFC</v>
      </c>
      <c r="P89" s="4" t="str">
        <f t="shared" si="36"/>
        <v>PKTYWNLGYWLCYINSTVNPVCYALC</v>
      </c>
      <c r="Q89" s="4" t="str">
        <f t="shared" si="37"/>
        <v>NKTFRTTFKTLL</v>
      </c>
      <c r="R89" s="5">
        <f>VLOOKUP($A89,'SegEnds_NonXtal_Prot#'!$A:$AL,3,FALSE)</f>
        <v>64</v>
      </c>
      <c r="S89" s="5">
        <f>VLOOKUP($A89,'SegEnds_NonXtal_Prot#'!$A:$AL,6,FALSE)</f>
        <v>96</v>
      </c>
      <c r="T89" s="5">
        <f>VLOOKUP($A89,'SegEnds_NonXtal_Prot#'!$A:$AL,9,FALSE)</f>
        <v>100</v>
      </c>
      <c r="U89" s="5">
        <f>VLOOKUP($A89,'SegEnds_NonXtal_Prot#'!$A:$AL,12,FALSE)</f>
        <v>132</v>
      </c>
      <c r="V89" s="5">
        <f>VLOOKUP($A89,'SegEnds_NonXtal_Prot#'!$A:$AL,15,FALSE)</f>
        <v>136</v>
      </c>
      <c r="W89" s="5">
        <f>VLOOKUP($A89,'SegEnds_NonXtal_Prot#'!$A:$AL,18,FALSE)</f>
        <v>172</v>
      </c>
      <c r="X89" s="5">
        <f>VLOOKUP($A89,'SegEnds_NonXtal_Prot#'!$A:$AL,21,FALSE)</f>
        <v>180</v>
      </c>
      <c r="Y89" s="5">
        <f>VLOOKUP($A89,'SegEnds_NonXtal_Prot#'!$A:$AL,24,FALSE)</f>
        <v>220</v>
      </c>
      <c r="Z89" s="5">
        <f>VLOOKUP($A89,'SegEnds_NonXtal_Prot#'!$A:$AL,27,FALSE)</f>
        <v>227</v>
      </c>
      <c r="AA89" s="5">
        <f>VLOOKUP($A89,'SegEnds_NonXtal_Prot#'!$A:$AL,30,FALSE)</f>
        <v>479</v>
      </c>
      <c r="AB89" s="5">
        <f>VLOOKUP($A89,'SegEnds_NonXtal_Prot#'!$A:$AL,33,FALSE)</f>
        <v>521</v>
      </c>
      <c r="AC89" s="5">
        <f>VLOOKUP($A89,'SegEnds_NonXtal_Prot#'!$A:$AL,36,FALSE)</f>
        <v>547</v>
      </c>
      <c r="AD89" s="5">
        <f>VLOOKUP($A89,'SegEnds_NonXtal_Prot#'!$A:$AL,5,FALSE)</f>
        <v>95</v>
      </c>
      <c r="AE89" s="5">
        <f>VLOOKUP($A89,'SegEnds_NonXtal_Prot#'!$A:$AL,8,FALSE)</f>
        <v>99</v>
      </c>
      <c r="AF89" s="5">
        <f>VLOOKUP($A89,'SegEnds_NonXtal_Prot#'!$A:$AL,11,FALSE)</f>
        <v>130</v>
      </c>
      <c r="AG89" s="5">
        <f>VLOOKUP($A89,'SegEnds_NonXtal_Prot#'!$A:$AL,14,FALSE)</f>
        <v>135</v>
      </c>
      <c r="AH89" s="5">
        <f>VLOOKUP($A89,'SegEnds_NonXtal_Prot#'!$A:$AL,17,FALSE)</f>
        <v>171</v>
      </c>
      <c r="AI89" s="5">
        <f>VLOOKUP($A89,'SegEnds_NonXtal_Prot#'!$A:$AL,20,FALSE)</f>
        <v>179</v>
      </c>
      <c r="AJ89" s="5">
        <f>VLOOKUP($A89,'SegEnds_NonXtal_Prot#'!$A:$AL,23,FALSE)</f>
        <v>211</v>
      </c>
      <c r="AK89" s="5">
        <f>VLOOKUP($A89,'SegEnds_NonXtal_Prot#'!$A:$AL,26,FALSE)</f>
        <v>222</v>
      </c>
      <c r="AL89" s="5">
        <f>VLOOKUP($A89,'SegEnds_NonXtal_Prot#'!$A:$AL,29,FALSE)</f>
        <v>267</v>
      </c>
      <c r="AM89" s="5">
        <f>VLOOKUP($A89,'SegEnds_NonXtal_Prot#'!$A:$AL,32,FALSE)</f>
        <v>516</v>
      </c>
      <c r="AN89" s="5">
        <f>VLOOKUP($A89,'SegEnds_NonXtal_Prot#'!$A:$AL,35,FALSE)</f>
        <v>546</v>
      </c>
      <c r="AO89" s="5">
        <f>VLOOKUP($A89,'SegEnds_NonXtal_Prot#'!$A:$AL,38,FALSE)</f>
        <v>558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'SegEnds_NonXtal_Prot#'!A59</f>
        <v>acm4_human</v>
      </c>
      <c r="B90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90" s="29" t="str">
        <f>IF(ISERROR(MATCH(A90,'SegEnds_Xtal_Prot#'!B:B, 0)), "NoXtal", "Xtal")</f>
        <v>Xtal</v>
      </c>
      <c r="D90" s="4" t="str">
        <f>VLOOKUP(A90,Classification!A:D,2,FALSE)</f>
        <v>A</v>
      </c>
      <c r="E90" s="5" t="str">
        <f>VLOOKUP(A90,Seqs!A:B,2,FALSE)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90" s="5" t="str">
        <f t="shared" si="26"/>
        <v>RYETVEMVFIATVTGSLSLVTVVGNILVMLSIKVN</v>
      </c>
      <c r="G90" s="4" t="str">
        <f t="shared" si="27"/>
        <v>RQLQ</v>
      </c>
      <c r="H90" s="4" t="str">
        <f t="shared" si="28"/>
        <v>TVNNYFLFSLACADLIIGAFSMNLYTVYIIK</v>
      </c>
      <c r="I90" s="4" t="str">
        <f t="shared" si="29"/>
        <v>YWPL</v>
      </c>
      <c r="J90" s="4" t="str">
        <f t="shared" si="30"/>
        <v>GAVVCDLWLALDYVVSNASVMNLLIISFDRYFCVTK</v>
      </c>
      <c r="K90" s="4" t="str">
        <f t="shared" si="31"/>
        <v>PLTYPARR</v>
      </c>
      <c r="L90" s="4" t="str">
        <f t="shared" si="32"/>
        <v>TTKMAGLMIAAAWVLSFVLWAPAILFWQFVVG</v>
      </c>
      <c r="M90" s="4" t="str">
        <f t="shared" si="33"/>
        <v>CFI</v>
      </c>
      <c r="N90" s="4" t="str">
        <f t="shared" si="34"/>
        <v>NPAVTFGTAIAAFYLPVVIMTVLYIHISLASRSRVHKHRPE</v>
      </c>
      <c r="O90" s="4" t="str">
        <f t="shared" si="35"/>
        <v>RQMAARERKVTRTIFAILLAFILTWTPYNVMVLVNTFC</v>
      </c>
      <c r="P90" s="4" t="str">
        <f t="shared" si="36"/>
        <v>PDTVWSIGYWLCYVNSTINPACYALC</v>
      </c>
      <c r="Q90" s="4" t="str">
        <f t="shared" si="37"/>
        <v>NATFKKTFRHLLL</v>
      </c>
      <c r="R90" s="5">
        <f>VLOOKUP($A90,'SegEnds_NonXtal_Prot#'!$A:$AL,3,FALSE)</f>
        <v>26</v>
      </c>
      <c r="S90" s="5">
        <f>VLOOKUP($A90,'SegEnds_NonXtal_Prot#'!$A:$AL,6,FALSE)</f>
        <v>61</v>
      </c>
      <c r="T90" s="5">
        <f>VLOOKUP($A90,'SegEnds_NonXtal_Prot#'!$A:$AL,9,FALSE)</f>
        <v>65</v>
      </c>
      <c r="U90" s="5">
        <f>VLOOKUP($A90,'SegEnds_NonXtal_Prot#'!$A:$AL,12,FALSE)</f>
        <v>97</v>
      </c>
      <c r="V90" s="5">
        <f>VLOOKUP($A90,'SegEnds_NonXtal_Prot#'!$A:$AL,15,FALSE)</f>
        <v>101</v>
      </c>
      <c r="W90" s="5">
        <f>VLOOKUP($A90,'SegEnds_NonXtal_Prot#'!$A:$AL,18,FALSE)</f>
        <v>137</v>
      </c>
      <c r="X90" s="5">
        <f>VLOOKUP($A90,'SegEnds_NonXtal_Prot#'!$A:$AL,21,FALSE)</f>
        <v>145</v>
      </c>
      <c r="Y90" s="5">
        <f>VLOOKUP($A90,'SegEnds_NonXtal_Prot#'!$A:$AL,24,FALSE)</f>
        <v>185</v>
      </c>
      <c r="Z90" s="5">
        <f>VLOOKUP($A90,'SegEnds_NonXtal_Prot#'!$A:$AL,27,FALSE)</f>
        <v>192</v>
      </c>
      <c r="AA90" s="5">
        <f>VLOOKUP($A90,'SegEnds_NonXtal_Prot#'!$A:$AL,30,FALSE)</f>
        <v>389</v>
      </c>
      <c r="AB90" s="5">
        <f>VLOOKUP($A90,'SegEnds_NonXtal_Prot#'!$A:$AL,33,FALSE)</f>
        <v>431</v>
      </c>
      <c r="AC90" s="5">
        <f>VLOOKUP($A90,'SegEnds_NonXtal_Prot#'!$A:$AL,36,FALSE)</f>
        <v>457</v>
      </c>
      <c r="AD90" s="5">
        <f>VLOOKUP($A90,'SegEnds_NonXtal_Prot#'!$A:$AL,5,FALSE)</f>
        <v>60</v>
      </c>
      <c r="AE90" s="5">
        <f>VLOOKUP($A90,'SegEnds_NonXtal_Prot#'!$A:$AL,8,FALSE)</f>
        <v>64</v>
      </c>
      <c r="AF90" s="5">
        <f>VLOOKUP($A90,'SegEnds_NonXtal_Prot#'!$A:$AL,11,FALSE)</f>
        <v>95</v>
      </c>
      <c r="AG90" s="5">
        <f>VLOOKUP($A90,'SegEnds_NonXtal_Prot#'!$A:$AL,14,FALSE)</f>
        <v>100</v>
      </c>
      <c r="AH90" s="5">
        <f>VLOOKUP($A90,'SegEnds_NonXtal_Prot#'!$A:$AL,17,FALSE)</f>
        <v>136</v>
      </c>
      <c r="AI90" s="5">
        <f>VLOOKUP($A90,'SegEnds_NonXtal_Prot#'!$A:$AL,20,FALSE)</f>
        <v>144</v>
      </c>
      <c r="AJ90" s="5">
        <f>VLOOKUP($A90,'SegEnds_NonXtal_Prot#'!$A:$AL,23,FALSE)</f>
        <v>176</v>
      </c>
      <c r="AK90" s="5">
        <f>VLOOKUP($A90,'SegEnds_NonXtal_Prot#'!$A:$AL,26,FALSE)</f>
        <v>187</v>
      </c>
      <c r="AL90" s="5">
        <f>VLOOKUP($A90,'SegEnds_NonXtal_Prot#'!$A:$AL,29,FALSE)</f>
        <v>232</v>
      </c>
      <c r="AM90" s="5">
        <f>VLOOKUP($A90,'SegEnds_NonXtal_Prot#'!$A:$AL,32,FALSE)</f>
        <v>426</v>
      </c>
      <c r="AN90" s="5">
        <f>VLOOKUP($A90,'SegEnds_NonXtal_Prot#'!$A:$AL,35,FALSE)</f>
        <v>456</v>
      </c>
      <c r="AO90" s="5">
        <f>VLOOKUP($A90,'SegEnds_NonXtal_Prot#'!$A:$AL,38,FALSE)</f>
        <v>469</v>
      </c>
      <c r="AP90" s="5">
        <f t="shared" si="38"/>
        <v>34</v>
      </c>
      <c r="AQ90" s="4">
        <f t="shared" si="39"/>
        <v>3</v>
      </c>
      <c r="AR90" s="4">
        <f t="shared" si="40"/>
        <v>30</v>
      </c>
      <c r="AS90" s="4">
        <f t="shared" si="41"/>
        <v>3</v>
      </c>
      <c r="AT90" s="4">
        <f t="shared" si="42"/>
        <v>35</v>
      </c>
      <c r="AU90" s="4">
        <f t="shared" si="43"/>
        <v>7</v>
      </c>
      <c r="AV90" s="4">
        <f t="shared" si="44"/>
        <v>31</v>
      </c>
      <c r="AW90" s="4">
        <f t="shared" si="45"/>
        <v>2</v>
      </c>
      <c r="AX90" s="4">
        <f t="shared" si="46"/>
        <v>40</v>
      </c>
      <c r="AY90" s="4">
        <f t="shared" si="47"/>
        <v>37</v>
      </c>
      <c r="AZ90" s="4">
        <f t="shared" si="48"/>
        <v>25</v>
      </c>
      <c r="BA90" s="4">
        <f t="shared" si="49"/>
        <v>12</v>
      </c>
    </row>
    <row r="91" spans="1:53" x14ac:dyDescent="0.2">
      <c r="A91" s="1" t="str">
        <f>'SegEnds_NonXtal_Prot#'!A60</f>
        <v>acm5_human</v>
      </c>
      <c r="B91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91" s="5" t="str">
        <f t="shared" si="26"/>
        <v>LWEVITIAAVTAVVSLITIVGNVLVMISFKVN</v>
      </c>
      <c r="G91" s="4" t="str">
        <f t="shared" si="27"/>
        <v>SQLK</v>
      </c>
      <c r="H91" s="4" t="str">
        <f t="shared" si="28"/>
        <v>TVNNYYLLSLACADLIIGIFSMNLYTTYILM</v>
      </c>
      <c r="I91" s="4" t="str">
        <f t="shared" si="29"/>
        <v>RWAL</v>
      </c>
      <c r="J91" s="4" t="str">
        <f t="shared" si="30"/>
        <v>GSLACDLWLALDYVASNASVMNLLVISFDRYFSITR</v>
      </c>
      <c r="K91" s="4" t="str">
        <f t="shared" si="31"/>
        <v>PLTYRAKR</v>
      </c>
      <c r="L91" s="4" t="str">
        <f t="shared" si="32"/>
        <v>TPKRAGIMIGLAWLISFILWAPAILCWQYLVG</v>
      </c>
      <c r="M91" s="4" t="str">
        <f t="shared" si="33"/>
        <v>CQI</v>
      </c>
      <c r="N91" s="4" t="str">
        <f t="shared" si="34"/>
        <v>EPTITFGTAIAAFYIPVSVMTILYCRIYRETEKRTKDLADL</v>
      </c>
      <c r="O91" s="4" t="str">
        <f t="shared" si="35"/>
        <v>RVVLVKERKAAQTLSAILLAFIITWTPYNIMVLVSTFC</v>
      </c>
      <c r="P91" s="4" t="str">
        <f t="shared" si="36"/>
        <v>PVTLWHLGYWLCYVNSTVNPICYALC</v>
      </c>
      <c r="Q91" s="4" t="str">
        <f t="shared" si="37"/>
        <v>NRTFRKTFKMLL</v>
      </c>
      <c r="R91" s="5">
        <f>VLOOKUP($A91,'SegEnds_NonXtal_Prot#'!$A:$AL,3,FALSE)</f>
        <v>27</v>
      </c>
      <c r="S91" s="5">
        <f>VLOOKUP($A91,'SegEnds_NonXtal_Prot#'!$A:$AL,6,FALSE)</f>
        <v>59</v>
      </c>
      <c r="T91" s="5">
        <f>VLOOKUP($A91,'SegEnds_NonXtal_Prot#'!$A:$AL,9,FALSE)</f>
        <v>63</v>
      </c>
      <c r="U91" s="5">
        <f>VLOOKUP($A91,'SegEnds_NonXtal_Prot#'!$A:$AL,12,FALSE)</f>
        <v>95</v>
      </c>
      <c r="V91" s="5">
        <f>VLOOKUP($A91,'SegEnds_NonXtal_Prot#'!$A:$AL,15,FALSE)</f>
        <v>99</v>
      </c>
      <c r="W91" s="5">
        <f>VLOOKUP($A91,'SegEnds_NonXtal_Prot#'!$A:$AL,18,FALSE)</f>
        <v>135</v>
      </c>
      <c r="X91" s="5">
        <f>VLOOKUP($A91,'SegEnds_NonXtal_Prot#'!$A:$AL,21,FALSE)</f>
        <v>143</v>
      </c>
      <c r="Y91" s="5">
        <f>VLOOKUP($A91,'SegEnds_NonXtal_Prot#'!$A:$AL,24,FALSE)</f>
        <v>183</v>
      </c>
      <c r="Z91" s="5">
        <f>VLOOKUP($A91,'SegEnds_NonXtal_Prot#'!$A:$AL,27,FALSE)</f>
        <v>190</v>
      </c>
      <c r="AA91" s="5">
        <f>VLOOKUP($A91,'SegEnds_NonXtal_Prot#'!$A:$AL,30,FALSE)</f>
        <v>431</v>
      </c>
      <c r="AB91" s="5">
        <f>VLOOKUP($A91,'SegEnds_NonXtal_Prot#'!$A:$AL,33,FALSE)</f>
        <v>473</v>
      </c>
      <c r="AC91" s="5">
        <f>VLOOKUP($A91,'SegEnds_NonXtal_Prot#'!$A:$AL,36,FALSE)</f>
        <v>499</v>
      </c>
      <c r="AD91" s="5">
        <f>VLOOKUP($A91,'SegEnds_NonXtal_Prot#'!$A:$AL,5,FALSE)</f>
        <v>58</v>
      </c>
      <c r="AE91" s="5">
        <f>VLOOKUP($A91,'SegEnds_NonXtal_Prot#'!$A:$AL,8,FALSE)</f>
        <v>62</v>
      </c>
      <c r="AF91" s="5">
        <f>VLOOKUP($A91,'SegEnds_NonXtal_Prot#'!$A:$AL,11,FALSE)</f>
        <v>93</v>
      </c>
      <c r="AG91" s="5">
        <f>VLOOKUP($A91,'SegEnds_NonXtal_Prot#'!$A:$AL,14,FALSE)</f>
        <v>98</v>
      </c>
      <c r="AH91" s="5">
        <f>VLOOKUP($A91,'SegEnds_NonXtal_Prot#'!$A:$AL,17,FALSE)</f>
        <v>134</v>
      </c>
      <c r="AI91" s="5">
        <f>VLOOKUP($A91,'SegEnds_NonXtal_Prot#'!$A:$AL,20,FALSE)</f>
        <v>142</v>
      </c>
      <c r="AJ91" s="5">
        <f>VLOOKUP($A91,'SegEnds_NonXtal_Prot#'!$A:$AL,23,FALSE)</f>
        <v>174</v>
      </c>
      <c r="AK91" s="5">
        <f>VLOOKUP($A91,'SegEnds_NonXtal_Prot#'!$A:$AL,26,FALSE)</f>
        <v>185</v>
      </c>
      <c r="AL91" s="5">
        <f>VLOOKUP($A91,'SegEnds_NonXtal_Prot#'!$A:$AL,29,FALSE)</f>
        <v>230</v>
      </c>
      <c r="AM91" s="5">
        <f>VLOOKUP($A91,'SegEnds_NonXtal_Prot#'!$A:$AL,32,FALSE)</f>
        <v>468</v>
      </c>
      <c r="AN91" s="5">
        <f>VLOOKUP($A91,'SegEnds_NonXtal_Prot#'!$A:$AL,35,FALSE)</f>
        <v>498</v>
      </c>
      <c r="AO91" s="5">
        <f>VLOOKUP($A91,'SegEnds_NonXtal_Prot#'!$A:$AL,38,FALSE)</f>
        <v>510</v>
      </c>
      <c r="AP91" s="5">
        <f t="shared" si="38"/>
        <v>31</v>
      </c>
      <c r="AQ91" s="4">
        <f t="shared" si="39"/>
        <v>3</v>
      </c>
      <c r="AR91" s="4">
        <f t="shared" si="40"/>
        <v>30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31</v>
      </c>
      <c r="AW91" s="4">
        <f t="shared" si="45"/>
        <v>2</v>
      </c>
      <c r="AX91" s="4">
        <f t="shared" si="46"/>
        <v>40</v>
      </c>
      <c r="AY91" s="4">
        <f t="shared" si="47"/>
        <v>37</v>
      </c>
      <c r="AZ91" s="4">
        <f t="shared" si="48"/>
        <v>25</v>
      </c>
      <c r="BA91" s="4">
        <f t="shared" si="49"/>
        <v>11</v>
      </c>
    </row>
    <row r="92" spans="1:53" x14ac:dyDescent="0.2">
      <c r="A92" s="1" t="str">
        <f>'SegEnds_NonXtal_Prot#'!A61</f>
        <v>acthr_human</v>
      </c>
      <c r="B92" s="1" t="str">
        <f t="shared" si="25"/>
        <v>CPRVVLPEEIFFTISIVGVLENLIVLLAVFKNAPMYFFICSLAISDMLGSLYKILENILIILRGSFETTADDIIDSLFVLSLLGSIFSLSVIAADRYITIFHTMRRTVVVLTVIWTFCTGTGITMVIFFTSLFPLMLVFILCLYVHMFLLARSHTRKISTLPNMKGAITLTILLGVFIFCWAPFVLHVLLMTFCCACYMSLFQVNGMLIMCNAVIDPFIYAFRSPELRDAFKKMIF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2" s="5" t="str">
        <f t="shared" si="26"/>
        <v>CPRVVLPEEIFFTISIVGVLENLIVLLAVFKN</v>
      </c>
      <c r="G92" s="4" t="str">
        <f t="shared" si="27"/>
        <v>KNLQ</v>
      </c>
      <c r="H92" s="4" t="str">
        <f t="shared" si="28"/>
        <v>APMYFFICSLAISDMLGSLYKILENILIILR</v>
      </c>
      <c r="I92" s="4" t="str">
        <f t="shared" si="29"/>
        <v/>
      </c>
      <c r="J92" s="4" t="str">
        <f t="shared" si="30"/>
        <v>GSFETTADDIIDSLFVLSLLGSIFSLSVIAADRYITIFH</v>
      </c>
      <c r="K92" s="4" t="str">
        <f t="shared" si="31"/>
        <v>ALRYHSIV</v>
      </c>
      <c r="L92" s="4" t="str">
        <f t="shared" si="32"/>
        <v>TMRRTVVVLTVIWTFCTGTGITMVIF</v>
      </c>
      <c r="M92" s="4" t="str">
        <f t="shared" si="33"/>
        <v/>
      </c>
      <c r="N92" s="4" t="str">
        <f t="shared" si="34"/>
        <v>FTSLFPLMLVFILCLYVHMFLLARSHTRKISTLP</v>
      </c>
      <c r="O92" s="4" t="str">
        <f t="shared" si="35"/>
        <v>NMKGAITLTILLGVFIFCWAPFVLHVLLMTFC</v>
      </c>
      <c r="P92" s="4" t="str">
        <f t="shared" si="36"/>
        <v>CACYMSLFQVNGMLIMCNAVIDPFIYAFR</v>
      </c>
      <c r="Q92" s="4" t="str">
        <f t="shared" si="37"/>
        <v>SPELRDAFKKMIF</v>
      </c>
      <c r="R92" s="5">
        <f>VLOOKUP($A92,'SegEnds_NonXtal_Prot#'!$A:$AL,3,FALSE)</f>
        <v>21</v>
      </c>
      <c r="S92" s="5">
        <f>VLOOKUP($A92,'SegEnds_NonXtal_Prot#'!$A:$AL,6,FALSE)</f>
        <v>53</v>
      </c>
      <c r="T92" s="5">
        <f>VLOOKUP($A92,'SegEnds_NonXtal_Prot#'!$A:$AL,9,FALSE)</f>
        <v>57</v>
      </c>
      <c r="U92" s="5" t="str">
        <f>VLOOKUP($A92,'SegEnds_NonXtal_Prot#'!$A:$AL,12,FALSE)</f>
        <v>-</v>
      </c>
      <c r="V92" s="5">
        <f>VLOOKUP($A92,'SegEnds_NonXtal_Prot#'!$A:$AL,15,FALSE)</f>
        <v>96</v>
      </c>
      <c r="W92" s="5">
        <f>VLOOKUP($A92,'SegEnds_NonXtal_Prot#'!$A:$AL,18,FALSE)</f>
        <v>135</v>
      </c>
      <c r="X92" s="5">
        <f>VLOOKUP($A92,'SegEnds_NonXtal_Prot#'!$A:$AL,21,FALSE)</f>
        <v>143</v>
      </c>
      <c r="Y92" s="5" t="str">
        <f>VLOOKUP($A92,'SegEnds_NonXtal_Prot#'!$A:$AL,24,FALSE)</f>
        <v>-</v>
      </c>
      <c r="Z92" s="5">
        <f>VLOOKUP($A92,'SegEnds_NonXtal_Prot#'!$A:$AL,27,FALSE)</f>
        <v>178</v>
      </c>
      <c r="AA92" s="5">
        <f>VLOOKUP($A92,'SegEnds_NonXtal_Prot#'!$A:$AL,30,FALSE)</f>
        <v>214</v>
      </c>
      <c r="AB92" s="5">
        <f>VLOOKUP($A92,'SegEnds_NonXtal_Prot#'!$A:$AL,33,FALSE)</f>
        <v>251</v>
      </c>
      <c r="AC92" s="5">
        <f>VLOOKUP($A92,'SegEnds_NonXtal_Prot#'!$A:$AL,36,FALSE)</f>
        <v>280</v>
      </c>
      <c r="AD92" s="5">
        <f>VLOOKUP($A92,'SegEnds_NonXtal_Prot#'!$A:$AL,5,FALSE)</f>
        <v>52</v>
      </c>
      <c r="AE92" s="5">
        <f>VLOOKUP($A92,'SegEnds_NonXtal_Prot#'!$A:$AL,8,FALSE)</f>
        <v>56</v>
      </c>
      <c r="AF92" s="5">
        <f>VLOOKUP($A92,'SegEnds_NonXtal_Prot#'!$A:$AL,11,FALSE)</f>
        <v>87</v>
      </c>
      <c r="AG92" s="5" t="str">
        <f>VLOOKUP($A92,'SegEnds_NonXtal_Prot#'!$A:$AL,14,FALSE)</f>
        <v>-</v>
      </c>
      <c r="AH92" s="5">
        <f>VLOOKUP($A92,'SegEnds_NonXtal_Prot#'!$A:$AL,17,FALSE)</f>
        <v>134</v>
      </c>
      <c r="AI92" s="5">
        <f>VLOOKUP($A92,'SegEnds_NonXtal_Prot#'!$A:$AL,20,FALSE)</f>
        <v>142</v>
      </c>
      <c r="AJ92" s="5">
        <f>VLOOKUP($A92,'SegEnds_NonXtal_Prot#'!$A:$AL,23,FALSE)</f>
        <v>168</v>
      </c>
      <c r="AK92" s="5" t="str">
        <f>VLOOKUP($A92,'SegEnds_NonXtal_Prot#'!$A:$AL,26,FALSE)</f>
        <v>-</v>
      </c>
      <c r="AL92" s="5">
        <f>VLOOKUP($A92,'SegEnds_NonXtal_Prot#'!$A:$AL,29,FALSE)</f>
        <v>211</v>
      </c>
      <c r="AM92" s="5">
        <f>VLOOKUP($A92,'SegEnds_NonXtal_Prot#'!$A:$AL,32,FALSE)</f>
        <v>245</v>
      </c>
      <c r="AN92" s="5">
        <f>VLOOKUP($A92,'SegEnds_NonXtal_Prot#'!$A:$AL,35,FALSE)</f>
        <v>279</v>
      </c>
      <c r="AO92" s="5">
        <f>VLOOKUP($A92,'SegEnds_NonXtal_Prot#'!$A:$AL,38,FALSE)</f>
        <v>292</v>
      </c>
      <c r="AP92" s="5">
        <f t="shared" si="38"/>
        <v>31</v>
      </c>
      <c r="AQ92" s="4">
        <f t="shared" si="39"/>
        <v>3</v>
      </c>
      <c r="AR92" s="4">
        <f t="shared" si="40"/>
        <v>30</v>
      </c>
      <c r="AS92" s="4" t="str">
        <f t="shared" si="41"/>
        <v>-</v>
      </c>
      <c r="AT92" s="4">
        <f t="shared" si="42"/>
        <v>38</v>
      </c>
      <c r="AU92" s="4">
        <f t="shared" si="43"/>
        <v>7</v>
      </c>
      <c r="AV92" s="4">
        <f t="shared" si="44"/>
        <v>25</v>
      </c>
      <c r="AW92" s="4" t="str">
        <f t="shared" si="45"/>
        <v>-</v>
      </c>
      <c r="AX92" s="4">
        <f t="shared" si="46"/>
        <v>33</v>
      </c>
      <c r="AY92" s="4">
        <f t="shared" si="47"/>
        <v>31</v>
      </c>
      <c r="AZ92" s="4">
        <f t="shared" si="48"/>
        <v>28</v>
      </c>
      <c r="BA92" s="4">
        <f t="shared" si="49"/>
        <v>12</v>
      </c>
    </row>
    <row r="93" spans="1:53" x14ac:dyDescent="0.2">
      <c r="A93" s="1" t="str">
        <f>'SegEnds_NonXtal_Prot#'!A62</f>
        <v>ada1a_human</v>
      </c>
      <c r="B93" s="1" t="str">
        <f t="shared" si="25"/>
        <v>ISKAILLGVILGGLILFGVLGNILVILSVACHSVTHYYIVNLAVADLLLTSTVLPFSAIFEVLGRVFCNIWAAVDVLCCTASIMGLCIISIDRYIGVSYTQRRGLMALLCVWALSLVISIGPLFGEPGYVLFSALGSFYLPLAIILVMYCRVYVVAKRESRGLKSGLLLKFSREKKAAKTLGIVVGCFVLCWLPFFLVMPIGSFFSETVFKIVFWLGYLNSCINPIIYPCSSQEFKKAFQNVL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3" s="5" t="str">
        <f t="shared" si="26"/>
        <v>ISKAILLGVILGGLILFGVLGNILVILSVACH</v>
      </c>
      <c r="G93" s="4" t="str">
        <f t="shared" si="27"/>
        <v>RHLH</v>
      </c>
      <c r="H93" s="4" t="str">
        <f t="shared" si="28"/>
        <v>SVTHYYIVNLAVADLLLTSTVLPFSAIFEVL</v>
      </c>
      <c r="I93" s="4" t="str">
        <f t="shared" si="29"/>
        <v>YWAF</v>
      </c>
      <c r="J93" s="4" t="str">
        <f t="shared" si="30"/>
        <v>GRVFCNIWAAVDVLCCTASIMGLCIISIDRYIGVSY</v>
      </c>
      <c r="K93" s="4" t="str">
        <f t="shared" si="31"/>
        <v>PLRYPTIV</v>
      </c>
      <c r="L93" s="4" t="str">
        <f t="shared" si="32"/>
        <v>TQRRGLMALLCVWALSLVISIGPLFG</v>
      </c>
      <c r="M93" s="4" t="str">
        <f t="shared" si="33"/>
        <v>CQI</v>
      </c>
      <c r="N93" s="4" t="str">
        <f t="shared" si="34"/>
        <v>EPGYVLFSALGSFYLPLAIILVMYCRVYVVAKRESRGLKSGL</v>
      </c>
      <c r="O93" s="4" t="str">
        <f t="shared" si="35"/>
        <v>LLKFSREKKAAKTLGIVVGCFVLCWLPFFLVMPIGSFF</v>
      </c>
      <c r="P93" s="4" t="str">
        <f t="shared" si="36"/>
        <v>SETVFKIVFWLGYLNSCINPIIYPCS</v>
      </c>
      <c r="Q93" s="4" t="str">
        <f t="shared" si="37"/>
        <v>SQEFKKAFQNVL</v>
      </c>
      <c r="R93" s="5">
        <f>VLOOKUP($A93,'SegEnds_NonXtal_Prot#'!$A:$AL,3,FALSE)</f>
        <v>23</v>
      </c>
      <c r="S93" s="5">
        <f>VLOOKUP($A93,'SegEnds_NonXtal_Prot#'!$A:$AL,6,FALSE)</f>
        <v>55</v>
      </c>
      <c r="T93" s="5">
        <f>VLOOKUP($A93,'SegEnds_NonXtal_Prot#'!$A:$AL,9,FALSE)</f>
        <v>59</v>
      </c>
      <c r="U93" s="5">
        <f>VLOOKUP($A93,'SegEnds_NonXtal_Prot#'!$A:$AL,12,FALSE)</f>
        <v>91</v>
      </c>
      <c r="V93" s="5">
        <f>VLOOKUP($A93,'SegEnds_NonXtal_Prot#'!$A:$AL,15,FALSE)</f>
        <v>95</v>
      </c>
      <c r="W93" s="5">
        <f>VLOOKUP($A93,'SegEnds_NonXtal_Prot#'!$A:$AL,18,FALSE)</f>
        <v>131</v>
      </c>
      <c r="X93" s="5">
        <f>VLOOKUP($A93,'SegEnds_NonXtal_Prot#'!$A:$AL,21,FALSE)</f>
        <v>139</v>
      </c>
      <c r="Y93" s="5">
        <f>VLOOKUP($A93,'SegEnds_NonXtal_Prot#'!$A:$AL,24,FALSE)</f>
        <v>176</v>
      </c>
      <c r="Z93" s="5">
        <f>VLOOKUP($A93,'SegEnds_NonXtal_Prot#'!$A:$AL,27,FALSE)</f>
        <v>181</v>
      </c>
      <c r="AA93" s="5">
        <f>VLOOKUP($A93,'SegEnds_NonXtal_Prot#'!$A:$AL,30,FALSE)</f>
        <v>261</v>
      </c>
      <c r="AB93" s="5">
        <f>VLOOKUP($A93,'SegEnds_NonXtal_Prot#'!$A:$AL,33,FALSE)</f>
        <v>304</v>
      </c>
      <c r="AC93" s="5">
        <f>VLOOKUP($A93,'SegEnds_NonXtal_Prot#'!$A:$AL,36,FALSE)</f>
        <v>330</v>
      </c>
      <c r="AD93" s="5">
        <f>VLOOKUP($A93,'SegEnds_NonXtal_Prot#'!$A:$AL,5,FALSE)</f>
        <v>54</v>
      </c>
      <c r="AE93" s="5">
        <f>VLOOKUP($A93,'SegEnds_NonXtal_Prot#'!$A:$AL,8,FALSE)</f>
        <v>58</v>
      </c>
      <c r="AF93" s="5">
        <f>VLOOKUP($A93,'SegEnds_NonXtal_Prot#'!$A:$AL,11,FALSE)</f>
        <v>89</v>
      </c>
      <c r="AG93" s="5">
        <f>VLOOKUP($A93,'SegEnds_NonXtal_Prot#'!$A:$AL,14,FALSE)</f>
        <v>94</v>
      </c>
      <c r="AH93" s="5">
        <f>VLOOKUP($A93,'SegEnds_NonXtal_Prot#'!$A:$AL,17,FALSE)</f>
        <v>130</v>
      </c>
      <c r="AI93" s="5">
        <f>VLOOKUP($A93,'SegEnds_NonXtal_Prot#'!$A:$AL,20,FALSE)</f>
        <v>138</v>
      </c>
      <c r="AJ93" s="5">
        <f>VLOOKUP($A93,'SegEnds_NonXtal_Prot#'!$A:$AL,23,FALSE)</f>
        <v>164</v>
      </c>
      <c r="AK93" s="5">
        <f>VLOOKUP($A93,'SegEnds_NonXtal_Prot#'!$A:$AL,26,FALSE)</f>
        <v>178</v>
      </c>
      <c r="AL93" s="5">
        <f>VLOOKUP($A93,'SegEnds_NonXtal_Prot#'!$A:$AL,29,FALSE)</f>
        <v>222</v>
      </c>
      <c r="AM93" s="5">
        <f>VLOOKUP($A93,'SegEnds_NonXtal_Prot#'!$A:$AL,32,FALSE)</f>
        <v>298</v>
      </c>
      <c r="AN93" s="5">
        <f>VLOOKUP($A93,'SegEnds_NonXtal_Prot#'!$A:$AL,35,FALSE)</f>
        <v>329</v>
      </c>
      <c r="AO93" s="5">
        <f>VLOOKUP($A93,'SegEnds_NonXtal_Prot#'!$A:$AL,38,FALSE)</f>
        <v>341</v>
      </c>
      <c r="AP93" s="5">
        <f t="shared" si="38"/>
        <v>31</v>
      </c>
      <c r="AQ93" s="4">
        <f t="shared" si="39"/>
        <v>3</v>
      </c>
      <c r="AR93" s="4">
        <f t="shared" si="40"/>
        <v>30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25</v>
      </c>
      <c r="AW93" s="4">
        <f t="shared" si="45"/>
        <v>2</v>
      </c>
      <c r="AX93" s="4">
        <f t="shared" si="46"/>
        <v>41</v>
      </c>
      <c r="AY93" s="4">
        <f t="shared" si="47"/>
        <v>37</v>
      </c>
      <c r="AZ93" s="4">
        <f t="shared" si="48"/>
        <v>25</v>
      </c>
      <c r="BA93" s="4">
        <f t="shared" si="49"/>
        <v>11</v>
      </c>
    </row>
    <row r="94" spans="1:53" x14ac:dyDescent="0.2">
      <c r="A94" s="1" t="str">
        <f>'SegEnds_NonXtal_Prot#'!A63</f>
        <v>ada1b_human</v>
      </c>
      <c r="B94" s="1" t="str">
        <f t="shared" si="25"/>
        <v>ITRAISVGLVLGAFILFAIVGNILVILSVACNTPTNYFIVNLAMADLLLSFTVLPFSAALEVLGRIFCDIWAAVDVLCCTASILSLCAISIDRYIGVRYTRRKAILALLSVWVLSTVISIGPLLGEPFYALFSSLGSFYIPLAVILVMYCRVYIVAKRTTKNLEALFKFSREKKAAKTLGIVVGMFILCWLPFFIALPLGSLFPDAVFKVVFWLGYFNSCLNPIIYPCSSKEFKRAFVRILG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4" s="5" t="str">
        <f t="shared" si="26"/>
        <v>ITRAISVGLVLGAFILFAIVGNILVILSVACN</v>
      </c>
      <c r="G94" s="4" t="str">
        <f t="shared" si="27"/>
        <v>RHLR</v>
      </c>
      <c r="H94" s="4" t="str">
        <f t="shared" si="28"/>
        <v>TPTNYFIVNLAMADLLLSFTVLPFSAALEVL</v>
      </c>
      <c r="I94" s="4" t="str">
        <f t="shared" si="29"/>
        <v>YWVL</v>
      </c>
      <c r="J94" s="4" t="str">
        <f t="shared" si="30"/>
        <v>GRIFCDIWAAVDVLCCTASILSLCAISIDRYIGVRY</v>
      </c>
      <c r="K94" s="4" t="str">
        <f t="shared" si="31"/>
        <v>SLQYPTLV</v>
      </c>
      <c r="L94" s="4" t="str">
        <f t="shared" si="32"/>
        <v>TRRKAILALLSVWVLSTVISIGPLLG</v>
      </c>
      <c r="M94" s="4" t="str">
        <f t="shared" si="33"/>
        <v>CGV</v>
      </c>
      <c r="N94" s="4" t="str">
        <f t="shared" si="34"/>
        <v>EPFYALFSSLGSFYIPLAVILVMYCRVYIVAKRTTKNLEA</v>
      </c>
      <c r="O94" s="4" t="str">
        <f t="shared" si="35"/>
        <v>LFKFSREKKAAKTLGIVVGMFILCWLPFFIALPLGSLF</v>
      </c>
      <c r="P94" s="4" t="str">
        <f t="shared" si="36"/>
        <v>PDAVFKVVFWLGYFNSCLNPIIYPCS</v>
      </c>
      <c r="Q94" s="4" t="str">
        <f t="shared" si="37"/>
        <v>SKEFKRAFVRILG</v>
      </c>
      <c r="R94" s="5">
        <f>VLOOKUP($A94,'SegEnds_NonXtal_Prot#'!$A:$AL,3,FALSE)</f>
        <v>42</v>
      </c>
      <c r="S94" s="5">
        <f>VLOOKUP($A94,'SegEnds_NonXtal_Prot#'!$A:$AL,6,FALSE)</f>
        <v>74</v>
      </c>
      <c r="T94" s="5">
        <f>VLOOKUP($A94,'SegEnds_NonXtal_Prot#'!$A:$AL,9,FALSE)</f>
        <v>78</v>
      </c>
      <c r="U94" s="5">
        <f>VLOOKUP($A94,'SegEnds_NonXtal_Prot#'!$A:$AL,12,FALSE)</f>
        <v>110</v>
      </c>
      <c r="V94" s="5">
        <f>VLOOKUP($A94,'SegEnds_NonXtal_Prot#'!$A:$AL,15,FALSE)</f>
        <v>114</v>
      </c>
      <c r="W94" s="5">
        <f>VLOOKUP($A94,'SegEnds_NonXtal_Prot#'!$A:$AL,18,FALSE)</f>
        <v>150</v>
      </c>
      <c r="X94" s="5">
        <f>VLOOKUP($A94,'SegEnds_NonXtal_Prot#'!$A:$AL,21,FALSE)</f>
        <v>158</v>
      </c>
      <c r="Y94" s="5">
        <f>VLOOKUP($A94,'SegEnds_NonXtal_Prot#'!$A:$AL,24,FALSE)</f>
        <v>195</v>
      </c>
      <c r="Z94" s="5">
        <f>VLOOKUP($A94,'SegEnds_NonXtal_Prot#'!$A:$AL,27,FALSE)</f>
        <v>200</v>
      </c>
      <c r="AA94" s="5">
        <f>VLOOKUP($A94,'SegEnds_NonXtal_Prot#'!$A:$AL,30,FALSE)</f>
        <v>283</v>
      </c>
      <c r="AB94" s="5">
        <f>VLOOKUP($A94,'SegEnds_NonXtal_Prot#'!$A:$AL,33,FALSE)</f>
        <v>326</v>
      </c>
      <c r="AC94" s="5">
        <f>VLOOKUP($A94,'SegEnds_NonXtal_Prot#'!$A:$AL,36,FALSE)</f>
        <v>352</v>
      </c>
      <c r="AD94" s="5">
        <f>VLOOKUP($A94,'SegEnds_NonXtal_Prot#'!$A:$AL,5,FALSE)</f>
        <v>73</v>
      </c>
      <c r="AE94" s="5">
        <f>VLOOKUP($A94,'SegEnds_NonXtal_Prot#'!$A:$AL,8,FALSE)</f>
        <v>77</v>
      </c>
      <c r="AF94" s="5">
        <f>VLOOKUP($A94,'SegEnds_NonXtal_Prot#'!$A:$AL,11,FALSE)</f>
        <v>108</v>
      </c>
      <c r="AG94" s="5">
        <f>VLOOKUP($A94,'SegEnds_NonXtal_Prot#'!$A:$AL,14,FALSE)</f>
        <v>113</v>
      </c>
      <c r="AH94" s="5">
        <f>VLOOKUP($A94,'SegEnds_NonXtal_Prot#'!$A:$AL,17,FALSE)</f>
        <v>149</v>
      </c>
      <c r="AI94" s="5">
        <f>VLOOKUP($A94,'SegEnds_NonXtal_Prot#'!$A:$AL,20,FALSE)</f>
        <v>157</v>
      </c>
      <c r="AJ94" s="5">
        <f>VLOOKUP($A94,'SegEnds_NonXtal_Prot#'!$A:$AL,23,FALSE)</f>
        <v>183</v>
      </c>
      <c r="AK94" s="5">
        <f>VLOOKUP($A94,'SegEnds_NonXtal_Prot#'!$A:$AL,26,FALSE)</f>
        <v>197</v>
      </c>
      <c r="AL94" s="5">
        <f>VLOOKUP($A94,'SegEnds_NonXtal_Prot#'!$A:$AL,29,FALSE)</f>
        <v>239</v>
      </c>
      <c r="AM94" s="5">
        <f>VLOOKUP($A94,'SegEnds_NonXtal_Prot#'!$A:$AL,32,FALSE)</f>
        <v>320</v>
      </c>
      <c r="AN94" s="5">
        <f>VLOOKUP($A94,'SegEnds_NonXtal_Prot#'!$A:$AL,35,FALSE)</f>
        <v>351</v>
      </c>
      <c r="AO94" s="5">
        <f>VLOOKUP($A94,'SegEnds_NonXtal_Prot#'!$A:$AL,38,FALSE)</f>
        <v>364</v>
      </c>
      <c r="AP94" s="5">
        <f t="shared" si="38"/>
        <v>31</v>
      </c>
      <c r="AQ94" s="4">
        <f t="shared" si="39"/>
        <v>3</v>
      </c>
      <c r="AR94" s="4">
        <f t="shared" si="40"/>
        <v>30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25</v>
      </c>
      <c r="AW94" s="4">
        <f t="shared" si="45"/>
        <v>2</v>
      </c>
      <c r="AX94" s="4">
        <f t="shared" si="46"/>
        <v>39</v>
      </c>
      <c r="AY94" s="4">
        <f t="shared" si="47"/>
        <v>37</v>
      </c>
      <c r="AZ94" s="4">
        <f t="shared" si="48"/>
        <v>25</v>
      </c>
      <c r="BA94" s="4">
        <f t="shared" si="49"/>
        <v>12</v>
      </c>
    </row>
    <row r="95" spans="1:53" x14ac:dyDescent="0.2">
      <c r="A95" s="1" t="str">
        <f>'SegEnds_NonXtal_Prot#'!A64</f>
        <v>ada1d_human</v>
      </c>
      <c r="B95" s="1" t="str">
        <f t="shared" si="25"/>
        <v>GLVVSAQGVGVGVFLAAFILMAVAGNLLVILSVACNTVTNYFIVNLAVADLLLSATVLPFSATMEVLGRAFCDVWAAVDVLCCTASILSLCTISVDRYVGVRHTERKAAAILALLWVVALVVSVGPLLGWEAGYAVFSSVCSFYLPMAVIVVMYCRVYVVARSTTRSLEALLKFSREKKAAKTLAIVVGVFVLCWFPFFFVLPLGSLFSEGVFKVIFWLGYFNSCVNPLIYPCSSREFKRAFLRLLR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5" s="5" t="str">
        <f t="shared" si="26"/>
        <v>GLVVSAQGVGVGVFLAAFILMAVAGNLLVILSVACN</v>
      </c>
      <c r="G95" s="4" t="str">
        <f t="shared" si="27"/>
        <v>RHLQ</v>
      </c>
      <c r="H95" s="4" t="str">
        <f t="shared" si="28"/>
        <v>TVTNYFIVNLAVADLLLSATVLPFSATMEVL</v>
      </c>
      <c r="I95" s="4" t="str">
        <f t="shared" si="29"/>
        <v>FWAF</v>
      </c>
      <c r="J95" s="4" t="str">
        <f t="shared" si="30"/>
        <v>GRAFCDVWAAVDVLCCTASILSLCTISVDRYVGVRH</v>
      </c>
      <c r="K95" s="4" t="str">
        <f t="shared" si="31"/>
        <v>SLKYPAIM</v>
      </c>
      <c r="L95" s="4" t="str">
        <f t="shared" si="32"/>
        <v>TERKAAAILALLWVVALVVSVGPLLGW</v>
      </c>
      <c r="M95" s="4" t="str">
        <f t="shared" si="33"/>
        <v>CGI</v>
      </c>
      <c r="N95" s="4" t="str">
        <f t="shared" si="34"/>
        <v>EAGYAVFSSVCSFYLPMAVIVVMYCRVYVVARSTTRSLEA</v>
      </c>
      <c r="O95" s="4" t="str">
        <f t="shared" si="35"/>
        <v>LLKFSREKKAAKTLAIVVGVFVLCWFPFFFVLPLGSLF</v>
      </c>
      <c r="P95" s="4" t="str">
        <f t="shared" si="36"/>
        <v>SEGVFKVIFWLGYFNSCVNPLIYPCS</v>
      </c>
      <c r="Q95" s="4" t="str">
        <f t="shared" si="37"/>
        <v>SREFKRAFLRLLR</v>
      </c>
      <c r="R95" s="5">
        <f>VLOOKUP($A95,'SegEnds_NonXtal_Prot#'!$A:$AL,3,FALSE)</f>
        <v>89</v>
      </c>
      <c r="S95" s="5">
        <f>VLOOKUP($A95,'SegEnds_NonXtal_Prot#'!$A:$AL,6,FALSE)</f>
        <v>125</v>
      </c>
      <c r="T95" s="5">
        <f>VLOOKUP($A95,'SegEnds_NonXtal_Prot#'!$A:$AL,9,FALSE)</f>
        <v>129</v>
      </c>
      <c r="U95" s="5">
        <f>VLOOKUP($A95,'SegEnds_NonXtal_Prot#'!$A:$AL,12,FALSE)</f>
        <v>161</v>
      </c>
      <c r="V95" s="5">
        <f>VLOOKUP($A95,'SegEnds_NonXtal_Prot#'!$A:$AL,15,FALSE)</f>
        <v>165</v>
      </c>
      <c r="W95" s="5">
        <f>VLOOKUP($A95,'SegEnds_NonXtal_Prot#'!$A:$AL,18,FALSE)</f>
        <v>201</v>
      </c>
      <c r="X95" s="5">
        <f>VLOOKUP($A95,'SegEnds_NonXtal_Prot#'!$A:$AL,21,FALSE)</f>
        <v>209</v>
      </c>
      <c r="Y95" s="5">
        <f>VLOOKUP($A95,'SegEnds_NonXtal_Prot#'!$A:$AL,24,FALSE)</f>
        <v>246</v>
      </c>
      <c r="Z95" s="5">
        <f>VLOOKUP($A95,'SegEnds_NonXtal_Prot#'!$A:$AL,27,FALSE)</f>
        <v>251</v>
      </c>
      <c r="AA95" s="5">
        <f>VLOOKUP($A95,'SegEnds_NonXtal_Prot#'!$A:$AL,30,FALSE)</f>
        <v>337</v>
      </c>
      <c r="AB95" s="5">
        <f>VLOOKUP($A95,'SegEnds_NonXtal_Prot#'!$A:$AL,33,FALSE)</f>
        <v>380</v>
      </c>
      <c r="AC95" s="5">
        <f>VLOOKUP($A95,'SegEnds_NonXtal_Prot#'!$A:$AL,36,FALSE)</f>
        <v>406</v>
      </c>
      <c r="AD95" s="5">
        <f>VLOOKUP($A95,'SegEnds_NonXtal_Prot#'!$A:$AL,5,FALSE)</f>
        <v>124</v>
      </c>
      <c r="AE95" s="5">
        <f>VLOOKUP($A95,'SegEnds_NonXtal_Prot#'!$A:$AL,8,FALSE)</f>
        <v>128</v>
      </c>
      <c r="AF95" s="5">
        <f>VLOOKUP($A95,'SegEnds_NonXtal_Prot#'!$A:$AL,11,FALSE)</f>
        <v>159</v>
      </c>
      <c r="AG95" s="5">
        <f>VLOOKUP($A95,'SegEnds_NonXtal_Prot#'!$A:$AL,14,FALSE)</f>
        <v>164</v>
      </c>
      <c r="AH95" s="5">
        <f>VLOOKUP($A95,'SegEnds_NonXtal_Prot#'!$A:$AL,17,FALSE)</f>
        <v>200</v>
      </c>
      <c r="AI95" s="5">
        <f>VLOOKUP($A95,'SegEnds_NonXtal_Prot#'!$A:$AL,20,FALSE)</f>
        <v>208</v>
      </c>
      <c r="AJ95" s="5">
        <f>VLOOKUP($A95,'SegEnds_NonXtal_Prot#'!$A:$AL,23,FALSE)</f>
        <v>235</v>
      </c>
      <c r="AK95" s="5">
        <f>VLOOKUP($A95,'SegEnds_NonXtal_Prot#'!$A:$AL,26,FALSE)</f>
        <v>248</v>
      </c>
      <c r="AL95" s="5">
        <f>VLOOKUP($A95,'SegEnds_NonXtal_Prot#'!$A:$AL,29,FALSE)</f>
        <v>290</v>
      </c>
      <c r="AM95" s="5">
        <f>VLOOKUP($A95,'SegEnds_NonXtal_Prot#'!$A:$AL,32,FALSE)</f>
        <v>374</v>
      </c>
      <c r="AN95" s="5">
        <f>VLOOKUP($A95,'SegEnds_NonXtal_Prot#'!$A:$AL,35,FALSE)</f>
        <v>405</v>
      </c>
      <c r="AO95" s="5">
        <f>VLOOKUP($A95,'SegEnds_NonXtal_Prot#'!$A:$AL,38,FALSE)</f>
        <v>418</v>
      </c>
      <c r="AP95" s="5">
        <f t="shared" si="38"/>
        <v>35</v>
      </c>
      <c r="AQ95" s="4">
        <f t="shared" si="39"/>
        <v>3</v>
      </c>
      <c r="AR95" s="4">
        <f t="shared" si="40"/>
        <v>30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26</v>
      </c>
      <c r="AW95" s="4">
        <f t="shared" si="45"/>
        <v>2</v>
      </c>
      <c r="AX95" s="4">
        <f t="shared" si="46"/>
        <v>39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'SegEnds_NonXtal_Prot#'!A65</f>
        <v>ada2a_human</v>
      </c>
      <c r="B96" s="1" t="str">
        <f t="shared" si="25"/>
        <v>LQVTLTLVCLAGLLMLLTVFGNVLVIIAVFTSAPQNLFLVSLASADILVATLVIPFSLANEVMGKAWCEIYLALDVLFCTSSIVHLCAISLDRYWSITQTPRRIKAIIITVWVISAVISFPPLISQKWYVISSCIGSFFAPCLIMILVYVRIYQIAKRRTRVPPSRRGRQNREKRFTFVLAVVIGVFVVCWFPFFFTYTLTAVGRTLFKFFFWFGYCNSSLNPVIYTIFNHDFRRAFKKILC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6" s="5" t="str">
        <f t="shared" si="26"/>
        <v>LQVTLTLVCLAGLLMLLTVFGNVLVIIAVFTS</v>
      </c>
      <c r="G96" s="4" t="str">
        <f t="shared" si="27"/>
        <v>RALK</v>
      </c>
      <c r="H96" s="4" t="str">
        <f t="shared" si="28"/>
        <v>APQNLFLVSLASADILVATLVIPFSLANEVM</v>
      </c>
      <c r="I96" s="4" t="str">
        <f t="shared" si="29"/>
        <v>YWYF</v>
      </c>
      <c r="J96" s="4" t="str">
        <f t="shared" si="30"/>
        <v>GKAWCEIYLALDVLFCTSSIVHLCAISLDRYWSITQ</v>
      </c>
      <c r="K96" s="4" t="str">
        <f t="shared" si="31"/>
        <v>AIEYNLKR</v>
      </c>
      <c r="L96" s="4" t="str">
        <f t="shared" si="32"/>
        <v>TPRRIKAIIITVWVISAVISFPPLIS</v>
      </c>
      <c r="M96" s="4" t="str">
        <f t="shared" si="33"/>
        <v>CEI</v>
      </c>
      <c r="N96" s="4" t="str">
        <f t="shared" si="34"/>
        <v>QKWYVISSCIGSFFAPCLIMILVYVRIYQIAKRRTRVPPSR</v>
      </c>
      <c r="O96" s="4" t="str">
        <f t="shared" si="35"/>
        <v>RGRQNREKRFTFVLAVVIGVFVVCWFPFFFTYTLTAVG</v>
      </c>
      <c r="P96" s="4" t="str">
        <f t="shared" si="36"/>
        <v>RTLFKFFFWFGYCNSSLNPVIYTIF</v>
      </c>
      <c r="Q96" s="4" t="str">
        <f t="shared" si="37"/>
        <v>NHDFRRAFKKILC</v>
      </c>
      <c r="R96" s="5">
        <f>VLOOKUP($A96,'SegEnds_NonXtal_Prot#'!$A:$AL,3,FALSE)</f>
        <v>30</v>
      </c>
      <c r="S96" s="5">
        <f>VLOOKUP($A96,'SegEnds_NonXtal_Prot#'!$A:$AL,6,FALSE)</f>
        <v>62</v>
      </c>
      <c r="T96" s="5">
        <f>VLOOKUP($A96,'SegEnds_NonXtal_Prot#'!$A:$AL,9,FALSE)</f>
        <v>66</v>
      </c>
      <c r="U96" s="5">
        <f>VLOOKUP($A96,'SegEnds_NonXtal_Prot#'!$A:$AL,12,FALSE)</f>
        <v>98</v>
      </c>
      <c r="V96" s="5">
        <f>VLOOKUP($A96,'SegEnds_NonXtal_Prot#'!$A:$AL,15,FALSE)</f>
        <v>102</v>
      </c>
      <c r="W96" s="5">
        <f>VLOOKUP($A96,'SegEnds_NonXtal_Prot#'!$A:$AL,18,FALSE)</f>
        <v>138</v>
      </c>
      <c r="X96" s="5">
        <f>VLOOKUP($A96,'SegEnds_NonXtal_Prot#'!$A:$AL,21,FALSE)</f>
        <v>146</v>
      </c>
      <c r="Y96" s="5">
        <f>VLOOKUP($A96,'SegEnds_NonXtal_Prot#'!$A:$AL,24,FALSE)</f>
        <v>188</v>
      </c>
      <c r="Z96" s="5">
        <f>VLOOKUP($A96,'SegEnds_NonXtal_Prot#'!$A:$AL,27,FALSE)</f>
        <v>193</v>
      </c>
      <c r="AA96" s="5">
        <f>VLOOKUP($A96,'SegEnds_NonXtal_Prot#'!$A:$AL,30,FALSE)</f>
        <v>363</v>
      </c>
      <c r="AB96" s="5">
        <f>VLOOKUP($A96,'SegEnds_NonXtal_Prot#'!$A:$AL,33,FALSE)</f>
        <v>405</v>
      </c>
      <c r="AC96" s="5">
        <f>VLOOKUP($A96,'SegEnds_NonXtal_Prot#'!$A:$AL,36,FALSE)</f>
        <v>430</v>
      </c>
      <c r="AD96" s="5">
        <f>VLOOKUP($A96,'SegEnds_NonXtal_Prot#'!$A:$AL,5,FALSE)</f>
        <v>61</v>
      </c>
      <c r="AE96" s="5">
        <f>VLOOKUP($A96,'SegEnds_NonXtal_Prot#'!$A:$AL,8,FALSE)</f>
        <v>65</v>
      </c>
      <c r="AF96" s="5">
        <f>VLOOKUP($A96,'SegEnds_NonXtal_Prot#'!$A:$AL,11,FALSE)</f>
        <v>96</v>
      </c>
      <c r="AG96" s="5">
        <f>VLOOKUP($A96,'SegEnds_NonXtal_Prot#'!$A:$AL,14,FALSE)</f>
        <v>101</v>
      </c>
      <c r="AH96" s="5">
        <f>VLOOKUP($A96,'SegEnds_NonXtal_Prot#'!$A:$AL,17,FALSE)</f>
        <v>137</v>
      </c>
      <c r="AI96" s="5">
        <f>VLOOKUP($A96,'SegEnds_NonXtal_Prot#'!$A:$AL,20,FALSE)</f>
        <v>145</v>
      </c>
      <c r="AJ96" s="5">
        <f>VLOOKUP($A96,'SegEnds_NonXtal_Prot#'!$A:$AL,23,FALSE)</f>
        <v>171</v>
      </c>
      <c r="AK96" s="5">
        <f>VLOOKUP($A96,'SegEnds_NonXtal_Prot#'!$A:$AL,26,FALSE)</f>
        <v>190</v>
      </c>
      <c r="AL96" s="5">
        <f>VLOOKUP($A96,'SegEnds_NonXtal_Prot#'!$A:$AL,29,FALSE)</f>
        <v>233</v>
      </c>
      <c r="AM96" s="5">
        <f>VLOOKUP($A96,'SegEnds_NonXtal_Prot#'!$A:$AL,32,FALSE)</f>
        <v>400</v>
      </c>
      <c r="AN96" s="5">
        <f>VLOOKUP($A96,'SegEnds_NonXtal_Prot#'!$A:$AL,35,FALSE)</f>
        <v>429</v>
      </c>
      <c r="AO96" s="5">
        <f>VLOOKUP($A96,'SegEnds_NonXtal_Prot#'!$A:$AL,38,FALSE)</f>
        <v>442</v>
      </c>
      <c r="AP96" s="5">
        <f t="shared" si="38"/>
        <v>31</v>
      </c>
      <c r="AQ96" s="4">
        <f t="shared" si="39"/>
        <v>3</v>
      </c>
      <c r="AR96" s="4">
        <f t="shared" si="40"/>
        <v>30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25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24</v>
      </c>
      <c r="BA96" s="4">
        <f t="shared" si="49"/>
        <v>12</v>
      </c>
    </row>
    <row r="97" spans="1:53" x14ac:dyDescent="0.2">
      <c r="A97" s="1" t="str">
        <f>'SegEnds_NonXtal_Prot#'!A66</f>
        <v>ada2b_human</v>
      </c>
      <c r="B97" s="1" t="str">
        <f t="shared" si="25"/>
        <v>VQATAAIAAAITFLILFTIFGNALVILAVLTSAPQNLFLVSLAAADILVATLIIPFSLANELLRRTWCEVYLALDVLFCTSSIVHLCAISLDRYWAVSRTPRRIKCIILTVWLIAAVISLPPLIYEAWYILASSIGSFFAPCLIMILVYLRIYLIAKRSNRRGPRARAQLTREKRFTFVLAVVIGVFVLCWFPFFFSYSLGAICPHGLFQFFFWIGYCNSSLNPVIYTIFNQDFRRAFRRILC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7" s="5" t="str">
        <f t="shared" si="26"/>
        <v>VQATAAIAAAITFLILFTIFGNALVILAVLTS</v>
      </c>
      <c r="G97" s="4" t="str">
        <f t="shared" si="27"/>
        <v>RSLR</v>
      </c>
      <c r="H97" s="4" t="str">
        <f t="shared" si="28"/>
        <v>APQNLFLVSLAAADILVATLIIPFSLANELL</v>
      </c>
      <c r="I97" s="4" t="str">
        <f t="shared" si="29"/>
        <v>YWYF</v>
      </c>
      <c r="J97" s="4" t="str">
        <f t="shared" si="30"/>
        <v>RRTWCEVYLALDVLFCTSSIVHLCAISLDRYWAVSR</v>
      </c>
      <c r="K97" s="4" t="str">
        <f t="shared" si="31"/>
        <v>ALEYNSKR</v>
      </c>
      <c r="L97" s="4" t="str">
        <f t="shared" si="32"/>
        <v>TPRRIKCIILTVWLIAAVISLPPLIY</v>
      </c>
      <c r="M97" s="4" t="str">
        <f t="shared" si="33"/>
        <v>CKL</v>
      </c>
      <c r="N97" s="4" t="str">
        <f t="shared" si="34"/>
        <v>EAWYILASSIGSFFAPCLIMILVYLRIYLIAKRSNRRGPRA</v>
      </c>
      <c r="O97" s="4" t="str">
        <f t="shared" si="35"/>
        <v>RAQLTREKRFTFVLAVVIGVFVLCWFPFFFSYSLGAIC</v>
      </c>
      <c r="P97" s="4" t="str">
        <f t="shared" si="36"/>
        <v>PHGLFQFFFWIGYCNSSLNPVIYTIF</v>
      </c>
      <c r="Q97" s="4" t="str">
        <f t="shared" si="37"/>
        <v>NQDFRRAFRRILC</v>
      </c>
      <c r="R97" s="5">
        <f>VLOOKUP($A97,'SegEnds_NonXtal_Prot#'!$A:$AL,3,FALSE)</f>
        <v>9</v>
      </c>
      <c r="S97" s="5">
        <f>VLOOKUP($A97,'SegEnds_NonXtal_Prot#'!$A:$AL,6,FALSE)</f>
        <v>41</v>
      </c>
      <c r="T97" s="5">
        <f>VLOOKUP($A97,'SegEnds_NonXtal_Prot#'!$A:$AL,9,FALSE)</f>
        <v>45</v>
      </c>
      <c r="U97" s="5">
        <f>VLOOKUP($A97,'SegEnds_NonXtal_Prot#'!$A:$AL,12,FALSE)</f>
        <v>77</v>
      </c>
      <c r="V97" s="5">
        <f>VLOOKUP($A97,'SegEnds_NonXtal_Prot#'!$A:$AL,15,FALSE)</f>
        <v>81</v>
      </c>
      <c r="W97" s="5">
        <f>VLOOKUP($A97,'SegEnds_NonXtal_Prot#'!$A:$AL,18,FALSE)</f>
        <v>117</v>
      </c>
      <c r="X97" s="5">
        <f>VLOOKUP($A97,'SegEnds_NonXtal_Prot#'!$A:$AL,21,FALSE)</f>
        <v>125</v>
      </c>
      <c r="Y97" s="5">
        <f>VLOOKUP($A97,'SegEnds_NonXtal_Prot#'!$A:$AL,24,FALSE)</f>
        <v>164</v>
      </c>
      <c r="Z97" s="5">
        <f>VLOOKUP($A97,'SegEnds_NonXtal_Prot#'!$A:$AL,27,FALSE)</f>
        <v>169</v>
      </c>
      <c r="AA97" s="5">
        <f>VLOOKUP($A97,'SegEnds_NonXtal_Prot#'!$A:$AL,30,FALSE)</f>
        <v>357</v>
      </c>
      <c r="AB97" s="5">
        <f>VLOOKUP($A97,'SegEnds_NonXtal_Prot#'!$A:$AL,33,FALSE)</f>
        <v>401</v>
      </c>
      <c r="AC97" s="5">
        <f>VLOOKUP($A97,'SegEnds_NonXtal_Prot#'!$A:$AL,36,FALSE)</f>
        <v>427</v>
      </c>
      <c r="AD97" s="5">
        <f>VLOOKUP($A97,'SegEnds_NonXtal_Prot#'!$A:$AL,5,FALSE)</f>
        <v>40</v>
      </c>
      <c r="AE97" s="5">
        <f>VLOOKUP($A97,'SegEnds_NonXtal_Prot#'!$A:$AL,8,FALSE)</f>
        <v>44</v>
      </c>
      <c r="AF97" s="5">
        <f>VLOOKUP($A97,'SegEnds_NonXtal_Prot#'!$A:$AL,11,FALSE)</f>
        <v>75</v>
      </c>
      <c r="AG97" s="5">
        <f>VLOOKUP($A97,'SegEnds_NonXtal_Prot#'!$A:$AL,14,FALSE)</f>
        <v>80</v>
      </c>
      <c r="AH97" s="5">
        <f>VLOOKUP($A97,'SegEnds_NonXtal_Prot#'!$A:$AL,17,FALSE)</f>
        <v>116</v>
      </c>
      <c r="AI97" s="5">
        <f>VLOOKUP($A97,'SegEnds_NonXtal_Prot#'!$A:$AL,20,FALSE)</f>
        <v>124</v>
      </c>
      <c r="AJ97" s="5">
        <f>VLOOKUP($A97,'SegEnds_NonXtal_Prot#'!$A:$AL,23,FALSE)</f>
        <v>150</v>
      </c>
      <c r="AK97" s="5">
        <f>VLOOKUP($A97,'SegEnds_NonXtal_Prot#'!$A:$AL,26,FALSE)</f>
        <v>166</v>
      </c>
      <c r="AL97" s="5">
        <f>VLOOKUP($A97,'SegEnds_NonXtal_Prot#'!$A:$AL,29,FALSE)</f>
        <v>209</v>
      </c>
      <c r="AM97" s="5">
        <f>VLOOKUP($A97,'SegEnds_NonXtal_Prot#'!$A:$AL,32,FALSE)</f>
        <v>394</v>
      </c>
      <c r="AN97" s="5">
        <f>VLOOKUP($A97,'SegEnds_NonXtal_Prot#'!$A:$AL,35,FALSE)</f>
        <v>426</v>
      </c>
      <c r="AO97" s="5">
        <f>VLOOKUP($A97,'SegEnds_NonXtal_Prot#'!$A:$AL,38,FALSE)</f>
        <v>439</v>
      </c>
      <c r="AP97" s="5">
        <f t="shared" si="38"/>
        <v>31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25</v>
      </c>
      <c r="AW97" s="4">
        <f t="shared" si="45"/>
        <v>2</v>
      </c>
      <c r="AX97" s="4">
        <f t="shared" si="46"/>
        <v>40</v>
      </c>
      <c r="AY97" s="4">
        <f t="shared" si="47"/>
        <v>37</v>
      </c>
      <c r="AZ97" s="4">
        <f t="shared" si="48"/>
        <v>25</v>
      </c>
      <c r="BA97" s="4">
        <f t="shared" si="49"/>
        <v>12</v>
      </c>
    </row>
    <row r="98" spans="1:53" x14ac:dyDescent="0.2">
      <c r="A98" s="1" t="str">
        <f>'SegEnds_NonXtal_Prot#'!A67</f>
        <v>ada2c_human</v>
      </c>
      <c r="B98" s="1" t="str">
        <f t="shared" si="25"/>
        <v>AGAVAGLAAVVGFLIVFTVVGNVLVVIAVLTSAPQNLFLVSLASADILVATLVMPFSLANELMGQVWCGVYLALDVLFCTSSIVHLCAISLDRYWSVTQTPRRVKATIVAVWLISAVISFPPLVSETWYILSSCIGSFFAPCLIMGLVYARIYRVAKLRTRTLSEKKVAQAREKRFTFVLAVVMGVFVLCWFPFFFSYSLYGICPGPLFKFFFWIGYCNSSLNPVIYTVFNQDFRRSFKHILF</v>
      </c>
      <c r="C98" s="29" t="str">
        <f>IF(ISERROR(MATCH(A98,'SegEnds_Xtal_Prot#'!B:B, 0)), "NoXtal", "Xtal")</f>
        <v>NoXtal</v>
      </c>
      <c r="D98" s="4" t="str">
        <f>VLOOKUP(A98,Classification!A:D,2,FALSE)</f>
        <v>A</v>
      </c>
      <c r="E98" s="5" t="str">
        <f>VLOOKUP(A98,Seqs!A:B,2,FALSE)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8" s="5" t="str">
        <f t="shared" si="26"/>
        <v>AGAVAGLAAVVGFLIVFTVVGNVLVVIAVLTS</v>
      </c>
      <c r="G98" s="4" t="str">
        <f t="shared" si="27"/>
        <v>RALR</v>
      </c>
      <c r="H98" s="4" t="str">
        <f t="shared" si="28"/>
        <v>APQNLFLVSLASADILVATLVMPFSLANELM</v>
      </c>
      <c r="I98" s="4" t="str">
        <f t="shared" si="29"/>
        <v>YWYF</v>
      </c>
      <c r="J98" s="4" t="str">
        <f t="shared" si="30"/>
        <v>GQVWCGVYLALDVLFCTSSIVHLCAISLDRYWSVTQ</v>
      </c>
      <c r="K98" s="4" t="str">
        <f t="shared" si="31"/>
        <v>AVEYNLKR</v>
      </c>
      <c r="L98" s="4" t="str">
        <f t="shared" si="32"/>
        <v>TPRRVKATIVAVWLISAVISFPPLVS</v>
      </c>
      <c r="M98" s="4" t="str">
        <f t="shared" si="33"/>
        <v>CGL</v>
      </c>
      <c r="N98" s="4" t="str">
        <f t="shared" si="34"/>
        <v>ETWYILSSCIGSFFAPCLIMGLVYARIYRVAKLRTRTLSEK</v>
      </c>
      <c r="O98" s="4" t="str">
        <f t="shared" si="35"/>
        <v>KVAQAREKRFTFVLAVVMGVFVLCWFPFFFSYSLYGIC</v>
      </c>
      <c r="P98" s="4" t="str">
        <f t="shared" si="36"/>
        <v>PGPLFKFFFWIGYCNSSLNPVIYTVF</v>
      </c>
      <c r="Q98" s="4" t="str">
        <f t="shared" si="37"/>
        <v>NQDFRRSFKHILF</v>
      </c>
      <c r="R98" s="5">
        <f>VLOOKUP($A98,'SegEnds_NonXtal_Prot#'!$A:$AL,3,FALSE)</f>
        <v>48</v>
      </c>
      <c r="S98" s="5">
        <f>VLOOKUP($A98,'SegEnds_NonXtal_Prot#'!$A:$AL,6,FALSE)</f>
        <v>80</v>
      </c>
      <c r="T98" s="5">
        <f>VLOOKUP($A98,'SegEnds_NonXtal_Prot#'!$A:$AL,9,FALSE)</f>
        <v>84</v>
      </c>
      <c r="U98" s="5">
        <f>VLOOKUP($A98,'SegEnds_NonXtal_Prot#'!$A:$AL,12,FALSE)</f>
        <v>116</v>
      </c>
      <c r="V98" s="5">
        <f>VLOOKUP($A98,'SegEnds_NonXtal_Prot#'!$A:$AL,15,FALSE)</f>
        <v>120</v>
      </c>
      <c r="W98" s="5">
        <f>VLOOKUP($A98,'SegEnds_NonXtal_Prot#'!$A:$AL,18,FALSE)</f>
        <v>156</v>
      </c>
      <c r="X98" s="5">
        <f>VLOOKUP($A98,'SegEnds_NonXtal_Prot#'!$A:$AL,21,FALSE)</f>
        <v>164</v>
      </c>
      <c r="Y98" s="5">
        <f>VLOOKUP($A98,'SegEnds_NonXtal_Prot#'!$A:$AL,24,FALSE)</f>
        <v>202</v>
      </c>
      <c r="Z98" s="5">
        <f>VLOOKUP($A98,'SegEnds_NonXtal_Prot#'!$A:$AL,27,FALSE)</f>
        <v>207</v>
      </c>
      <c r="AA98" s="5">
        <f>VLOOKUP($A98,'SegEnds_NonXtal_Prot#'!$A:$AL,30,FALSE)</f>
        <v>371</v>
      </c>
      <c r="AB98" s="5">
        <f>VLOOKUP($A98,'SegEnds_NonXtal_Prot#'!$A:$AL,33,FALSE)</f>
        <v>415</v>
      </c>
      <c r="AC98" s="5">
        <f>VLOOKUP($A98,'SegEnds_NonXtal_Prot#'!$A:$AL,36,FALSE)</f>
        <v>441</v>
      </c>
      <c r="AD98" s="5">
        <f>VLOOKUP($A98,'SegEnds_NonXtal_Prot#'!$A:$AL,5,FALSE)</f>
        <v>79</v>
      </c>
      <c r="AE98" s="5">
        <f>VLOOKUP($A98,'SegEnds_NonXtal_Prot#'!$A:$AL,8,FALSE)</f>
        <v>83</v>
      </c>
      <c r="AF98" s="5">
        <f>VLOOKUP($A98,'SegEnds_NonXtal_Prot#'!$A:$AL,11,FALSE)</f>
        <v>114</v>
      </c>
      <c r="AG98" s="5">
        <f>VLOOKUP($A98,'SegEnds_NonXtal_Prot#'!$A:$AL,14,FALSE)</f>
        <v>119</v>
      </c>
      <c r="AH98" s="5">
        <f>VLOOKUP($A98,'SegEnds_NonXtal_Prot#'!$A:$AL,17,FALSE)</f>
        <v>155</v>
      </c>
      <c r="AI98" s="5">
        <f>VLOOKUP($A98,'SegEnds_NonXtal_Prot#'!$A:$AL,20,FALSE)</f>
        <v>163</v>
      </c>
      <c r="AJ98" s="5">
        <f>VLOOKUP($A98,'SegEnds_NonXtal_Prot#'!$A:$AL,23,FALSE)</f>
        <v>189</v>
      </c>
      <c r="AK98" s="5">
        <f>VLOOKUP($A98,'SegEnds_NonXtal_Prot#'!$A:$AL,26,FALSE)</f>
        <v>204</v>
      </c>
      <c r="AL98" s="5">
        <f>VLOOKUP($A98,'SegEnds_NonXtal_Prot#'!$A:$AL,29,FALSE)</f>
        <v>247</v>
      </c>
      <c r="AM98" s="5">
        <f>VLOOKUP($A98,'SegEnds_NonXtal_Prot#'!$A:$AL,32,FALSE)</f>
        <v>408</v>
      </c>
      <c r="AN98" s="5">
        <f>VLOOKUP($A98,'SegEnds_NonXtal_Prot#'!$A:$AL,35,FALSE)</f>
        <v>440</v>
      </c>
      <c r="AO98" s="5">
        <f>VLOOKUP($A98,'SegEnds_NonXtal_Prot#'!$A:$AL,38,FALSE)</f>
        <v>453</v>
      </c>
      <c r="AP98" s="5">
        <f t="shared" si="38"/>
        <v>31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25</v>
      </c>
      <c r="AW98" s="4">
        <f t="shared" si="45"/>
        <v>2</v>
      </c>
      <c r="AX98" s="4">
        <f t="shared" si="46"/>
        <v>40</v>
      </c>
      <c r="AY98" s="4">
        <f t="shared" si="47"/>
        <v>37</v>
      </c>
      <c r="AZ98" s="4">
        <f t="shared" si="48"/>
        <v>25</v>
      </c>
      <c r="BA98" s="4">
        <f t="shared" si="49"/>
        <v>12</v>
      </c>
    </row>
    <row r="99" spans="1:53" x14ac:dyDescent="0.2">
      <c r="A99" s="1" t="str">
        <f>'SegEnds_NonXtal_Prot#'!A68</f>
        <v>adrb1_human</v>
      </c>
      <c r="B99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9" s="29" t="str">
        <f>IF(ISERROR(MATCH(A99,'SegEnds_Xtal_Prot#'!B:B, 0)), "NoXtal", "Xtal")</f>
        <v>NoXtal</v>
      </c>
      <c r="D99" s="4" t="str">
        <f>VLOOKUP(A99,Classification!A:D,2,FALSE)</f>
        <v>A</v>
      </c>
      <c r="E99" s="5" t="str">
        <f>VLOOKUP(A99,Seqs!A:B,2,FALSE)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9" s="5" t="str">
        <f t="shared" si="26"/>
        <v>EPLSQQWTAGMGLLMALIVLLIVAGNVLVIVAIAKT</v>
      </c>
      <c r="G99" s="4" t="str">
        <f t="shared" si="27"/>
        <v>PRLQ</v>
      </c>
      <c r="H99" s="4" t="str">
        <f t="shared" si="28"/>
        <v>TLTNLFIMSLASADLVMGLLVVPFGATIVVW</v>
      </c>
      <c r="I99" s="4" t="str">
        <f t="shared" si="29"/>
        <v>RWEY</v>
      </c>
      <c r="J99" s="4" t="str">
        <f t="shared" si="30"/>
        <v>GSFFCELWTSVDVLCVTASIETLCVIALDRYLAITS</v>
      </c>
      <c r="K99" s="4" t="str">
        <f t="shared" si="31"/>
        <v>PFRYQSLL</v>
      </c>
      <c r="L99" s="4" t="str">
        <f t="shared" si="32"/>
        <v>TRARARGLVCTVWAISALVSFLPILMH</v>
      </c>
      <c r="M99" s="4" t="str">
        <f t="shared" si="33"/>
        <v>CDF</v>
      </c>
      <c r="N99" s="4" t="str">
        <f t="shared" si="34"/>
        <v>NRAYAIASSVVSFYVPLCIMAFVYLRVFREAQKQVKKIDS</v>
      </c>
      <c r="O99" s="4" t="str">
        <f t="shared" si="35"/>
        <v>RLVALREQKALKTLGIIMGVFTLCWLPFFLANVVKAFH</v>
      </c>
      <c r="P99" s="4" t="str">
        <f t="shared" si="36"/>
        <v>PDRLFVFFNWLGYANSAFNPIIYCR</v>
      </c>
      <c r="Q99" s="4" t="str">
        <f t="shared" si="37"/>
        <v>SPDFRKAFQRLLC</v>
      </c>
      <c r="R99" s="5">
        <f>VLOOKUP($A99,'SegEnds_NonXtal_Prot#'!$A:$AL,3,FALSE)</f>
        <v>51</v>
      </c>
      <c r="S99" s="5">
        <f>VLOOKUP($A99,'SegEnds_NonXtal_Prot#'!$A:$AL,6,FALSE)</f>
        <v>87</v>
      </c>
      <c r="T99" s="5">
        <f>VLOOKUP($A99,'SegEnds_NonXtal_Prot#'!$A:$AL,9,FALSE)</f>
        <v>91</v>
      </c>
      <c r="U99" s="5">
        <f>VLOOKUP($A99,'SegEnds_NonXtal_Prot#'!$A:$AL,12,FALSE)</f>
        <v>123</v>
      </c>
      <c r="V99" s="5">
        <f>VLOOKUP($A99,'SegEnds_NonXtal_Prot#'!$A:$AL,15,FALSE)</f>
        <v>127</v>
      </c>
      <c r="W99" s="5">
        <f>VLOOKUP($A99,'SegEnds_NonXtal_Prot#'!$A:$AL,18,FALSE)</f>
        <v>163</v>
      </c>
      <c r="X99" s="5">
        <f>VLOOKUP($A99,'SegEnds_NonXtal_Prot#'!$A:$AL,21,FALSE)</f>
        <v>171</v>
      </c>
      <c r="Y99" s="5">
        <f>VLOOKUP($A99,'SegEnds_NonXtal_Prot#'!$A:$AL,24,FALSE)</f>
        <v>216</v>
      </c>
      <c r="Z99" s="5">
        <f>VLOOKUP($A99,'SegEnds_NonXtal_Prot#'!$A:$AL,27,FALSE)</f>
        <v>221</v>
      </c>
      <c r="AA99" s="5">
        <f>VLOOKUP($A99,'SegEnds_NonXtal_Prot#'!$A:$AL,30,FALSE)</f>
        <v>313</v>
      </c>
      <c r="AB99" s="5">
        <f>VLOOKUP($A99,'SegEnds_NonXtal_Prot#'!$A:$AL,33,FALSE)</f>
        <v>355</v>
      </c>
      <c r="AC99" s="5">
        <f>VLOOKUP($A99,'SegEnds_NonXtal_Prot#'!$A:$AL,36,FALSE)</f>
        <v>380</v>
      </c>
      <c r="AD99" s="5">
        <f>VLOOKUP($A99,'SegEnds_NonXtal_Prot#'!$A:$AL,5,FALSE)</f>
        <v>86</v>
      </c>
      <c r="AE99" s="5">
        <f>VLOOKUP($A99,'SegEnds_NonXtal_Prot#'!$A:$AL,8,FALSE)</f>
        <v>90</v>
      </c>
      <c r="AF99" s="5">
        <f>VLOOKUP($A99,'SegEnds_NonXtal_Prot#'!$A:$AL,11,FALSE)</f>
        <v>121</v>
      </c>
      <c r="AG99" s="5">
        <f>VLOOKUP($A99,'SegEnds_NonXtal_Prot#'!$A:$AL,14,FALSE)</f>
        <v>126</v>
      </c>
      <c r="AH99" s="5">
        <f>VLOOKUP($A99,'SegEnds_NonXtal_Prot#'!$A:$AL,17,FALSE)</f>
        <v>162</v>
      </c>
      <c r="AI99" s="5">
        <f>VLOOKUP($A99,'SegEnds_NonXtal_Prot#'!$A:$AL,20,FALSE)</f>
        <v>170</v>
      </c>
      <c r="AJ99" s="5">
        <f>VLOOKUP($A99,'SegEnds_NonXtal_Prot#'!$A:$AL,23,FALSE)</f>
        <v>197</v>
      </c>
      <c r="AK99" s="5">
        <f>VLOOKUP($A99,'SegEnds_NonXtal_Prot#'!$A:$AL,26,FALSE)</f>
        <v>218</v>
      </c>
      <c r="AL99" s="5">
        <f>VLOOKUP($A99,'SegEnds_NonXtal_Prot#'!$A:$AL,29,FALSE)</f>
        <v>260</v>
      </c>
      <c r="AM99" s="5">
        <f>VLOOKUP($A99,'SegEnds_NonXtal_Prot#'!$A:$AL,32,FALSE)</f>
        <v>350</v>
      </c>
      <c r="AN99" s="5">
        <f>VLOOKUP($A99,'SegEnds_NonXtal_Prot#'!$A:$AL,35,FALSE)</f>
        <v>379</v>
      </c>
      <c r="AO99" s="5">
        <f>VLOOKUP($A99,'SegEnds_NonXtal_Prot#'!$A:$AL,38,FALSE)</f>
        <v>392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39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'SegEnds_NonXtal_Prot#'!A69</f>
        <v>adrb1_melga</v>
      </c>
      <c r="B100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100" s="29" t="str">
        <f>IF(ISERROR(MATCH(A100,'SegEnds_Xtal_Prot#'!B:B, 0)), "NoXtal", "Xtal")</f>
        <v>Xtal</v>
      </c>
      <c r="D100" s="4" t="str">
        <f>VLOOKUP(A100,Classification!A:D,2,FALSE)</f>
        <v>A</v>
      </c>
      <c r="E100" s="5" t="str">
        <f>VLOOKUP(A100,Seqs!A:B,2,FALSE)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100" s="5" t="str">
        <f t="shared" si="26"/>
        <v>AELLSQQWEAGMSLLMALVVLLIVAGNVLVIAAIGRT</v>
      </c>
      <c r="G100" s="4" t="str">
        <f t="shared" si="27"/>
        <v>QRLQ</v>
      </c>
      <c r="H100" s="4" t="str">
        <f t="shared" si="28"/>
        <v>TLTNLFITSLACADLVMGLLVVPFGATLVVR</v>
      </c>
      <c r="I100" s="4" t="str">
        <f t="shared" si="29"/>
        <v>TWLW</v>
      </c>
      <c r="J100" s="4" t="str">
        <f t="shared" si="30"/>
        <v>GSFLCECWTSLDVLCVTASIETLCVIAIDRYLAITS</v>
      </c>
      <c r="K100" s="4" t="str">
        <f t="shared" si="31"/>
        <v>PFRYQSLM</v>
      </c>
      <c r="L100" s="4" t="str">
        <f t="shared" si="32"/>
        <v>TRARAKVIICTVWAISALVSFLPIMMH</v>
      </c>
      <c r="M100" s="4" t="str">
        <f t="shared" si="33"/>
        <v>CDF</v>
      </c>
      <c r="N100" s="4" t="str">
        <f t="shared" si="34"/>
        <v>NRAYAIASSIISFYIPLLIMIFVYLRVYREAKEQIRKIDRCE</v>
      </c>
      <c r="O100" s="4" t="str">
        <f t="shared" si="35"/>
        <v>RKTSRVMAMREHKALKTLGIIMGVFTLCWLPFFLVNIVNVFN</v>
      </c>
      <c r="P100" s="4" t="str">
        <f t="shared" si="36"/>
        <v>PDWLFVFFNWLGYANSAFNPIIYCR</v>
      </c>
      <c r="Q100" s="4" t="str">
        <f t="shared" si="37"/>
        <v>SPDFRKAFKRLLC</v>
      </c>
      <c r="R100" s="5">
        <f>VLOOKUP($A100,'SegEnds_NonXtal_Prot#'!$A:$AL,3,FALSE)</f>
        <v>33</v>
      </c>
      <c r="S100" s="5">
        <f>VLOOKUP($A100,'SegEnds_NonXtal_Prot#'!$A:$AL,6,FALSE)</f>
        <v>70</v>
      </c>
      <c r="T100" s="5">
        <f>VLOOKUP($A100,'SegEnds_NonXtal_Prot#'!$A:$AL,9,FALSE)</f>
        <v>74</v>
      </c>
      <c r="U100" s="5">
        <f>VLOOKUP($A100,'SegEnds_NonXtal_Prot#'!$A:$AL,12,FALSE)</f>
        <v>106</v>
      </c>
      <c r="V100" s="5">
        <f>VLOOKUP($A100,'SegEnds_NonXtal_Prot#'!$A:$AL,15,FALSE)</f>
        <v>110</v>
      </c>
      <c r="W100" s="5">
        <f>VLOOKUP($A100,'SegEnds_NonXtal_Prot#'!$A:$AL,18,FALSE)</f>
        <v>146</v>
      </c>
      <c r="X100" s="5">
        <f>VLOOKUP($A100,'SegEnds_NonXtal_Prot#'!$A:$AL,21,FALSE)</f>
        <v>154</v>
      </c>
      <c r="Y100" s="5">
        <f>VLOOKUP($A100,'SegEnds_NonXtal_Prot#'!$A:$AL,24,FALSE)</f>
        <v>199</v>
      </c>
      <c r="Z100" s="5">
        <f>VLOOKUP($A100,'SegEnds_NonXtal_Prot#'!$A:$AL,27,FALSE)</f>
        <v>204</v>
      </c>
      <c r="AA100" s="5">
        <f>VLOOKUP($A100,'SegEnds_NonXtal_Prot#'!$A:$AL,30,FALSE)</f>
        <v>275</v>
      </c>
      <c r="AB100" s="5">
        <f>VLOOKUP($A100,'SegEnds_NonXtal_Prot#'!$A:$AL,33,FALSE)</f>
        <v>321</v>
      </c>
      <c r="AC100" s="5">
        <f>VLOOKUP($A100,'SegEnds_NonXtal_Prot#'!$A:$AL,36,FALSE)</f>
        <v>346</v>
      </c>
      <c r="AD100" s="5">
        <f>VLOOKUP($A100,'SegEnds_NonXtal_Prot#'!$A:$AL,5,FALSE)</f>
        <v>69</v>
      </c>
      <c r="AE100" s="5">
        <f>VLOOKUP($A100,'SegEnds_NonXtal_Prot#'!$A:$AL,8,FALSE)</f>
        <v>73</v>
      </c>
      <c r="AF100" s="5">
        <f>VLOOKUP($A100,'SegEnds_NonXtal_Prot#'!$A:$AL,11,FALSE)</f>
        <v>104</v>
      </c>
      <c r="AG100" s="5">
        <f>VLOOKUP($A100,'SegEnds_NonXtal_Prot#'!$A:$AL,14,FALSE)</f>
        <v>109</v>
      </c>
      <c r="AH100" s="5">
        <f>VLOOKUP($A100,'SegEnds_NonXtal_Prot#'!$A:$AL,17,FALSE)</f>
        <v>145</v>
      </c>
      <c r="AI100" s="5">
        <f>VLOOKUP($A100,'SegEnds_NonXtal_Prot#'!$A:$AL,20,FALSE)</f>
        <v>153</v>
      </c>
      <c r="AJ100" s="5">
        <f>VLOOKUP($A100,'SegEnds_NonXtal_Prot#'!$A:$AL,23,FALSE)</f>
        <v>180</v>
      </c>
      <c r="AK100" s="5">
        <f>VLOOKUP($A100,'SegEnds_NonXtal_Prot#'!$A:$AL,26,FALSE)</f>
        <v>201</v>
      </c>
      <c r="AL100" s="5">
        <f>VLOOKUP($A100,'SegEnds_NonXtal_Prot#'!$A:$AL,29,FALSE)</f>
        <v>245</v>
      </c>
      <c r="AM100" s="5">
        <f>VLOOKUP($A100,'SegEnds_NonXtal_Prot#'!$A:$AL,32,FALSE)</f>
        <v>316</v>
      </c>
      <c r="AN100" s="5">
        <f>VLOOKUP($A100,'SegEnds_NonXtal_Prot#'!$A:$AL,35,FALSE)</f>
        <v>345</v>
      </c>
      <c r="AO100" s="5">
        <f>VLOOKUP($A100,'SegEnds_NonXtal_Prot#'!$A:$AL,38,FALSE)</f>
        <v>358</v>
      </c>
      <c r="AP100" s="5">
        <f t="shared" si="38"/>
        <v>36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41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'SegEnds_NonXtal_Prot#'!A70</f>
        <v>adrb2_human</v>
      </c>
      <c r="B101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101" s="5" t="str">
        <f t="shared" si="26"/>
        <v>QERDEVWVVGMGIVMSLIVLAIVFGNVLVITAIAKF</v>
      </c>
      <c r="G101" s="4" t="str">
        <f t="shared" si="27"/>
        <v>ERLQ</v>
      </c>
      <c r="H101" s="4" t="str">
        <f t="shared" si="28"/>
        <v>TVTNYFITSLACADLVMGLAVVPFGAAHILM</v>
      </c>
      <c r="I101" s="4" t="str">
        <f t="shared" si="29"/>
        <v>MWTF</v>
      </c>
      <c r="J101" s="4" t="str">
        <f t="shared" si="30"/>
        <v>GNFWCEFWTSIDVLCVTASIETLCVIAVDRYFAITS</v>
      </c>
      <c r="K101" s="4" t="str">
        <f t="shared" si="31"/>
        <v>PFKYQSLL</v>
      </c>
      <c r="L101" s="4" t="str">
        <f t="shared" si="32"/>
        <v>TKNKARVIILMVWIVSGLTSFLPIQMH</v>
      </c>
      <c r="M101" s="4" t="str">
        <f t="shared" si="33"/>
        <v>CDF</v>
      </c>
      <c r="N101" s="4" t="str">
        <f t="shared" si="34"/>
        <v>NQAYAIASSIVSFYVPLVIMVFVYSRVFQEAKRQLQKIDKSE</v>
      </c>
      <c r="O101" s="4" t="str">
        <f t="shared" si="35"/>
        <v>SKFCLKEHKALKTLGIIMGTFTLCWLPFFIVNIVHVIQ</v>
      </c>
      <c r="P101" s="4" t="str">
        <f t="shared" si="36"/>
        <v>RKEVYILLNWIGYVNSGFNPLIYCR</v>
      </c>
      <c r="Q101" s="4" t="str">
        <f t="shared" si="37"/>
        <v>SPDFRIAFQELLC</v>
      </c>
      <c r="R101" s="5">
        <f>VLOOKUP($A101,'SegEnds_NonXtal_Prot#'!$A:$AL,3,FALSE)</f>
        <v>26</v>
      </c>
      <c r="S101" s="5">
        <f>VLOOKUP($A101,'SegEnds_NonXtal_Prot#'!$A:$AL,6,FALSE)</f>
        <v>62</v>
      </c>
      <c r="T101" s="5">
        <f>VLOOKUP($A101,'SegEnds_NonXtal_Prot#'!$A:$AL,9,FALSE)</f>
        <v>66</v>
      </c>
      <c r="U101" s="5">
        <f>VLOOKUP($A101,'SegEnds_NonXtal_Prot#'!$A:$AL,12,FALSE)</f>
        <v>98</v>
      </c>
      <c r="V101" s="5">
        <f>VLOOKUP($A101,'SegEnds_NonXtal_Prot#'!$A:$AL,15,FALSE)</f>
        <v>102</v>
      </c>
      <c r="W101" s="5">
        <f>VLOOKUP($A101,'SegEnds_NonXtal_Prot#'!$A:$AL,18,FALSE)</f>
        <v>138</v>
      </c>
      <c r="X101" s="5">
        <f>VLOOKUP($A101,'SegEnds_NonXtal_Prot#'!$A:$AL,21,FALSE)</f>
        <v>146</v>
      </c>
      <c r="Y101" s="5">
        <f>VLOOKUP($A101,'SegEnds_NonXtal_Prot#'!$A:$AL,24,FALSE)</f>
        <v>191</v>
      </c>
      <c r="Z101" s="5">
        <f>VLOOKUP($A101,'SegEnds_NonXtal_Prot#'!$A:$AL,27,FALSE)</f>
        <v>196</v>
      </c>
      <c r="AA101" s="5">
        <f>VLOOKUP($A101,'SegEnds_NonXtal_Prot#'!$A:$AL,30,FALSE)</f>
        <v>262</v>
      </c>
      <c r="AB101" s="5">
        <f>VLOOKUP($A101,'SegEnds_NonXtal_Prot#'!$A:$AL,33,FALSE)</f>
        <v>304</v>
      </c>
      <c r="AC101" s="5">
        <f>VLOOKUP($A101,'SegEnds_NonXtal_Prot#'!$A:$AL,36,FALSE)</f>
        <v>329</v>
      </c>
      <c r="AD101" s="5">
        <f>VLOOKUP($A101,'SegEnds_NonXtal_Prot#'!$A:$AL,5,FALSE)</f>
        <v>61</v>
      </c>
      <c r="AE101" s="5">
        <f>VLOOKUP($A101,'SegEnds_NonXtal_Prot#'!$A:$AL,8,FALSE)</f>
        <v>65</v>
      </c>
      <c r="AF101" s="5">
        <f>VLOOKUP($A101,'SegEnds_NonXtal_Prot#'!$A:$AL,11,FALSE)</f>
        <v>96</v>
      </c>
      <c r="AG101" s="5">
        <f>VLOOKUP($A101,'SegEnds_NonXtal_Prot#'!$A:$AL,14,FALSE)</f>
        <v>101</v>
      </c>
      <c r="AH101" s="5">
        <f>VLOOKUP($A101,'SegEnds_NonXtal_Prot#'!$A:$AL,17,FALSE)</f>
        <v>137</v>
      </c>
      <c r="AI101" s="5">
        <f>VLOOKUP($A101,'SegEnds_NonXtal_Prot#'!$A:$AL,20,FALSE)</f>
        <v>145</v>
      </c>
      <c r="AJ101" s="5">
        <f>VLOOKUP($A101,'SegEnds_NonXtal_Prot#'!$A:$AL,23,FALSE)</f>
        <v>172</v>
      </c>
      <c r="AK101" s="5">
        <f>VLOOKUP($A101,'SegEnds_NonXtal_Prot#'!$A:$AL,26,FALSE)</f>
        <v>193</v>
      </c>
      <c r="AL101" s="5">
        <f>VLOOKUP($A101,'SegEnds_NonXtal_Prot#'!$A:$AL,29,FALSE)</f>
        <v>237</v>
      </c>
      <c r="AM101" s="5">
        <f>VLOOKUP($A101,'SegEnds_NonXtal_Prot#'!$A:$AL,32,FALSE)</f>
        <v>299</v>
      </c>
      <c r="AN101" s="5">
        <f>VLOOKUP($A101,'SegEnds_NonXtal_Prot#'!$A:$AL,35,FALSE)</f>
        <v>328</v>
      </c>
      <c r="AO101" s="5">
        <f>VLOOKUP($A101,'SegEnds_NonXtal_Prot#'!$A:$AL,38,FALSE)</f>
        <v>341</v>
      </c>
      <c r="AP101" s="5">
        <f t="shared" si="38"/>
        <v>35</v>
      </c>
      <c r="AQ101" s="4">
        <f t="shared" si="39"/>
        <v>3</v>
      </c>
      <c r="AR101" s="4">
        <f t="shared" si="40"/>
        <v>30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41</v>
      </c>
      <c r="AY101" s="4">
        <f t="shared" si="47"/>
        <v>37</v>
      </c>
      <c r="AZ101" s="4">
        <f t="shared" si="48"/>
        <v>24</v>
      </c>
      <c r="BA101" s="4">
        <f t="shared" si="49"/>
        <v>12</v>
      </c>
    </row>
    <row r="102" spans="1:53" x14ac:dyDescent="0.2">
      <c r="A102" s="1" t="str">
        <f>'SegEnds_NonXtal_Prot#'!A71</f>
        <v>adrb3_human</v>
      </c>
      <c r="B102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2" s="29" t="str">
        <f>IF(ISERROR(MATCH(A102,'SegEnds_Xtal_Prot#'!B:B, 0)), "NoXtal", "Xtal")</f>
        <v>NoXtal</v>
      </c>
      <c r="D102" s="4" t="str">
        <f>VLOOKUP(A102,Classification!A:D,2,FALSE)</f>
        <v>A</v>
      </c>
      <c r="E102" s="5" t="str">
        <f>VLOOKUP(A102,Seqs!A:B,2,FALSE)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2" s="5" t="str">
        <f t="shared" si="26"/>
        <v>LPGVPWEAALAGALLALAVLATVGGNLLVIVAIAWT</v>
      </c>
      <c r="G102" s="4" t="str">
        <f t="shared" si="27"/>
        <v>PRLQ</v>
      </c>
      <c r="H102" s="4" t="str">
        <f t="shared" si="28"/>
        <v>TMTNVFVTSLAAADLVMGLLVVPPAATLALT</v>
      </c>
      <c r="I102" s="4" t="str">
        <f t="shared" si="29"/>
        <v>HWPL</v>
      </c>
      <c r="J102" s="4" t="str">
        <f t="shared" si="30"/>
        <v>GATGCELWTSVDVLCVTASIETLCALAVDRYLAVTN</v>
      </c>
      <c r="K102" s="4" t="str">
        <f t="shared" si="31"/>
        <v>PLRYGALV</v>
      </c>
      <c r="L102" s="4" t="str">
        <f t="shared" si="32"/>
        <v>TKRCARTAVVLVWVVSAAVSFAPIMSQ</v>
      </c>
      <c r="M102" s="4" t="str">
        <f t="shared" si="33"/>
        <v>CAF</v>
      </c>
      <c r="N102" s="4" t="str">
        <f t="shared" si="34"/>
        <v>NMPYVLLSSSVSFYLPLLVMLFVYARVFVVATRQLRLLRGEL</v>
      </c>
      <c r="O102" s="4" t="str">
        <f t="shared" si="35"/>
        <v>RLLPLREHRALCTLGLIMGTFTLCWLPFFLANVLRALG</v>
      </c>
      <c r="P102" s="4" t="str">
        <f t="shared" si="36"/>
        <v>PGPAFLALNWLGYANSAFNPLIYCR</v>
      </c>
      <c r="Q102" s="4" t="str">
        <f t="shared" si="37"/>
        <v>SPDFRSAFRRLLC</v>
      </c>
      <c r="R102" s="5">
        <f>VLOOKUP($A102,'SegEnds_NonXtal_Prot#'!$A:$AL,3,FALSE)</f>
        <v>30</v>
      </c>
      <c r="S102" s="5">
        <f>VLOOKUP($A102,'SegEnds_NonXtal_Prot#'!$A:$AL,6,FALSE)</f>
        <v>66</v>
      </c>
      <c r="T102" s="5">
        <f>VLOOKUP($A102,'SegEnds_NonXtal_Prot#'!$A:$AL,9,FALSE)</f>
        <v>70</v>
      </c>
      <c r="U102" s="5">
        <f>VLOOKUP($A102,'SegEnds_NonXtal_Prot#'!$A:$AL,12,FALSE)</f>
        <v>102</v>
      </c>
      <c r="V102" s="5">
        <f>VLOOKUP($A102,'SegEnds_NonXtal_Prot#'!$A:$AL,15,FALSE)</f>
        <v>106</v>
      </c>
      <c r="W102" s="5">
        <f>VLOOKUP($A102,'SegEnds_NonXtal_Prot#'!$A:$AL,18,FALSE)</f>
        <v>142</v>
      </c>
      <c r="X102" s="5">
        <f>VLOOKUP($A102,'SegEnds_NonXtal_Prot#'!$A:$AL,21,FALSE)</f>
        <v>150</v>
      </c>
      <c r="Y102" s="5">
        <f>VLOOKUP($A102,'SegEnds_NonXtal_Prot#'!$A:$AL,24,FALSE)</f>
        <v>196</v>
      </c>
      <c r="Z102" s="5">
        <f>VLOOKUP($A102,'SegEnds_NonXtal_Prot#'!$A:$AL,27,FALSE)</f>
        <v>201</v>
      </c>
      <c r="AA102" s="5">
        <f>VLOOKUP($A102,'SegEnds_NonXtal_Prot#'!$A:$AL,30,FALSE)</f>
        <v>281</v>
      </c>
      <c r="AB102" s="5">
        <f>VLOOKUP($A102,'SegEnds_NonXtal_Prot#'!$A:$AL,33,FALSE)</f>
        <v>324</v>
      </c>
      <c r="AC102" s="5">
        <f>VLOOKUP($A102,'SegEnds_NonXtal_Prot#'!$A:$AL,36,FALSE)</f>
        <v>349</v>
      </c>
      <c r="AD102" s="5">
        <f>VLOOKUP($A102,'SegEnds_NonXtal_Prot#'!$A:$AL,5,FALSE)</f>
        <v>65</v>
      </c>
      <c r="AE102" s="5">
        <f>VLOOKUP($A102,'SegEnds_NonXtal_Prot#'!$A:$AL,8,FALSE)</f>
        <v>69</v>
      </c>
      <c r="AF102" s="5">
        <f>VLOOKUP($A102,'SegEnds_NonXtal_Prot#'!$A:$AL,11,FALSE)</f>
        <v>100</v>
      </c>
      <c r="AG102" s="5">
        <f>VLOOKUP($A102,'SegEnds_NonXtal_Prot#'!$A:$AL,14,FALSE)</f>
        <v>105</v>
      </c>
      <c r="AH102" s="5">
        <f>VLOOKUP($A102,'SegEnds_NonXtal_Prot#'!$A:$AL,17,FALSE)</f>
        <v>141</v>
      </c>
      <c r="AI102" s="5">
        <f>VLOOKUP($A102,'SegEnds_NonXtal_Prot#'!$A:$AL,20,FALSE)</f>
        <v>149</v>
      </c>
      <c r="AJ102" s="5">
        <f>VLOOKUP($A102,'SegEnds_NonXtal_Prot#'!$A:$AL,23,FALSE)</f>
        <v>176</v>
      </c>
      <c r="AK102" s="5">
        <f>VLOOKUP($A102,'SegEnds_NonXtal_Prot#'!$A:$AL,26,FALSE)</f>
        <v>198</v>
      </c>
      <c r="AL102" s="5">
        <f>VLOOKUP($A102,'SegEnds_NonXtal_Prot#'!$A:$AL,29,FALSE)</f>
        <v>242</v>
      </c>
      <c r="AM102" s="5">
        <f>VLOOKUP($A102,'SegEnds_NonXtal_Prot#'!$A:$AL,32,FALSE)</f>
        <v>318</v>
      </c>
      <c r="AN102" s="5">
        <f>VLOOKUP($A102,'SegEnds_NonXtal_Prot#'!$A:$AL,35,FALSE)</f>
        <v>348</v>
      </c>
      <c r="AO102" s="5">
        <f>VLOOKUP($A102,'SegEnds_NonXtal_Prot#'!$A:$AL,38,FALSE)</f>
        <v>361</v>
      </c>
      <c r="AP102" s="5">
        <f t="shared" si="38"/>
        <v>35</v>
      </c>
      <c r="AQ102" s="4">
        <f t="shared" si="39"/>
        <v>3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41</v>
      </c>
      <c r="AY102" s="4">
        <f t="shared" si="47"/>
        <v>37</v>
      </c>
      <c r="AZ102" s="4">
        <f t="shared" si="48"/>
        <v>24</v>
      </c>
      <c r="BA102" s="4">
        <f t="shared" si="49"/>
        <v>12</v>
      </c>
    </row>
    <row r="103" spans="1:53" x14ac:dyDescent="0.2">
      <c r="A103" s="1" t="str">
        <f>'SegEnds_NonXtal_Prot#'!A72</f>
        <v>agtr1_human</v>
      </c>
      <c r="B103" s="1" t="str">
        <f t="shared" si="25"/>
        <v>YIFVMIPTLYSIIFVVGIFGNSLVVIVIYFYTVASVFLLNLALADLCFLLTLPLWAVYTAMGNYLCKIASASVSFNLYASVFLLTCLSIDRYLAIVHTMLVAKVTCIIIWLLAGLASLPAIIHRLPIGLGLTKNILGFLFPFLIILTSYTLIWKALKKAQKNKPRNDDIFKIIMAIVLFFFFSWIPHQIFTFLDVLIQLGDCRIADIVDTAMPITICIAYFNNCLNPLFYGFLGKKFKRYFLQLLKYI</v>
      </c>
      <c r="C103" s="29" t="str">
        <f>IF(ISERROR(MATCH(A103,'SegEnds_Xtal_Prot#'!B:B, 0)), "NoXtal", "Xtal")</f>
        <v>Xtal</v>
      </c>
      <c r="D103" s="4" t="str">
        <f>VLOOKUP(A103,Classification!A:D,2,FALSE)</f>
        <v>A</v>
      </c>
      <c r="E103" s="5" t="str">
        <f>VLOOKUP(A103,Seqs!A:B,2,FALSE)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3" s="5" t="str">
        <f t="shared" si="26"/>
        <v>YIFVMIPTLYSIIFVVGIFGNSLVVIVIYFY</v>
      </c>
      <c r="G103" s="4" t="str">
        <f t="shared" si="27"/>
        <v>MKLK</v>
      </c>
      <c r="H103" s="4" t="str">
        <f t="shared" si="28"/>
        <v>TVASVFLLNLALADLCFLLTLPLWAVYTAM</v>
      </c>
      <c r="I103" s="4" t="str">
        <f t="shared" si="29"/>
        <v>RWPF</v>
      </c>
      <c r="J103" s="4" t="str">
        <f t="shared" si="30"/>
        <v>GNYLCKIASASVSFNLYASVFLLTCLSIDRYLAIVH</v>
      </c>
      <c r="K103" s="4" t="str">
        <f t="shared" si="31"/>
        <v>PMKSRLRR</v>
      </c>
      <c r="L103" s="4" t="str">
        <f t="shared" si="32"/>
        <v>TMLVAKVTCIIIWLLAGLASLPAIIHR</v>
      </c>
      <c r="M103" s="4" t="str">
        <f t="shared" si="33"/>
        <v>CAF</v>
      </c>
      <c r="N103" s="4" t="str">
        <f t="shared" si="34"/>
        <v>LPIGLGLTKNILGFLFPFLIILTSYTLIWKALKKA</v>
      </c>
      <c r="O103" s="4" t="str">
        <f t="shared" si="35"/>
        <v>QKNKPRNDDIFKIIMAIVLFFFFSWIPHQIFTFLDVLIQLG</v>
      </c>
      <c r="P103" s="4" t="str">
        <f t="shared" si="36"/>
        <v>DCRIADIVDTAMPITICIAYFNNCLNPLFYGFL</v>
      </c>
      <c r="Q103" s="4" t="str">
        <f t="shared" si="37"/>
        <v>GKKFKRYFLQLLKYI</v>
      </c>
      <c r="R103" s="5">
        <f>VLOOKUP($A103,'SegEnds_NonXtal_Prot#'!$A:$AL,3,FALSE)</f>
        <v>26</v>
      </c>
      <c r="S103" s="5">
        <f>VLOOKUP($A103,'SegEnds_NonXtal_Prot#'!$A:$AL,6,FALSE)</f>
        <v>57</v>
      </c>
      <c r="T103" s="5">
        <f>VLOOKUP($A103,'SegEnds_NonXtal_Prot#'!$A:$AL,9,FALSE)</f>
        <v>61</v>
      </c>
      <c r="U103" s="5">
        <f>VLOOKUP($A103,'SegEnds_NonXtal_Prot#'!$A:$AL,12,FALSE)</f>
        <v>93</v>
      </c>
      <c r="V103" s="5">
        <f>VLOOKUP($A103,'SegEnds_NonXtal_Prot#'!$A:$AL,15,FALSE)</f>
        <v>97</v>
      </c>
      <c r="W103" s="5">
        <f>VLOOKUP($A103,'SegEnds_NonXtal_Prot#'!$A:$AL,18,FALSE)</f>
        <v>133</v>
      </c>
      <c r="X103" s="5">
        <f>VLOOKUP($A103,'SegEnds_NonXtal_Prot#'!$A:$AL,21,FALSE)</f>
        <v>141</v>
      </c>
      <c r="Y103" s="5">
        <f>VLOOKUP($A103,'SegEnds_NonXtal_Prot#'!$A:$AL,24,FALSE)</f>
        <v>180</v>
      </c>
      <c r="Z103" s="5">
        <f>VLOOKUP($A103,'SegEnds_NonXtal_Prot#'!$A:$AL,27,FALSE)</f>
        <v>191</v>
      </c>
      <c r="AA103" s="5">
        <f>VLOOKUP($A103,'SegEnds_NonXtal_Prot#'!$A:$AL,30,FALSE)</f>
        <v>229</v>
      </c>
      <c r="AB103" s="5">
        <f>VLOOKUP($A103,'SegEnds_NonXtal_Prot#'!$A:$AL,33,FALSE)</f>
        <v>273</v>
      </c>
      <c r="AC103" s="5">
        <f>VLOOKUP($A103,'SegEnds_NonXtal_Prot#'!$A:$AL,36,FALSE)</f>
        <v>306</v>
      </c>
      <c r="AD103" s="5">
        <f>VLOOKUP($A103,'SegEnds_NonXtal_Prot#'!$A:$AL,5,FALSE)</f>
        <v>56</v>
      </c>
      <c r="AE103" s="5">
        <f>VLOOKUP($A103,'SegEnds_NonXtal_Prot#'!$A:$AL,8,FALSE)</f>
        <v>60</v>
      </c>
      <c r="AF103" s="5">
        <f>VLOOKUP($A103,'SegEnds_NonXtal_Prot#'!$A:$AL,11,FALSE)</f>
        <v>90</v>
      </c>
      <c r="AG103" s="5">
        <f>VLOOKUP($A103,'SegEnds_NonXtal_Prot#'!$A:$AL,14,FALSE)</f>
        <v>96</v>
      </c>
      <c r="AH103" s="5">
        <f>VLOOKUP($A103,'SegEnds_NonXtal_Prot#'!$A:$AL,17,FALSE)</f>
        <v>132</v>
      </c>
      <c r="AI103" s="5">
        <f>VLOOKUP($A103,'SegEnds_NonXtal_Prot#'!$A:$AL,20,FALSE)</f>
        <v>140</v>
      </c>
      <c r="AJ103" s="5">
        <f>VLOOKUP($A103,'SegEnds_NonXtal_Prot#'!$A:$AL,23,FALSE)</f>
        <v>167</v>
      </c>
      <c r="AK103" s="5">
        <f>VLOOKUP($A103,'SegEnds_NonXtal_Prot#'!$A:$AL,26,FALSE)</f>
        <v>182</v>
      </c>
      <c r="AL103" s="5">
        <f>VLOOKUP($A103,'SegEnds_NonXtal_Prot#'!$A:$AL,29,FALSE)</f>
        <v>225</v>
      </c>
      <c r="AM103" s="5">
        <f>VLOOKUP($A103,'SegEnds_NonXtal_Prot#'!$A:$AL,32,FALSE)</f>
        <v>269</v>
      </c>
      <c r="AN103" s="5">
        <f>VLOOKUP($A103,'SegEnds_NonXtal_Prot#'!$A:$AL,35,FALSE)</f>
        <v>305</v>
      </c>
      <c r="AO103" s="5">
        <f>VLOOKUP($A103,'SegEnds_NonXtal_Prot#'!$A:$AL,38,FALSE)</f>
        <v>320</v>
      </c>
      <c r="AP103" s="5">
        <f t="shared" si="38"/>
        <v>30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40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'SegEnds_NonXtal_Prot#'!A73</f>
        <v>apj_human</v>
      </c>
      <c r="B104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4" s="29" t="str">
        <f>IF(ISERROR(MATCH(A104,'SegEnds_Xtal_Prot#'!B:B, 0)), "NoXtal", "Xtal")</f>
        <v>Xtal</v>
      </c>
      <c r="D104" s="4" t="str">
        <f>VLOOKUP(A104,Classification!A:D,2,FALSE)</f>
        <v>A</v>
      </c>
      <c r="E104" s="5" t="str">
        <f>VLOOKUP(A104,Seqs!A:B,2,FALSE)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4" s="5" t="str">
        <f t="shared" si="26"/>
        <v>ALIPAIYMLVFLLGTTGNGLVLWTVFRS</v>
      </c>
      <c r="G104" s="4" t="str">
        <f t="shared" si="27"/>
        <v>SREKR</v>
      </c>
      <c r="H104" s="4" t="str">
        <f t="shared" si="28"/>
        <v>RSADIFIASLAVADLTFVVTLPLWATYTYRD</v>
      </c>
      <c r="I104" s="4" t="str">
        <f t="shared" si="29"/>
        <v>DWPF</v>
      </c>
      <c r="J104" s="4" t="str">
        <f t="shared" si="30"/>
        <v>GTFFCKLSSYLIFVNMYASVFCLTGLSFDRYLAIVR</v>
      </c>
      <c r="K104" s="4" t="str">
        <f t="shared" si="31"/>
        <v>PVANARLR</v>
      </c>
      <c r="L104" s="4" t="str">
        <f t="shared" si="32"/>
        <v>LRVSGAVATAVLWVLAALLAMPVMVLR</v>
      </c>
      <c r="M104" s="4" t="str">
        <f t="shared" si="33"/>
        <v>CYM</v>
      </c>
      <c r="N104" s="4" t="str">
        <f t="shared" si="34"/>
        <v>SEWAWEVGLGVSSTTVGFVVPFTIMLTCYFFIAQTIAGHFRKE</v>
      </c>
      <c r="O104" s="4" t="str">
        <f t="shared" si="35"/>
        <v>KRRRLLSIIVVLVVTFALCWMPYHLVKTLYMLGSL</v>
      </c>
      <c r="P104" s="4" t="str">
        <f t="shared" si="36"/>
        <v>PCDFDLFLMNIFPYCTCISYVNSCLNPFLYAFF</v>
      </c>
      <c r="Q104" s="4" t="str">
        <f t="shared" si="37"/>
        <v>DPRFRQACTSMLCCG</v>
      </c>
      <c r="R104" s="5">
        <f>VLOOKUP($A104,'SegEnds_NonXtal_Prot#'!$A:$AL,3,FALSE)</f>
        <v>29</v>
      </c>
      <c r="S104" s="5">
        <f>VLOOKUP($A104,'SegEnds_NonXtal_Prot#'!$A:$AL,6,FALSE)</f>
        <v>57</v>
      </c>
      <c r="T104" s="5">
        <f>VLOOKUP($A104,'SegEnds_NonXtal_Prot#'!$A:$AL,9,FALSE)</f>
        <v>62</v>
      </c>
      <c r="U104" s="5">
        <f>VLOOKUP($A104,'SegEnds_NonXtal_Prot#'!$A:$AL,12,FALSE)</f>
        <v>94</v>
      </c>
      <c r="V104" s="5">
        <f>VLOOKUP($A104,'SegEnds_NonXtal_Prot#'!$A:$AL,15,FALSE)</f>
        <v>98</v>
      </c>
      <c r="W104" s="5">
        <f>VLOOKUP($A104,'SegEnds_NonXtal_Prot#'!$A:$AL,18,FALSE)</f>
        <v>134</v>
      </c>
      <c r="X104" s="5">
        <f>VLOOKUP($A104,'SegEnds_NonXtal_Prot#'!$A:$AL,21,FALSE)</f>
        <v>142</v>
      </c>
      <c r="Y104" s="5">
        <f>VLOOKUP($A104,'SegEnds_NonXtal_Prot#'!$A:$AL,24,FALSE)</f>
        <v>181</v>
      </c>
      <c r="Z104" s="5">
        <f>VLOOKUP($A104,'SegEnds_NonXtal_Prot#'!$A:$AL,27,FALSE)</f>
        <v>193</v>
      </c>
      <c r="AA104" s="5">
        <f>VLOOKUP($A104,'SegEnds_NonXtal_Prot#'!$A:$AL,30,FALSE)</f>
        <v>242</v>
      </c>
      <c r="AB104" s="5">
        <f>VLOOKUP($A104,'SegEnds_NonXtal_Prot#'!$A:$AL,33,FALSE)</f>
        <v>280</v>
      </c>
      <c r="AC104" s="5">
        <f>VLOOKUP($A104,'SegEnds_NonXtal_Prot#'!$A:$AL,36,FALSE)</f>
        <v>313</v>
      </c>
      <c r="AD104" s="5">
        <f>VLOOKUP($A104,'SegEnds_NonXtal_Prot#'!$A:$AL,5,FALSE)</f>
        <v>56</v>
      </c>
      <c r="AE104" s="5">
        <f>VLOOKUP($A104,'SegEnds_NonXtal_Prot#'!$A:$AL,8,FALSE)</f>
        <v>61</v>
      </c>
      <c r="AF104" s="5">
        <f>VLOOKUP($A104,'SegEnds_NonXtal_Prot#'!$A:$AL,11,FALSE)</f>
        <v>92</v>
      </c>
      <c r="AG104" s="5">
        <f>VLOOKUP($A104,'SegEnds_NonXtal_Prot#'!$A:$AL,14,FALSE)</f>
        <v>97</v>
      </c>
      <c r="AH104" s="5">
        <f>VLOOKUP($A104,'SegEnds_NonXtal_Prot#'!$A:$AL,17,FALSE)</f>
        <v>133</v>
      </c>
      <c r="AI104" s="5">
        <f>VLOOKUP($A104,'SegEnds_NonXtal_Prot#'!$A:$AL,20,FALSE)</f>
        <v>141</v>
      </c>
      <c r="AJ104" s="5">
        <f>VLOOKUP($A104,'SegEnds_NonXtal_Prot#'!$A:$AL,23,FALSE)</f>
        <v>168</v>
      </c>
      <c r="AK104" s="5">
        <f>VLOOKUP($A104,'SegEnds_NonXtal_Prot#'!$A:$AL,26,FALSE)</f>
        <v>183</v>
      </c>
      <c r="AL104" s="5">
        <f>VLOOKUP($A104,'SegEnds_NonXtal_Prot#'!$A:$AL,29,FALSE)</f>
        <v>235</v>
      </c>
      <c r="AM104" s="5">
        <f>VLOOKUP($A104,'SegEnds_NonXtal_Prot#'!$A:$AL,32,FALSE)</f>
        <v>276</v>
      </c>
      <c r="AN104" s="5">
        <f>VLOOKUP($A104,'SegEnds_NonXtal_Prot#'!$A:$AL,35,FALSE)</f>
        <v>312</v>
      </c>
      <c r="AO104" s="5">
        <f>VLOOKUP($A104,'SegEnds_NonXtal_Prot#'!$A:$AL,38,FALSE)</f>
        <v>327</v>
      </c>
      <c r="AP104" s="5">
        <f t="shared" si="38"/>
        <v>27</v>
      </c>
      <c r="AQ104" s="4">
        <f t="shared" si="39"/>
        <v>4</v>
      </c>
      <c r="AR104" s="4">
        <f t="shared" si="40"/>
        <v>30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42</v>
      </c>
      <c r="AY104" s="4">
        <f t="shared" si="47"/>
        <v>34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'SegEnds_NonXtal_Prot#'!A74</f>
        <v>bkrb1_human</v>
      </c>
      <c r="B105" s="1" t="str">
        <f t="shared" si="25"/>
        <v>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5" s="5" t="str">
        <f t="shared" si="26"/>
        <v>LLHRVLPTFIISICFFGLLGNLFVLLVFLLP</v>
      </c>
      <c r="G105" s="4" t="str">
        <f t="shared" si="27"/>
        <v>RRQL</v>
      </c>
      <c r="H105" s="4" t="str">
        <f t="shared" si="28"/>
        <v>NVAEIYLANLAASDLVFVLGLPFWAENIWN</v>
      </c>
      <c r="I105" s="4" t="str">
        <f t="shared" si="29"/>
        <v>NWPF</v>
      </c>
      <c r="J105" s="4" t="str">
        <f t="shared" si="30"/>
        <v>GALLCRVINGVIKANLFISIFLVVAISQDRYRVLVH</v>
      </c>
      <c r="K105" s="4" t="str">
        <f t="shared" si="31"/>
        <v>PMASRRQQ</v>
      </c>
      <c r="L105" s="4" t="str">
        <f t="shared" si="32"/>
        <v>RRRQARVTCVLIWVVGGLLSIPTFLLR</v>
      </c>
      <c r="M105" s="4" t="str">
        <f t="shared" si="33"/>
        <v>CIL</v>
      </c>
      <c r="N105" s="4" t="str">
        <f t="shared" si="34"/>
        <v>WHFARIVELNILGFLLPLAAIVFFNYHILASLRTR</v>
      </c>
      <c r="O105" s="4" t="str">
        <f t="shared" si="35"/>
        <v>TRCGGRKDSKTTALILTLVVAFLVCWAPYHFFAFLEFLFQVQ</v>
      </c>
      <c r="P105" s="4" t="str">
        <f t="shared" si="36"/>
        <v>GCFWEDFIDLGLQLANFFAFTNSSLNPVIYVFV</v>
      </c>
      <c r="Q105" s="4" t="str">
        <f t="shared" si="37"/>
        <v>GRLFRTKVWELYKQC</v>
      </c>
      <c r="R105" s="5">
        <f>VLOOKUP($A105,'SegEnds_NonXtal_Prot#'!$A:$AL,3,FALSE)</f>
        <v>35</v>
      </c>
      <c r="S105" s="5">
        <f>VLOOKUP($A105,'SegEnds_NonXtal_Prot#'!$A:$AL,6,FALSE)</f>
        <v>66</v>
      </c>
      <c r="T105" s="5">
        <f>VLOOKUP($A105,'SegEnds_NonXtal_Prot#'!$A:$AL,9,FALSE)</f>
        <v>70</v>
      </c>
      <c r="U105" s="5">
        <f>VLOOKUP($A105,'SegEnds_NonXtal_Prot#'!$A:$AL,12,FALSE)</f>
        <v>102</v>
      </c>
      <c r="V105" s="5">
        <f>VLOOKUP($A105,'SegEnds_NonXtal_Prot#'!$A:$AL,15,FALSE)</f>
        <v>106</v>
      </c>
      <c r="W105" s="5">
        <f>VLOOKUP($A105,'SegEnds_NonXtal_Prot#'!$A:$AL,18,FALSE)</f>
        <v>142</v>
      </c>
      <c r="X105" s="5">
        <f>VLOOKUP($A105,'SegEnds_NonXtal_Prot#'!$A:$AL,21,FALSE)</f>
        <v>150</v>
      </c>
      <c r="Y105" s="5">
        <f>VLOOKUP($A105,'SegEnds_NonXtal_Prot#'!$A:$AL,24,FALSE)</f>
        <v>189</v>
      </c>
      <c r="Z105" s="5">
        <f>VLOOKUP($A105,'SegEnds_NonXtal_Prot#'!$A:$AL,27,FALSE)</f>
        <v>198</v>
      </c>
      <c r="AA105" s="5">
        <f>VLOOKUP($A105,'SegEnds_NonXtal_Prot#'!$A:$AL,30,FALSE)</f>
        <v>238</v>
      </c>
      <c r="AB105" s="5">
        <f>VLOOKUP($A105,'SegEnds_NonXtal_Prot#'!$A:$AL,33,FALSE)</f>
        <v>283</v>
      </c>
      <c r="AC105" s="5">
        <f>VLOOKUP($A105,'SegEnds_NonXtal_Prot#'!$A:$AL,36,FALSE)</f>
        <v>316</v>
      </c>
      <c r="AD105" s="5">
        <f>VLOOKUP($A105,'SegEnds_NonXtal_Prot#'!$A:$AL,5,FALSE)</f>
        <v>65</v>
      </c>
      <c r="AE105" s="5">
        <f>VLOOKUP($A105,'SegEnds_NonXtal_Prot#'!$A:$AL,8,FALSE)</f>
        <v>69</v>
      </c>
      <c r="AF105" s="5">
        <f>VLOOKUP($A105,'SegEnds_NonXtal_Prot#'!$A:$AL,11,FALSE)</f>
        <v>99</v>
      </c>
      <c r="AG105" s="5">
        <f>VLOOKUP($A105,'SegEnds_NonXtal_Prot#'!$A:$AL,14,FALSE)</f>
        <v>105</v>
      </c>
      <c r="AH105" s="5">
        <f>VLOOKUP($A105,'SegEnds_NonXtal_Prot#'!$A:$AL,17,FALSE)</f>
        <v>141</v>
      </c>
      <c r="AI105" s="5">
        <f>VLOOKUP($A105,'SegEnds_NonXtal_Prot#'!$A:$AL,20,FALSE)</f>
        <v>149</v>
      </c>
      <c r="AJ105" s="5">
        <f>VLOOKUP($A105,'SegEnds_NonXtal_Prot#'!$A:$AL,23,FALSE)</f>
        <v>176</v>
      </c>
      <c r="AK105" s="5">
        <f>VLOOKUP($A105,'SegEnds_NonXtal_Prot#'!$A:$AL,26,FALSE)</f>
        <v>191</v>
      </c>
      <c r="AL105" s="5">
        <f>VLOOKUP($A105,'SegEnds_NonXtal_Prot#'!$A:$AL,29,FALSE)</f>
        <v>232</v>
      </c>
      <c r="AM105" s="5">
        <f>VLOOKUP($A105,'SegEnds_NonXtal_Prot#'!$A:$AL,32,FALSE)</f>
        <v>279</v>
      </c>
      <c r="AN105" s="5">
        <f>VLOOKUP($A105,'SegEnds_NonXtal_Prot#'!$A:$AL,35,FALSE)</f>
        <v>315</v>
      </c>
      <c r="AO105" s="5">
        <f>VLOOKUP($A105,'SegEnds_NonXtal_Prot#'!$A:$AL,38,FALSE)</f>
        <v>330</v>
      </c>
      <c r="AP105" s="5">
        <f t="shared" si="38"/>
        <v>30</v>
      </c>
      <c r="AQ105" s="4">
        <f t="shared" si="39"/>
        <v>3</v>
      </c>
      <c r="AR105" s="4">
        <f t="shared" si="40"/>
        <v>29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34</v>
      </c>
      <c r="AY105" s="4">
        <f t="shared" si="47"/>
        <v>41</v>
      </c>
      <c r="AZ105" s="4">
        <f t="shared" si="48"/>
        <v>32</v>
      </c>
      <c r="BA105" s="4">
        <f t="shared" si="49"/>
        <v>14</v>
      </c>
    </row>
    <row r="106" spans="1:53" x14ac:dyDescent="0.2">
      <c r="A106" s="1" t="str">
        <f>'SegEnds_NonXtal_Prot#'!A75</f>
        <v>bkrb2_human</v>
      </c>
      <c r="B106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6" s="5" t="str">
        <f t="shared" si="26"/>
        <v>TIQPPFLWVLFVLATLENIFVLSVFCLH</v>
      </c>
      <c r="G106" s="4" t="str">
        <f t="shared" si="27"/>
        <v>KSSC</v>
      </c>
      <c r="H106" s="4" t="str">
        <f t="shared" si="28"/>
        <v>TVAEIYLGNLAAADLILACGLPFWAITISN</v>
      </c>
      <c r="I106" s="4" t="str">
        <f t="shared" si="29"/>
        <v>DWLF</v>
      </c>
      <c r="J106" s="4" t="str">
        <f t="shared" si="30"/>
        <v>GETLCRVVNAIISMNLYSSICFLMLVSIDRYLALVK</v>
      </c>
      <c r="K106" s="4" t="str">
        <f t="shared" si="31"/>
        <v>TMSMGRMR</v>
      </c>
      <c r="L106" s="4" t="str">
        <f t="shared" si="32"/>
        <v>GVRWAKLYSLVIWGCTLLLSSPMLVFR</v>
      </c>
      <c r="M106" s="4" t="str">
        <f t="shared" si="33"/>
        <v>CVI</v>
      </c>
      <c r="N106" s="4" t="str">
        <f t="shared" si="34"/>
        <v>PSLIWEVFTNMLLNVVGFLLPLSVITFCTMQIMQVLRNN</v>
      </c>
      <c r="O106" s="4" t="str">
        <f t="shared" si="35"/>
        <v>FKEIQTERRATVLVLVVLLLFIICWLPFQISTFLDTLHRLG</v>
      </c>
      <c r="P106" s="4" t="str">
        <f t="shared" si="36"/>
        <v>SCQDERIIDVITQIASFMAYSNSCLNPLVYVIV</v>
      </c>
      <c r="Q106" s="4" t="str">
        <f t="shared" si="37"/>
        <v>GKRFRKKSWEVYQGV</v>
      </c>
      <c r="R106" s="5">
        <f>VLOOKUP($A106,'SegEnds_NonXtal_Prot#'!$A:$AL,3,FALSE)</f>
        <v>58</v>
      </c>
      <c r="S106" s="5">
        <f>VLOOKUP($A106,'SegEnds_NonXtal_Prot#'!$A:$AL,6,FALSE)</f>
        <v>86</v>
      </c>
      <c r="T106" s="5">
        <f>VLOOKUP($A106,'SegEnds_NonXtal_Prot#'!$A:$AL,9,FALSE)</f>
        <v>90</v>
      </c>
      <c r="U106" s="5">
        <f>VLOOKUP($A106,'SegEnds_NonXtal_Prot#'!$A:$AL,12,FALSE)</f>
        <v>122</v>
      </c>
      <c r="V106" s="5">
        <f>VLOOKUP($A106,'SegEnds_NonXtal_Prot#'!$A:$AL,15,FALSE)</f>
        <v>126</v>
      </c>
      <c r="W106" s="5">
        <f>VLOOKUP($A106,'SegEnds_NonXtal_Prot#'!$A:$AL,18,FALSE)</f>
        <v>162</v>
      </c>
      <c r="X106" s="5">
        <f>VLOOKUP($A106,'SegEnds_NonXtal_Prot#'!$A:$AL,21,FALSE)</f>
        <v>170</v>
      </c>
      <c r="Y106" s="5">
        <f>VLOOKUP($A106,'SegEnds_NonXtal_Prot#'!$A:$AL,24,FALSE)</f>
        <v>211</v>
      </c>
      <c r="Z106" s="5">
        <f>VLOOKUP($A106,'SegEnds_NonXtal_Prot#'!$A:$AL,27,FALSE)</f>
        <v>216</v>
      </c>
      <c r="AA106" s="5">
        <f>VLOOKUP($A106,'SegEnds_NonXtal_Prot#'!$A:$AL,30,FALSE)</f>
        <v>259</v>
      </c>
      <c r="AB106" s="5">
        <f>VLOOKUP($A106,'SegEnds_NonXtal_Prot#'!$A:$AL,33,FALSE)</f>
        <v>303</v>
      </c>
      <c r="AC106" s="5">
        <f>VLOOKUP($A106,'SegEnds_NonXtal_Prot#'!$A:$AL,36,FALSE)</f>
        <v>336</v>
      </c>
      <c r="AD106" s="5">
        <f>VLOOKUP($A106,'SegEnds_NonXtal_Prot#'!$A:$AL,5,FALSE)</f>
        <v>85</v>
      </c>
      <c r="AE106" s="5">
        <f>VLOOKUP($A106,'SegEnds_NonXtal_Prot#'!$A:$AL,8,FALSE)</f>
        <v>89</v>
      </c>
      <c r="AF106" s="5">
        <f>VLOOKUP($A106,'SegEnds_NonXtal_Prot#'!$A:$AL,11,FALSE)</f>
        <v>119</v>
      </c>
      <c r="AG106" s="5">
        <f>VLOOKUP($A106,'SegEnds_NonXtal_Prot#'!$A:$AL,14,FALSE)</f>
        <v>125</v>
      </c>
      <c r="AH106" s="5">
        <f>VLOOKUP($A106,'SegEnds_NonXtal_Prot#'!$A:$AL,17,FALSE)</f>
        <v>161</v>
      </c>
      <c r="AI106" s="5">
        <f>VLOOKUP($A106,'SegEnds_NonXtal_Prot#'!$A:$AL,20,FALSE)</f>
        <v>169</v>
      </c>
      <c r="AJ106" s="5">
        <f>VLOOKUP($A106,'SegEnds_NonXtal_Prot#'!$A:$AL,23,FALSE)</f>
        <v>196</v>
      </c>
      <c r="AK106" s="5">
        <f>VLOOKUP($A106,'SegEnds_NonXtal_Prot#'!$A:$AL,26,FALSE)</f>
        <v>213</v>
      </c>
      <c r="AL106" s="5">
        <f>VLOOKUP($A106,'SegEnds_NonXtal_Prot#'!$A:$AL,29,FALSE)</f>
        <v>254</v>
      </c>
      <c r="AM106" s="5">
        <f>VLOOKUP($A106,'SegEnds_NonXtal_Prot#'!$A:$AL,32,FALSE)</f>
        <v>299</v>
      </c>
      <c r="AN106" s="5">
        <f>VLOOKUP($A106,'SegEnds_NonXtal_Prot#'!$A:$AL,35,FALSE)</f>
        <v>335</v>
      </c>
      <c r="AO106" s="5">
        <f>VLOOKUP($A106,'SegEnds_NonXtal_Prot#'!$A:$AL,38,FALSE)</f>
        <v>350</v>
      </c>
      <c r="AP106" s="5">
        <f t="shared" si="38"/>
        <v>27</v>
      </c>
      <c r="AQ106" s="4">
        <f t="shared" si="39"/>
        <v>3</v>
      </c>
      <c r="AR106" s="4">
        <f t="shared" si="40"/>
        <v>29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38</v>
      </c>
      <c r="AY106" s="4">
        <f t="shared" si="47"/>
        <v>40</v>
      </c>
      <c r="AZ106" s="4">
        <f t="shared" si="48"/>
        <v>32</v>
      </c>
      <c r="BA106" s="4">
        <f t="shared" si="49"/>
        <v>14</v>
      </c>
    </row>
    <row r="107" spans="1:53" x14ac:dyDescent="0.2">
      <c r="A107" s="1" t="str">
        <f>'SegEnds_NonXtal_Prot#'!A76</f>
        <v>brs3_human</v>
      </c>
      <c r="B107" s="1" t="str">
        <f t="shared" si="25"/>
        <v>SGDNSPGIEALCAIYITYAVIISVGILGNAILIKVFFKTTVPNIFITSLAFGDLLLLLTCVPVDATHYLAGRIGCKVLSFIRLTSVGVSVFTLTILSADRYKAVVKAILKTCVKAGCVWIVSMIFALPEAIFSVSKKLLQEIHSLLCFLVFYIIPLSIISVYYSLIARTLYKSTLNIRKQIESRKRIARTVLVLVALFALCWLPNHLLYLYHSFTSAMHFIFTIFSRVLAFSNSCVNPFALYWLSKSFQKHFKAQLFC</v>
      </c>
      <c r="C107" s="29" t="str">
        <f>IF(ISERROR(MATCH(A107,'SegEnds_Xtal_Prot#'!B:B, 0)), "NoXtal", "Xtal")</f>
        <v>NoXtal</v>
      </c>
      <c r="D107" s="4" t="str">
        <f>VLOOKUP(A107,Classification!A:D,2,FALSE)</f>
        <v>A</v>
      </c>
      <c r="E107" s="5" t="str">
        <f>VLOOKUP(A107,Seqs!A:B,2,FALSE)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7" s="5" t="str">
        <f t="shared" si="26"/>
        <v>SGDNSPGIEALCAIYITYAVIISVGILGNAILIKVFFKT</v>
      </c>
      <c r="G107" s="4" t="str">
        <f t="shared" si="27"/>
        <v>KSMQ</v>
      </c>
      <c r="H107" s="4" t="str">
        <f t="shared" si="28"/>
        <v>TVPNIFITSLAFGDLLLLLTCVPVDATHYLA</v>
      </c>
      <c r="I107" s="4" t="str">
        <f t="shared" si="29"/>
        <v>GWLF</v>
      </c>
      <c r="J107" s="4" t="str">
        <f t="shared" si="30"/>
        <v>GRIGCKVLSFIRLTSVGVSVFTLTILSADRYKAVVK</v>
      </c>
      <c r="K107" s="4" t="str">
        <f t="shared" si="31"/>
        <v>PLERQPSN</v>
      </c>
      <c r="L107" s="4" t="str">
        <f t="shared" si="32"/>
        <v>AILKTCVKAGCVWIVSMIFALPEAIFS</v>
      </c>
      <c r="M107" s="4" t="str">
        <f t="shared" si="33"/>
        <v>CTS</v>
      </c>
      <c r="N107" s="4" t="str">
        <f t="shared" si="34"/>
        <v>VSKKLLQEIHSLLCFLVFYIIPLSIISVYYSLIARTLYKSTLNI</v>
      </c>
      <c r="O107" s="4" t="str">
        <f t="shared" si="35"/>
        <v>RKQIESRKRIARTVLVLVALFALCWLPNHLLYLYHSFT</v>
      </c>
      <c r="P107" s="4" t="str">
        <f t="shared" si="36"/>
        <v>SAMHFIFTIFSRVLAFSNSCVNPFALYWL</v>
      </c>
      <c r="Q107" s="4" t="str">
        <f t="shared" si="37"/>
        <v>SKSFQKHFKAQLFC</v>
      </c>
      <c r="R107" s="5">
        <f>VLOOKUP($A107,'SegEnds_NonXtal_Prot#'!$A:$AL,3,FALSE)</f>
        <v>37</v>
      </c>
      <c r="S107" s="5">
        <f>VLOOKUP($A107,'SegEnds_NonXtal_Prot#'!$A:$AL,6,FALSE)</f>
        <v>76</v>
      </c>
      <c r="T107" s="5">
        <f>VLOOKUP($A107,'SegEnds_NonXtal_Prot#'!$A:$AL,9,FALSE)</f>
        <v>80</v>
      </c>
      <c r="U107" s="5">
        <f>VLOOKUP($A107,'SegEnds_NonXtal_Prot#'!$A:$AL,12,FALSE)</f>
        <v>112</v>
      </c>
      <c r="V107" s="5">
        <f>VLOOKUP($A107,'SegEnds_NonXtal_Prot#'!$A:$AL,15,FALSE)</f>
        <v>116</v>
      </c>
      <c r="W107" s="5">
        <f>VLOOKUP($A107,'SegEnds_NonXtal_Prot#'!$A:$AL,18,FALSE)</f>
        <v>152</v>
      </c>
      <c r="X107" s="5">
        <f>VLOOKUP($A107,'SegEnds_NonXtal_Prot#'!$A:$AL,21,FALSE)</f>
        <v>160</v>
      </c>
      <c r="Y107" s="5">
        <f>VLOOKUP($A107,'SegEnds_NonXtal_Prot#'!$A:$AL,24,FALSE)</f>
        <v>203</v>
      </c>
      <c r="Z107" s="5">
        <f>VLOOKUP($A107,'SegEnds_NonXtal_Prot#'!$A:$AL,27,FALSE)</f>
        <v>208</v>
      </c>
      <c r="AA107" s="5">
        <f>VLOOKUP($A107,'SegEnds_NonXtal_Prot#'!$A:$AL,30,FALSE)</f>
        <v>260</v>
      </c>
      <c r="AB107" s="5">
        <f>VLOOKUP($A107,'SegEnds_NonXtal_Prot#'!$A:$AL,33,FALSE)</f>
        <v>305</v>
      </c>
      <c r="AC107" s="5">
        <f>VLOOKUP($A107,'SegEnds_NonXtal_Prot#'!$A:$AL,36,FALSE)</f>
        <v>334</v>
      </c>
      <c r="AD107" s="5">
        <f>VLOOKUP($A107,'SegEnds_NonXtal_Prot#'!$A:$AL,5,FALSE)</f>
        <v>75</v>
      </c>
      <c r="AE107" s="5">
        <f>VLOOKUP($A107,'SegEnds_NonXtal_Prot#'!$A:$AL,8,FALSE)</f>
        <v>79</v>
      </c>
      <c r="AF107" s="5">
        <f>VLOOKUP($A107,'SegEnds_NonXtal_Prot#'!$A:$AL,11,FALSE)</f>
        <v>110</v>
      </c>
      <c r="AG107" s="5">
        <f>VLOOKUP($A107,'SegEnds_NonXtal_Prot#'!$A:$AL,14,FALSE)</f>
        <v>115</v>
      </c>
      <c r="AH107" s="5">
        <f>VLOOKUP($A107,'SegEnds_NonXtal_Prot#'!$A:$AL,17,FALSE)</f>
        <v>151</v>
      </c>
      <c r="AI107" s="5">
        <f>VLOOKUP($A107,'SegEnds_NonXtal_Prot#'!$A:$AL,20,FALSE)</f>
        <v>159</v>
      </c>
      <c r="AJ107" s="5">
        <f>VLOOKUP($A107,'SegEnds_NonXtal_Prot#'!$A:$AL,23,FALSE)</f>
        <v>186</v>
      </c>
      <c r="AK107" s="5">
        <f>VLOOKUP($A107,'SegEnds_NonXtal_Prot#'!$A:$AL,26,FALSE)</f>
        <v>205</v>
      </c>
      <c r="AL107" s="5">
        <f>VLOOKUP($A107,'SegEnds_NonXtal_Prot#'!$A:$AL,29,FALSE)</f>
        <v>251</v>
      </c>
      <c r="AM107" s="5">
        <f>VLOOKUP($A107,'SegEnds_NonXtal_Prot#'!$A:$AL,32,FALSE)</f>
        <v>297</v>
      </c>
      <c r="AN107" s="5">
        <f>VLOOKUP($A107,'SegEnds_NonXtal_Prot#'!$A:$AL,35,FALSE)</f>
        <v>333</v>
      </c>
      <c r="AO107" s="5">
        <f>VLOOKUP($A107,'SegEnds_NonXtal_Prot#'!$A:$AL,38,FALSE)</f>
        <v>347</v>
      </c>
      <c r="AP107" s="5">
        <f t="shared" si="38"/>
        <v>38</v>
      </c>
      <c r="AQ107" s="4">
        <f t="shared" si="39"/>
        <v>3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43</v>
      </c>
      <c r="AY107" s="4">
        <f t="shared" si="47"/>
        <v>37</v>
      </c>
      <c r="AZ107" s="4">
        <f t="shared" si="48"/>
        <v>28</v>
      </c>
      <c r="BA107" s="4">
        <f t="shared" si="49"/>
        <v>13</v>
      </c>
    </row>
    <row r="108" spans="1:53" x14ac:dyDescent="0.2">
      <c r="A108" s="1" t="str">
        <f>'SegEnds_NonXtal_Prot#'!A77</f>
        <v>c3ar_human</v>
      </c>
      <c r="B108" s="1" t="str">
        <f t="shared" si="25"/>
        <v>PPVILSMVILSLTFLLGLPGNGLVLWVAGLKTVNTIWFLHLTLADLLCCLSLPFSLAHLALGRFLCKLIPSIIVLNMFASVFLLTAISLDRCLVVFKNVGMACSICGCIWVVAFVMCIPVFVYRPLVAITITRLVVGFLLPSVIMIACYSFIVFRMQRGKSQSKTFRVAVVVVAVFLVCWTPYHIFGVLSLLTGKTLMSWDHVCIALASANSCFNPFLYALLGKDFRKKARQSIQGI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8" s="5" t="str">
        <f t="shared" si="26"/>
        <v>PPVILSMVILSLTFLLGLPGNGLVLWVAGLK</v>
      </c>
      <c r="G108" s="4" t="str">
        <f t="shared" si="27"/>
        <v/>
      </c>
      <c r="H108" s="4" t="str">
        <f t="shared" si="28"/>
        <v>TVNTIWFLHLTLADLLCCLSLPFSLAHLAL</v>
      </c>
      <c r="I108" s="4" t="str">
        <f t="shared" si="29"/>
        <v>QWPY</v>
      </c>
      <c r="J108" s="4" t="str">
        <f t="shared" si="30"/>
        <v>GRFLCKLIPSIIVLNMFASVFLLTAISLDRCLVVFK</v>
      </c>
      <c r="K108" s="4" t="str">
        <f t="shared" si="31"/>
        <v>PIWCQNHR</v>
      </c>
      <c r="L108" s="4" t="str">
        <f t="shared" si="32"/>
        <v>NVGMACSICGCIWVVAFVMCIPVFVYR</v>
      </c>
      <c r="M108" s="4" t="str">
        <f t="shared" si="33"/>
        <v>CGY</v>
      </c>
      <c r="N108" s="4" t="str">
        <f t="shared" si="34"/>
        <v>PLVAITITRLVVGFLLPSVIMIACYSFIVFRMQRG</v>
      </c>
      <c r="O108" s="4" t="str">
        <f t="shared" si="35"/>
        <v>KSQSKTFRVAVVVVAVFLVCWTPYHIFGVLSLLT</v>
      </c>
      <c r="P108" s="4" t="str">
        <f t="shared" si="36"/>
        <v>GKTLMSWDHVCIALASANSCFNPFLYALL</v>
      </c>
      <c r="Q108" s="4" t="str">
        <f t="shared" si="37"/>
        <v>GKDFRKKARQSIQGI</v>
      </c>
      <c r="R108" s="5">
        <f>VLOOKUP($A108,'SegEnds_NonXtal_Prot#'!$A:$AL,3,FALSE)</f>
        <v>21</v>
      </c>
      <c r="S108" s="5" t="str">
        <f>VLOOKUP($A108,'SegEnds_NonXtal_Prot#'!$A:$AL,6,FALSE)</f>
        <v>-</v>
      </c>
      <c r="T108" s="5">
        <f>VLOOKUP($A108,'SegEnds_NonXtal_Prot#'!$A:$AL,9,FALSE)</f>
        <v>55</v>
      </c>
      <c r="U108" s="5">
        <f>VLOOKUP($A108,'SegEnds_NonXtal_Prot#'!$A:$AL,12,FALSE)</f>
        <v>87</v>
      </c>
      <c r="V108" s="5">
        <f>VLOOKUP($A108,'SegEnds_NonXtal_Prot#'!$A:$AL,15,FALSE)</f>
        <v>91</v>
      </c>
      <c r="W108" s="5">
        <f>VLOOKUP($A108,'SegEnds_NonXtal_Prot#'!$A:$AL,18,FALSE)</f>
        <v>127</v>
      </c>
      <c r="X108" s="5">
        <f>VLOOKUP($A108,'SegEnds_NonXtal_Prot#'!$A:$AL,21,FALSE)</f>
        <v>135</v>
      </c>
      <c r="Y108" s="5">
        <f>VLOOKUP($A108,'SegEnds_NonXtal_Prot#'!$A:$AL,24,FALSE)</f>
        <v>172</v>
      </c>
      <c r="Z108" s="5">
        <f>VLOOKUP($A108,'SegEnds_NonXtal_Prot#'!$A:$AL,27,FALSE)</f>
        <v>332</v>
      </c>
      <c r="AA108" s="5">
        <f>VLOOKUP($A108,'SegEnds_NonXtal_Prot#'!$A:$AL,30,FALSE)</f>
        <v>370</v>
      </c>
      <c r="AB108" s="5">
        <f>VLOOKUP($A108,'SegEnds_NonXtal_Prot#'!$A:$AL,33,FALSE)</f>
        <v>410</v>
      </c>
      <c r="AC108" s="5">
        <f>VLOOKUP($A108,'SegEnds_NonXtal_Prot#'!$A:$AL,36,FALSE)</f>
        <v>439</v>
      </c>
      <c r="AD108" s="5">
        <f>VLOOKUP($A108,'SegEnds_NonXtal_Prot#'!$A:$AL,5,FALSE)</f>
        <v>51</v>
      </c>
      <c r="AE108" s="5" t="str">
        <f>VLOOKUP($A108,'SegEnds_NonXtal_Prot#'!$A:$AL,8,FALSE)</f>
        <v>-</v>
      </c>
      <c r="AF108" s="5">
        <f>VLOOKUP($A108,'SegEnds_NonXtal_Prot#'!$A:$AL,11,FALSE)</f>
        <v>84</v>
      </c>
      <c r="AG108" s="5">
        <f>VLOOKUP($A108,'SegEnds_NonXtal_Prot#'!$A:$AL,14,FALSE)</f>
        <v>90</v>
      </c>
      <c r="AH108" s="5">
        <f>VLOOKUP($A108,'SegEnds_NonXtal_Prot#'!$A:$AL,17,FALSE)</f>
        <v>126</v>
      </c>
      <c r="AI108" s="5">
        <f>VLOOKUP($A108,'SegEnds_NonXtal_Prot#'!$A:$AL,20,FALSE)</f>
        <v>134</v>
      </c>
      <c r="AJ108" s="5">
        <f>VLOOKUP($A108,'SegEnds_NonXtal_Prot#'!$A:$AL,23,FALSE)</f>
        <v>161</v>
      </c>
      <c r="AK108" s="5">
        <f>VLOOKUP($A108,'SegEnds_NonXtal_Prot#'!$A:$AL,26,FALSE)</f>
        <v>174</v>
      </c>
      <c r="AL108" s="5">
        <f>VLOOKUP($A108,'SegEnds_NonXtal_Prot#'!$A:$AL,29,FALSE)</f>
        <v>366</v>
      </c>
      <c r="AM108" s="5">
        <f>VLOOKUP($A108,'SegEnds_NonXtal_Prot#'!$A:$AL,32,FALSE)</f>
        <v>403</v>
      </c>
      <c r="AN108" s="5">
        <f>VLOOKUP($A108,'SegEnds_NonXtal_Prot#'!$A:$AL,35,FALSE)</f>
        <v>438</v>
      </c>
      <c r="AO108" s="5">
        <f>VLOOKUP($A108,'SegEnds_NonXtal_Prot#'!$A:$AL,38,FALSE)</f>
        <v>453</v>
      </c>
      <c r="AP108" s="5">
        <f t="shared" si="38"/>
        <v>30</v>
      </c>
      <c r="AQ108" s="4" t="str">
        <f t="shared" si="39"/>
        <v>-</v>
      </c>
      <c r="AR108" s="4">
        <f t="shared" si="40"/>
        <v>29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34</v>
      </c>
      <c r="AY108" s="4">
        <f t="shared" si="47"/>
        <v>33</v>
      </c>
      <c r="AZ108" s="4">
        <f t="shared" si="48"/>
        <v>28</v>
      </c>
      <c r="BA108" s="4">
        <f t="shared" si="49"/>
        <v>14</v>
      </c>
    </row>
    <row r="109" spans="1:53" x14ac:dyDescent="0.2">
      <c r="A109" s="1" t="str">
        <f>'SegEnds_NonXtal_Prot#'!A78</f>
        <v>c5ar1_human</v>
      </c>
      <c r="B109" s="1" t="str">
        <f t="shared" si="25"/>
        <v>VPDILALVIFAVVFLVGVLGNALVVWVTAFETINAIWFLNLAVADFLSCLALPILFTSIVQGGAACSILPSLILLNMYASILLLATISADRFLLVFKGAGLAWIACAVAWGLALLLTIPSFLYRRERAVAIVRLVLGFLWPLLTLTICYTFILLRTWSRSTKTLKVVVAVVASFFIFWLPYQVTGIMMSFLFLLLKKLDSLCVSFAYINCCINPIIYVVAGQGFQGRLRKSLPSL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9" s="5" t="str">
        <f t="shared" si="26"/>
        <v>VPDILALVIFAVVFLVGVLGNALVVWVTAFE</v>
      </c>
      <c r="G109" s="4" t="str">
        <f t="shared" si="27"/>
        <v/>
      </c>
      <c r="H109" s="4" t="str">
        <f t="shared" si="28"/>
        <v>TINAIWFLNLAVADFLSCLALPILFTSIVQ</v>
      </c>
      <c r="I109" s="4" t="str">
        <f t="shared" si="29"/>
        <v>HWPF</v>
      </c>
      <c r="J109" s="4" t="str">
        <f t="shared" si="30"/>
        <v>GGAACSILPSLILLNMYASILLLATISADRFLLVFK</v>
      </c>
      <c r="K109" s="4" t="str">
        <f t="shared" si="31"/>
        <v>PIWCQNFR</v>
      </c>
      <c r="L109" s="4" t="str">
        <f t="shared" si="32"/>
        <v>GAGLAWIACAVAWGLALLLTIPSFLYR</v>
      </c>
      <c r="M109" s="4" t="str">
        <f t="shared" si="33"/>
        <v>CGV</v>
      </c>
      <c r="N109" s="4" t="str">
        <f t="shared" si="34"/>
        <v>RERAVAIVRLVLGFLWPLLTLTICYTFILLRTWSR</v>
      </c>
      <c r="O109" s="4" t="str">
        <f t="shared" si="35"/>
        <v>STKTLKVVVAVVASFFIFWLPYQVTGIMMSFL</v>
      </c>
      <c r="P109" s="4" t="str">
        <f t="shared" si="36"/>
        <v>FLLLKKLDSLCVSFAYINCCINPIIYVVA</v>
      </c>
      <c r="Q109" s="4" t="str">
        <f t="shared" si="37"/>
        <v>GQGFQGRLRKSLPSL</v>
      </c>
      <c r="R109" s="5">
        <f>VLOOKUP($A109,'SegEnds_NonXtal_Prot#'!$A:$AL,3,FALSE)</f>
        <v>35</v>
      </c>
      <c r="S109" s="5" t="str">
        <f>VLOOKUP($A109,'SegEnds_NonXtal_Prot#'!$A:$AL,6,FALSE)</f>
        <v>-</v>
      </c>
      <c r="T109" s="5">
        <f>VLOOKUP($A109,'SegEnds_NonXtal_Prot#'!$A:$AL,9,FALSE)</f>
        <v>69</v>
      </c>
      <c r="U109" s="5">
        <f>VLOOKUP($A109,'SegEnds_NonXtal_Prot#'!$A:$AL,12,FALSE)</f>
        <v>101</v>
      </c>
      <c r="V109" s="5">
        <f>VLOOKUP($A109,'SegEnds_NonXtal_Prot#'!$A:$AL,15,FALSE)</f>
        <v>105</v>
      </c>
      <c r="W109" s="5">
        <f>VLOOKUP($A109,'SegEnds_NonXtal_Prot#'!$A:$AL,18,FALSE)</f>
        <v>141</v>
      </c>
      <c r="X109" s="5">
        <f>VLOOKUP($A109,'SegEnds_NonXtal_Prot#'!$A:$AL,21,FALSE)</f>
        <v>149</v>
      </c>
      <c r="Y109" s="5">
        <f>VLOOKUP($A109,'SegEnds_NonXtal_Prot#'!$A:$AL,24,FALSE)</f>
        <v>188</v>
      </c>
      <c r="Z109" s="5">
        <f>VLOOKUP($A109,'SegEnds_NonXtal_Prot#'!$A:$AL,27,FALSE)</f>
        <v>198</v>
      </c>
      <c r="AA109" s="5">
        <f>VLOOKUP($A109,'SegEnds_NonXtal_Prot#'!$A:$AL,30,FALSE)</f>
        <v>237</v>
      </c>
      <c r="AB109" s="5">
        <f>VLOOKUP($A109,'SegEnds_NonXtal_Prot#'!$A:$AL,33,FALSE)</f>
        <v>275</v>
      </c>
      <c r="AC109" s="5">
        <f>VLOOKUP($A109,'SegEnds_NonXtal_Prot#'!$A:$AL,36,FALSE)</f>
        <v>304</v>
      </c>
      <c r="AD109" s="5">
        <f>VLOOKUP($A109,'SegEnds_NonXtal_Prot#'!$A:$AL,5,FALSE)</f>
        <v>65</v>
      </c>
      <c r="AE109" s="5" t="str">
        <f>VLOOKUP($A109,'SegEnds_NonXtal_Prot#'!$A:$AL,8,FALSE)</f>
        <v>-</v>
      </c>
      <c r="AF109" s="5">
        <f>VLOOKUP($A109,'SegEnds_NonXtal_Prot#'!$A:$AL,11,FALSE)</f>
        <v>98</v>
      </c>
      <c r="AG109" s="5">
        <f>VLOOKUP($A109,'SegEnds_NonXtal_Prot#'!$A:$AL,14,FALSE)</f>
        <v>104</v>
      </c>
      <c r="AH109" s="5">
        <f>VLOOKUP($A109,'SegEnds_NonXtal_Prot#'!$A:$AL,17,FALSE)</f>
        <v>140</v>
      </c>
      <c r="AI109" s="5">
        <f>VLOOKUP($A109,'SegEnds_NonXtal_Prot#'!$A:$AL,20,FALSE)</f>
        <v>148</v>
      </c>
      <c r="AJ109" s="5">
        <f>VLOOKUP($A109,'SegEnds_NonXtal_Prot#'!$A:$AL,23,FALSE)</f>
        <v>175</v>
      </c>
      <c r="AK109" s="5">
        <f>VLOOKUP($A109,'SegEnds_NonXtal_Prot#'!$A:$AL,26,FALSE)</f>
        <v>190</v>
      </c>
      <c r="AL109" s="5">
        <f>VLOOKUP($A109,'SegEnds_NonXtal_Prot#'!$A:$AL,29,FALSE)</f>
        <v>232</v>
      </c>
      <c r="AM109" s="5">
        <f>VLOOKUP($A109,'SegEnds_NonXtal_Prot#'!$A:$AL,32,FALSE)</f>
        <v>268</v>
      </c>
      <c r="AN109" s="5">
        <f>VLOOKUP($A109,'SegEnds_NonXtal_Prot#'!$A:$AL,35,FALSE)</f>
        <v>303</v>
      </c>
      <c r="AO109" s="5">
        <f>VLOOKUP($A109,'SegEnds_NonXtal_Prot#'!$A:$AL,38,FALSE)</f>
        <v>318</v>
      </c>
      <c r="AP109" s="5">
        <f t="shared" si="38"/>
        <v>30</v>
      </c>
      <c r="AQ109" s="4" t="str">
        <f t="shared" si="39"/>
        <v>-</v>
      </c>
      <c r="AR109" s="4">
        <f t="shared" si="40"/>
        <v>29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34</v>
      </c>
      <c r="AY109" s="4">
        <f t="shared" si="47"/>
        <v>31</v>
      </c>
      <c r="AZ109" s="4">
        <f t="shared" si="48"/>
        <v>28</v>
      </c>
      <c r="BA109" s="4">
        <f t="shared" si="49"/>
        <v>14</v>
      </c>
    </row>
    <row r="110" spans="1:53" x14ac:dyDescent="0.2">
      <c r="A110" s="1" t="str">
        <f>'SegEnds_NonXtal_Prot#'!A79</f>
        <v>c5ar2_human</v>
      </c>
      <c r="B110" s="1" t="str">
        <f t="shared" si="25"/>
        <v>PLRVAPLPLYAAIFLVGVPGNAMVAWVAGKVRVGATWLLHLAVADLLCCLSLPILAVPIARGAVGCRALPSIILLTMYASVLLLAALSADLCFLALGRACGVQVACGAAWTLALLLTVPSAIYRTENAVTAIRFLFGFLGPLVAVASCHSALLCWRPLGTAIVVGFFVCWAPYHLLGLVLTVALARALRAEPLIVGLALAHSCLNPMLFLYFGRAQLRRSLPAACHW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10" s="5" t="str">
        <f t="shared" si="26"/>
        <v>PLRVAPLPLYAAIFLVGVPGNAMVAWVAGKV</v>
      </c>
      <c r="G110" s="4" t="str">
        <f t="shared" si="27"/>
        <v/>
      </c>
      <c r="H110" s="4" t="str">
        <f t="shared" si="28"/>
        <v>RVGATWLLHLAVADLLCCLSLPILAVPIAR</v>
      </c>
      <c r="I110" s="4" t="str">
        <f t="shared" si="29"/>
        <v>HWPY</v>
      </c>
      <c r="J110" s="4" t="str">
        <f t="shared" si="30"/>
        <v>GAVGCRALPSIILLTMYASVLLLAALSADLCFLALG</v>
      </c>
      <c r="K110" s="4" t="str">
        <f t="shared" si="31"/>
        <v>PAWWSTVQ</v>
      </c>
      <c r="L110" s="4" t="str">
        <f t="shared" si="32"/>
        <v>RACGVQVACGAAWTLALLLTVPSAIYR</v>
      </c>
      <c r="M110" s="4" t="str">
        <f t="shared" si="33"/>
        <v>CVV</v>
      </c>
      <c r="N110" s="4" t="str">
        <f t="shared" si="34"/>
        <v>TENAVTAIRFLFGFLGPLVAVASCHSALLCW</v>
      </c>
      <c r="O110" s="4" t="str">
        <f t="shared" si="35"/>
        <v>RPLGTAIVVGFFVCWAPYHLLGLVLTVA</v>
      </c>
      <c r="P110" s="4" t="str">
        <f t="shared" si="36"/>
        <v>LARALRAEPLIVGLALAHSCLNPMLFLYF</v>
      </c>
      <c r="Q110" s="4" t="str">
        <f t="shared" si="37"/>
        <v>GRAQLRRSLPAACHW</v>
      </c>
      <c r="R110" s="5">
        <f>VLOOKUP($A110,'SegEnds_NonXtal_Prot#'!$A:$AL,3,FALSE)</f>
        <v>33</v>
      </c>
      <c r="S110" s="5" t="str">
        <f>VLOOKUP($A110,'SegEnds_NonXtal_Prot#'!$A:$AL,6,FALSE)</f>
        <v>-</v>
      </c>
      <c r="T110" s="5">
        <f>VLOOKUP($A110,'SegEnds_NonXtal_Prot#'!$A:$AL,9,FALSE)</f>
        <v>67</v>
      </c>
      <c r="U110" s="5">
        <f>VLOOKUP($A110,'SegEnds_NonXtal_Prot#'!$A:$AL,12,FALSE)</f>
        <v>99</v>
      </c>
      <c r="V110" s="5">
        <f>VLOOKUP($A110,'SegEnds_NonXtal_Prot#'!$A:$AL,15,FALSE)</f>
        <v>103</v>
      </c>
      <c r="W110" s="5">
        <f>VLOOKUP($A110,'SegEnds_NonXtal_Prot#'!$A:$AL,18,FALSE)</f>
        <v>139</v>
      </c>
      <c r="X110" s="5">
        <f>VLOOKUP($A110,'SegEnds_NonXtal_Prot#'!$A:$AL,21,FALSE)</f>
        <v>147</v>
      </c>
      <c r="Y110" s="5">
        <f>VLOOKUP($A110,'SegEnds_NonXtal_Prot#'!$A:$AL,24,FALSE)</f>
        <v>186</v>
      </c>
      <c r="Z110" s="5">
        <f>VLOOKUP($A110,'SegEnds_NonXtal_Prot#'!$A:$AL,27,FALSE)</f>
        <v>196</v>
      </c>
      <c r="AA110" s="5">
        <f>VLOOKUP($A110,'SegEnds_NonXtal_Prot#'!$A:$AL,30,FALSE)</f>
        <v>232</v>
      </c>
      <c r="AB110" s="5">
        <f>VLOOKUP($A110,'SegEnds_NonXtal_Prot#'!$A:$AL,33,FALSE)</f>
        <v>266</v>
      </c>
      <c r="AC110" s="5">
        <f>VLOOKUP($A110,'SegEnds_NonXtal_Prot#'!$A:$AL,36,FALSE)</f>
        <v>295</v>
      </c>
      <c r="AD110" s="5">
        <f>VLOOKUP($A110,'SegEnds_NonXtal_Prot#'!$A:$AL,5,FALSE)</f>
        <v>63</v>
      </c>
      <c r="AE110" s="5" t="str">
        <f>VLOOKUP($A110,'SegEnds_NonXtal_Prot#'!$A:$AL,8,FALSE)</f>
        <v>-</v>
      </c>
      <c r="AF110" s="5">
        <f>VLOOKUP($A110,'SegEnds_NonXtal_Prot#'!$A:$AL,11,FALSE)</f>
        <v>96</v>
      </c>
      <c r="AG110" s="5">
        <f>VLOOKUP($A110,'SegEnds_NonXtal_Prot#'!$A:$AL,14,FALSE)</f>
        <v>102</v>
      </c>
      <c r="AH110" s="5">
        <f>VLOOKUP($A110,'SegEnds_NonXtal_Prot#'!$A:$AL,17,FALSE)</f>
        <v>138</v>
      </c>
      <c r="AI110" s="5">
        <f>VLOOKUP($A110,'SegEnds_NonXtal_Prot#'!$A:$AL,20,FALSE)</f>
        <v>146</v>
      </c>
      <c r="AJ110" s="5">
        <f>VLOOKUP($A110,'SegEnds_NonXtal_Prot#'!$A:$AL,23,FALSE)</f>
        <v>173</v>
      </c>
      <c r="AK110" s="5">
        <f>VLOOKUP($A110,'SegEnds_NonXtal_Prot#'!$A:$AL,26,FALSE)</f>
        <v>188</v>
      </c>
      <c r="AL110" s="5">
        <f>VLOOKUP($A110,'SegEnds_NonXtal_Prot#'!$A:$AL,29,FALSE)</f>
        <v>226</v>
      </c>
      <c r="AM110" s="5">
        <f>VLOOKUP($A110,'SegEnds_NonXtal_Prot#'!$A:$AL,32,FALSE)</f>
        <v>259</v>
      </c>
      <c r="AN110" s="5">
        <f>VLOOKUP($A110,'SegEnds_NonXtal_Prot#'!$A:$AL,35,FALSE)</f>
        <v>294</v>
      </c>
      <c r="AO110" s="5">
        <f>VLOOKUP($A110,'SegEnds_NonXtal_Prot#'!$A:$AL,38,FALSE)</f>
        <v>309</v>
      </c>
      <c r="AP110" s="5">
        <f t="shared" si="38"/>
        <v>30</v>
      </c>
      <c r="AQ110" s="4" t="str">
        <f t="shared" si="39"/>
        <v>-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30</v>
      </c>
      <c r="AY110" s="4">
        <f t="shared" si="47"/>
        <v>27</v>
      </c>
      <c r="AZ110" s="4">
        <f t="shared" si="48"/>
        <v>28</v>
      </c>
      <c r="BA110" s="4">
        <f t="shared" si="49"/>
        <v>14</v>
      </c>
    </row>
    <row r="111" spans="1:53" x14ac:dyDescent="0.2">
      <c r="A111" s="1" t="str">
        <f>'SegEnds_NonXtal_Prot#'!A80</f>
        <v>cckar_human</v>
      </c>
      <c r="B111" s="1" t="str">
        <f t="shared" si="25"/>
        <v>QPAVQILLYSLIFLLSVLGNTLVITVLIRNTVTNIFLLSLAVSDLMLCLFCMPFNLIPNLLGSAVCKTTTYFMGTSVSVSTFNLVAISLERYGAICKTKSHALKVIAATWCLSFTIMTPYPIYSDVMQQSWHTFLLLILFLIPGIVMMVAYGLISLELYQGIKFEASAANLMAKKRVIRMLIVIVVLFFLCWMPIFSANAWRAYDRRLSGTPISFILLLSYTSSCVNPIIYCFMNKRFRLGFMATF</v>
      </c>
      <c r="C111" s="29" t="str">
        <f>IF(ISERROR(MATCH(A111,'SegEnds_Xtal_Prot#'!B:B, 0)), "NoXtal", "Xtal")</f>
        <v>NoXtal</v>
      </c>
      <c r="D111" s="4" t="str">
        <f>VLOOKUP(A111,Classification!A:D,2,FALSE)</f>
        <v>A</v>
      </c>
      <c r="E111" s="5" t="str">
        <f>VLOOKUP(A111,Seqs!A:B,2,FALSE)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11" s="5" t="str">
        <f t="shared" si="26"/>
        <v>QPAVQILLYSLIFLLSVLGNTLVITVLIRN</v>
      </c>
      <c r="G111" s="4" t="str">
        <f t="shared" si="27"/>
        <v>KRMR</v>
      </c>
      <c r="H111" s="4" t="str">
        <f t="shared" si="28"/>
        <v>TVTNIFLLSLAVSDLMLCLFCMPFNLIPNLL</v>
      </c>
      <c r="I111" s="4" t="str">
        <f t="shared" si="29"/>
        <v>DFIF</v>
      </c>
      <c r="J111" s="4" t="str">
        <f t="shared" si="30"/>
        <v>GSAVCKTTTYFMGTSVSVSTFNLVAISLERYGAICK</v>
      </c>
      <c r="K111" s="4" t="str">
        <f t="shared" si="31"/>
        <v>PLQSRVWQ</v>
      </c>
      <c r="L111" s="4" t="str">
        <f t="shared" si="32"/>
        <v>TKSHALKVIAATWCLSFTIMTPYPIYS</v>
      </c>
      <c r="M111" s="4" t="str">
        <f t="shared" si="33"/>
        <v>CRF</v>
      </c>
      <c r="N111" s="4" t="str">
        <f t="shared" si="34"/>
        <v>DVMQQSWHTFLLLILFLIPGIVMMVAYGLISLELYQGIKFEAS</v>
      </c>
      <c r="O111" s="4" t="str">
        <f t="shared" si="35"/>
        <v>AANLMAKKRVIRMLIVIVVLFFLCWMPIFSANAWRAYD</v>
      </c>
      <c r="P111" s="4" t="str">
        <f t="shared" si="36"/>
        <v>RRLSGTPISFILLLSYTSSCVNPIIYCFM</v>
      </c>
      <c r="Q111" s="4" t="str">
        <f t="shared" si="37"/>
        <v>NKRFRLGFMATF</v>
      </c>
      <c r="R111" s="5">
        <f>VLOOKUP($A111,'SegEnds_NonXtal_Prot#'!$A:$AL,3,FALSE)</f>
        <v>40</v>
      </c>
      <c r="S111" s="5">
        <f>VLOOKUP($A111,'SegEnds_NonXtal_Prot#'!$A:$AL,6,FALSE)</f>
        <v>70</v>
      </c>
      <c r="T111" s="5">
        <f>VLOOKUP($A111,'SegEnds_NonXtal_Prot#'!$A:$AL,9,FALSE)</f>
        <v>74</v>
      </c>
      <c r="U111" s="5">
        <f>VLOOKUP($A111,'SegEnds_NonXtal_Prot#'!$A:$AL,12,FALSE)</f>
        <v>106</v>
      </c>
      <c r="V111" s="5">
        <f>VLOOKUP($A111,'SegEnds_NonXtal_Prot#'!$A:$AL,15,FALSE)</f>
        <v>110</v>
      </c>
      <c r="W111" s="5">
        <f>VLOOKUP($A111,'SegEnds_NonXtal_Prot#'!$A:$AL,18,FALSE)</f>
        <v>146</v>
      </c>
      <c r="X111" s="5">
        <f>VLOOKUP($A111,'SegEnds_NonXtal_Prot#'!$A:$AL,21,FALSE)</f>
        <v>154</v>
      </c>
      <c r="Y111" s="5">
        <f>VLOOKUP($A111,'SegEnds_NonXtal_Prot#'!$A:$AL,24,FALSE)</f>
        <v>196</v>
      </c>
      <c r="Z111" s="5">
        <f>VLOOKUP($A111,'SegEnds_NonXtal_Prot#'!$A:$AL,27,FALSE)</f>
        <v>203</v>
      </c>
      <c r="AA111" s="5">
        <f>VLOOKUP($A111,'SegEnds_NonXtal_Prot#'!$A:$AL,30,FALSE)</f>
        <v>302</v>
      </c>
      <c r="AB111" s="5">
        <f>VLOOKUP($A111,'SegEnds_NonXtal_Prot#'!$A:$AL,33,FALSE)</f>
        <v>345</v>
      </c>
      <c r="AC111" s="5">
        <f>VLOOKUP($A111,'SegEnds_NonXtal_Prot#'!$A:$AL,36,FALSE)</f>
        <v>374</v>
      </c>
      <c r="AD111" s="5">
        <f>VLOOKUP($A111,'SegEnds_NonXtal_Prot#'!$A:$AL,5,FALSE)</f>
        <v>69</v>
      </c>
      <c r="AE111" s="5">
        <f>VLOOKUP($A111,'SegEnds_NonXtal_Prot#'!$A:$AL,8,FALSE)</f>
        <v>73</v>
      </c>
      <c r="AF111" s="5">
        <f>VLOOKUP($A111,'SegEnds_NonXtal_Prot#'!$A:$AL,11,FALSE)</f>
        <v>104</v>
      </c>
      <c r="AG111" s="5">
        <f>VLOOKUP($A111,'SegEnds_NonXtal_Prot#'!$A:$AL,14,FALSE)</f>
        <v>109</v>
      </c>
      <c r="AH111" s="5">
        <f>VLOOKUP($A111,'SegEnds_NonXtal_Prot#'!$A:$AL,17,FALSE)</f>
        <v>145</v>
      </c>
      <c r="AI111" s="5">
        <f>VLOOKUP($A111,'SegEnds_NonXtal_Prot#'!$A:$AL,20,FALSE)</f>
        <v>153</v>
      </c>
      <c r="AJ111" s="5">
        <f>VLOOKUP($A111,'SegEnds_NonXtal_Prot#'!$A:$AL,23,FALSE)</f>
        <v>180</v>
      </c>
      <c r="AK111" s="5">
        <f>VLOOKUP($A111,'SegEnds_NonXtal_Prot#'!$A:$AL,26,FALSE)</f>
        <v>198</v>
      </c>
      <c r="AL111" s="5">
        <f>VLOOKUP($A111,'SegEnds_NonXtal_Prot#'!$A:$AL,29,FALSE)</f>
        <v>245</v>
      </c>
      <c r="AM111" s="5">
        <f>VLOOKUP($A111,'SegEnds_NonXtal_Prot#'!$A:$AL,32,FALSE)</f>
        <v>339</v>
      </c>
      <c r="AN111" s="5">
        <f>VLOOKUP($A111,'SegEnds_NonXtal_Prot#'!$A:$AL,35,FALSE)</f>
        <v>373</v>
      </c>
      <c r="AO111" s="5">
        <f>VLOOKUP($A111,'SegEnds_NonXtal_Prot#'!$A:$AL,38,FALSE)</f>
        <v>385</v>
      </c>
      <c r="AP111" s="5">
        <f t="shared" si="38"/>
        <v>29</v>
      </c>
      <c r="AQ111" s="4">
        <f t="shared" si="39"/>
        <v>3</v>
      </c>
      <c r="AR111" s="4">
        <f t="shared" si="40"/>
        <v>30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42</v>
      </c>
      <c r="AY111" s="4">
        <f t="shared" si="47"/>
        <v>37</v>
      </c>
      <c r="AZ111" s="4">
        <f t="shared" si="48"/>
        <v>28</v>
      </c>
      <c r="BA111" s="4">
        <f t="shared" si="49"/>
        <v>11</v>
      </c>
    </row>
    <row r="112" spans="1:53" x14ac:dyDescent="0.2">
      <c r="A112" s="1" t="str">
        <f>'SegEnds_NonXtal_Prot#'!A81</f>
        <v>ccr1_human</v>
      </c>
      <c r="B112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2" s="5" t="str">
        <f t="shared" si="26"/>
        <v>KVNERAFGAQLLPPLYSLVFVIGLVGNILVVLVLVQY</v>
      </c>
      <c r="G112" s="4" t="str">
        <f t="shared" si="27"/>
        <v>KRLK</v>
      </c>
      <c r="H112" s="4" t="str">
        <f t="shared" si="28"/>
        <v>NMTSIYLLNLAISDLLFLFTLPFWIDYKLK</v>
      </c>
      <c r="I112" s="4" t="str">
        <f t="shared" si="29"/>
        <v>DWVF</v>
      </c>
      <c r="J112" s="4" t="str">
        <f t="shared" si="30"/>
        <v>GDAMCKILSGFYYTGLYSEIFFIILLTIDRYLAIVH</v>
      </c>
      <c r="K112" s="4" t="str">
        <f t="shared" si="31"/>
        <v>AVFALRAR</v>
      </c>
      <c r="L112" s="4" t="str">
        <f t="shared" si="32"/>
        <v>TVTFGVITSIIIWALAILASMPGLYFS</v>
      </c>
      <c r="M112" s="4" t="str">
        <f t="shared" si="33"/>
        <v>CSL</v>
      </c>
      <c r="N112" s="4" t="str">
        <f t="shared" si="34"/>
        <v>SLREWKLFQALKLNLFGLVLPLLVMIICYTGIIKILLRR</v>
      </c>
      <c r="O112" s="4" t="str">
        <f t="shared" si="35"/>
        <v>KSKAVRLIFVIMIIFFLFWTPYNLTILISVFQDFLF</v>
      </c>
      <c r="P112" s="4" t="str">
        <f t="shared" si="36"/>
        <v>ECEQSRHLDLAVQVTEVIAYTHCCVNPVIYAFV</v>
      </c>
      <c r="Q112" s="4" t="str">
        <f t="shared" si="37"/>
        <v>GERFRKYLRQLFH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'SegEnds_NonXtal_Prot#'!A82</f>
        <v>ccr2_human</v>
      </c>
      <c r="B113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3" s="29" t="str">
        <f>IF(ISERROR(MATCH(A113,'SegEnds_Xtal_Prot#'!B:B, 0)), "NoXtal", "Xtal")</f>
        <v>Xtal</v>
      </c>
      <c r="D113" s="4" t="str">
        <f>VLOOKUP(A113,Classification!A:D,2,FALSE)</f>
        <v>A</v>
      </c>
      <c r="E113" s="5" t="str">
        <f>VLOOKUP(A113,Seqs!A:B,2,FALSE)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3" s="5" t="str">
        <f t="shared" si="26"/>
        <v>VKQIGAQLLPPLYSLVFIFGFVGNMLVVLILINC</v>
      </c>
      <c r="G113" s="4" t="str">
        <f t="shared" si="27"/>
        <v>KKLK</v>
      </c>
      <c r="H113" s="4" t="str">
        <f t="shared" si="28"/>
        <v>CLTDIYLLNLAISDLLFLITLPLWAHSAAN</v>
      </c>
      <c r="I113" s="4" t="str">
        <f t="shared" si="29"/>
        <v>EWVF</v>
      </c>
      <c r="J113" s="4" t="str">
        <f t="shared" si="30"/>
        <v>GNAMCKLFTGLYHIGYFGGIFFIILLTIDRYLAIVH</v>
      </c>
      <c r="K113" s="4" t="str">
        <f t="shared" si="31"/>
        <v>AVFALKAR</v>
      </c>
      <c r="L113" s="4" t="str">
        <f t="shared" si="32"/>
        <v>TVTFGVVTSVITWLVAVFASVPGIIFT</v>
      </c>
      <c r="M113" s="4" t="str">
        <f t="shared" si="33"/>
        <v>CGP</v>
      </c>
      <c r="N113" s="4" t="str">
        <f t="shared" si="34"/>
        <v>PRGWNNFHTIMRNILGLVLPLLIMVICYSGILKTLLRC</v>
      </c>
      <c r="O113" s="4" t="str">
        <f t="shared" si="35"/>
        <v>KKRHRAVRVIFTIMIVYFLFWTPYNIVILLNTFQEFFG</v>
      </c>
      <c r="P113" s="4" t="str">
        <f t="shared" si="36"/>
        <v>NCESTSQLDQATQVTETLGMTHCCINPIIYAFV</v>
      </c>
      <c r="Q113" s="4" t="str">
        <f t="shared" si="37"/>
        <v>GEKFRSLFHIAL</v>
      </c>
      <c r="R113" s="5">
        <f>VLOOKUP($A113,'SegEnds_NonXtal_Prot#'!$A:$AL,3,FALSE)</f>
        <v>37</v>
      </c>
      <c r="S113" s="5">
        <f>VLOOKUP($A113,'SegEnds_NonXtal_Prot#'!$A:$AL,6,FALSE)</f>
        <v>71</v>
      </c>
      <c r="T113" s="5">
        <f>VLOOKUP($A113,'SegEnds_NonXtal_Prot#'!$A:$AL,9,FALSE)</f>
        <v>75</v>
      </c>
      <c r="U113" s="5">
        <f>VLOOKUP($A113,'SegEnds_NonXtal_Prot#'!$A:$AL,12,FALSE)</f>
        <v>105</v>
      </c>
      <c r="V113" s="5">
        <f>VLOOKUP($A113,'SegEnds_NonXtal_Prot#'!$A:$AL,15,FALSE)</f>
        <v>109</v>
      </c>
      <c r="W113" s="5">
        <f>VLOOKUP($A113,'SegEnds_NonXtal_Prot#'!$A:$AL,18,FALSE)</f>
        <v>145</v>
      </c>
      <c r="X113" s="5">
        <f>VLOOKUP($A113,'SegEnds_NonXtal_Prot#'!$A:$AL,21,FALSE)</f>
        <v>153</v>
      </c>
      <c r="Y113" s="5">
        <f>VLOOKUP($A113,'SegEnds_NonXtal_Prot#'!$A:$AL,24,FALSE)</f>
        <v>190</v>
      </c>
      <c r="Z113" s="5">
        <f>VLOOKUP($A113,'SegEnds_NonXtal_Prot#'!$A:$AL,27,FALSE)</f>
        <v>195</v>
      </c>
      <c r="AA113" s="5">
        <f>VLOOKUP($A113,'SegEnds_NonXtal_Prot#'!$A:$AL,30,FALSE)</f>
        <v>236</v>
      </c>
      <c r="AB113" s="5">
        <f>VLOOKUP($A113,'SegEnds_NonXtal_Prot#'!$A:$AL,33,FALSE)</f>
        <v>276</v>
      </c>
      <c r="AC113" s="5">
        <f>VLOOKUP($A113,'SegEnds_NonXtal_Prot#'!$A:$AL,36,FALSE)</f>
        <v>309</v>
      </c>
      <c r="AD113" s="5">
        <f>VLOOKUP($A113,'SegEnds_NonXtal_Prot#'!$A:$AL,5,FALSE)</f>
        <v>70</v>
      </c>
      <c r="AE113" s="5">
        <f>VLOOKUP($A113,'SegEnds_NonXtal_Prot#'!$A:$AL,8,FALSE)</f>
        <v>74</v>
      </c>
      <c r="AF113" s="5">
        <f>VLOOKUP($A113,'SegEnds_NonXtal_Prot#'!$A:$AL,11,FALSE)</f>
        <v>104</v>
      </c>
      <c r="AG113" s="5">
        <f>VLOOKUP($A113,'SegEnds_NonXtal_Prot#'!$A:$AL,14,FALSE)</f>
        <v>108</v>
      </c>
      <c r="AH113" s="5">
        <f>VLOOKUP($A113,'SegEnds_NonXtal_Prot#'!$A:$AL,17,FALSE)</f>
        <v>144</v>
      </c>
      <c r="AI113" s="5">
        <f>VLOOKUP($A113,'SegEnds_NonXtal_Prot#'!$A:$AL,20,FALSE)</f>
        <v>152</v>
      </c>
      <c r="AJ113" s="5">
        <f>VLOOKUP($A113,'SegEnds_NonXtal_Prot#'!$A:$AL,23,FALSE)</f>
        <v>179</v>
      </c>
      <c r="AK113" s="5">
        <f>VLOOKUP($A113,'SegEnds_NonXtal_Prot#'!$A:$AL,26,FALSE)</f>
        <v>192</v>
      </c>
      <c r="AL113" s="5">
        <f>VLOOKUP($A113,'SegEnds_NonXtal_Prot#'!$A:$AL,29,FALSE)</f>
        <v>232</v>
      </c>
      <c r="AM113" s="5">
        <f>VLOOKUP($A113,'SegEnds_NonXtal_Prot#'!$A:$AL,32,FALSE)</f>
        <v>273</v>
      </c>
      <c r="AN113" s="5">
        <f>VLOOKUP($A113,'SegEnds_NonXtal_Prot#'!$A:$AL,35,FALSE)</f>
        <v>308</v>
      </c>
      <c r="AO113" s="5">
        <f>VLOOKUP($A113,'SegEnds_NonXtal_Prot#'!$A:$AL,38,FALSE)</f>
        <v>320</v>
      </c>
      <c r="AP113" s="5">
        <f t="shared" si="38"/>
        <v>33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37</v>
      </c>
      <c r="AY113" s="4">
        <f t="shared" si="47"/>
        <v>37</v>
      </c>
      <c r="AZ113" s="4">
        <f t="shared" si="48"/>
        <v>32</v>
      </c>
      <c r="BA113" s="4">
        <f t="shared" si="49"/>
        <v>11</v>
      </c>
    </row>
    <row r="114" spans="1:53" x14ac:dyDescent="0.2">
      <c r="A114" s="1" t="str">
        <f>'SegEnds_NonXtal_Prot#'!A83</f>
        <v>ccr3_human</v>
      </c>
      <c r="B114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4" s="29" t="str">
        <f>IF(ISERROR(MATCH(A114,'SegEnds_Xtal_Prot#'!B:B, 0)), "NoXtal", "Xtal")</f>
        <v>NoXtal</v>
      </c>
      <c r="D114" s="4" t="str">
        <f>VLOOKUP(A114,Classification!A:D,2,FALSE)</f>
        <v>A</v>
      </c>
      <c r="E114" s="5" t="str">
        <f>VLOOKUP(A114,Seqs!A:B,2,FALSE)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4" s="5" t="str">
        <f t="shared" si="26"/>
        <v>KADTRALMAQFVPPLYSLVFTVGLLGNVVVVMILIKY</v>
      </c>
      <c r="G114" s="4" t="str">
        <f t="shared" si="27"/>
        <v>RRLR</v>
      </c>
      <c r="H114" s="4" t="str">
        <f t="shared" si="28"/>
        <v>IMTNIYLLNLAISDLLFLVTLPFWIHYVRG</v>
      </c>
      <c r="I114" s="4" t="str">
        <f t="shared" si="29"/>
        <v>NWVF</v>
      </c>
      <c r="J114" s="4" t="str">
        <f t="shared" si="30"/>
        <v>GHGMCKLLSGFYHTGLYSEIFFIILLTIDRYLAIVH</v>
      </c>
      <c r="K114" s="4" t="str">
        <f t="shared" si="31"/>
        <v>AVFALRAR</v>
      </c>
      <c r="L114" s="4" t="str">
        <f t="shared" si="32"/>
        <v>TVTFGVITSIVTWGLAVLAALPEFIFY</v>
      </c>
      <c r="M114" s="4" t="str">
        <f t="shared" si="33"/>
        <v>CSA</v>
      </c>
      <c r="N114" s="4" t="str">
        <f t="shared" si="34"/>
        <v>TVYSWRHFHTLRMTIFCLVLPLLVMAICYTGIIKTLLRC</v>
      </c>
      <c r="O114" s="4" t="str">
        <f t="shared" si="35"/>
        <v>KYKAIRLIFVIMAVFFIFWTPYNVAILLSSYQSILF</v>
      </c>
      <c r="P114" s="4" t="str">
        <f t="shared" si="36"/>
        <v>DCERSKHLDLVMLVTEVIAYSHCCMNPVIYAFV</v>
      </c>
      <c r="Q114" s="4" t="str">
        <f t="shared" si="37"/>
        <v>GERFRKYLRHFFH</v>
      </c>
      <c r="R114" s="5">
        <f>VLOOKUP($A114,'SegEnds_NonXtal_Prot#'!$A:$AL,3,FALSE)</f>
        <v>26</v>
      </c>
      <c r="S114" s="5">
        <f>VLOOKUP($A114,'SegEnds_NonXtal_Prot#'!$A:$AL,6,FALSE)</f>
        <v>63</v>
      </c>
      <c r="T114" s="5">
        <f>VLOOKUP($A114,'SegEnds_NonXtal_Prot#'!$A:$AL,9,FALSE)</f>
        <v>67</v>
      </c>
      <c r="U114" s="5">
        <f>VLOOKUP($A114,'SegEnds_NonXtal_Prot#'!$A:$AL,12,FALSE)</f>
        <v>98</v>
      </c>
      <c r="V114" s="5">
        <f>VLOOKUP($A114,'SegEnds_NonXtal_Prot#'!$A:$AL,15,FALSE)</f>
        <v>102</v>
      </c>
      <c r="W114" s="5">
        <f>VLOOKUP($A114,'SegEnds_NonXtal_Prot#'!$A:$AL,18,FALSE)</f>
        <v>138</v>
      </c>
      <c r="X114" s="5">
        <f>VLOOKUP($A114,'SegEnds_NonXtal_Prot#'!$A:$AL,21,FALSE)</f>
        <v>146</v>
      </c>
      <c r="Y114" s="5">
        <f>VLOOKUP($A114,'SegEnds_NonXtal_Prot#'!$A:$AL,24,FALSE)</f>
        <v>183</v>
      </c>
      <c r="Z114" s="5">
        <f>VLOOKUP($A114,'SegEnds_NonXtal_Prot#'!$A:$AL,27,FALSE)</f>
        <v>191</v>
      </c>
      <c r="AA114" s="5">
        <f>VLOOKUP($A114,'SegEnds_NonXtal_Prot#'!$A:$AL,30,FALSE)</f>
        <v>234</v>
      </c>
      <c r="AB114" s="5">
        <f>VLOOKUP($A114,'SegEnds_NonXtal_Prot#'!$A:$AL,33,FALSE)</f>
        <v>272</v>
      </c>
      <c r="AC114" s="5">
        <f>VLOOKUP($A114,'SegEnds_NonXtal_Prot#'!$A:$AL,36,FALSE)</f>
        <v>305</v>
      </c>
      <c r="AD114" s="5">
        <f>VLOOKUP($A114,'SegEnds_NonXtal_Prot#'!$A:$AL,5,FALSE)</f>
        <v>62</v>
      </c>
      <c r="AE114" s="5">
        <f>VLOOKUP($A114,'SegEnds_NonXtal_Prot#'!$A:$AL,8,FALSE)</f>
        <v>66</v>
      </c>
      <c r="AF114" s="5">
        <f>VLOOKUP($A114,'SegEnds_NonXtal_Prot#'!$A:$AL,11,FALSE)</f>
        <v>96</v>
      </c>
      <c r="AG114" s="5">
        <f>VLOOKUP($A114,'SegEnds_NonXtal_Prot#'!$A:$AL,14,FALSE)</f>
        <v>101</v>
      </c>
      <c r="AH114" s="5">
        <f>VLOOKUP($A114,'SegEnds_NonXtal_Prot#'!$A:$AL,17,FALSE)</f>
        <v>137</v>
      </c>
      <c r="AI114" s="5">
        <f>VLOOKUP($A114,'SegEnds_NonXtal_Prot#'!$A:$AL,20,FALSE)</f>
        <v>145</v>
      </c>
      <c r="AJ114" s="5">
        <f>VLOOKUP($A114,'SegEnds_NonXtal_Prot#'!$A:$AL,23,FALSE)</f>
        <v>172</v>
      </c>
      <c r="AK114" s="5">
        <f>VLOOKUP($A114,'SegEnds_NonXtal_Prot#'!$A:$AL,26,FALSE)</f>
        <v>185</v>
      </c>
      <c r="AL114" s="5">
        <f>VLOOKUP($A114,'SegEnds_NonXtal_Prot#'!$A:$AL,29,FALSE)</f>
        <v>229</v>
      </c>
      <c r="AM114" s="5">
        <f>VLOOKUP($A114,'SegEnds_NonXtal_Prot#'!$A:$AL,32,FALSE)</f>
        <v>269</v>
      </c>
      <c r="AN114" s="5">
        <f>VLOOKUP($A114,'SegEnds_NonXtal_Prot#'!$A:$AL,35,FALSE)</f>
        <v>304</v>
      </c>
      <c r="AO114" s="5">
        <f>VLOOKUP($A114,'SegEnds_NonXtal_Prot#'!$A:$AL,38,FALSE)</f>
        <v>317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35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'SegEnds_NonXtal_Prot#'!A84</f>
        <v>ccr4_human</v>
      </c>
      <c r="B115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5" s="5" t="str">
        <f t="shared" si="26"/>
        <v>KEGIKAFGELFLPPLYSLVFVFGLLGNSVVVLVLFKY</v>
      </c>
      <c r="G115" s="4" t="str">
        <f t="shared" si="27"/>
        <v>KRLR</v>
      </c>
      <c r="H115" s="4" t="str">
        <f t="shared" si="28"/>
        <v>SMTDVYLLNLAISDLLFVFSLPFWGYYAAD</v>
      </c>
      <c r="I115" s="4" t="str">
        <f t="shared" si="29"/>
        <v>QWVF</v>
      </c>
      <c r="J115" s="4" t="str">
        <f t="shared" si="30"/>
        <v>GLGLCKMISWMYLVGFYSGIFFVMLMSIDRYLAIVH</v>
      </c>
      <c r="K115" s="4" t="str">
        <f t="shared" si="31"/>
        <v>AVFSLRAR</v>
      </c>
      <c r="L115" s="4" t="str">
        <f t="shared" si="32"/>
        <v>TLTYGVITSLATWSVAVFASLPGFLFS</v>
      </c>
      <c r="M115" s="4" t="str">
        <f t="shared" si="33"/>
        <v>CKT</v>
      </c>
      <c r="N115" s="4" t="str">
        <f t="shared" si="34"/>
        <v>NSTTWKVLSSLEINILGLVIPLGIMLFCYSMIIRTLQHC</v>
      </c>
      <c r="O115" s="4" t="str">
        <f t="shared" si="35"/>
        <v>KNKAVKMIFAVVVLFLGFWTPYNIVLFLETLVELEV</v>
      </c>
      <c r="P115" s="4" t="str">
        <f t="shared" si="36"/>
        <v>DCTFERYLDYAIQATETLAFVHCCLNPIIYFFL</v>
      </c>
      <c r="Q115" s="4" t="str">
        <f t="shared" si="37"/>
        <v>GEKFRKYILQLFK</v>
      </c>
      <c r="R115" s="5">
        <f>VLOOKUP($A115,'SegEnds_NonXtal_Prot#'!$A:$AL,3,FALSE)</f>
        <v>31</v>
      </c>
      <c r="S115" s="5">
        <f>VLOOKUP($A115,'SegEnds_NonXtal_Prot#'!$A:$AL,6,FALSE)</f>
        <v>68</v>
      </c>
      <c r="T115" s="5">
        <f>VLOOKUP($A115,'SegEnds_NonXtal_Prot#'!$A:$AL,9,FALSE)</f>
        <v>72</v>
      </c>
      <c r="U115" s="5">
        <f>VLOOKUP($A115,'SegEnds_NonXtal_Prot#'!$A:$AL,12,FALSE)</f>
        <v>102</v>
      </c>
      <c r="V115" s="5">
        <f>VLOOKUP($A115,'SegEnds_NonXtal_Prot#'!$A:$AL,15,FALSE)</f>
        <v>106</v>
      </c>
      <c r="W115" s="5">
        <f>VLOOKUP($A115,'SegEnds_NonXtal_Prot#'!$A:$AL,18,FALSE)</f>
        <v>142</v>
      </c>
      <c r="X115" s="5">
        <f>VLOOKUP($A115,'SegEnds_NonXtal_Prot#'!$A:$AL,21,FALSE)</f>
        <v>150</v>
      </c>
      <c r="Y115" s="5">
        <f>VLOOKUP($A115,'SegEnds_NonXtal_Prot#'!$A:$AL,24,FALSE)</f>
        <v>187</v>
      </c>
      <c r="Z115" s="5">
        <f>VLOOKUP($A115,'SegEnds_NonXtal_Prot#'!$A:$AL,27,FALSE)</f>
        <v>194</v>
      </c>
      <c r="AA115" s="5">
        <f>VLOOKUP($A115,'SegEnds_NonXtal_Prot#'!$A:$AL,30,FALSE)</f>
        <v>237</v>
      </c>
      <c r="AB115" s="5">
        <f>VLOOKUP($A115,'SegEnds_NonXtal_Prot#'!$A:$AL,33,FALSE)</f>
        <v>275</v>
      </c>
      <c r="AC115" s="5">
        <f>VLOOKUP($A115,'SegEnds_NonXtal_Prot#'!$A:$AL,36,FALSE)</f>
        <v>308</v>
      </c>
      <c r="AD115" s="5">
        <f>VLOOKUP($A115,'SegEnds_NonXtal_Prot#'!$A:$AL,5,FALSE)</f>
        <v>67</v>
      </c>
      <c r="AE115" s="5">
        <f>VLOOKUP($A115,'SegEnds_NonXtal_Prot#'!$A:$AL,8,FALSE)</f>
        <v>71</v>
      </c>
      <c r="AF115" s="5">
        <f>VLOOKUP($A115,'SegEnds_NonXtal_Prot#'!$A:$AL,11,FALSE)</f>
        <v>101</v>
      </c>
      <c r="AG115" s="5">
        <f>VLOOKUP($A115,'SegEnds_NonXtal_Prot#'!$A:$AL,14,FALSE)</f>
        <v>105</v>
      </c>
      <c r="AH115" s="5">
        <f>VLOOKUP($A115,'SegEnds_NonXtal_Prot#'!$A:$AL,17,FALSE)</f>
        <v>141</v>
      </c>
      <c r="AI115" s="5">
        <f>VLOOKUP($A115,'SegEnds_NonXtal_Prot#'!$A:$AL,20,FALSE)</f>
        <v>149</v>
      </c>
      <c r="AJ115" s="5">
        <f>VLOOKUP($A115,'SegEnds_NonXtal_Prot#'!$A:$AL,23,FALSE)</f>
        <v>176</v>
      </c>
      <c r="AK115" s="5">
        <f>VLOOKUP($A115,'SegEnds_NonXtal_Prot#'!$A:$AL,26,FALSE)</f>
        <v>189</v>
      </c>
      <c r="AL115" s="5">
        <f>VLOOKUP($A115,'SegEnds_NonXtal_Prot#'!$A:$AL,29,FALSE)</f>
        <v>232</v>
      </c>
      <c r="AM115" s="5">
        <f>VLOOKUP($A115,'SegEnds_NonXtal_Prot#'!$A:$AL,32,FALSE)</f>
        <v>272</v>
      </c>
      <c r="AN115" s="5">
        <f>VLOOKUP($A115,'SegEnds_NonXtal_Prot#'!$A:$AL,35,FALSE)</f>
        <v>307</v>
      </c>
      <c r="AO115" s="5">
        <f>VLOOKUP($A115,'SegEnds_NonXtal_Prot#'!$A:$AL,38,FALSE)</f>
        <v>320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'SegEnds_NonXtal_Prot#'!A85</f>
        <v>ccr5_human</v>
      </c>
      <c r="B116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6" s="29" t="str">
        <f>IF(ISERROR(MATCH(A116,'SegEnds_Xtal_Prot#'!B:B, 0)), "NoXtal", "Xtal")</f>
        <v>Xtal</v>
      </c>
      <c r="D116" s="4" t="str">
        <f>VLOOKUP(A116,Classification!A:D,2,FALSE)</f>
        <v>A</v>
      </c>
      <c r="E116" s="5" t="str">
        <f>VLOOKUP(A116,Seqs!A:B,2,FALSE)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6" s="5" t="str">
        <f t="shared" si="26"/>
        <v>KINVKQIAARLLPPLYSLVFIFGFVGNMLVILILINC</v>
      </c>
      <c r="G116" s="4" t="str">
        <f t="shared" si="27"/>
        <v>KRLK</v>
      </c>
      <c r="H116" s="4" t="str">
        <f t="shared" si="28"/>
        <v>SMTDIYLLNLAISDLFFLLTVPFWAHYAAA</v>
      </c>
      <c r="I116" s="4" t="str">
        <f t="shared" si="29"/>
        <v>QWDF</v>
      </c>
      <c r="J116" s="4" t="str">
        <f t="shared" si="30"/>
        <v>GNTMCQLLTGLYFIGFFSGIFFIILLTIDRYLAVVH</v>
      </c>
      <c r="K116" s="4" t="str">
        <f t="shared" si="31"/>
        <v>AVFALKAR</v>
      </c>
      <c r="L116" s="4" t="str">
        <f t="shared" si="32"/>
        <v>TVTFGVVTSVITWVVAVFASLPGIIFT</v>
      </c>
      <c r="M116" s="4" t="str">
        <f t="shared" si="33"/>
        <v>CSS</v>
      </c>
      <c r="N116" s="4" t="str">
        <f t="shared" si="34"/>
        <v>QYQFWKNFQTLKIVILGLVLPLLVMVICYSGILKTLLRC</v>
      </c>
      <c r="O116" s="4" t="str">
        <f t="shared" si="35"/>
        <v>KKRHRAVRLIFTIMIVYFLFWAPYNIVLLLNTFQEFFG</v>
      </c>
      <c r="P116" s="4" t="str">
        <f t="shared" si="36"/>
        <v>NCSSSNRLDQAMQVTETLGMTHCCINPIIYAFV</v>
      </c>
      <c r="Q116" s="4" t="str">
        <f t="shared" si="37"/>
        <v>GEKFRNYLLVFFQ</v>
      </c>
      <c r="R116" s="5">
        <f>VLOOKUP($A116,'SegEnds_NonXtal_Prot#'!$A:$AL,3,FALSE)</f>
        <v>22</v>
      </c>
      <c r="S116" s="5">
        <f>VLOOKUP($A116,'SegEnds_NonXtal_Prot#'!$A:$AL,6,FALSE)</f>
        <v>59</v>
      </c>
      <c r="T116" s="5">
        <f>VLOOKUP($A116,'SegEnds_NonXtal_Prot#'!$A:$AL,9,FALSE)</f>
        <v>63</v>
      </c>
      <c r="U116" s="5">
        <f>VLOOKUP($A116,'SegEnds_NonXtal_Prot#'!$A:$AL,12,FALSE)</f>
        <v>93</v>
      </c>
      <c r="V116" s="5">
        <f>VLOOKUP($A116,'SegEnds_NonXtal_Prot#'!$A:$AL,15,FALSE)</f>
        <v>97</v>
      </c>
      <c r="W116" s="5">
        <f>VLOOKUP($A116,'SegEnds_NonXtal_Prot#'!$A:$AL,18,FALSE)</f>
        <v>133</v>
      </c>
      <c r="X116" s="5">
        <f>VLOOKUP($A116,'SegEnds_NonXtal_Prot#'!$A:$AL,21,FALSE)</f>
        <v>141</v>
      </c>
      <c r="Y116" s="5">
        <f>VLOOKUP($A116,'SegEnds_NonXtal_Prot#'!$A:$AL,24,FALSE)</f>
        <v>178</v>
      </c>
      <c r="Z116" s="5">
        <f>VLOOKUP($A116,'SegEnds_NonXtal_Prot#'!$A:$AL,27,FALSE)</f>
        <v>186</v>
      </c>
      <c r="AA116" s="5">
        <f>VLOOKUP($A116,'SegEnds_NonXtal_Prot#'!$A:$AL,30,FALSE)</f>
        <v>228</v>
      </c>
      <c r="AB116" s="5">
        <f>VLOOKUP($A116,'SegEnds_NonXtal_Prot#'!$A:$AL,33,FALSE)</f>
        <v>268</v>
      </c>
      <c r="AC116" s="5">
        <f>VLOOKUP($A116,'SegEnds_NonXtal_Prot#'!$A:$AL,36,FALSE)</f>
        <v>301</v>
      </c>
      <c r="AD116" s="5">
        <f>VLOOKUP($A116,'SegEnds_NonXtal_Prot#'!$A:$AL,5,FALSE)</f>
        <v>58</v>
      </c>
      <c r="AE116" s="5">
        <f>VLOOKUP($A116,'SegEnds_NonXtal_Prot#'!$A:$AL,8,FALSE)</f>
        <v>62</v>
      </c>
      <c r="AF116" s="5">
        <f>VLOOKUP($A116,'SegEnds_NonXtal_Prot#'!$A:$AL,11,FALSE)</f>
        <v>92</v>
      </c>
      <c r="AG116" s="5">
        <f>VLOOKUP($A116,'SegEnds_NonXtal_Prot#'!$A:$AL,14,FALSE)</f>
        <v>96</v>
      </c>
      <c r="AH116" s="5">
        <f>VLOOKUP($A116,'SegEnds_NonXtal_Prot#'!$A:$AL,17,FALSE)</f>
        <v>132</v>
      </c>
      <c r="AI116" s="5">
        <f>VLOOKUP($A116,'SegEnds_NonXtal_Prot#'!$A:$AL,20,FALSE)</f>
        <v>140</v>
      </c>
      <c r="AJ116" s="5">
        <f>VLOOKUP($A116,'SegEnds_NonXtal_Prot#'!$A:$AL,23,FALSE)</f>
        <v>167</v>
      </c>
      <c r="AK116" s="5">
        <f>VLOOKUP($A116,'SegEnds_NonXtal_Prot#'!$A:$AL,26,FALSE)</f>
        <v>180</v>
      </c>
      <c r="AL116" s="5">
        <f>VLOOKUP($A116,'SegEnds_NonXtal_Prot#'!$A:$AL,29,FALSE)</f>
        <v>224</v>
      </c>
      <c r="AM116" s="5">
        <f>VLOOKUP($A116,'SegEnds_NonXtal_Prot#'!$A:$AL,32,FALSE)</f>
        <v>265</v>
      </c>
      <c r="AN116" s="5">
        <f>VLOOKUP($A116,'SegEnds_NonXtal_Prot#'!$A:$AL,35,FALSE)</f>
        <v>300</v>
      </c>
      <c r="AO116" s="5">
        <f>VLOOKUP($A116,'SegEnds_NonXtal_Prot#'!$A:$AL,38,FALSE)</f>
        <v>313</v>
      </c>
      <c r="AP116" s="5">
        <f t="shared" si="38"/>
        <v>36</v>
      </c>
      <c r="AQ116" s="4">
        <f t="shared" si="39"/>
        <v>3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38</v>
      </c>
      <c r="AY116" s="4">
        <f t="shared" si="47"/>
        <v>37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'SegEnds_NonXtal_Prot#'!A86</f>
        <v>ccr8_human</v>
      </c>
      <c r="B117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7" s="5" t="str">
        <f t="shared" si="26"/>
        <v>AELIQTNGKLLLAVFYCLLFVFSLLGNSLVILVLVVC</v>
      </c>
      <c r="G117" s="4" t="str">
        <f t="shared" si="27"/>
        <v>KKLR</v>
      </c>
      <c r="H117" s="4" t="str">
        <f t="shared" si="28"/>
        <v>SITDVYLLNLALSDLLFVFSFPFQTYYLLD</v>
      </c>
      <c r="I117" s="4" t="str">
        <f t="shared" si="29"/>
        <v>QWVF</v>
      </c>
      <c r="J117" s="4" t="str">
        <f t="shared" si="30"/>
        <v>GTVMCKVVSGFYYIGFYSSMFFITLMSVDRYLAVVH</v>
      </c>
      <c r="K117" s="4" t="str">
        <f t="shared" si="31"/>
        <v>AVYALKVR</v>
      </c>
      <c r="L117" s="4" t="str">
        <f t="shared" si="32"/>
        <v>TIRMGTTLCLAVWLTAIMATIPLLVFY</v>
      </c>
      <c r="M117" s="4" t="str">
        <f t="shared" si="33"/>
        <v>CYS</v>
      </c>
      <c r="N117" s="4" t="str">
        <f t="shared" si="34"/>
        <v>QTLKWKIFTNFKMNILGLLIPFTIFMFCYIKILHQLKRC</v>
      </c>
      <c r="O117" s="4" t="str">
        <f t="shared" si="35"/>
        <v>KTKAIRLVLIVVIASLLFWVPFNVVLFLTSLHSMHI</v>
      </c>
      <c r="P117" s="4" t="str">
        <f t="shared" si="36"/>
        <v>GCSISQQLTYATHVTEIISFTHCCVNPVIYAFV</v>
      </c>
      <c r="Q117" s="4" t="str">
        <f t="shared" si="37"/>
        <v>GEKFKKHLSEIFQ</v>
      </c>
      <c r="R117" s="5">
        <f>VLOOKUP($A117,'SegEnds_NonXtal_Prot#'!$A:$AL,3,FALSE)</f>
        <v>27</v>
      </c>
      <c r="S117" s="5">
        <f>VLOOKUP($A117,'SegEnds_NonXtal_Prot#'!$A:$AL,6,FALSE)</f>
        <v>64</v>
      </c>
      <c r="T117" s="5">
        <f>VLOOKUP($A117,'SegEnds_NonXtal_Prot#'!$A:$AL,9,FALSE)</f>
        <v>68</v>
      </c>
      <c r="U117" s="5">
        <f>VLOOKUP($A117,'SegEnds_NonXtal_Prot#'!$A:$AL,12,FALSE)</f>
        <v>98</v>
      </c>
      <c r="V117" s="5">
        <f>VLOOKUP($A117,'SegEnds_NonXtal_Prot#'!$A:$AL,15,FALSE)</f>
        <v>102</v>
      </c>
      <c r="W117" s="5">
        <f>VLOOKUP($A117,'SegEnds_NonXtal_Prot#'!$A:$AL,18,FALSE)</f>
        <v>138</v>
      </c>
      <c r="X117" s="5">
        <f>VLOOKUP($A117,'SegEnds_NonXtal_Prot#'!$A:$AL,21,FALSE)</f>
        <v>146</v>
      </c>
      <c r="Y117" s="5">
        <f>VLOOKUP($A117,'SegEnds_NonXtal_Prot#'!$A:$AL,24,FALSE)</f>
        <v>183</v>
      </c>
      <c r="Z117" s="5">
        <f>VLOOKUP($A117,'SegEnds_NonXtal_Prot#'!$A:$AL,27,FALSE)</f>
        <v>190</v>
      </c>
      <c r="AA117" s="5">
        <f>VLOOKUP($A117,'SegEnds_NonXtal_Prot#'!$A:$AL,30,FALSE)</f>
        <v>233</v>
      </c>
      <c r="AB117" s="5">
        <f>VLOOKUP($A117,'SegEnds_NonXtal_Prot#'!$A:$AL,33,FALSE)</f>
        <v>271</v>
      </c>
      <c r="AC117" s="5">
        <f>VLOOKUP($A117,'SegEnds_NonXtal_Prot#'!$A:$AL,36,FALSE)</f>
        <v>304</v>
      </c>
      <c r="AD117" s="5">
        <f>VLOOKUP($A117,'SegEnds_NonXtal_Prot#'!$A:$AL,5,FALSE)</f>
        <v>63</v>
      </c>
      <c r="AE117" s="5">
        <f>VLOOKUP($A117,'SegEnds_NonXtal_Prot#'!$A:$AL,8,FALSE)</f>
        <v>67</v>
      </c>
      <c r="AF117" s="5">
        <f>VLOOKUP($A117,'SegEnds_NonXtal_Prot#'!$A:$AL,11,FALSE)</f>
        <v>97</v>
      </c>
      <c r="AG117" s="5">
        <f>VLOOKUP($A117,'SegEnds_NonXtal_Prot#'!$A:$AL,14,FALSE)</f>
        <v>101</v>
      </c>
      <c r="AH117" s="5">
        <f>VLOOKUP($A117,'SegEnds_NonXtal_Prot#'!$A:$AL,17,FALSE)</f>
        <v>137</v>
      </c>
      <c r="AI117" s="5">
        <f>VLOOKUP($A117,'SegEnds_NonXtal_Prot#'!$A:$AL,20,FALSE)</f>
        <v>145</v>
      </c>
      <c r="AJ117" s="5">
        <f>VLOOKUP($A117,'SegEnds_NonXtal_Prot#'!$A:$AL,23,FALSE)</f>
        <v>172</v>
      </c>
      <c r="AK117" s="5">
        <f>VLOOKUP($A117,'SegEnds_NonXtal_Prot#'!$A:$AL,26,FALSE)</f>
        <v>185</v>
      </c>
      <c r="AL117" s="5">
        <f>VLOOKUP($A117,'SegEnds_NonXtal_Prot#'!$A:$AL,29,FALSE)</f>
        <v>228</v>
      </c>
      <c r="AM117" s="5">
        <f>VLOOKUP($A117,'SegEnds_NonXtal_Prot#'!$A:$AL,32,FALSE)</f>
        <v>268</v>
      </c>
      <c r="AN117" s="5">
        <f>VLOOKUP($A117,'SegEnds_NonXtal_Prot#'!$A:$AL,35,FALSE)</f>
        <v>303</v>
      </c>
      <c r="AO117" s="5">
        <f>VLOOKUP($A117,'SegEnds_NonXtal_Prot#'!$A:$AL,38,FALSE)</f>
        <v>316</v>
      </c>
      <c r="AP117" s="5">
        <f t="shared" si="38"/>
        <v>36</v>
      </c>
      <c r="AQ117" s="4">
        <f t="shared" si="39"/>
        <v>3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38</v>
      </c>
      <c r="AY117" s="4">
        <f t="shared" si="47"/>
        <v>35</v>
      </c>
      <c r="AZ117" s="4">
        <f t="shared" si="48"/>
        <v>32</v>
      </c>
      <c r="BA117" s="4">
        <f t="shared" si="49"/>
        <v>12</v>
      </c>
    </row>
    <row r="118" spans="1:53" x14ac:dyDescent="0.2">
      <c r="A118" s="1" t="str">
        <f>'SegEnds_NonXtal_Prot#'!A87</f>
        <v>cltr1_human</v>
      </c>
      <c r="B118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8" s="5" t="str">
        <f t="shared" si="26"/>
        <v>FRNQVYSTLYSMISVVGFFGNGFVLYVLIKT</v>
      </c>
      <c r="G118" s="4" t="str">
        <f t="shared" si="27"/>
        <v/>
      </c>
      <c r="H118" s="4" t="str">
        <f t="shared" si="28"/>
        <v>SAFQVYMINLAVADLLCVCTLPLRVVYYVH</v>
      </c>
      <c r="I118" s="4" t="str">
        <f t="shared" si="29"/>
        <v>IWLF</v>
      </c>
      <c r="J118" s="4" t="str">
        <f t="shared" si="30"/>
        <v>GDFLCRLSTYALYVNLYCSIFFMTAMSFFRCIAIVF</v>
      </c>
      <c r="K118" s="4" t="str">
        <f t="shared" si="31"/>
        <v>PVQNINLV</v>
      </c>
      <c r="L118" s="4" t="str">
        <f t="shared" si="32"/>
        <v>TQKKARFVCVGIWIFVILTSSPFLMAK</v>
      </c>
      <c r="M118" s="4" t="str">
        <f t="shared" si="33"/>
        <v>CFE</v>
      </c>
      <c r="N118" s="4" t="str">
        <f t="shared" si="34"/>
        <v>KNHVLVLHYVSLFVGFIIPFVIIIVCYTMIILTLLK</v>
      </c>
      <c r="O118" s="4" t="str">
        <f t="shared" si="35"/>
        <v>NLSSHKKAIGMIMVVTAAFLVSFMPYHIQRTIHLHFLHN</v>
      </c>
      <c r="P118" s="4" t="str">
        <f t="shared" si="36"/>
        <v>PCDSVLRMQKSVVITLSLAASNCCFDPLLYFFS</v>
      </c>
      <c r="Q118" s="4" t="str">
        <f t="shared" si="37"/>
        <v>GGNFRKRLSTFRK</v>
      </c>
      <c r="R118" s="5">
        <f>VLOOKUP($A118,'SegEnds_NonXtal_Prot#'!$A:$AL,3,FALSE)</f>
        <v>21</v>
      </c>
      <c r="S118" s="5" t="str">
        <f>VLOOKUP($A118,'SegEnds_NonXtal_Prot#'!$A:$AL,6,FALSE)</f>
        <v>-</v>
      </c>
      <c r="T118" s="5">
        <f>VLOOKUP($A118,'SegEnds_NonXtal_Prot#'!$A:$AL,9,FALSE)</f>
        <v>56</v>
      </c>
      <c r="U118" s="5">
        <f>VLOOKUP($A118,'SegEnds_NonXtal_Prot#'!$A:$AL,12,FALSE)</f>
        <v>88</v>
      </c>
      <c r="V118" s="5">
        <f>VLOOKUP($A118,'SegEnds_NonXtal_Prot#'!$A:$AL,15,FALSE)</f>
        <v>92</v>
      </c>
      <c r="W118" s="5">
        <f>VLOOKUP($A118,'SegEnds_NonXtal_Prot#'!$A:$AL,18,FALSE)</f>
        <v>128</v>
      </c>
      <c r="X118" s="5">
        <f>VLOOKUP($A118,'SegEnds_NonXtal_Prot#'!$A:$AL,21,FALSE)</f>
        <v>136</v>
      </c>
      <c r="Y118" s="5">
        <f>VLOOKUP($A118,'SegEnds_NonXtal_Prot#'!$A:$AL,24,FALSE)</f>
        <v>173</v>
      </c>
      <c r="Z118" s="5">
        <f>VLOOKUP($A118,'SegEnds_NonXtal_Prot#'!$A:$AL,27,FALSE)</f>
        <v>183</v>
      </c>
      <c r="AA118" s="5">
        <f>VLOOKUP($A118,'SegEnds_NonXtal_Prot#'!$A:$AL,30,FALSE)</f>
        <v>224</v>
      </c>
      <c r="AB118" s="5">
        <f>VLOOKUP($A118,'SegEnds_NonXtal_Prot#'!$A:$AL,33,FALSE)</f>
        <v>266</v>
      </c>
      <c r="AC118" s="5">
        <f>VLOOKUP($A118,'SegEnds_NonXtal_Prot#'!$A:$AL,36,FALSE)</f>
        <v>299</v>
      </c>
      <c r="AD118" s="5">
        <f>VLOOKUP($A118,'SegEnds_NonXtal_Prot#'!$A:$AL,5,FALSE)</f>
        <v>51</v>
      </c>
      <c r="AE118" s="5" t="str">
        <f>VLOOKUP($A118,'SegEnds_NonXtal_Prot#'!$A:$AL,8,FALSE)</f>
        <v>-</v>
      </c>
      <c r="AF118" s="5">
        <f>VLOOKUP($A118,'SegEnds_NonXtal_Prot#'!$A:$AL,11,FALSE)</f>
        <v>85</v>
      </c>
      <c r="AG118" s="5">
        <f>VLOOKUP($A118,'SegEnds_NonXtal_Prot#'!$A:$AL,14,FALSE)</f>
        <v>91</v>
      </c>
      <c r="AH118" s="5">
        <f>VLOOKUP($A118,'SegEnds_NonXtal_Prot#'!$A:$AL,17,FALSE)</f>
        <v>127</v>
      </c>
      <c r="AI118" s="5">
        <f>VLOOKUP($A118,'SegEnds_NonXtal_Prot#'!$A:$AL,20,FALSE)</f>
        <v>135</v>
      </c>
      <c r="AJ118" s="5">
        <f>VLOOKUP($A118,'SegEnds_NonXtal_Prot#'!$A:$AL,23,FALSE)</f>
        <v>162</v>
      </c>
      <c r="AK118" s="5">
        <f>VLOOKUP($A118,'SegEnds_NonXtal_Prot#'!$A:$AL,26,FALSE)</f>
        <v>175</v>
      </c>
      <c r="AL118" s="5">
        <f>VLOOKUP($A118,'SegEnds_NonXtal_Prot#'!$A:$AL,29,FALSE)</f>
        <v>218</v>
      </c>
      <c r="AM118" s="5">
        <f>VLOOKUP($A118,'SegEnds_NonXtal_Prot#'!$A:$AL,32,FALSE)</f>
        <v>262</v>
      </c>
      <c r="AN118" s="5">
        <f>VLOOKUP($A118,'SegEnds_NonXtal_Prot#'!$A:$AL,35,FALSE)</f>
        <v>298</v>
      </c>
      <c r="AO118" s="5">
        <f>VLOOKUP($A118,'SegEnds_NonXtal_Prot#'!$A:$AL,38,FALSE)</f>
        <v>311</v>
      </c>
      <c r="AP118" s="5">
        <f t="shared" si="38"/>
        <v>30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35</v>
      </c>
      <c r="AY118" s="4">
        <f t="shared" si="47"/>
        <v>38</v>
      </c>
      <c r="AZ118" s="4">
        <f t="shared" si="48"/>
        <v>32</v>
      </c>
      <c r="BA118" s="4">
        <f t="shared" si="49"/>
        <v>12</v>
      </c>
    </row>
    <row r="119" spans="1:53" x14ac:dyDescent="0.2">
      <c r="A119" s="1" t="str">
        <f>'SegEnds_NonXtal_Prot#'!A88</f>
        <v>cltr2_human</v>
      </c>
      <c r="B119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9" s="29" t="str">
        <f>IF(ISERROR(MATCH(A119,'SegEnds_Xtal_Prot#'!B:B, 0)), "NoXtal", "Xtal")</f>
        <v>NoXtal</v>
      </c>
      <c r="D119" s="4" t="str">
        <f>VLOOKUP(A119,Classification!A:D,2,FALSE)</f>
        <v>A</v>
      </c>
      <c r="E119" s="5" t="str">
        <f>VLOOKUP(A119,Seqs!A:B,2,FALSE)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9" s="5" t="str">
        <f t="shared" si="26"/>
        <v>FKREFFPIVYLIIFFWGVLGNGLSIYVFLQP</v>
      </c>
      <c r="G119" s="4" t="str">
        <f t="shared" si="27"/>
        <v/>
      </c>
      <c r="H119" s="4" t="str">
        <f t="shared" si="28"/>
        <v>TSVNVFMLNLAISDLLFISTLPFRADYYLR</v>
      </c>
      <c r="I119" s="4" t="str">
        <f t="shared" si="29"/>
        <v>NWIF</v>
      </c>
      <c r="J119" s="4" t="str">
        <f t="shared" si="30"/>
        <v>GDLACRIMSYSLYVNMYSSIYFLTVLSVVRFLAMVH</v>
      </c>
      <c r="K119" s="4" t="str">
        <f t="shared" si="31"/>
        <v>PFRLLHVT</v>
      </c>
      <c r="L119" s="4" t="str">
        <f t="shared" si="32"/>
        <v>SIRSAWILCGIIWILIMASSIMLLDSG</v>
      </c>
      <c r="M119" s="4" t="str">
        <f t="shared" si="33"/>
        <v>CLE</v>
      </c>
      <c r="N119" s="4" t="str">
        <f t="shared" si="34"/>
        <v>IAKLQTMNYIALVVGCLLPFFTLSICYLLIIRVLLKV</v>
      </c>
      <c r="O119" s="4" t="str">
        <f t="shared" si="35"/>
        <v>SGLRVSHRKALTTIIITLIIFFLCFLPYHTLRTVHLTT</v>
      </c>
      <c r="P119" s="4" t="str">
        <f t="shared" si="36"/>
        <v>KDRLHKALVITLALAAANACFNPLLYYFA</v>
      </c>
      <c r="Q119" s="4" t="str">
        <f t="shared" si="37"/>
        <v>GENFKDRLKSALR</v>
      </c>
      <c r="R119" s="5">
        <f>VLOOKUP($A119,'SegEnds_NonXtal_Prot#'!$A:$AL,3,FALSE)</f>
        <v>36</v>
      </c>
      <c r="S119" s="5" t="str">
        <f>VLOOKUP($A119,'SegEnds_NonXtal_Prot#'!$A:$AL,6,FALSE)</f>
        <v>-</v>
      </c>
      <c r="T119" s="5">
        <f>VLOOKUP($A119,'SegEnds_NonXtal_Prot#'!$A:$AL,9,FALSE)</f>
        <v>71</v>
      </c>
      <c r="U119" s="5">
        <f>VLOOKUP($A119,'SegEnds_NonXtal_Prot#'!$A:$AL,12,FALSE)</f>
        <v>103</v>
      </c>
      <c r="V119" s="5">
        <f>VLOOKUP($A119,'SegEnds_NonXtal_Prot#'!$A:$AL,15,FALSE)</f>
        <v>107</v>
      </c>
      <c r="W119" s="5">
        <f>VLOOKUP($A119,'SegEnds_NonXtal_Prot#'!$A:$AL,18,FALSE)</f>
        <v>143</v>
      </c>
      <c r="X119" s="5">
        <f>VLOOKUP($A119,'SegEnds_NonXtal_Prot#'!$A:$AL,21,FALSE)</f>
        <v>151</v>
      </c>
      <c r="Y119" s="5">
        <f>VLOOKUP($A119,'SegEnds_NonXtal_Prot#'!$A:$AL,24,FALSE)</f>
        <v>187</v>
      </c>
      <c r="Z119" s="5">
        <f>VLOOKUP($A119,'SegEnds_NonXtal_Prot#'!$A:$AL,27,FALSE)</f>
        <v>195</v>
      </c>
      <c r="AA119" s="5">
        <f>VLOOKUP($A119,'SegEnds_NonXtal_Prot#'!$A:$AL,30,FALSE)</f>
        <v>236</v>
      </c>
      <c r="AB119" s="5">
        <f>VLOOKUP($A119,'SegEnds_NonXtal_Prot#'!$A:$AL,33,FALSE)</f>
        <v>280</v>
      </c>
      <c r="AC119" s="5">
        <f>VLOOKUP($A119,'SegEnds_NonXtal_Prot#'!$A:$AL,36,FALSE)</f>
        <v>309</v>
      </c>
      <c r="AD119" s="5">
        <f>VLOOKUP($A119,'SegEnds_NonXtal_Prot#'!$A:$AL,5,FALSE)</f>
        <v>66</v>
      </c>
      <c r="AE119" s="5" t="str">
        <f>VLOOKUP($A119,'SegEnds_NonXtal_Prot#'!$A:$AL,8,FALSE)</f>
        <v>-</v>
      </c>
      <c r="AF119" s="5">
        <f>VLOOKUP($A119,'SegEnds_NonXtal_Prot#'!$A:$AL,11,FALSE)</f>
        <v>100</v>
      </c>
      <c r="AG119" s="5">
        <f>VLOOKUP($A119,'SegEnds_NonXtal_Prot#'!$A:$AL,14,FALSE)</f>
        <v>106</v>
      </c>
      <c r="AH119" s="5">
        <f>VLOOKUP($A119,'SegEnds_NonXtal_Prot#'!$A:$AL,17,FALSE)</f>
        <v>142</v>
      </c>
      <c r="AI119" s="5">
        <f>VLOOKUP($A119,'SegEnds_NonXtal_Prot#'!$A:$AL,20,FALSE)</f>
        <v>150</v>
      </c>
      <c r="AJ119" s="5">
        <f>VLOOKUP($A119,'SegEnds_NonXtal_Prot#'!$A:$AL,23,FALSE)</f>
        <v>177</v>
      </c>
      <c r="AK119" s="5">
        <f>VLOOKUP($A119,'SegEnds_NonXtal_Prot#'!$A:$AL,26,FALSE)</f>
        <v>189</v>
      </c>
      <c r="AL119" s="5">
        <f>VLOOKUP($A119,'SegEnds_NonXtal_Prot#'!$A:$AL,29,FALSE)</f>
        <v>231</v>
      </c>
      <c r="AM119" s="5">
        <f>VLOOKUP($A119,'SegEnds_NonXtal_Prot#'!$A:$AL,32,FALSE)</f>
        <v>273</v>
      </c>
      <c r="AN119" s="5">
        <f>VLOOKUP($A119,'SegEnds_NonXtal_Prot#'!$A:$AL,35,FALSE)</f>
        <v>308</v>
      </c>
      <c r="AO119" s="5">
        <f>VLOOKUP($A119,'SegEnds_NonXtal_Prot#'!$A:$AL,38,FALSE)</f>
        <v>321</v>
      </c>
      <c r="AP119" s="5">
        <f t="shared" si="38"/>
        <v>30</v>
      </c>
      <c r="AQ119" s="4" t="str">
        <f t="shared" si="39"/>
        <v>-</v>
      </c>
      <c r="AR119" s="4">
        <f t="shared" si="40"/>
        <v>29</v>
      </c>
      <c r="AS119" s="4">
        <f t="shared" si="41"/>
        <v>3</v>
      </c>
      <c r="AT119" s="4">
        <f t="shared" si="42"/>
        <v>35</v>
      </c>
      <c r="AU119" s="4">
        <f t="shared" si="43"/>
        <v>7</v>
      </c>
      <c r="AV119" s="4">
        <f t="shared" si="44"/>
        <v>26</v>
      </c>
      <c r="AW119" s="4">
        <f t="shared" si="45"/>
        <v>2</v>
      </c>
      <c r="AX119" s="4">
        <f t="shared" si="46"/>
        <v>36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'SegEnds_NonXtal_Prot#'!A89</f>
        <v>cml1_human</v>
      </c>
      <c r="B120" s="1" t="str">
        <f t="shared" si="25"/>
        <v>VTRIFLVVVYSIVCFLGILGNGLVIIIATFKTVNMVWFLNLAVADFLFNVFLPIHITYAAMGTAMCKISNFLLIHNMFTSVFLLTIISSDRCISVLLSVRLAYMACMVIWVLAFFLSSPSLVFRRHMVVTVTRFLCGFLVPVLIITACYLTIVCKLQRNTKKPFKIIVTIIITFFLCWCPYHTLNLLELHHGSVFSLGLPLATALAIANSCMNPILYVFMGQDFKKFKVALFSRL</v>
      </c>
      <c r="C120" s="29" t="str">
        <f>IF(ISERROR(MATCH(A120,'SegEnds_Xtal_Prot#'!B:B, 0)), "NoXtal", "Xtal")</f>
        <v>NoXtal</v>
      </c>
      <c r="D120" s="4" t="str">
        <f>VLOOKUP(A120,Classification!A:D,2,FALSE)</f>
        <v>A</v>
      </c>
      <c r="E120" s="5" t="str">
        <f>VLOOKUP(A120,Seqs!A:B,2,FALSE)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20" s="5" t="str">
        <f t="shared" si="26"/>
        <v>VTRIFLVVVYSIVCFLGILGNGLVIIIATFK</v>
      </c>
      <c r="G120" s="4" t="str">
        <f t="shared" si="27"/>
        <v/>
      </c>
      <c r="H120" s="4" t="str">
        <f t="shared" si="28"/>
        <v>TVNMVWFLNLAVADFLFNVFLPIHITYAAM</v>
      </c>
      <c r="I120" s="4" t="str">
        <f t="shared" si="29"/>
        <v>HWVF</v>
      </c>
      <c r="J120" s="4" t="str">
        <f t="shared" si="30"/>
        <v>GTAMCKISNFLLIHNMFTSVFLLTIISSDRCISVLL</v>
      </c>
      <c r="K120" s="4" t="str">
        <f t="shared" si="31"/>
        <v>PVWSQNHR</v>
      </c>
      <c r="L120" s="4" t="str">
        <f t="shared" si="32"/>
        <v>SVRLAYMACMVIWVLAFFLSSPSLVFR</v>
      </c>
      <c r="M120" s="4" t="str">
        <f t="shared" si="33"/>
        <v>CFN</v>
      </c>
      <c r="N120" s="4" t="str">
        <f t="shared" si="34"/>
        <v>RHMVVTVTRFLCGFLVPVLIITACYLTIVCKLQRN</v>
      </c>
      <c r="O120" s="4" t="str">
        <f t="shared" si="35"/>
        <v>TKKPFKIIVTIIITFFLCWCPYHTLNLLELHH</v>
      </c>
      <c r="P120" s="4" t="str">
        <f t="shared" si="36"/>
        <v>GSVFSLGLPLATALAIANSCMNPILYVFM</v>
      </c>
      <c r="Q120" s="4" t="str">
        <f t="shared" si="37"/>
        <v>GQDFKKFKVALFSRL</v>
      </c>
      <c r="R120" s="5">
        <f>VLOOKUP($A120,'SegEnds_NonXtal_Prot#'!$A:$AL,3,FALSE)</f>
        <v>38</v>
      </c>
      <c r="S120" s="5" t="str">
        <f>VLOOKUP($A120,'SegEnds_NonXtal_Prot#'!$A:$AL,6,FALSE)</f>
        <v>-</v>
      </c>
      <c r="T120" s="5">
        <f>VLOOKUP($A120,'SegEnds_NonXtal_Prot#'!$A:$AL,9,FALSE)</f>
        <v>72</v>
      </c>
      <c r="U120" s="5">
        <f>VLOOKUP($A120,'SegEnds_NonXtal_Prot#'!$A:$AL,12,FALSE)</f>
        <v>104</v>
      </c>
      <c r="V120" s="5">
        <f>VLOOKUP($A120,'SegEnds_NonXtal_Prot#'!$A:$AL,15,FALSE)</f>
        <v>108</v>
      </c>
      <c r="W120" s="5">
        <f>VLOOKUP($A120,'SegEnds_NonXtal_Prot#'!$A:$AL,18,FALSE)</f>
        <v>144</v>
      </c>
      <c r="X120" s="5">
        <f>VLOOKUP($A120,'SegEnds_NonXtal_Prot#'!$A:$AL,21,FALSE)</f>
        <v>152</v>
      </c>
      <c r="Y120" s="5">
        <f>VLOOKUP($A120,'SegEnds_NonXtal_Prot#'!$A:$AL,24,FALSE)</f>
        <v>189</v>
      </c>
      <c r="Z120" s="5">
        <f>VLOOKUP($A120,'SegEnds_NonXtal_Prot#'!$A:$AL,27,FALSE)</f>
        <v>216</v>
      </c>
      <c r="AA120" s="5">
        <f>VLOOKUP($A120,'SegEnds_NonXtal_Prot#'!$A:$AL,30,FALSE)</f>
        <v>255</v>
      </c>
      <c r="AB120" s="5">
        <f>VLOOKUP($A120,'SegEnds_NonXtal_Prot#'!$A:$AL,33,FALSE)</f>
        <v>291</v>
      </c>
      <c r="AC120" s="5">
        <f>VLOOKUP($A120,'SegEnds_NonXtal_Prot#'!$A:$AL,36,FALSE)</f>
        <v>320</v>
      </c>
      <c r="AD120" s="5">
        <f>VLOOKUP($A120,'SegEnds_NonXtal_Prot#'!$A:$AL,5,FALSE)</f>
        <v>68</v>
      </c>
      <c r="AE120" s="5" t="str">
        <f>VLOOKUP($A120,'SegEnds_NonXtal_Prot#'!$A:$AL,8,FALSE)</f>
        <v>-</v>
      </c>
      <c r="AF120" s="5">
        <f>VLOOKUP($A120,'SegEnds_NonXtal_Prot#'!$A:$AL,11,FALSE)</f>
        <v>101</v>
      </c>
      <c r="AG120" s="5">
        <f>VLOOKUP($A120,'SegEnds_NonXtal_Prot#'!$A:$AL,14,FALSE)</f>
        <v>107</v>
      </c>
      <c r="AH120" s="5">
        <f>VLOOKUP($A120,'SegEnds_NonXtal_Prot#'!$A:$AL,17,FALSE)</f>
        <v>143</v>
      </c>
      <c r="AI120" s="5">
        <f>VLOOKUP($A120,'SegEnds_NonXtal_Prot#'!$A:$AL,20,FALSE)</f>
        <v>151</v>
      </c>
      <c r="AJ120" s="5">
        <f>VLOOKUP($A120,'SegEnds_NonXtal_Prot#'!$A:$AL,23,FALSE)</f>
        <v>178</v>
      </c>
      <c r="AK120" s="5">
        <f>VLOOKUP($A120,'SegEnds_NonXtal_Prot#'!$A:$AL,26,FALSE)</f>
        <v>191</v>
      </c>
      <c r="AL120" s="5">
        <f>VLOOKUP($A120,'SegEnds_NonXtal_Prot#'!$A:$AL,29,FALSE)</f>
        <v>250</v>
      </c>
      <c r="AM120" s="5">
        <f>VLOOKUP($A120,'SegEnds_NonXtal_Prot#'!$A:$AL,32,FALSE)</f>
        <v>286</v>
      </c>
      <c r="AN120" s="5">
        <f>VLOOKUP($A120,'SegEnds_NonXtal_Prot#'!$A:$AL,35,FALSE)</f>
        <v>319</v>
      </c>
      <c r="AO120" s="5">
        <f>VLOOKUP($A120,'SegEnds_NonXtal_Prot#'!$A:$AL,38,FALSE)</f>
        <v>334</v>
      </c>
      <c r="AP120" s="5">
        <f t="shared" si="38"/>
        <v>30</v>
      </c>
      <c r="AQ120" s="4" t="str">
        <f t="shared" si="39"/>
        <v>-</v>
      </c>
      <c r="AR120" s="4">
        <f t="shared" si="40"/>
        <v>29</v>
      </c>
      <c r="AS120" s="4">
        <f t="shared" si="41"/>
        <v>3</v>
      </c>
      <c r="AT120" s="4">
        <f t="shared" si="42"/>
        <v>35</v>
      </c>
      <c r="AU120" s="4">
        <f t="shared" si="43"/>
        <v>7</v>
      </c>
      <c r="AV120" s="4">
        <f t="shared" si="44"/>
        <v>26</v>
      </c>
      <c r="AW120" s="4">
        <f t="shared" si="45"/>
        <v>2</v>
      </c>
      <c r="AX120" s="4">
        <f t="shared" si="46"/>
        <v>34</v>
      </c>
      <c r="AY120" s="4">
        <f t="shared" si="47"/>
        <v>31</v>
      </c>
      <c r="AZ120" s="4">
        <f t="shared" si="48"/>
        <v>28</v>
      </c>
      <c r="BA120" s="4">
        <f t="shared" si="49"/>
        <v>14</v>
      </c>
    </row>
    <row r="121" spans="1:53" x14ac:dyDescent="0.2">
      <c r="A121" s="1" t="str">
        <f>'SegEnds_NonXtal_Prot#'!A90</f>
        <v>cnr1_human</v>
      </c>
      <c r="B121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21" s="29" t="str">
        <f>IF(ISERROR(MATCH(A121,'SegEnds_Xtal_Prot#'!B:B, 0)), "NoXtal", "Xtal")</f>
        <v>Xtal</v>
      </c>
      <c r="D121" s="4" t="str">
        <f>VLOOKUP(A121,Classification!A:D,2,FALSE)</f>
        <v>A</v>
      </c>
      <c r="E121" s="5" t="str">
        <f>VLOOKUP(A121,Seqs!A:B,2,FALSE)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21" s="5" t="str">
        <f t="shared" si="26"/>
        <v>NPSQQLAIAVLSLTLGTFTVLENLLVLCVILHS</v>
      </c>
      <c r="G121" s="4" t="str">
        <f t="shared" si="27"/>
        <v>RSLR</v>
      </c>
      <c r="H121" s="4" t="str">
        <f t="shared" si="28"/>
        <v>RPSYHFIGSLAVADLLGSVIFVYSFIDFHV</v>
      </c>
      <c r="I121" s="4" t="str">
        <f t="shared" si="29"/>
        <v/>
      </c>
      <c r="J121" s="4" t="str">
        <f t="shared" si="30"/>
        <v>SRNVFLFKLGGVTASFTASVGSLFLTAIDRYISIHR</v>
      </c>
      <c r="K121" s="4" t="str">
        <f t="shared" si="31"/>
        <v>PLAYKRIV</v>
      </c>
      <c r="L121" s="4" t="str">
        <f t="shared" si="32"/>
        <v>TRPKAVVAFCLMWTIAIVIAVLPLLG</v>
      </c>
      <c r="M121" s="4" t="str">
        <f t="shared" si="33"/>
        <v/>
      </c>
      <c r="N121" s="4" t="str">
        <f t="shared" si="34"/>
        <v>DETYLMFWIGVTSVLLLFIVYAYMYILWKAHSHAVRMIQRG</v>
      </c>
      <c r="O121" s="4" t="str">
        <f t="shared" si="35"/>
        <v>PDQARMDIRLAKTLVLILVVLIICWGPLLAIMVYDVFG</v>
      </c>
      <c r="P121" s="4" t="str">
        <f t="shared" si="36"/>
        <v>NKLIKTVFAFCSMLCLLNSTVNPIIYALR</v>
      </c>
      <c r="Q121" s="4" t="str">
        <f t="shared" si="37"/>
        <v>SKDLRHAFRSMFP</v>
      </c>
      <c r="R121" s="5">
        <f>VLOOKUP($A121,'SegEnds_NonXtal_Prot#'!$A:$AL,3,FALSE)</f>
        <v>112</v>
      </c>
      <c r="S121" s="5">
        <f>VLOOKUP($A121,'SegEnds_NonXtal_Prot#'!$A:$AL,6,FALSE)</f>
        <v>145</v>
      </c>
      <c r="T121" s="5">
        <f>VLOOKUP($A121,'SegEnds_NonXtal_Prot#'!$A:$AL,9,FALSE)</f>
        <v>150</v>
      </c>
      <c r="U121" s="5" t="str">
        <f>VLOOKUP($A121,'SegEnds_NonXtal_Prot#'!$A:$AL,12,FALSE)</f>
        <v>-</v>
      </c>
      <c r="V121" s="5">
        <f>VLOOKUP($A121,'SegEnds_NonXtal_Prot#'!$A:$AL,15,FALSE)</f>
        <v>185</v>
      </c>
      <c r="W121" s="5">
        <f>VLOOKUP($A121,'SegEnds_NonXtal_Prot#'!$A:$AL,18,FALSE)</f>
        <v>221</v>
      </c>
      <c r="X121" s="5">
        <f>VLOOKUP($A121,'SegEnds_NonXtal_Prot#'!$A:$AL,21,FALSE)</f>
        <v>229</v>
      </c>
      <c r="Y121" s="5" t="str">
        <f>VLOOKUP($A121,'SegEnds_NonXtal_Prot#'!$A:$AL,24,FALSE)</f>
        <v>-</v>
      </c>
      <c r="Z121" s="5">
        <f>VLOOKUP($A121,'SegEnds_NonXtal_Prot#'!$A:$AL,27,FALSE)</f>
        <v>272</v>
      </c>
      <c r="AA121" s="5">
        <f>VLOOKUP($A121,'SegEnds_NonXtal_Prot#'!$A:$AL,30,FALSE)</f>
        <v>332</v>
      </c>
      <c r="AB121" s="5">
        <f>VLOOKUP($A121,'SegEnds_NonXtal_Prot#'!$A:$AL,33,FALSE)</f>
        <v>372</v>
      </c>
      <c r="AC121" s="5">
        <f>VLOOKUP($A121,'SegEnds_NonXtal_Prot#'!$A:$AL,36,FALSE)</f>
        <v>401</v>
      </c>
      <c r="AD121" s="5">
        <f>VLOOKUP($A121,'SegEnds_NonXtal_Prot#'!$A:$AL,5,FALSE)</f>
        <v>144</v>
      </c>
      <c r="AE121" s="5">
        <f>VLOOKUP($A121,'SegEnds_NonXtal_Prot#'!$A:$AL,8,FALSE)</f>
        <v>148</v>
      </c>
      <c r="AF121" s="5">
        <f>VLOOKUP($A121,'SegEnds_NonXtal_Prot#'!$A:$AL,11,FALSE)</f>
        <v>179</v>
      </c>
      <c r="AG121" s="5" t="str">
        <f>VLOOKUP($A121,'SegEnds_NonXtal_Prot#'!$A:$AL,14,FALSE)</f>
        <v>-</v>
      </c>
      <c r="AH121" s="5">
        <f>VLOOKUP($A121,'SegEnds_NonXtal_Prot#'!$A:$AL,17,FALSE)</f>
        <v>220</v>
      </c>
      <c r="AI121" s="5">
        <f>VLOOKUP($A121,'SegEnds_NonXtal_Prot#'!$A:$AL,20,FALSE)</f>
        <v>228</v>
      </c>
      <c r="AJ121" s="5">
        <f>VLOOKUP($A121,'SegEnds_NonXtal_Prot#'!$A:$AL,23,FALSE)</f>
        <v>254</v>
      </c>
      <c r="AK121" s="5" t="str">
        <f>VLOOKUP($A121,'SegEnds_NonXtal_Prot#'!$A:$AL,26,FALSE)</f>
        <v>-</v>
      </c>
      <c r="AL121" s="5">
        <f>VLOOKUP($A121,'SegEnds_NonXtal_Prot#'!$A:$AL,29,FALSE)</f>
        <v>312</v>
      </c>
      <c r="AM121" s="5">
        <f>VLOOKUP($A121,'SegEnds_NonXtal_Prot#'!$A:$AL,32,FALSE)</f>
        <v>369</v>
      </c>
      <c r="AN121" s="5">
        <f>VLOOKUP($A121,'SegEnds_NonXtal_Prot#'!$A:$AL,35,FALSE)</f>
        <v>400</v>
      </c>
      <c r="AO121" s="5">
        <f>VLOOKUP($A121,'SegEnds_NonXtal_Prot#'!$A:$AL,38,FALSE)</f>
        <v>413</v>
      </c>
      <c r="AP121" s="5">
        <f t="shared" si="38"/>
        <v>32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35</v>
      </c>
      <c r="AU121" s="4">
        <f t="shared" si="43"/>
        <v>7</v>
      </c>
      <c r="AV121" s="4">
        <f t="shared" si="44"/>
        <v>25</v>
      </c>
      <c r="AW121" s="4" t="str">
        <f t="shared" si="45"/>
        <v>-</v>
      </c>
      <c r="AX121" s="4">
        <f t="shared" si="46"/>
        <v>40</v>
      </c>
      <c r="AY121" s="4">
        <f t="shared" si="47"/>
        <v>37</v>
      </c>
      <c r="AZ121" s="4">
        <f t="shared" si="48"/>
        <v>28</v>
      </c>
      <c r="BA121" s="4">
        <f t="shared" si="49"/>
        <v>12</v>
      </c>
    </row>
    <row r="122" spans="1:53" x14ac:dyDescent="0.2">
      <c r="A122" s="1" t="str">
        <f>'SegEnds_NonXtal_Prot#'!A91</f>
        <v>cnr2_human</v>
      </c>
      <c r="B122" s="1" t="str">
        <f t="shared" si="25"/>
        <v>SGPQKTAVAVLCTLLGLLSALENVAVLYLILSSRKPSYLFIGSLAGADFLASVVFACSFVNFHVSKAVFLLKIGSVTMTFTASVGSLLLTAIDRYLCLRYTRGRALVTLGIMWVLSALVSYLPLMGPNDYLLSWLLFIAFLFSGIIYTYGHVLWKAHQHVASLSGVPGMARMRLDVRLAKTLGLVLAVLLICWFPVLALMAHSLATVKKAFAFCSMLCLINSMVNPVIYALRSGEIRSSAHHCLA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2" s="5" t="str">
        <f t="shared" si="26"/>
        <v>SGPQKTAVAVLCTLLGLLSALENVAVLYLILSS</v>
      </c>
      <c r="G122" s="4" t="str">
        <f t="shared" si="27"/>
        <v>HQLR</v>
      </c>
      <c r="H122" s="4" t="str">
        <f t="shared" si="28"/>
        <v>RKPSYLFIGSLAGADFLASVVFACSFVNFHV</v>
      </c>
      <c r="I122" s="4" t="str">
        <f t="shared" si="29"/>
        <v/>
      </c>
      <c r="J122" s="4" t="str">
        <f t="shared" si="30"/>
        <v>SKAVFLLKIGSVTMTFTASVGSLLLTAIDRYLCLRY</v>
      </c>
      <c r="K122" s="4" t="str">
        <f t="shared" si="31"/>
        <v>PPSYKALL</v>
      </c>
      <c r="L122" s="4" t="str">
        <f t="shared" si="32"/>
        <v>TRGRALVTLGIMWVLSALVSYLPLMG</v>
      </c>
      <c r="M122" s="4" t="str">
        <f t="shared" si="33"/>
        <v/>
      </c>
      <c r="N122" s="4" t="str">
        <f t="shared" si="34"/>
        <v>PNDYLLSWLLFIAFLFSGIIYTYGHVLWKAHQHVASLSG</v>
      </c>
      <c r="O122" s="4" t="str">
        <f t="shared" si="35"/>
        <v>VPGMARMRLDVRLAKTLGLVLAVLLICWFPVLALMAHSLAT</v>
      </c>
      <c r="P122" s="4" t="str">
        <f t="shared" si="36"/>
        <v>VKKAFAFCSMLCLINSMVNPVIYALR</v>
      </c>
      <c r="Q122" s="4" t="str">
        <f t="shared" si="37"/>
        <v>SGEIRSSAHHCLA</v>
      </c>
      <c r="R122" s="5">
        <f>VLOOKUP($A122,'SegEnds_NonXtal_Prot#'!$A:$AL,3,FALSE)</f>
        <v>29</v>
      </c>
      <c r="S122" s="5">
        <f>VLOOKUP($A122,'SegEnds_NonXtal_Prot#'!$A:$AL,6,FALSE)</f>
        <v>62</v>
      </c>
      <c r="T122" s="5">
        <f>VLOOKUP($A122,'SegEnds_NonXtal_Prot#'!$A:$AL,9,FALSE)</f>
        <v>66</v>
      </c>
      <c r="U122" s="5" t="str">
        <f>VLOOKUP($A122,'SegEnds_NonXtal_Prot#'!$A:$AL,12,FALSE)</f>
        <v>-</v>
      </c>
      <c r="V122" s="5">
        <f>VLOOKUP($A122,'SegEnds_NonXtal_Prot#'!$A:$AL,15,FALSE)</f>
        <v>102</v>
      </c>
      <c r="W122" s="5">
        <f>VLOOKUP($A122,'SegEnds_NonXtal_Prot#'!$A:$AL,18,FALSE)</f>
        <v>138</v>
      </c>
      <c r="X122" s="5">
        <f>VLOOKUP($A122,'SegEnds_NonXtal_Prot#'!$A:$AL,21,FALSE)</f>
        <v>146</v>
      </c>
      <c r="Y122" s="5" t="str">
        <f>VLOOKUP($A122,'SegEnds_NonXtal_Prot#'!$A:$AL,24,FALSE)</f>
        <v>-</v>
      </c>
      <c r="Z122" s="5">
        <f>VLOOKUP($A122,'SegEnds_NonXtal_Prot#'!$A:$AL,27,FALSE)</f>
        <v>187</v>
      </c>
      <c r="AA122" s="5">
        <f>VLOOKUP($A122,'SegEnds_NonXtal_Prot#'!$A:$AL,30,FALSE)</f>
        <v>231</v>
      </c>
      <c r="AB122" s="5">
        <f>VLOOKUP($A122,'SegEnds_NonXtal_Prot#'!$A:$AL,33,FALSE)</f>
        <v>277</v>
      </c>
      <c r="AC122" s="5">
        <f>VLOOKUP($A122,'SegEnds_NonXtal_Prot#'!$A:$AL,36,FALSE)</f>
        <v>303</v>
      </c>
      <c r="AD122" s="5">
        <f>VLOOKUP($A122,'SegEnds_NonXtal_Prot#'!$A:$AL,5,FALSE)</f>
        <v>61</v>
      </c>
      <c r="AE122" s="5">
        <f>VLOOKUP($A122,'SegEnds_NonXtal_Prot#'!$A:$AL,8,FALSE)</f>
        <v>65</v>
      </c>
      <c r="AF122" s="5">
        <f>VLOOKUP($A122,'SegEnds_NonXtal_Prot#'!$A:$AL,11,FALSE)</f>
        <v>96</v>
      </c>
      <c r="AG122" s="5" t="str">
        <f>VLOOKUP($A122,'SegEnds_NonXtal_Prot#'!$A:$AL,14,FALSE)</f>
        <v>-</v>
      </c>
      <c r="AH122" s="5">
        <f>VLOOKUP($A122,'SegEnds_NonXtal_Prot#'!$A:$AL,17,FALSE)</f>
        <v>137</v>
      </c>
      <c r="AI122" s="5">
        <f>VLOOKUP($A122,'SegEnds_NonXtal_Prot#'!$A:$AL,20,FALSE)</f>
        <v>145</v>
      </c>
      <c r="AJ122" s="5">
        <f>VLOOKUP($A122,'SegEnds_NonXtal_Prot#'!$A:$AL,23,FALSE)</f>
        <v>171</v>
      </c>
      <c r="AK122" s="5" t="str">
        <f>VLOOKUP($A122,'SegEnds_NonXtal_Prot#'!$A:$AL,26,FALSE)</f>
        <v>-</v>
      </c>
      <c r="AL122" s="5">
        <f>VLOOKUP($A122,'SegEnds_NonXtal_Prot#'!$A:$AL,29,FALSE)</f>
        <v>225</v>
      </c>
      <c r="AM122" s="5">
        <f>VLOOKUP($A122,'SegEnds_NonXtal_Prot#'!$A:$AL,32,FALSE)</f>
        <v>271</v>
      </c>
      <c r="AN122" s="5">
        <f>VLOOKUP($A122,'SegEnds_NonXtal_Prot#'!$A:$AL,35,FALSE)</f>
        <v>302</v>
      </c>
      <c r="AO122" s="5">
        <f>VLOOKUP($A122,'SegEnds_NonXtal_Prot#'!$A:$AL,38,FALSE)</f>
        <v>315</v>
      </c>
      <c r="AP122" s="5">
        <f t="shared" si="38"/>
        <v>32</v>
      </c>
      <c r="AQ122" s="4">
        <f t="shared" si="39"/>
        <v>3</v>
      </c>
      <c r="AR122" s="4">
        <f t="shared" si="40"/>
        <v>30</v>
      </c>
      <c r="AS122" s="4" t="str">
        <f t="shared" si="41"/>
        <v>-</v>
      </c>
      <c r="AT122" s="4">
        <f t="shared" si="42"/>
        <v>35</v>
      </c>
      <c r="AU122" s="4">
        <f t="shared" si="43"/>
        <v>7</v>
      </c>
      <c r="AV122" s="4">
        <f t="shared" si="44"/>
        <v>25</v>
      </c>
      <c r="AW122" s="4" t="str">
        <f t="shared" si="45"/>
        <v>-</v>
      </c>
      <c r="AX122" s="4">
        <f t="shared" si="46"/>
        <v>38</v>
      </c>
      <c r="AY122" s="4">
        <f t="shared" si="47"/>
        <v>40</v>
      </c>
      <c r="AZ122" s="4">
        <f t="shared" si="48"/>
        <v>25</v>
      </c>
      <c r="BA122" s="4">
        <f t="shared" si="49"/>
        <v>12</v>
      </c>
    </row>
    <row r="123" spans="1:53" x14ac:dyDescent="0.2">
      <c r="A123" s="1" t="str">
        <f>'SegEnds_NonXtal_Prot#'!A92</f>
        <v>cx3c1_human</v>
      </c>
      <c r="B123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3" s="29" t="str">
        <f>IF(ISERROR(MATCH(A123,'SegEnds_Xtal_Prot#'!B:B, 0)), "NoXtal", "Xtal")</f>
        <v>NoXtal</v>
      </c>
      <c r="D123" s="4" t="str">
        <f>VLOOKUP(A123,Classification!A:D,2,FALSE)</f>
        <v>A</v>
      </c>
      <c r="E123" s="5" t="str">
        <f>VLOOKUP(A123,Seqs!A:B,2,FALSE)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3" s="5" t="str">
        <f t="shared" si="26"/>
        <v>IGDIVVFGTVFLSIFYSVIFAIGLVGNLLVVFALTNS</v>
      </c>
      <c r="G123" s="4" t="str">
        <f t="shared" si="27"/>
        <v>KKPK</v>
      </c>
      <c r="H123" s="4" t="str">
        <f t="shared" si="28"/>
        <v>SVTDIYLLNLALSDLLFVATLPFWTHYLIN</v>
      </c>
      <c r="I123" s="4" t="str">
        <f t="shared" si="29"/>
        <v/>
      </c>
      <c r="J123" s="4" t="str">
        <f t="shared" si="30"/>
        <v>MCKFTTAFFFIGFFGSIFFITVISIDRYLAIVL</v>
      </c>
      <c r="K123" s="4" t="str">
        <f t="shared" si="31"/>
        <v>AANSMNNR</v>
      </c>
      <c r="L123" s="4" t="str">
        <f t="shared" si="32"/>
        <v>TVQHGVTISLGVWAAAILVAAPQFMFT</v>
      </c>
      <c r="M123" s="4" t="str">
        <f t="shared" si="33"/>
        <v>CLG</v>
      </c>
      <c r="N123" s="4" t="str">
        <f t="shared" si="34"/>
        <v>LQEIWPVLRNVETNFLGFLLPLLIMSYCYFRIIQTLFSC</v>
      </c>
      <c r="O123" s="4" t="str">
        <f t="shared" si="35"/>
        <v>KAKAIKLILLVVIVFFLFWTPYNVMIFLETLKLYD</v>
      </c>
      <c r="P123" s="4" t="str">
        <f t="shared" si="36"/>
        <v>SCDMRKDLRLALSVTETVAFSHCCLNPLIYAFA</v>
      </c>
      <c r="Q123" s="4" t="str">
        <f t="shared" si="37"/>
        <v>GEKFRRYLYHLYG</v>
      </c>
      <c r="R123" s="5">
        <f>VLOOKUP($A123,'SegEnds_NonXtal_Prot#'!$A:$AL,3,FALSE)</f>
        <v>23</v>
      </c>
      <c r="S123" s="5">
        <f>VLOOKUP($A123,'SegEnds_NonXtal_Prot#'!$A:$AL,6,FALSE)</f>
        <v>60</v>
      </c>
      <c r="T123" s="5">
        <f>VLOOKUP($A123,'SegEnds_NonXtal_Prot#'!$A:$AL,9,FALSE)</f>
        <v>64</v>
      </c>
      <c r="U123" s="5" t="str">
        <f>VLOOKUP($A123,'SegEnds_NonXtal_Prot#'!$A:$AL,12,FALSE)</f>
        <v>-</v>
      </c>
      <c r="V123" s="5">
        <f>VLOOKUP($A123,'SegEnds_NonXtal_Prot#'!$A:$AL,15,FALSE)</f>
        <v>101</v>
      </c>
      <c r="W123" s="5">
        <f>VLOOKUP($A123,'SegEnds_NonXtal_Prot#'!$A:$AL,18,FALSE)</f>
        <v>134</v>
      </c>
      <c r="X123" s="5">
        <f>VLOOKUP($A123,'SegEnds_NonXtal_Prot#'!$A:$AL,21,FALSE)</f>
        <v>142</v>
      </c>
      <c r="Y123" s="5">
        <f>VLOOKUP($A123,'SegEnds_NonXtal_Prot#'!$A:$AL,24,FALSE)</f>
        <v>175</v>
      </c>
      <c r="Z123" s="5">
        <f>VLOOKUP($A123,'SegEnds_NonXtal_Prot#'!$A:$AL,27,FALSE)</f>
        <v>183</v>
      </c>
      <c r="AA123" s="5">
        <f>VLOOKUP($A123,'SegEnds_NonXtal_Prot#'!$A:$AL,30,FALSE)</f>
        <v>226</v>
      </c>
      <c r="AB123" s="5">
        <f>VLOOKUP($A123,'SegEnds_NonXtal_Prot#'!$A:$AL,33,FALSE)</f>
        <v>264</v>
      </c>
      <c r="AC123" s="5">
        <f>VLOOKUP($A123,'SegEnds_NonXtal_Prot#'!$A:$AL,36,FALSE)</f>
        <v>297</v>
      </c>
      <c r="AD123" s="5">
        <f>VLOOKUP($A123,'SegEnds_NonXtal_Prot#'!$A:$AL,5,FALSE)</f>
        <v>59</v>
      </c>
      <c r="AE123" s="5">
        <f>VLOOKUP($A123,'SegEnds_NonXtal_Prot#'!$A:$AL,8,FALSE)</f>
        <v>63</v>
      </c>
      <c r="AF123" s="5">
        <f>VLOOKUP($A123,'SegEnds_NonXtal_Prot#'!$A:$AL,11,FALSE)</f>
        <v>93</v>
      </c>
      <c r="AG123" s="5" t="str">
        <f>VLOOKUP($A123,'SegEnds_NonXtal_Prot#'!$A:$AL,14,FALSE)</f>
        <v>-</v>
      </c>
      <c r="AH123" s="5">
        <f>VLOOKUP($A123,'SegEnds_NonXtal_Prot#'!$A:$AL,17,FALSE)</f>
        <v>133</v>
      </c>
      <c r="AI123" s="5">
        <f>VLOOKUP($A123,'SegEnds_NonXtal_Prot#'!$A:$AL,20,FALSE)</f>
        <v>141</v>
      </c>
      <c r="AJ123" s="5">
        <f>VLOOKUP($A123,'SegEnds_NonXtal_Prot#'!$A:$AL,23,FALSE)</f>
        <v>168</v>
      </c>
      <c r="AK123" s="5">
        <f>VLOOKUP($A123,'SegEnds_NonXtal_Prot#'!$A:$AL,26,FALSE)</f>
        <v>177</v>
      </c>
      <c r="AL123" s="5">
        <f>VLOOKUP($A123,'SegEnds_NonXtal_Prot#'!$A:$AL,29,FALSE)</f>
        <v>221</v>
      </c>
      <c r="AM123" s="5">
        <f>VLOOKUP($A123,'SegEnds_NonXtal_Prot#'!$A:$AL,32,FALSE)</f>
        <v>260</v>
      </c>
      <c r="AN123" s="5">
        <f>VLOOKUP($A123,'SegEnds_NonXtal_Prot#'!$A:$AL,35,FALSE)</f>
        <v>296</v>
      </c>
      <c r="AO123" s="5">
        <f>VLOOKUP($A123,'SegEnds_NonXtal_Prot#'!$A:$AL,38,FALSE)</f>
        <v>309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 t="str">
        <f t="shared" si="41"/>
        <v>-</v>
      </c>
      <c r="AT123" s="4">
        <f t="shared" si="42"/>
        <v>32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38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'SegEnds_NonXtal_Prot#'!A93</f>
        <v>cxcr3_human</v>
      </c>
      <c r="B124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4" s="5" t="str">
        <f t="shared" si="26"/>
        <v>QDFSLNFDRAFLPALYSLLFLLGLLGNGAVAAVLLSR</v>
      </c>
      <c r="G124" s="4" t="str">
        <f t="shared" si="27"/>
        <v>RTAL</v>
      </c>
      <c r="H124" s="4" t="str">
        <f t="shared" si="28"/>
        <v>SSTDTFLLHLAVADTLLVLTLPLWAVDAAV</v>
      </c>
      <c r="I124" s="4" t="str">
        <f t="shared" si="29"/>
        <v>QWVF</v>
      </c>
      <c r="J124" s="4" t="str">
        <f t="shared" si="30"/>
        <v>GSGLCKVAGALFNINFYAGALLLACISFDRYLNIVH</v>
      </c>
      <c r="K124" s="4" t="str">
        <f t="shared" si="31"/>
        <v>ATQLYRRG</v>
      </c>
      <c r="L124" s="4" t="str">
        <f t="shared" si="32"/>
        <v>PPARVTLTCLAVWGLCLLFALPDFIFL</v>
      </c>
      <c r="M124" s="4" t="str">
        <f t="shared" si="33"/>
        <v>CQY</v>
      </c>
      <c r="N124" s="4" t="str">
        <f t="shared" si="34"/>
        <v>QVGRTALRVLQLVAGFLLPLLVMAYCYAHILAVLLVS</v>
      </c>
      <c r="O124" s="4" t="str">
        <f t="shared" si="35"/>
        <v>RLRAMRLVVVVVVAFALCWTPYHLVVLVDILMDLG</v>
      </c>
      <c r="P124" s="4" t="str">
        <f t="shared" si="36"/>
        <v>NCGRESRVDVAKSVTSGLGYMHCCLNPLLYAFV</v>
      </c>
      <c r="Q124" s="4" t="str">
        <f t="shared" si="37"/>
        <v>GVKFRERMWMLLL</v>
      </c>
      <c r="R124" s="5">
        <f>VLOOKUP($A124,'SegEnds_NonXtal_Prot#'!$A:$AL,3,FALSE)</f>
        <v>45</v>
      </c>
      <c r="S124" s="5">
        <f>VLOOKUP($A124,'SegEnds_NonXtal_Prot#'!$A:$AL,6,FALSE)</f>
        <v>82</v>
      </c>
      <c r="T124" s="5">
        <f>VLOOKUP($A124,'SegEnds_NonXtal_Prot#'!$A:$AL,9,FALSE)</f>
        <v>86</v>
      </c>
      <c r="U124" s="5">
        <f>VLOOKUP($A124,'SegEnds_NonXtal_Prot#'!$A:$AL,12,FALSE)</f>
        <v>116</v>
      </c>
      <c r="V124" s="5">
        <f>VLOOKUP($A124,'SegEnds_NonXtal_Prot#'!$A:$AL,15,FALSE)</f>
        <v>120</v>
      </c>
      <c r="W124" s="5">
        <f>VLOOKUP($A124,'SegEnds_NonXtal_Prot#'!$A:$AL,18,FALSE)</f>
        <v>156</v>
      </c>
      <c r="X124" s="5">
        <f>VLOOKUP($A124,'SegEnds_NonXtal_Prot#'!$A:$AL,21,FALSE)</f>
        <v>164</v>
      </c>
      <c r="Y124" s="5">
        <f>VLOOKUP($A124,'SegEnds_NonXtal_Prot#'!$A:$AL,24,FALSE)</f>
        <v>203</v>
      </c>
      <c r="Z124" s="5">
        <f>VLOOKUP($A124,'SegEnds_NonXtal_Prot#'!$A:$AL,27,FALSE)</f>
        <v>209</v>
      </c>
      <c r="AA124" s="5">
        <f>VLOOKUP($A124,'SegEnds_NonXtal_Prot#'!$A:$AL,30,FALSE)</f>
        <v>250</v>
      </c>
      <c r="AB124" s="5">
        <f>VLOOKUP($A124,'SegEnds_NonXtal_Prot#'!$A:$AL,33,FALSE)</f>
        <v>289</v>
      </c>
      <c r="AC124" s="5">
        <f>VLOOKUP($A124,'SegEnds_NonXtal_Prot#'!$A:$AL,36,FALSE)</f>
        <v>322</v>
      </c>
      <c r="AD124" s="5">
        <f>VLOOKUP($A124,'SegEnds_NonXtal_Prot#'!$A:$AL,5,FALSE)</f>
        <v>81</v>
      </c>
      <c r="AE124" s="5">
        <f>VLOOKUP($A124,'SegEnds_NonXtal_Prot#'!$A:$AL,8,FALSE)</f>
        <v>85</v>
      </c>
      <c r="AF124" s="5">
        <f>VLOOKUP($A124,'SegEnds_NonXtal_Prot#'!$A:$AL,11,FALSE)</f>
        <v>115</v>
      </c>
      <c r="AG124" s="5">
        <f>VLOOKUP($A124,'SegEnds_NonXtal_Prot#'!$A:$AL,14,FALSE)</f>
        <v>119</v>
      </c>
      <c r="AH124" s="5">
        <f>VLOOKUP($A124,'SegEnds_NonXtal_Prot#'!$A:$AL,17,FALSE)</f>
        <v>155</v>
      </c>
      <c r="AI124" s="5">
        <f>VLOOKUP($A124,'SegEnds_NonXtal_Prot#'!$A:$AL,20,FALSE)</f>
        <v>163</v>
      </c>
      <c r="AJ124" s="5">
        <f>VLOOKUP($A124,'SegEnds_NonXtal_Prot#'!$A:$AL,23,FALSE)</f>
        <v>190</v>
      </c>
      <c r="AK124" s="5">
        <f>VLOOKUP($A124,'SegEnds_NonXtal_Prot#'!$A:$AL,26,FALSE)</f>
        <v>205</v>
      </c>
      <c r="AL124" s="5">
        <f>VLOOKUP($A124,'SegEnds_NonXtal_Prot#'!$A:$AL,29,FALSE)</f>
        <v>245</v>
      </c>
      <c r="AM124" s="5">
        <f>VLOOKUP($A124,'SegEnds_NonXtal_Prot#'!$A:$AL,32,FALSE)</f>
        <v>284</v>
      </c>
      <c r="AN124" s="5">
        <f>VLOOKUP($A124,'SegEnds_NonXtal_Prot#'!$A:$AL,35,FALSE)</f>
        <v>321</v>
      </c>
      <c r="AO124" s="5">
        <f>VLOOKUP($A124,'SegEnds_NonXtal_Prot#'!$A:$AL,38,FALSE)</f>
        <v>334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34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'SegEnds_NonXtal_Prot#'!A94</f>
        <v>cxcr4_human</v>
      </c>
      <c r="B125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5" s="29" t="str">
        <f>IF(ISERROR(MATCH(A125,'SegEnds_Xtal_Prot#'!B:B, 0)), "NoXtal", "Xtal")</f>
        <v>Xtal</v>
      </c>
      <c r="D125" s="4" t="str">
        <f>VLOOKUP(A125,Classification!A:D,2,FALSE)</f>
        <v>A</v>
      </c>
      <c r="E125" s="5" t="str">
        <f>VLOOKUP(A125,Seqs!A:B,2,FALSE)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5" s="5" t="str">
        <f t="shared" si="26"/>
        <v>REENANFNKIFLPTIYSIIFLTGIVGNGLVILVMGYQ</v>
      </c>
      <c r="G125" s="4" t="str">
        <f t="shared" si="27"/>
        <v>KKLR</v>
      </c>
      <c r="H125" s="4" t="str">
        <f t="shared" si="28"/>
        <v>SMTDKYRLHLSVADLLFVITLPFWAVDAVA</v>
      </c>
      <c r="I125" s="4" t="str">
        <f t="shared" si="29"/>
        <v>NWYF</v>
      </c>
      <c r="J125" s="4" t="str">
        <f t="shared" si="30"/>
        <v>GNFLCKAVHVIYTVNLYSSVLILAFISLDRYLAIVH</v>
      </c>
      <c r="K125" s="4" t="str">
        <f t="shared" si="31"/>
        <v>ATNSQRPR</v>
      </c>
      <c r="L125" s="4" t="str">
        <f t="shared" si="32"/>
        <v>KLLAEKVVYVGVWIPALLLTIPDFIFA</v>
      </c>
      <c r="M125" s="4" t="str">
        <f t="shared" si="33"/>
        <v>CDR</v>
      </c>
      <c r="N125" s="4" t="str">
        <f t="shared" si="34"/>
        <v>DLWVVVFQFQHIMVGLILPGIVILSCYCIIISKLSHS</v>
      </c>
      <c r="O125" s="4" t="str">
        <f t="shared" si="35"/>
        <v>KRKALKTTVILILAFFACWLPYYIGISIDSFILLE</v>
      </c>
      <c r="P125" s="4" t="str">
        <f t="shared" si="36"/>
        <v>GCEFENTVHKWISITEALAFFHCCLNPILYAFL</v>
      </c>
      <c r="Q125" s="4" t="str">
        <f t="shared" si="37"/>
        <v>GAKFKTSAQHALT</v>
      </c>
      <c r="R125" s="5">
        <f>VLOOKUP($A125,'SegEnds_NonXtal_Prot#'!$A:$AL,3,FALSE)</f>
        <v>30</v>
      </c>
      <c r="S125" s="5">
        <f>VLOOKUP($A125,'SegEnds_NonXtal_Prot#'!$A:$AL,6,FALSE)</f>
        <v>67</v>
      </c>
      <c r="T125" s="5">
        <f>VLOOKUP($A125,'SegEnds_NonXtal_Prot#'!$A:$AL,9,FALSE)</f>
        <v>71</v>
      </c>
      <c r="U125" s="5">
        <f>VLOOKUP($A125,'SegEnds_NonXtal_Prot#'!$A:$AL,12,FALSE)</f>
        <v>101</v>
      </c>
      <c r="V125" s="5">
        <f>VLOOKUP($A125,'SegEnds_NonXtal_Prot#'!$A:$AL,15,FALSE)</f>
        <v>105</v>
      </c>
      <c r="W125" s="5">
        <f>VLOOKUP($A125,'SegEnds_NonXtal_Prot#'!$A:$AL,18,FALSE)</f>
        <v>141</v>
      </c>
      <c r="X125" s="5">
        <f>VLOOKUP($A125,'SegEnds_NonXtal_Prot#'!$A:$AL,21,FALSE)</f>
        <v>149</v>
      </c>
      <c r="Y125" s="5">
        <f>VLOOKUP($A125,'SegEnds_NonXtal_Prot#'!$A:$AL,24,FALSE)</f>
        <v>186</v>
      </c>
      <c r="Z125" s="5">
        <f>VLOOKUP($A125,'SegEnds_NonXtal_Prot#'!$A:$AL,27,FALSE)</f>
        <v>193</v>
      </c>
      <c r="AA125" s="5">
        <f>VLOOKUP($A125,'SegEnds_NonXtal_Prot#'!$A:$AL,30,FALSE)</f>
        <v>234</v>
      </c>
      <c r="AB125" s="5">
        <f>VLOOKUP($A125,'SegEnds_NonXtal_Prot#'!$A:$AL,33,FALSE)</f>
        <v>273</v>
      </c>
      <c r="AC125" s="5">
        <f>VLOOKUP($A125,'SegEnds_NonXtal_Prot#'!$A:$AL,36,FALSE)</f>
        <v>306</v>
      </c>
      <c r="AD125" s="5">
        <f>VLOOKUP($A125,'SegEnds_NonXtal_Prot#'!$A:$AL,5,FALSE)</f>
        <v>66</v>
      </c>
      <c r="AE125" s="5">
        <f>VLOOKUP($A125,'SegEnds_NonXtal_Prot#'!$A:$AL,8,FALSE)</f>
        <v>70</v>
      </c>
      <c r="AF125" s="5">
        <f>VLOOKUP($A125,'SegEnds_NonXtal_Prot#'!$A:$AL,11,FALSE)</f>
        <v>100</v>
      </c>
      <c r="AG125" s="5">
        <f>VLOOKUP($A125,'SegEnds_NonXtal_Prot#'!$A:$AL,14,FALSE)</f>
        <v>104</v>
      </c>
      <c r="AH125" s="5">
        <f>VLOOKUP($A125,'SegEnds_NonXtal_Prot#'!$A:$AL,17,FALSE)</f>
        <v>140</v>
      </c>
      <c r="AI125" s="5">
        <f>VLOOKUP($A125,'SegEnds_NonXtal_Prot#'!$A:$AL,20,FALSE)</f>
        <v>148</v>
      </c>
      <c r="AJ125" s="5">
        <f>VLOOKUP($A125,'SegEnds_NonXtal_Prot#'!$A:$AL,23,FALSE)</f>
        <v>175</v>
      </c>
      <c r="AK125" s="5">
        <f>VLOOKUP($A125,'SegEnds_NonXtal_Prot#'!$A:$AL,26,FALSE)</f>
        <v>188</v>
      </c>
      <c r="AL125" s="5">
        <f>VLOOKUP($A125,'SegEnds_NonXtal_Prot#'!$A:$AL,29,FALSE)</f>
        <v>229</v>
      </c>
      <c r="AM125" s="5">
        <f>VLOOKUP($A125,'SegEnds_NonXtal_Prot#'!$A:$AL,32,FALSE)</f>
        <v>268</v>
      </c>
      <c r="AN125" s="5">
        <f>VLOOKUP($A125,'SegEnds_NonXtal_Prot#'!$A:$AL,35,FALSE)</f>
        <v>305</v>
      </c>
      <c r="AO125" s="5">
        <f>VLOOKUP($A125,'SegEnds_NonXtal_Prot#'!$A:$AL,38,FALSE)</f>
        <v>318</v>
      </c>
      <c r="AP125" s="5">
        <f t="shared" si="38"/>
        <v>36</v>
      </c>
      <c r="AQ125" s="4">
        <f t="shared" si="39"/>
        <v>3</v>
      </c>
      <c r="AR125" s="4">
        <f t="shared" si="40"/>
        <v>29</v>
      </c>
      <c r="AS125" s="4">
        <f t="shared" si="41"/>
        <v>3</v>
      </c>
      <c r="AT125" s="4">
        <f t="shared" si="42"/>
        <v>35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36</v>
      </c>
      <c r="AY125" s="4">
        <f t="shared" si="47"/>
        <v>34</v>
      </c>
      <c r="AZ125" s="4">
        <f t="shared" si="48"/>
        <v>32</v>
      </c>
      <c r="BA125" s="4">
        <f t="shared" si="49"/>
        <v>12</v>
      </c>
    </row>
    <row r="126" spans="1:53" x14ac:dyDescent="0.2">
      <c r="A126" s="1" t="str">
        <f>'SegEnds_NonXtal_Prot#'!A95</f>
        <v>cxcr5_human</v>
      </c>
      <c r="B126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6" s="29" t="str">
        <f>IF(ISERROR(MATCH(A126,'SegEnds_Xtal_Prot#'!B:B, 0)), "NoXtal", "Xtal")</f>
        <v>NoXtal</v>
      </c>
      <c r="D126" s="4" t="str">
        <f>VLOOKUP(A126,Classification!A:D,2,FALSE)</f>
        <v>A</v>
      </c>
      <c r="E126" s="5" t="str">
        <f>VLOOKUP(A126,Seqs!A:B,2,FALSE)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6" s="5" t="str">
        <f t="shared" si="26"/>
        <v>GPLMASFKAVFVPVAYSLIFLLGVIGNVLVLVILERH</v>
      </c>
      <c r="G126" s="4" t="str">
        <f t="shared" si="27"/>
        <v>RQTR</v>
      </c>
      <c r="H126" s="4" t="str">
        <f t="shared" si="28"/>
        <v>SSTETFLFHLAVADLLLVFILPFAVAEGSV</v>
      </c>
      <c r="I126" s="4" t="str">
        <f t="shared" si="29"/>
        <v>GWVL</v>
      </c>
      <c r="J126" s="4" t="str">
        <f t="shared" si="30"/>
        <v>GTFLCKTVIALHKVNFYCSSLLLACIAVDRYLAIVH</v>
      </c>
      <c r="K126" s="4" t="str">
        <f t="shared" si="31"/>
        <v>AVHAYRHR</v>
      </c>
      <c r="L126" s="4" t="str">
        <f t="shared" si="32"/>
        <v>RLLSIHITCGTIWLVGFLLALPEILFA</v>
      </c>
      <c r="M126" s="4" t="str">
        <f t="shared" si="33"/>
        <v>CTF</v>
      </c>
      <c r="N126" s="4" t="str">
        <f t="shared" si="34"/>
        <v>THAWFTSRFLYHVAGFLLPMLVMGWCYVGVVHRLRQA</v>
      </c>
      <c r="O126" s="4" t="str">
        <f t="shared" si="35"/>
        <v>PQRQKAVRVAILVTSIFFLCWSPYHIVIFLDTLARLK</v>
      </c>
      <c r="P126" s="4" t="str">
        <f t="shared" si="36"/>
        <v>TCKLNGSLPVAITMCEFLGLAHCCLNPMLYTFA</v>
      </c>
      <c r="Q126" s="4" t="str">
        <f t="shared" si="37"/>
        <v>GVKFRSDLSRLLT</v>
      </c>
      <c r="R126" s="5">
        <f>VLOOKUP($A126,'SegEnds_NonXtal_Prot#'!$A:$AL,3,FALSE)</f>
        <v>43</v>
      </c>
      <c r="S126" s="5">
        <f>VLOOKUP($A126,'SegEnds_NonXtal_Prot#'!$A:$AL,6,FALSE)</f>
        <v>80</v>
      </c>
      <c r="T126" s="5">
        <f>VLOOKUP($A126,'SegEnds_NonXtal_Prot#'!$A:$AL,9,FALSE)</f>
        <v>84</v>
      </c>
      <c r="U126" s="5">
        <f>VLOOKUP($A126,'SegEnds_NonXtal_Prot#'!$A:$AL,12,FALSE)</f>
        <v>114</v>
      </c>
      <c r="V126" s="5">
        <f>VLOOKUP($A126,'SegEnds_NonXtal_Prot#'!$A:$AL,15,FALSE)</f>
        <v>118</v>
      </c>
      <c r="W126" s="5">
        <f>VLOOKUP($A126,'SegEnds_NonXtal_Prot#'!$A:$AL,18,FALSE)</f>
        <v>154</v>
      </c>
      <c r="X126" s="5">
        <f>VLOOKUP($A126,'SegEnds_NonXtal_Prot#'!$A:$AL,21,FALSE)</f>
        <v>162</v>
      </c>
      <c r="Y126" s="5">
        <f>VLOOKUP($A126,'SegEnds_NonXtal_Prot#'!$A:$AL,24,FALSE)</f>
        <v>202</v>
      </c>
      <c r="Z126" s="5">
        <f>VLOOKUP($A126,'SegEnds_NonXtal_Prot#'!$A:$AL,27,FALSE)</f>
        <v>212</v>
      </c>
      <c r="AA126" s="5">
        <f>VLOOKUP($A126,'SegEnds_NonXtal_Prot#'!$A:$AL,30,FALSE)</f>
        <v>252</v>
      </c>
      <c r="AB126" s="5">
        <f>VLOOKUP($A126,'SegEnds_NonXtal_Prot#'!$A:$AL,33,FALSE)</f>
        <v>293</v>
      </c>
      <c r="AC126" s="5">
        <f>VLOOKUP($A126,'SegEnds_NonXtal_Prot#'!$A:$AL,36,FALSE)</f>
        <v>326</v>
      </c>
      <c r="AD126" s="5">
        <f>VLOOKUP($A126,'SegEnds_NonXtal_Prot#'!$A:$AL,5,FALSE)</f>
        <v>79</v>
      </c>
      <c r="AE126" s="5">
        <f>VLOOKUP($A126,'SegEnds_NonXtal_Prot#'!$A:$AL,8,FALSE)</f>
        <v>83</v>
      </c>
      <c r="AF126" s="5">
        <f>VLOOKUP($A126,'SegEnds_NonXtal_Prot#'!$A:$AL,11,FALSE)</f>
        <v>113</v>
      </c>
      <c r="AG126" s="5">
        <f>VLOOKUP($A126,'SegEnds_NonXtal_Prot#'!$A:$AL,14,FALSE)</f>
        <v>117</v>
      </c>
      <c r="AH126" s="5">
        <f>VLOOKUP($A126,'SegEnds_NonXtal_Prot#'!$A:$AL,17,FALSE)</f>
        <v>153</v>
      </c>
      <c r="AI126" s="5">
        <f>VLOOKUP($A126,'SegEnds_NonXtal_Prot#'!$A:$AL,20,FALSE)</f>
        <v>161</v>
      </c>
      <c r="AJ126" s="5">
        <f>VLOOKUP($A126,'SegEnds_NonXtal_Prot#'!$A:$AL,23,FALSE)</f>
        <v>188</v>
      </c>
      <c r="AK126" s="5">
        <f>VLOOKUP($A126,'SegEnds_NonXtal_Prot#'!$A:$AL,26,FALSE)</f>
        <v>204</v>
      </c>
      <c r="AL126" s="5">
        <f>VLOOKUP($A126,'SegEnds_NonXtal_Prot#'!$A:$AL,29,FALSE)</f>
        <v>248</v>
      </c>
      <c r="AM126" s="5">
        <f>VLOOKUP($A126,'SegEnds_NonXtal_Prot#'!$A:$AL,32,FALSE)</f>
        <v>288</v>
      </c>
      <c r="AN126" s="5">
        <f>VLOOKUP($A126,'SegEnds_NonXtal_Prot#'!$A:$AL,35,FALSE)</f>
        <v>325</v>
      </c>
      <c r="AO126" s="5">
        <f>VLOOKUP($A126,'SegEnds_NonXtal_Prot#'!$A:$AL,38,FALSE)</f>
        <v>338</v>
      </c>
      <c r="AP126" s="5">
        <f t="shared" si="38"/>
        <v>36</v>
      </c>
      <c r="AQ126" s="4">
        <f t="shared" si="39"/>
        <v>3</v>
      </c>
      <c r="AR126" s="4">
        <f t="shared" si="40"/>
        <v>29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26</v>
      </c>
      <c r="AW126" s="4">
        <f t="shared" si="45"/>
        <v>2</v>
      </c>
      <c r="AX126" s="4">
        <f t="shared" si="46"/>
        <v>36</v>
      </c>
      <c r="AY126" s="4">
        <f t="shared" si="47"/>
        <v>36</v>
      </c>
      <c r="AZ126" s="4">
        <f t="shared" si="48"/>
        <v>32</v>
      </c>
      <c r="BA126" s="4">
        <f t="shared" si="49"/>
        <v>12</v>
      </c>
    </row>
    <row r="127" spans="1:53" x14ac:dyDescent="0.2">
      <c r="A127" s="1" t="str">
        <f>'SegEnds_NonXtal_Prot#'!A96</f>
        <v>drd1_human</v>
      </c>
      <c r="B127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7" s="5" t="str">
        <f t="shared" si="26"/>
        <v>VERDFSVRILTACFLSLLILSTLLGNTLVCAAVIRF</v>
      </c>
      <c r="G127" s="4" t="str">
        <f t="shared" si="27"/>
        <v>RHLR</v>
      </c>
      <c r="H127" s="4" t="str">
        <f t="shared" si="28"/>
        <v>SKVTNFFVISLAVSDLLVAVLVMPWKAVAEI</v>
      </c>
      <c r="I127" s="4" t="str">
        <f t="shared" si="29"/>
        <v>FWPF</v>
      </c>
      <c r="J127" s="4" t="str">
        <f t="shared" si="30"/>
        <v>GSFCNIWVAFDIMCSTASILNLCVISVDRYWAISS</v>
      </c>
      <c r="K127" s="4" t="str">
        <f t="shared" si="31"/>
        <v>PFRYERKM</v>
      </c>
      <c r="L127" s="4" t="str">
        <f t="shared" si="32"/>
        <v>TPKAAFILISVAWTLSVLISFIPVQLS</v>
      </c>
      <c r="M127" s="4" t="str">
        <f t="shared" si="33"/>
        <v>CDS</v>
      </c>
      <c r="N127" s="4" t="str">
        <f t="shared" si="34"/>
        <v>SRTYAISSSVISFYIPVAIMIVTYTRIYRIAQKQIRRIAALE</v>
      </c>
      <c r="O127" s="4" t="str">
        <f t="shared" si="35"/>
        <v>KMSFKRETKVLKTLSVIMGVFVCCWLPFFILNCILPFC</v>
      </c>
      <c r="P127" s="4" t="str">
        <f t="shared" si="36"/>
        <v>FCIDSNTFDVFVWFGWANSSLNPIIYAFN</v>
      </c>
      <c r="Q127" s="4" t="str">
        <f t="shared" si="37"/>
        <v>ADFRKAFSTLLGC</v>
      </c>
      <c r="R127" s="5">
        <f>VLOOKUP($A127,'SegEnds_NonXtal_Prot#'!$A:$AL,3,FALSE)</f>
        <v>16</v>
      </c>
      <c r="S127" s="5">
        <f>VLOOKUP($A127,'SegEnds_NonXtal_Prot#'!$A:$AL,6,FALSE)</f>
        <v>52</v>
      </c>
      <c r="T127" s="5">
        <f>VLOOKUP($A127,'SegEnds_NonXtal_Prot#'!$A:$AL,9,FALSE)</f>
        <v>56</v>
      </c>
      <c r="U127" s="5">
        <f>VLOOKUP($A127,'SegEnds_NonXtal_Prot#'!$A:$AL,12,FALSE)</f>
        <v>89</v>
      </c>
      <c r="V127" s="5">
        <f>VLOOKUP($A127,'SegEnds_NonXtal_Prot#'!$A:$AL,15,FALSE)</f>
        <v>93</v>
      </c>
      <c r="W127" s="5">
        <f>VLOOKUP($A127,'SegEnds_NonXtal_Prot#'!$A:$AL,18,FALSE)</f>
        <v>128</v>
      </c>
      <c r="X127" s="5">
        <f>VLOOKUP($A127,'SegEnds_NonXtal_Prot#'!$A:$AL,21,FALSE)</f>
        <v>136</v>
      </c>
      <c r="Y127" s="5">
        <f>VLOOKUP($A127,'SegEnds_NonXtal_Prot#'!$A:$AL,24,FALSE)</f>
        <v>186</v>
      </c>
      <c r="Z127" s="5">
        <f>VLOOKUP($A127,'SegEnds_NonXtal_Prot#'!$A:$AL,27,FALSE)</f>
        <v>191</v>
      </c>
      <c r="AA127" s="5">
        <f>VLOOKUP($A127,'SegEnds_NonXtal_Prot#'!$A:$AL,30,FALSE)</f>
        <v>261</v>
      </c>
      <c r="AB127" s="5">
        <f>VLOOKUP($A127,'SegEnds_NonXtal_Prot#'!$A:$AL,33,FALSE)</f>
        <v>306</v>
      </c>
      <c r="AC127" s="5">
        <f>VLOOKUP($A127,'SegEnds_NonXtal_Prot#'!$A:$AL,36,FALSE)</f>
        <v>335</v>
      </c>
      <c r="AD127" s="5">
        <f>VLOOKUP($A127,'SegEnds_NonXtal_Prot#'!$A:$AL,5,FALSE)</f>
        <v>51</v>
      </c>
      <c r="AE127" s="5">
        <f>VLOOKUP($A127,'SegEnds_NonXtal_Prot#'!$A:$AL,8,FALSE)</f>
        <v>55</v>
      </c>
      <c r="AF127" s="5">
        <f>VLOOKUP($A127,'SegEnds_NonXtal_Prot#'!$A:$AL,11,FALSE)</f>
        <v>86</v>
      </c>
      <c r="AG127" s="5">
        <f>VLOOKUP($A127,'SegEnds_NonXtal_Prot#'!$A:$AL,14,FALSE)</f>
        <v>92</v>
      </c>
      <c r="AH127" s="5">
        <f>VLOOKUP($A127,'SegEnds_NonXtal_Prot#'!$A:$AL,17,FALSE)</f>
        <v>127</v>
      </c>
      <c r="AI127" s="5">
        <f>VLOOKUP($A127,'SegEnds_NonXtal_Prot#'!$A:$AL,20,FALSE)</f>
        <v>135</v>
      </c>
      <c r="AJ127" s="5">
        <f>VLOOKUP($A127,'SegEnds_NonXtal_Prot#'!$A:$AL,23,FALSE)</f>
        <v>162</v>
      </c>
      <c r="AK127" s="5">
        <f>VLOOKUP($A127,'SegEnds_NonXtal_Prot#'!$A:$AL,26,FALSE)</f>
        <v>188</v>
      </c>
      <c r="AL127" s="5">
        <f>VLOOKUP($A127,'SegEnds_NonXtal_Prot#'!$A:$AL,29,FALSE)</f>
        <v>232</v>
      </c>
      <c r="AM127" s="5">
        <f>VLOOKUP($A127,'SegEnds_NonXtal_Prot#'!$A:$AL,32,FALSE)</f>
        <v>298</v>
      </c>
      <c r="AN127" s="5">
        <f>VLOOKUP($A127,'SegEnds_NonXtal_Prot#'!$A:$AL,35,FALSE)</f>
        <v>334</v>
      </c>
      <c r="AO127" s="5">
        <f>VLOOKUP($A127,'SegEnds_NonXtal_Prot#'!$A:$AL,38,FALSE)</f>
        <v>347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37</v>
      </c>
      <c r="AZ127" s="4">
        <f t="shared" si="48"/>
        <v>28</v>
      </c>
      <c r="BA127" s="4">
        <f t="shared" si="49"/>
        <v>12</v>
      </c>
    </row>
    <row r="128" spans="1:53" x14ac:dyDescent="0.2">
      <c r="A128" s="1" t="str">
        <f>'SegEnds_NonXtal_Prot#'!A97</f>
        <v>drd4_human</v>
      </c>
      <c r="B128" s="1" t="str">
        <f t="shared" si="25"/>
        <v>AGQGAAALVGGVLLIGAVLAGNSLVCVSVATETPTNSFIVSLAAADLLLALLVLPLFVYSEVQSPRLCDALMAMDVMLCTASIFNLCAISVDRFVAVAVGSRRQLLLIGATWLLSAAVAAPVLCGDRDYVVYSSVCSFFLPCPLMLLLYWATFRGLQRWEVARRAKAKITGRERKAMRVLPVVVGAFLLCWTPFFVVHITQALPPRLVSAVTWLGYVNSALNPVIYTVFNAEFRNVFRKALR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8" s="5" t="str">
        <f t="shared" si="26"/>
        <v>AGQGAAALVGGVLLIGAVLAGNSLVCVSVATE</v>
      </c>
      <c r="G128" s="4" t="str">
        <f t="shared" si="27"/>
        <v>RALQ</v>
      </c>
      <c r="H128" s="4" t="str">
        <f t="shared" si="28"/>
        <v>TPTNSFIVSLAAADLLLALLVLPLFVYSEVQ</v>
      </c>
      <c r="I128" s="4" t="str">
        <f t="shared" si="29"/>
        <v>AWLL</v>
      </c>
      <c r="J128" s="4" t="str">
        <f t="shared" si="30"/>
        <v>SPRLCDALMAMDVMLCTASIFNLCAISVDRFVAVAV</v>
      </c>
      <c r="K128" s="4" t="str">
        <f t="shared" si="31"/>
        <v>PLRYNRQG</v>
      </c>
      <c r="L128" s="4" t="str">
        <f t="shared" si="32"/>
        <v>GSRRQLLLIGATWLLSAAVAAPVLCG</v>
      </c>
      <c r="M128" s="4" t="str">
        <f t="shared" si="33"/>
        <v>CRL</v>
      </c>
      <c r="N128" s="4" t="str">
        <f t="shared" si="34"/>
        <v>DRDYVVYSSVCSFFLPCPLMLLLYWATFRGLQRWEVARRAK</v>
      </c>
      <c r="O128" s="4" t="str">
        <f t="shared" si="35"/>
        <v>AKITGRERKAMRVLPVVVGAFLLCWTPFFVVHITQAL</v>
      </c>
      <c r="P128" s="4" t="str">
        <f t="shared" si="36"/>
        <v>PPRLVSAVTWLGYVNSALNPVIYTVF</v>
      </c>
      <c r="Q128" s="4" t="str">
        <f t="shared" si="37"/>
        <v>NAEFRNVFRKALR</v>
      </c>
      <c r="R128" s="5">
        <f>VLOOKUP($A128,'SegEnds_NonXtal_Prot#'!$A:$AL,3,FALSE)</f>
        <v>31</v>
      </c>
      <c r="S128" s="5">
        <f>VLOOKUP($A128,'SegEnds_NonXtal_Prot#'!$A:$AL,6,FALSE)</f>
        <v>63</v>
      </c>
      <c r="T128" s="5">
        <f>VLOOKUP($A128,'SegEnds_NonXtal_Prot#'!$A:$AL,9,FALSE)</f>
        <v>67</v>
      </c>
      <c r="U128" s="5">
        <f>VLOOKUP($A128,'SegEnds_NonXtal_Prot#'!$A:$AL,12,FALSE)</f>
        <v>100</v>
      </c>
      <c r="V128" s="5">
        <f>VLOOKUP($A128,'SegEnds_NonXtal_Prot#'!$A:$AL,15,FALSE)</f>
        <v>104</v>
      </c>
      <c r="W128" s="5">
        <f>VLOOKUP($A128,'SegEnds_NonXtal_Prot#'!$A:$AL,18,FALSE)</f>
        <v>140</v>
      </c>
      <c r="X128" s="5">
        <f>VLOOKUP($A128,'SegEnds_NonXtal_Prot#'!$A:$AL,21,FALSE)</f>
        <v>148</v>
      </c>
      <c r="Y128" s="5">
        <f>VLOOKUP($A128,'SegEnds_NonXtal_Prot#'!$A:$AL,24,FALSE)</f>
        <v>185</v>
      </c>
      <c r="Z128" s="5">
        <f>VLOOKUP($A128,'SegEnds_NonXtal_Prot#'!$A:$AL,27,FALSE)</f>
        <v>189</v>
      </c>
      <c r="AA128" s="5">
        <f>VLOOKUP($A128,'SegEnds_NonXtal_Prot#'!$A:$AL,30,FALSE)</f>
        <v>383</v>
      </c>
      <c r="AB128" s="5">
        <f>VLOOKUP($A128,'SegEnds_NonXtal_Prot#'!$A:$AL,33,FALSE)</f>
        <v>426</v>
      </c>
      <c r="AC128" s="5">
        <f>VLOOKUP($A128,'SegEnds_NonXtal_Prot#'!$A:$AL,36,FALSE)</f>
        <v>452</v>
      </c>
      <c r="AD128" s="5">
        <f>VLOOKUP($A128,'SegEnds_NonXtal_Prot#'!$A:$AL,5,FALSE)</f>
        <v>62</v>
      </c>
      <c r="AE128" s="5">
        <f>VLOOKUP($A128,'SegEnds_NonXtal_Prot#'!$A:$AL,8,FALSE)</f>
        <v>66</v>
      </c>
      <c r="AF128" s="5">
        <f>VLOOKUP($A128,'SegEnds_NonXtal_Prot#'!$A:$AL,11,FALSE)</f>
        <v>97</v>
      </c>
      <c r="AG128" s="5">
        <f>VLOOKUP($A128,'SegEnds_NonXtal_Prot#'!$A:$AL,14,FALSE)</f>
        <v>103</v>
      </c>
      <c r="AH128" s="5">
        <f>VLOOKUP($A128,'SegEnds_NonXtal_Prot#'!$A:$AL,17,FALSE)</f>
        <v>139</v>
      </c>
      <c r="AI128" s="5">
        <f>VLOOKUP($A128,'SegEnds_NonXtal_Prot#'!$A:$AL,20,FALSE)</f>
        <v>147</v>
      </c>
      <c r="AJ128" s="5">
        <f>VLOOKUP($A128,'SegEnds_NonXtal_Prot#'!$A:$AL,23,FALSE)</f>
        <v>173</v>
      </c>
      <c r="AK128" s="5">
        <f>VLOOKUP($A128,'SegEnds_NonXtal_Prot#'!$A:$AL,26,FALSE)</f>
        <v>187</v>
      </c>
      <c r="AL128" s="5">
        <f>VLOOKUP($A128,'SegEnds_NonXtal_Prot#'!$A:$AL,29,FALSE)</f>
        <v>229</v>
      </c>
      <c r="AM128" s="5">
        <f>VLOOKUP($A128,'SegEnds_NonXtal_Prot#'!$A:$AL,32,FALSE)</f>
        <v>419</v>
      </c>
      <c r="AN128" s="5">
        <f>VLOOKUP($A128,'SegEnds_NonXtal_Prot#'!$A:$AL,35,FALSE)</f>
        <v>451</v>
      </c>
      <c r="AO128" s="5">
        <f>VLOOKUP($A128,'SegEnds_NonXtal_Prot#'!$A:$AL,38,FALSE)</f>
        <v>464</v>
      </c>
      <c r="AP128" s="5">
        <f t="shared" si="38"/>
        <v>31</v>
      </c>
      <c r="AQ128" s="4">
        <f t="shared" si="39"/>
        <v>3</v>
      </c>
      <c r="AR128" s="4">
        <f t="shared" si="40"/>
        <v>30</v>
      </c>
      <c r="AS128" s="4">
        <f t="shared" si="41"/>
        <v>3</v>
      </c>
      <c r="AT128" s="4">
        <f t="shared" si="42"/>
        <v>35</v>
      </c>
      <c r="AU128" s="4">
        <f t="shared" si="43"/>
        <v>7</v>
      </c>
      <c r="AV128" s="4">
        <f t="shared" si="44"/>
        <v>25</v>
      </c>
      <c r="AW128" s="4">
        <f t="shared" si="45"/>
        <v>2</v>
      </c>
      <c r="AX128" s="4">
        <f t="shared" si="46"/>
        <v>40</v>
      </c>
      <c r="AY128" s="4">
        <f t="shared" si="47"/>
        <v>36</v>
      </c>
      <c r="AZ128" s="4">
        <f t="shared" si="48"/>
        <v>25</v>
      </c>
      <c r="BA128" s="4">
        <f t="shared" si="49"/>
        <v>12</v>
      </c>
    </row>
    <row r="129" spans="1:53" x14ac:dyDescent="0.2">
      <c r="A129" s="1" t="str">
        <f>'SegEnds_NonXtal_Prot#'!A98</f>
        <v>drd5_human</v>
      </c>
      <c r="B129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9" s="29" t="str">
        <f>IF(ISERROR(MATCH(A129,'SegEnds_Xtal_Prot#'!B:B, 0)), "NoXtal", "Xtal")</f>
        <v>NoXtal</v>
      </c>
      <c r="D129" s="4" t="str">
        <f>VLOOKUP(A129,Classification!A:D,2,FALSE)</f>
        <v>A</v>
      </c>
      <c r="E129" s="5" t="str">
        <f>VLOOKUP(A129,Seqs!A:B,2,FALSE)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9" s="5" t="str">
        <f t="shared" si="26"/>
        <v>APPLGPSQVVTACLLTLLIIWTLLGNVLVCAAIVRS</v>
      </c>
      <c r="G129" s="4" t="str">
        <f t="shared" si="27"/>
        <v>RHLR</v>
      </c>
      <c r="H129" s="4" t="str">
        <f t="shared" si="28"/>
        <v>ANMTNVFIVSLAVSDLFVALLVMPWKAVAEV</v>
      </c>
      <c r="I129" s="4" t="str">
        <f t="shared" si="29"/>
        <v>YWPF</v>
      </c>
      <c r="J129" s="4" t="str">
        <f t="shared" si="30"/>
        <v>GAFCDVWVAFDIMCSTASILNLCVISVDRYWAISR</v>
      </c>
      <c r="K129" s="4" t="str">
        <f t="shared" si="31"/>
        <v>PFRYKRKM</v>
      </c>
      <c r="L129" s="4" t="str">
        <f t="shared" si="32"/>
        <v>TQRMALVMVGLAWTLSILISFIPVQLN</v>
      </c>
      <c r="M129" s="4" t="str">
        <f t="shared" si="33"/>
        <v>CDS</v>
      </c>
      <c r="N129" s="4" t="str">
        <f t="shared" si="34"/>
        <v>NRTYAISSSLISFYIPVAIMIVTYTRIYRIAQVQIRRISSLE</v>
      </c>
      <c r="O129" s="4" t="str">
        <f t="shared" si="35"/>
        <v>RASIKKETKVLKTLSVIMGVFVCCWLPFFILNCMVPFCSGH</v>
      </c>
      <c r="P129" s="4" t="str">
        <f t="shared" si="36"/>
        <v>PAGFPCVSETTFDVFVWFGWANSSLNPVIYAFN</v>
      </c>
      <c r="Q129" s="4" t="str">
        <f t="shared" si="37"/>
        <v>ADFQKVFAQLLGC</v>
      </c>
      <c r="R129" s="5">
        <f>VLOOKUP($A129,'SegEnds_NonXtal_Prot#'!$A:$AL,3,FALSE)</f>
        <v>33</v>
      </c>
      <c r="S129" s="5">
        <f>VLOOKUP($A129,'SegEnds_NonXtal_Prot#'!$A:$AL,6,FALSE)</f>
        <v>69</v>
      </c>
      <c r="T129" s="5">
        <f>VLOOKUP($A129,'SegEnds_NonXtal_Prot#'!$A:$AL,9,FALSE)</f>
        <v>73</v>
      </c>
      <c r="U129" s="5">
        <f>VLOOKUP($A129,'SegEnds_NonXtal_Prot#'!$A:$AL,12,FALSE)</f>
        <v>106</v>
      </c>
      <c r="V129" s="5">
        <f>VLOOKUP($A129,'SegEnds_NonXtal_Prot#'!$A:$AL,15,FALSE)</f>
        <v>110</v>
      </c>
      <c r="W129" s="5">
        <f>VLOOKUP($A129,'SegEnds_NonXtal_Prot#'!$A:$AL,18,FALSE)</f>
        <v>145</v>
      </c>
      <c r="X129" s="5">
        <f>VLOOKUP($A129,'SegEnds_NonXtal_Prot#'!$A:$AL,21,FALSE)</f>
        <v>153</v>
      </c>
      <c r="Y129" s="5">
        <f>VLOOKUP($A129,'SegEnds_NonXtal_Prot#'!$A:$AL,24,FALSE)</f>
        <v>217</v>
      </c>
      <c r="Z129" s="5">
        <f>VLOOKUP($A129,'SegEnds_NonXtal_Prot#'!$A:$AL,27,FALSE)</f>
        <v>222</v>
      </c>
      <c r="AA129" s="5">
        <f>VLOOKUP($A129,'SegEnds_NonXtal_Prot#'!$A:$AL,30,FALSE)</f>
        <v>285</v>
      </c>
      <c r="AB129" s="5">
        <f>VLOOKUP($A129,'SegEnds_NonXtal_Prot#'!$A:$AL,33,FALSE)</f>
        <v>330</v>
      </c>
      <c r="AC129" s="5">
        <f>VLOOKUP($A129,'SegEnds_NonXtal_Prot#'!$A:$AL,36,FALSE)</f>
        <v>363</v>
      </c>
      <c r="AD129" s="5">
        <f>VLOOKUP($A129,'SegEnds_NonXtal_Prot#'!$A:$AL,5,FALSE)</f>
        <v>68</v>
      </c>
      <c r="AE129" s="5">
        <f>VLOOKUP($A129,'SegEnds_NonXtal_Prot#'!$A:$AL,8,FALSE)</f>
        <v>72</v>
      </c>
      <c r="AF129" s="5">
        <f>VLOOKUP($A129,'SegEnds_NonXtal_Prot#'!$A:$AL,11,FALSE)</f>
        <v>103</v>
      </c>
      <c r="AG129" s="5">
        <f>VLOOKUP($A129,'SegEnds_NonXtal_Prot#'!$A:$AL,14,FALSE)</f>
        <v>109</v>
      </c>
      <c r="AH129" s="5">
        <f>VLOOKUP($A129,'SegEnds_NonXtal_Prot#'!$A:$AL,17,FALSE)</f>
        <v>144</v>
      </c>
      <c r="AI129" s="5">
        <f>VLOOKUP($A129,'SegEnds_NonXtal_Prot#'!$A:$AL,20,FALSE)</f>
        <v>152</v>
      </c>
      <c r="AJ129" s="5">
        <f>VLOOKUP($A129,'SegEnds_NonXtal_Prot#'!$A:$AL,23,FALSE)</f>
        <v>179</v>
      </c>
      <c r="AK129" s="5">
        <f>VLOOKUP($A129,'SegEnds_NonXtal_Prot#'!$A:$AL,26,FALSE)</f>
        <v>219</v>
      </c>
      <c r="AL129" s="5">
        <f>VLOOKUP($A129,'SegEnds_NonXtal_Prot#'!$A:$AL,29,FALSE)</f>
        <v>263</v>
      </c>
      <c r="AM129" s="5">
        <f>VLOOKUP($A129,'SegEnds_NonXtal_Prot#'!$A:$AL,32,FALSE)</f>
        <v>325</v>
      </c>
      <c r="AN129" s="5">
        <f>VLOOKUP($A129,'SegEnds_NonXtal_Prot#'!$A:$AL,35,FALSE)</f>
        <v>362</v>
      </c>
      <c r="AO129" s="5">
        <f>VLOOKUP($A129,'SegEnds_NonXtal_Prot#'!$A:$AL,38,FALSE)</f>
        <v>375</v>
      </c>
      <c r="AP129" s="5">
        <f t="shared" si="38"/>
        <v>35</v>
      </c>
      <c r="AQ129" s="4">
        <f t="shared" si="39"/>
        <v>3</v>
      </c>
      <c r="AR129" s="4">
        <f t="shared" si="40"/>
        <v>30</v>
      </c>
      <c r="AS129" s="4">
        <f t="shared" si="41"/>
        <v>3</v>
      </c>
      <c r="AT129" s="4">
        <f t="shared" si="42"/>
        <v>34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41</v>
      </c>
      <c r="AY129" s="4">
        <f t="shared" si="47"/>
        <v>40</v>
      </c>
      <c r="AZ129" s="4">
        <f t="shared" si="48"/>
        <v>32</v>
      </c>
      <c r="BA129" s="4">
        <f t="shared" si="49"/>
        <v>12</v>
      </c>
    </row>
    <row r="130" spans="1:53" x14ac:dyDescent="0.2">
      <c r="A130" s="1" t="str">
        <f>'SegEnds_NonXtal_Prot#'!A99</f>
        <v>ednra_human</v>
      </c>
      <c r="B130" s="1" t="str">
        <f t="shared" ref="B130:B193" si="50">F130&amp;H130&amp;J130&amp;L130&amp;N130&amp;O130&amp;P130&amp;Q130</f>
        <v>PQQTKITSAFKYINTVISCTIFIVGMVGNATLLRIIYQNGPNALIASLALGDLIYVVIDLPINVFKLLADHNDFGVFLCKLFPFLQKSSVGITVLNLCALSVDRYRAVASIPLVTAIEIVSIWILSFILAIPEAIGFKFMEFYQDVKDWWLFGFYFCMPLVCTAIFYTLMTCEMLNRRNGSSEHLKQRREVAKTVFCLVVIFALCWFPLHLSRILKKTVYRCELLSFLLLMDYIGINLATMNSCINPIALYFVSKKFKNCFQSCLCC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30" s="5" t="str">
        <f t="shared" ref="F130:F193" si="51">IFERROR(MID($E130,R130,(AP130+1)),"")</f>
        <v>PQQTKITSAFKYINTVISCTIFIVGMVGNATLLRIIYQN</v>
      </c>
      <c r="G130" s="4" t="str">
        <f t="shared" ref="G130:G193" si="52">IFERROR(MID($E130,S130,(AQ130+1)),"")</f>
        <v>KCMRN</v>
      </c>
      <c r="H130" s="4" t="str">
        <f t="shared" ref="H130:H193" si="53">IFERROR(MID($E130,T130,(AR130+1)),"")</f>
        <v>GPNALIASLALGDLIYVVIDLPINVFKLLA</v>
      </c>
      <c r="I130" s="4" t="str">
        <f t="shared" ref="I130:I193" si="54">IFERROR(MID($E130,U130,(AS130+1)),"")</f>
        <v>RWPF</v>
      </c>
      <c r="J130" s="4" t="str">
        <f t="shared" ref="J130:J193" si="55">IFERROR(MID($E130,V130,(AT130+1)),"")</f>
        <v>DHNDFGVFLCKLFPFLQKSSVGITVLNLCALSVDRYRAVAS</v>
      </c>
      <c r="K130" s="4" t="str">
        <f t="shared" ref="K130:K193" si="56">IFERROR(MID($E130,W130,(AU130+1)),"")</f>
        <v>WSRVQGIG</v>
      </c>
      <c r="L130" s="4" t="str">
        <f t="shared" ref="L130:L193" si="57">IFERROR(MID($E130,X130,(AV130+1)),"")</f>
        <v>IPLVTAIEIVSIWILSFILAIPEAIGF</v>
      </c>
      <c r="M130" s="4" t="str">
        <f t="shared" ref="M130:M193" si="58">IFERROR(MID($E130,Y130,(AW130+1)),"")</f>
        <v>CML</v>
      </c>
      <c r="N130" s="4" t="str">
        <f t="shared" ref="N130:N193" si="59">IFERROR(MID($E130,Z130,(AX130+1)),"")</f>
        <v>KFMEFYQDVKDWWLFGFYFCMPLVCTAIFYTLMTCEMLNRRNGS</v>
      </c>
      <c r="O130" s="4" t="str">
        <f t="shared" ref="O130:O193" si="60">IFERROR(MID($E130,AA130,(AY130+1)),"")</f>
        <v>SEHLKQRREVAKTVFCLVVIFALCWFPLHLSRILKKTVY</v>
      </c>
      <c r="P130" s="4" t="str">
        <f t="shared" ref="P130:P193" si="61">IFERROR(MID($E130,AB130,(AZ130+1)),"")</f>
        <v>RCELLSFLLLMDYIGINLATMNSCINPIALYFV</v>
      </c>
      <c r="Q130" s="4" t="str">
        <f t="shared" ref="Q130:Q193" si="62">IFERROR(MID($E130,AC130,(BA130+1)),"")</f>
        <v>SKKFKNCFQSCLCC</v>
      </c>
      <c r="R130" s="5">
        <f>VLOOKUP($A130,'SegEnds_NonXtal_Prot#'!$A:$AL,3,FALSE)</f>
        <v>70</v>
      </c>
      <c r="S130" s="5">
        <f>VLOOKUP($A130,'SegEnds_NonXtal_Prot#'!$A:$AL,6,FALSE)</f>
        <v>109</v>
      </c>
      <c r="T130" s="5">
        <f>VLOOKUP($A130,'SegEnds_NonXtal_Prot#'!$A:$AL,9,FALSE)</f>
        <v>114</v>
      </c>
      <c r="U130" s="5">
        <f>VLOOKUP($A130,'SegEnds_NonXtal_Prot#'!$A:$AL,12,FALSE)</f>
        <v>145</v>
      </c>
      <c r="V130" s="5">
        <f>VLOOKUP($A130,'SegEnds_NonXtal_Prot#'!$A:$AL,15,FALSE)</f>
        <v>149</v>
      </c>
      <c r="W130" s="5">
        <f>VLOOKUP($A130,'SegEnds_NonXtal_Prot#'!$A:$AL,18,FALSE)</f>
        <v>190</v>
      </c>
      <c r="X130" s="5">
        <f>VLOOKUP($A130,'SegEnds_NonXtal_Prot#'!$A:$AL,21,FALSE)</f>
        <v>198</v>
      </c>
      <c r="Y130" s="5">
        <f>VLOOKUP($A130,'SegEnds_NonXtal_Prot#'!$A:$AL,24,FALSE)</f>
        <v>239</v>
      </c>
      <c r="Z130" s="5">
        <f>VLOOKUP($A130,'SegEnds_NonXtal_Prot#'!$A:$AL,27,FALSE)</f>
        <v>246</v>
      </c>
      <c r="AA130" s="5">
        <f>VLOOKUP($A130,'SegEnds_NonXtal_Prot#'!$A:$AL,30,FALSE)</f>
        <v>295</v>
      </c>
      <c r="AB130" s="5">
        <f>VLOOKUP($A130,'SegEnds_NonXtal_Prot#'!$A:$AL,33,FALSE)</f>
        <v>340</v>
      </c>
      <c r="AC130" s="5">
        <f>VLOOKUP($A130,'SegEnds_NonXtal_Prot#'!$A:$AL,36,FALSE)</f>
        <v>373</v>
      </c>
      <c r="AD130" s="5">
        <f>VLOOKUP($A130,'SegEnds_NonXtal_Prot#'!$A:$AL,5,FALSE)</f>
        <v>108</v>
      </c>
      <c r="AE130" s="5">
        <f>VLOOKUP($A130,'SegEnds_NonXtal_Prot#'!$A:$AL,8,FALSE)</f>
        <v>113</v>
      </c>
      <c r="AF130" s="5">
        <f>VLOOKUP($A130,'SegEnds_NonXtal_Prot#'!$A:$AL,11,FALSE)</f>
        <v>143</v>
      </c>
      <c r="AG130" s="5">
        <f>VLOOKUP($A130,'SegEnds_NonXtal_Prot#'!$A:$AL,14,FALSE)</f>
        <v>148</v>
      </c>
      <c r="AH130" s="5">
        <f>VLOOKUP($A130,'SegEnds_NonXtal_Prot#'!$A:$AL,17,FALSE)</f>
        <v>189</v>
      </c>
      <c r="AI130" s="5">
        <f>VLOOKUP($A130,'SegEnds_NonXtal_Prot#'!$A:$AL,20,FALSE)</f>
        <v>197</v>
      </c>
      <c r="AJ130" s="5">
        <f>VLOOKUP($A130,'SegEnds_NonXtal_Prot#'!$A:$AL,23,FALSE)</f>
        <v>224</v>
      </c>
      <c r="AK130" s="5">
        <f>VLOOKUP($A130,'SegEnds_NonXtal_Prot#'!$A:$AL,26,FALSE)</f>
        <v>241</v>
      </c>
      <c r="AL130" s="5">
        <f>VLOOKUP($A130,'SegEnds_NonXtal_Prot#'!$A:$AL,29,FALSE)</f>
        <v>289</v>
      </c>
      <c r="AM130" s="5">
        <f>VLOOKUP($A130,'SegEnds_NonXtal_Prot#'!$A:$AL,32,FALSE)</f>
        <v>333</v>
      </c>
      <c r="AN130" s="5">
        <f>VLOOKUP($A130,'SegEnds_NonXtal_Prot#'!$A:$AL,35,FALSE)</f>
        <v>372</v>
      </c>
      <c r="AO130" s="5">
        <f>VLOOKUP($A130,'SegEnds_NonXtal_Prot#'!$A:$AL,38,FALSE)</f>
        <v>386</v>
      </c>
      <c r="AP130" s="5">
        <f t="shared" ref="AP130:AP193" si="63">IFERROR(AD130-R130,"-")</f>
        <v>38</v>
      </c>
      <c r="AQ130" s="4">
        <f t="shared" ref="AQ130:AQ193" si="64">IFERROR(AE130-S130,"-")</f>
        <v>4</v>
      </c>
      <c r="AR130" s="4">
        <f t="shared" ref="AR130:AR193" si="65">IFERROR(AF130-T130,"-")</f>
        <v>29</v>
      </c>
      <c r="AS130" s="4">
        <f t="shared" ref="AS130:AS193" si="66">IFERROR(AG130-U130,"-")</f>
        <v>3</v>
      </c>
      <c r="AT130" s="4">
        <f t="shared" ref="AT130:AT193" si="67">IFERROR(AH130-V130,"-")</f>
        <v>40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43</v>
      </c>
      <c r="AY130" s="4">
        <f t="shared" ref="AY130:AY193" si="72">IFERROR(AM130-AA130,"-")</f>
        <v>38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'SegEnds_NonXtal_Prot#'!A100</f>
        <v>ednrb_human</v>
      </c>
      <c r="B131" s="1" t="str">
        <f t="shared" si="50"/>
        <v>QGPIEIKETFKYINTVVSCLVFVLGIIGNSTLLRIIYKNGPNILIASLALGDLLHIVIDIPINVYKLLAGAEMCKLVPFIQKASVGITVLSLCALSIDRYRAVASVPKWTAVEIVLIWVVSVVLAVPEAIGFAFMQFYKTAKDWWLFSFYFCLPLAITAFFYTLMTCEMLRKKSGMNDHLKQRREVAKTVFCLVLVFALCWLPLHLSRILKLTLYRCELLSFLLVLDYIGINMASLNSCINPIALYLVSKRFKNCFKSCLCC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31" s="5" t="str">
        <f t="shared" si="51"/>
        <v>QGPIEIKETFKYINTVVSCLVFVLGIIGNSTLLRIIYKN</v>
      </c>
      <c r="G131" s="4" t="str">
        <f t="shared" si="52"/>
        <v>KCMRN</v>
      </c>
      <c r="H131" s="4" t="str">
        <f t="shared" si="53"/>
        <v>GPNILIASLALGDLLHIVIDIPINVYKLLA</v>
      </c>
      <c r="I131" s="4" t="str">
        <f t="shared" si="54"/>
        <v>DWPF</v>
      </c>
      <c r="J131" s="4" t="str">
        <f t="shared" si="55"/>
        <v>GAEMCKLVPFIQKASVGITVLSLCALSIDRYRAVAS</v>
      </c>
      <c r="K131" s="4" t="str">
        <f t="shared" si="56"/>
        <v>WSRIKGIG</v>
      </c>
      <c r="L131" s="4" t="str">
        <f t="shared" si="57"/>
        <v>VPKWTAVEIVLIWVVSVVLAVPEAIGF</v>
      </c>
      <c r="M131" s="4" t="str">
        <f t="shared" si="58"/>
        <v>CLL</v>
      </c>
      <c r="N131" s="4" t="str">
        <f t="shared" si="59"/>
        <v>AFMQFYKTAKDWWLFSFYFCLPLAITAFFYTLMTCEMLRKKSGM</v>
      </c>
      <c r="O131" s="4" t="str">
        <f t="shared" si="60"/>
        <v>NDHLKQRREVAKTVFCLVLVFALCWLPLHLSRILKLTLY</v>
      </c>
      <c r="P131" s="4" t="str">
        <f t="shared" si="61"/>
        <v>RCELLSFLLVLDYIGINMASLNSCINPIALYLV</v>
      </c>
      <c r="Q131" s="4" t="str">
        <f t="shared" si="62"/>
        <v>SKRFKNCFKSCLCC</v>
      </c>
      <c r="R131" s="5">
        <f>VLOOKUP($A131,'SegEnds_NonXtal_Prot#'!$A:$AL,3,FALSE)</f>
        <v>91</v>
      </c>
      <c r="S131" s="5">
        <f>VLOOKUP($A131,'SegEnds_NonXtal_Prot#'!$A:$AL,6,FALSE)</f>
        <v>130</v>
      </c>
      <c r="T131" s="5">
        <f>VLOOKUP($A131,'SegEnds_NonXtal_Prot#'!$A:$AL,9,FALSE)</f>
        <v>135</v>
      </c>
      <c r="U131" s="5">
        <f>VLOOKUP($A131,'SegEnds_NonXtal_Prot#'!$A:$AL,12,FALSE)</f>
        <v>166</v>
      </c>
      <c r="V131" s="5">
        <f>VLOOKUP($A131,'SegEnds_NonXtal_Prot#'!$A:$AL,15,FALSE)</f>
        <v>170</v>
      </c>
      <c r="W131" s="5">
        <f>VLOOKUP($A131,'SegEnds_NonXtal_Prot#'!$A:$AL,18,FALSE)</f>
        <v>206</v>
      </c>
      <c r="X131" s="5">
        <f>VLOOKUP($A131,'SegEnds_NonXtal_Prot#'!$A:$AL,21,FALSE)</f>
        <v>214</v>
      </c>
      <c r="Y131" s="5">
        <f>VLOOKUP($A131,'SegEnds_NonXtal_Prot#'!$A:$AL,24,FALSE)</f>
        <v>255</v>
      </c>
      <c r="Z131" s="5">
        <f>VLOOKUP($A131,'SegEnds_NonXtal_Prot#'!$A:$AL,27,FALSE)</f>
        <v>264</v>
      </c>
      <c r="AA131" s="5">
        <f>VLOOKUP($A131,'SegEnds_NonXtal_Prot#'!$A:$AL,30,FALSE)</f>
        <v>312</v>
      </c>
      <c r="AB131" s="5">
        <f>VLOOKUP($A131,'SegEnds_NonXtal_Prot#'!$A:$AL,33,FALSE)</f>
        <v>357</v>
      </c>
      <c r="AC131" s="5">
        <f>VLOOKUP($A131,'SegEnds_NonXtal_Prot#'!$A:$AL,36,FALSE)</f>
        <v>390</v>
      </c>
      <c r="AD131" s="5">
        <f>VLOOKUP($A131,'SegEnds_NonXtal_Prot#'!$A:$AL,5,FALSE)</f>
        <v>129</v>
      </c>
      <c r="AE131" s="5">
        <f>VLOOKUP($A131,'SegEnds_NonXtal_Prot#'!$A:$AL,8,FALSE)</f>
        <v>134</v>
      </c>
      <c r="AF131" s="5">
        <f>VLOOKUP($A131,'SegEnds_NonXtal_Prot#'!$A:$AL,11,FALSE)</f>
        <v>164</v>
      </c>
      <c r="AG131" s="5">
        <f>VLOOKUP($A131,'SegEnds_NonXtal_Prot#'!$A:$AL,14,FALSE)</f>
        <v>169</v>
      </c>
      <c r="AH131" s="5">
        <f>VLOOKUP($A131,'SegEnds_NonXtal_Prot#'!$A:$AL,17,FALSE)</f>
        <v>205</v>
      </c>
      <c r="AI131" s="5">
        <f>VLOOKUP($A131,'SegEnds_NonXtal_Prot#'!$A:$AL,20,FALSE)</f>
        <v>213</v>
      </c>
      <c r="AJ131" s="5">
        <f>VLOOKUP($A131,'SegEnds_NonXtal_Prot#'!$A:$AL,23,FALSE)</f>
        <v>240</v>
      </c>
      <c r="AK131" s="5">
        <f>VLOOKUP($A131,'SegEnds_NonXtal_Prot#'!$A:$AL,26,FALSE)</f>
        <v>257</v>
      </c>
      <c r="AL131" s="5">
        <f>VLOOKUP($A131,'SegEnds_NonXtal_Prot#'!$A:$AL,29,FALSE)</f>
        <v>307</v>
      </c>
      <c r="AM131" s="5">
        <f>VLOOKUP($A131,'SegEnds_NonXtal_Prot#'!$A:$AL,32,FALSE)</f>
        <v>350</v>
      </c>
      <c r="AN131" s="5">
        <f>VLOOKUP($A131,'SegEnds_NonXtal_Prot#'!$A:$AL,35,FALSE)</f>
        <v>389</v>
      </c>
      <c r="AO131" s="5">
        <f>VLOOKUP($A131,'SegEnds_NonXtal_Prot#'!$A:$AL,38,FALSE)</f>
        <v>403</v>
      </c>
      <c r="AP131" s="5">
        <f t="shared" si="63"/>
        <v>38</v>
      </c>
      <c r="AQ131" s="4">
        <f t="shared" si="64"/>
        <v>4</v>
      </c>
      <c r="AR131" s="4">
        <f t="shared" si="65"/>
        <v>29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26</v>
      </c>
      <c r="AW131" s="4">
        <f t="shared" si="70"/>
        <v>2</v>
      </c>
      <c r="AX131" s="4">
        <f t="shared" si="71"/>
        <v>43</v>
      </c>
      <c r="AY131" s="4">
        <f t="shared" si="72"/>
        <v>38</v>
      </c>
      <c r="AZ131" s="4">
        <f t="shared" si="73"/>
        <v>32</v>
      </c>
      <c r="BA131" s="4">
        <f t="shared" si="74"/>
        <v>13</v>
      </c>
    </row>
    <row r="132" spans="1:53" x14ac:dyDescent="0.2">
      <c r="A132" s="1" t="str">
        <f>'SegEnds_NonXtal_Prot#'!A101</f>
        <v>etbr2_human</v>
      </c>
      <c r="B132" s="1" t="str">
        <f t="shared" si="50"/>
        <v>LYPVTESSYSAYAIMLLALVVFAVGIVGNLSVMCIVWHSSAWNSILASLALWDFLVLFFCLPIVIFNEITGDVSCRAVPFMEVSSLGVTTFSLCALGIDRFHVATSRCQSILAKLAVIWVGSMTLAVPELLLWSLVMTYQNARMWWYFGCYFCLPILFTVTCQLVTWRVRGPPGRKSSKHEQCESQLNSTVVGLTVVYAFCTLPENVCNIVVAYLRQTLDLLGLINQFSTFFKGAITPVLLLCICRPLGQAFLDCCCC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2" s="5" t="str">
        <f t="shared" si="51"/>
        <v>LYPVTESSYSAYAIMLLALVVFAVGIVGNLSVMCIVWHS</v>
      </c>
      <c r="G132" s="4" t="str">
        <f t="shared" si="52"/>
        <v>YYLK</v>
      </c>
      <c r="H132" s="4" t="str">
        <f t="shared" si="53"/>
        <v>SAWNSILASLALWDFLVLFFCLPIVIFNEIT</v>
      </c>
      <c r="I132" s="4" t="str">
        <f t="shared" si="54"/>
        <v/>
      </c>
      <c r="J132" s="4" t="str">
        <f t="shared" si="55"/>
        <v>GDVSCRAVPFMEVSSLGVTTFSLCALGIDRFHVATS</v>
      </c>
      <c r="K132" s="4" t="str">
        <f t="shared" si="56"/>
        <v>LPKVRPIE</v>
      </c>
      <c r="L132" s="4" t="str">
        <f t="shared" si="57"/>
        <v>RCQSILAKLAVIWVGSMTLAVPELLLW</v>
      </c>
      <c r="M132" s="4" t="str">
        <f t="shared" si="58"/>
        <v>CIM</v>
      </c>
      <c r="N132" s="4" t="str">
        <f t="shared" si="59"/>
        <v>SLVMTYQNARMWWYFGCYFCLPILFTVTCQLVTWRVRGPPGRKS</v>
      </c>
      <c r="O132" s="4" t="str">
        <f t="shared" si="60"/>
        <v>SKHEQCESQLNSTVVGLTVVYAFCTLPENVCNIVVAYL</v>
      </c>
      <c r="P132" s="4" t="str">
        <f t="shared" si="61"/>
        <v>RQTLDLLGLINQFSTFFKGAITPVLLLCI</v>
      </c>
      <c r="Q132" s="4" t="str">
        <f t="shared" si="62"/>
        <v>CRPLGQAFLDCCCC</v>
      </c>
      <c r="R132" s="5">
        <f>VLOOKUP($A132,'SegEnds_NonXtal_Prot#'!$A:$AL,3,FALSE)</f>
        <v>120</v>
      </c>
      <c r="S132" s="5">
        <f>VLOOKUP($A132,'SegEnds_NonXtal_Prot#'!$A:$AL,6,FALSE)</f>
        <v>159</v>
      </c>
      <c r="T132" s="5">
        <f>VLOOKUP($A132,'SegEnds_NonXtal_Prot#'!$A:$AL,9,FALSE)</f>
        <v>163</v>
      </c>
      <c r="U132" s="5" t="str">
        <f>VLOOKUP($A132,'SegEnds_NonXtal_Prot#'!$A:$AL,12,FALSE)</f>
        <v>-</v>
      </c>
      <c r="V132" s="5">
        <f>VLOOKUP($A132,'SegEnds_NonXtal_Prot#'!$A:$AL,15,FALSE)</f>
        <v>199</v>
      </c>
      <c r="W132" s="5">
        <f>VLOOKUP($A132,'SegEnds_NonXtal_Prot#'!$A:$AL,18,FALSE)</f>
        <v>236</v>
      </c>
      <c r="X132" s="5">
        <f>VLOOKUP($A132,'SegEnds_NonXtal_Prot#'!$A:$AL,21,FALSE)</f>
        <v>244</v>
      </c>
      <c r="Y132" s="5">
        <f>VLOOKUP($A132,'SegEnds_NonXtal_Prot#'!$A:$AL,24,FALSE)</f>
        <v>286</v>
      </c>
      <c r="Z132" s="5">
        <f>VLOOKUP($A132,'SegEnds_NonXtal_Prot#'!$A:$AL,27,FALSE)</f>
        <v>300</v>
      </c>
      <c r="AA132" s="5">
        <f>VLOOKUP($A132,'SegEnds_NonXtal_Prot#'!$A:$AL,30,FALSE)</f>
        <v>348</v>
      </c>
      <c r="AB132" s="5">
        <f>VLOOKUP($A132,'SegEnds_NonXtal_Prot#'!$A:$AL,33,FALSE)</f>
        <v>391</v>
      </c>
      <c r="AC132" s="5">
        <f>VLOOKUP($A132,'SegEnds_NonXtal_Prot#'!$A:$AL,36,FALSE)</f>
        <v>420</v>
      </c>
      <c r="AD132" s="5">
        <f>VLOOKUP($A132,'SegEnds_NonXtal_Prot#'!$A:$AL,5,FALSE)</f>
        <v>158</v>
      </c>
      <c r="AE132" s="5">
        <f>VLOOKUP($A132,'SegEnds_NonXtal_Prot#'!$A:$AL,8,FALSE)</f>
        <v>162</v>
      </c>
      <c r="AF132" s="5">
        <f>VLOOKUP($A132,'SegEnds_NonXtal_Prot#'!$A:$AL,11,FALSE)</f>
        <v>193</v>
      </c>
      <c r="AG132" s="5" t="str">
        <f>VLOOKUP($A132,'SegEnds_NonXtal_Prot#'!$A:$AL,14,FALSE)</f>
        <v>-</v>
      </c>
      <c r="AH132" s="5">
        <f>VLOOKUP($A132,'SegEnds_NonXtal_Prot#'!$A:$AL,17,FALSE)</f>
        <v>234</v>
      </c>
      <c r="AI132" s="5">
        <f>VLOOKUP($A132,'SegEnds_NonXtal_Prot#'!$A:$AL,20,FALSE)</f>
        <v>243</v>
      </c>
      <c r="AJ132" s="5">
        <f>VLOOKUP($A132,'SegEnds_NonXtal_Prot#'!$A:$AL,23,FALSE)</f>
        <v>270</v>
      </c>
      <c r="AK132" s="5">
        <f>VLOOKUP($A132,'SegEnds_NonXtal_Prot#'!$A:$AL,26,FALSE)</f>
        <v>288</v>
      </c>
      <c r="AL132" s="5">
        <f>VLOOKUP($A132,'SegEnds_NonXtal_Prot#'!$A:$AL,29,FALSE)</f>
        <v>343</v>
      </c>
      <c r="AM132" s="5">
        <f>VLOOKUP($A132,'SegEnds_NonXtal_Prot#'!$A:$AL,32,FALSE)</f>
        <v>385</v>
      </c>
      <c r="AN132" s="5">
        <f>VLOOKUP($A132,'SegEnds_NonXtal_Prot#'!$A:$AL,35,FALSE)</f>
        <v>419</v>
      </c>
      <c r="AO132" s="5">
        <f>VLOOKUP($A132,'SegEnds_NonXtal_Prot#'!$A:$AL,38,FALSE)</f>
        <v>433</v>
      </c>
      <c r="AP132" s="5">
        <f t="shared" si="63"/>
        <v>38</v>
      </c>
      <c r="AQ132" s="4">
        <f t="shared" si="64"/>
        <v>3</v>
      </c>
      <c r="AR132" s="4">
        <f t="shared" si="65"/>
        <v>30</v>
      </c>
      <c r="AS132" s="4" t="str">
        <f t="shared" si="66"/>
        <v>-</v>
      </c>
      <c r="AT132" s="4">
        <f t="shared" si="67"/>
        <v>35</v>
      </c>
      <c r="AU132" s="4">
        <f t="shared" si="68"/>
        <v>7</v>
      </c>
      <c r="AV132" s="4">
        <f t="shared" si="69"/>
        <v>26</v>
      </c>
      <c r="AW132" s="4">
        <f t="shared" si="70"/>
        <v>2</v>
      </c>
      <c r="AX132" s="4">
        <f t="shared" si="71"/>
        <v>43</v>
      </c>
      <c r="AY132" s="4">
        <f t="shared" si="72"/>
        <v>37</v>
      </c>
      <c r="AZ132" s="4">
        <f t="shared" si="73"/>
        <v>28</v>
      </c>
      <c r="BA132" s="4">
        <f t="shared" si="74"/>
        <v>13</v>
      </c>
    </row>
    <row r="133" spans="1:53" x14ac:dyDescent="0.2">
      <c r="A133" s="1" t="str">
        <f>'SegEnds_NonXtal_Prot#'!A102</f>
        <v>ffar1_human</v>
      </c>
      <c r="B133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3" s="29" t="str">
        <f>IF(ISERROR(MATCH(A133,'SegEnds_Xtal_Prot#'!B:B, 0)), "NoXtal", "Xtal")</f>
        <v>Xtal</v>
      </c>
      <c r="D133" s="4" t="str">
        <f>VLOOKUP(A133,Classification!A:D,2,FALSE)</f>
        <v>A</v>
      </c>
      <c r="E133" s="5" t="str">
        <f>VLOOKUP(A133,Seqs!A:B,2,FALSE)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3" s="5" t="str">
        <f t="shared" si="51"/>
        <v>PPQLSFGLYVAAFALGFPLNVLAIRGATAHARLR</v>
      </c>
      <c r="G133" s="4" t="str">
        <f t="shared" si="52"/>
        <v/>
      </c>
      <c r="H133" s="4" t="str">
        <f t="shared" si="53"/>
        <v>TPSLVYALNLGCSDLLLTVSLPLKAVEALAS</v>
      </c>
      <c r="I133" s="4" t="str">
        <f t="shared" si="54"/>
        <v>AWPL</v>
      </c>
      <c r="J133" s="4" t="str">
        <f t="shared" si="55"/>
        <v>PASLCPVFAVAHFFPLYAGGGFLAALSAGRYLGAAF</v>
      </c>
      <c r="K133" s="4" t="str">
        <f t="shared" si="56"/>
        <v>PLGYQAFR</v>
      </c>
      <c r="L133" s="4" t="str">
        <f t="shared" si="57"/>
        <v>RPCYSWGVCAAIWALVLCHLGLVFGLEA</v>
      </c>
      <c r="M133" s="4" t="str">
        <f t="shared" si="58"/>
        <v>CLE</v>
      </c>
      <c r="N133" s="4" t="str">
        <f t="shared" si="59"/>
        <v>DPASAGPARFSLSLLLFFLPLAITAFCYVGCLRALAR</v>
      </c>
      <c r="O133" s="4" t="str">
        <f t="shared" si="60"/>
        <v>RRKLRAAWVAGGALLTLLLCVGPYNASNVASFLY</v>
      </c>
      <c r="P133" s="4" t="str">
        <f t="shared" si="61"/>
        <v>GSWRKLGLITGAWSVVLNPLVTGYL</v>
      </c>
      <c r="Q133" s="4" t="str">
        <f t="shared" si="62"/>
        <v>GRGPGLKTVCAARTQ</v>
      </c>
      <c r="R133" s="5">
        <f>VLOOKUP($A133,'SegEnds_NonXtal_Prot#'!$A:$AL,3,FALSE)</f>
        <v>4</v>
      </c>
      <c r="S133" s="5" t="str">
        <f>VLOOKUP($A133,'SegEnds_NonXtal_Prot#'!$A:$AL,6,FALSE)</f>
        <v>-</v>
      </c>
      <c r="T133" s="5">
        <f>VLOOKUP($A133,'SegEnds_NonXtal_Prot#'!$A:$AL,9,FALSE)</f>
        <v>39</v>
      </c>
      <c r="U133" s="5">
        <f>VLOOKUP($A133,'SegEnds_NonXtal_Prot#'!$A:$AL,12,FALSE)</f>
        <v>71</v>
      </c>
      <c r="V133" s="5">
        <f>VLOOKUP($A133,'SegEnds_NonXtal_Prot#'!$A:$AL,15,FALSE)</f>
        <v>75</v>
      </c>
      <c r="W133" s="5">
        <f>VLOOKUP($A133,'SegEnds_NonXtal_Prot#'!$A:$AL,18,FALSE)</f>
        <v>111</v>
      </c>
      <c r="X133" s="5">
        <f>VLOOKUP($A133,'SegEnds_NonXtal_Prot#'!$A:$AL,21,FALSE)</f>
        <v>119</v>
      </c>
      <c r="Y133" s="5">
        <f>VLOOKUP($A133,'SegEnds_NonXtal_Prot#'!$A:$AL,24,FALSE)</f>
        <v>170</v>
      </c>
      <c r="Z133" s="5">
        <f>VLOOKUP($A133,'SegEnds_NonXtal_Prot#'!$A:$AL,27,FALSE)</f>
        <v>175</v>
      </c>
      <c r="AA133" s="5">
        <f>VLOOKUP($A133,'SegEnds_NonXtal_Prot#'!$A:$AL,30,FALSE)</f>
        <v>217</v>
      </c>
      <c r="AB133" s="5">
        <f>VLOOKUP($A133,'SegEnds_NonXtal_Prot#'!$A:$AL,33,FALSE)</f>
        <v>255</v>
      </c>
      <c r="AC133" s="5">
        <f>VLOOKUP($A133,'SegEnds_NonXtal_Prot#'!$A:$AL,36,FALSE)</f>
        <v>280</v>
      </c>
      <c r="AD133" s="5">
        <f>VLOOKUP($A133,'SegEnds_NonXtal_Prot#'!$A:$AL,5,FALSE)</f>
        <v>37</v>
      </c>
      <c r="AE133" s="5" t="str">
        <f>VLOOKUP($A133,'SegEnds_NonXtal_Prot#'!$A:$AL,8,FALSE)</f>
        <v>-</v>
      </c>
      <c r="AF133" s="5">
        <f>VLOOKUP($A133,'SegEnds_NonXtal_Prot#'!$A:$AL,11,FALSE)</f>
        <v>69</v>
      </c>
      <c r="AG133" s="5">
        <f>VLOOKUP($A133,'SegEnds_NonXtal_Prot#'!$A:$AL,14,FALSE)</f>
        <v>74</v>
      </c>
      <c r="AH133" s="5">
        <f>VLOOKUP($A133,'SegEnds_NonXtal_Prot#'!$A:$AL,17,FALSE)</f>
        <v>110</v>
      </c>
      <c r="AI133" s="5">
        <f>VLOOKUP($A133,'SegEnds_NonXtal_Prot#'!$A:$AL,20,FALSE)</f>
        <v>118</v>
      </c>
      <c r="AJ133" s="5">
        <f>VLOOKUP($A133,'SegEnds_NonXtal_Prot#'!$A:$AL,23,FALSE)</f>
        <v>146</v>
      </c>
      <c r="AK133" s="5">
        <f>VLOOKUP($A133,'SegEnds_NonXtal_Prot#'!$A:$AL,26,FALSE)</f>
        <v>172</v>
      </c>
      <c r="AL133" s="5">
        <f>VLOOKUP($A133,'SegEnds_NonXtal_Prot#'!$A:$AL,29,FALSE)</f>
        <v>211</v>
      </c>
      <c r="AM133" s="5">
        <f>VLOOKUP($A133,'SegEnds_NonXtal_Prot#'!$A:$AL,32,FALSE)</f>
        <v>250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33</v>
      </c>
      <c r="AQ133" s="4" t="str">
        <f t="shared" si="64"/>
        <v>-</v>
      </c>
      <c r="AR133" s="4">
        <f t="shared" si="65"/>
        <v>30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27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24</v>
      </c>
      <c r="BA133" s="4">
        <f t="shared" si="74"/>
        <v>14</v>
      </c>
    </row>
    <row r="134" spans="1:53" x14ac:dyDescent="0.2">
      <c r="A134" s="1" t="str">
        <f>'SegEnds_NonXtal_Prot#'!A103</f>
        <v>ffar2_human</v>
      </c>
      <c r="B134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4" s="5" t="str">
        <f t="shared" si="51"/>
        <v>PDWKSSLILMAYIIIFLTGLPANLLALRAFVGR</v>
      </c>
      <c r="G134" s="4" t="str">
        <f t="shared" si="52"/>
        <v/>
      </c>
      <c r="H134" s="4" t="str">
        <f t="shared" si="53"/>
        <v>APVHILLLSLTLADLLLLLLLPFKIIEAAS</v>
      </c>
      <c r="I134" s="4" t="str">
        <f t="shared" si="54"/>
        <v>RWYL</v>
      </c>
      <c r="J134" s="4" t="str">
        <f t="shared" si="55"/>
        <v>PKVVCALTSFGFYSSIYCSTWLLAGISIERYLGVAF</v>
      </c>
      <c r="K134" s="4" t="str">
        <f t="shared" si="56"/>
        <v>PVQYKLSR</v>
      </c>
      <c r="L134" s="4" t="str">
        <f t="shared" si="57"/>
        <v>RPLYGVIAALVAWVMSFGHCTIVII</v>
      </c>
      <c r="M134" s="4" t="str">
        <f t="shared" si="58"/>
        <v>CYE</v>
      </c>
      <c r="N134" s="4" t="str">
        <f t="shared" si="59"/>
        <v>QLDVVLPVRLELCLVLFFIPMAVTIFCYWRFVWIMLS</v>
      </c>
      <c r="O134" s="4" t="str">
        <f t="shared" si="60"/>
        <v>GAQRRRRAVGLAVVTLLNFLVCFGPYNVSHLVGYHQ</v>
      </c>
      <c r="P134" s="4" t="str">
        <f t="shared" si="61"/>
        <v>WWRSIAVVFSSLNASLDPLLFYFS</v>
      </c>
      <c r="Q134" s="4" t="str">
        <f t="shared" si="62"/>
        <v>SSVVRRAFGRGLQVL</v>
      </c>
      <c r="R134" s="5">
        <f>VLOOKUP($A134,'SegEnds_NonXtal_Prot#'!$A:$AL,3,FALSE)</f>
        <v>3</v>
      </c>
      <c r="S134" s="5" t="str">
        <f>VLOOKUP($A134,'SegEnds_NonXtal_Prot#'!$A:$AL,6,FALSE)</f>
        <v>-</v>
      </c>
      <c r="T134" s="5">
        <f>VLOOKUP($A134,'SegEnds_NonXtal_Prot#'!$A:$AL,9,FALSE)</f>
        <v>42</v>
      </c>
      <c r="U134" s="5">
        <f>VLOOKUP($A134,'SegEnds_NonXtal_Prot#'!$A:$AL,12,FALSE)</f>
        <v>74</v>
      </c>
      <c r="V134" s="5">
        <f>VLOOKUP($A134,'SegEnds_NonXtal_Prot#'!$A:$AL,15,FALSE)</f>
        <v>78</v>
      </c>
      <c r="W134" s="5">
        <f>VLOOKUP($A134,'SegEnds_NonXtal_Prot#'!$A:$AL,18,FALSE)</f>
        <v>114</v>
      </c>
      <c r="X134" s="5">
        <f>VLOOKUP($A134,'SegEnds_NonXtal_Prot#'!$A:$AL,21,FALSE)</f>
        <v>122</v>
      </c>
      <c r="Y134" s="5">
        <f>VLOOKUP($A134,'SegEnds_NonXtal_Prot#'!$A:$AL,24,FALSE)</f>
        <v>164</v>
      </c>
      <c r="Z134" s="5">
        <f>VLOOKUP($A134,'SegEnds_NonXtal_Prot#'!$A:$AL,27,FALSE)</f>
        <v>172</v>
      </c>
      <c r="AA134" s="5">
        <f>VLOOKUP($A134,'SegEnds_NonXtal_Prot#'!$A:$AL,30,FALSE)</f>
        <v>213</v>
      </c>
      <c r="AB134" s="5">
        <f>VLOOKUP($A134,'SegEnds_NonXtal_Prot#'!$A:$AL,33,FALSE)</f>
        <v>253</v>
      </c>
      <c r="AC134" s="5">
        <f>VLOOKUP($A134,'SegEnds_NonXtal_Prot#'!$A:$AL,36,FALSE)</f>
        <v>277</v>
      </c>
      <c r="AD134" s="5">
        <f>VLOOKUP($A134,'SegEnds_NonXtal_Prot#'!$A:$AL,5,FALSE)</f>
        <v>35</v>
      </c>
      <c r="AE134" s="5" t="str">
        <f>VLOOKUP($A134,'SegEnds_NonXtal_Prot#'!$A:$AL,8,FALSE)</f>
        <v>-</v>
      </c>
      <c r="AF134" s="5">
        <f>VLOOKUP($A134,'SegEnds_NonXtal_Prot#'!$A:$AL,11,FALSE)</f>
        <v>71</v>
      </c>
      <c r="AG134" s="5">
        <f>VLOOKUP($A134,'SegEnds_NonXtal_Prot#'!$A:$AL,14,FALSE)</f>
        <v>77</v>
      </c>
      <c r="AH134" s="5">
        <f>VLOOKUP($A134,'SegEnds_NonXtal_Prot#'!$A:$AL,17,FALSE)</f>
        <v>113</v>
      </c>
      <c r="AI134" s="5">
        <f>VLOOKUP($A134,'SegEnds_NonXtal_Prot#'!$A:$AL,20,FALSE)</f>
        <v>121</v>
      </c>
      <c r="AJ134" s="5">
        <f>VLOOKUP($A134,'SegEnds_NonXtal_Prot#'!$A:$AL,23,FALSE)</f>
        <v>146</v>
      </c>
      <c r="AK134" s="5">
        <f>VLOOKUP($A134,'SegEnds_NonXtal_Prot#'!$A:$AL,26,FALSE)</f>
        <v>166</v>
      </c>
      <c r="AL134" s="5">
        <f>VLOOKUP($A134,'SegEnds_NonXtal_Prot#'!$A:$AL,29,FALSE)</f>
        <v>208</v>
      </c>
      <c r="AM134" s="5">
        <f>VLOOKUP($A134,'SegEnds_NonXtal_Prot#'!$A:$AL,32,FALSE)</f>
        <v>248</v>
      </c>
      <c r="AN134" s="5">
        <f>VLOOKUP($A134,'SegEnds_NonXtal_Prot#'!$A:$AL,35,FALSE)</f>
        <v>276</v>
      </c>
      <c r="AO134" s="5">
        <f>VLOOKUP($A134,'SegEnds_NonXtal_Prot#'!$A:$AL,38,FALSE)</f>
        <v>291</v>
      </c>
      <c r="AP134" s="5">
        <f t="shared" si="63"/>
        <v>32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24</v>
      </c>
      <c r="AW134" s="4">
        <f t="shared" si="70"/>
        <v>2</v>
      </c>
      <c r="AX134" s="4">
        <f t="shared" si="71"/>
        <v>36</v>
      </c>
      <c r="AY134" s="4">
        <f t="shared" si="72"/>
        <v>35</v>
      </c>
      <c r="AZ134" s="4">
        <f t="shared" si="73"/>
        <v>23</v>
      </c>
      <c r="BA134" s="4">
        <f t="shared" si="74"/>
        <v>14</v>
      </c>
    </row>
    <row r="135" spans="1:53" x14ac:dyDescent="0.2">
      <c r="A135" s="1" t="str">
        <f>'SegEnds_NonXtal_Prot#'!A104</f>
        <v>ffar3_human</v>
      </c>
      <c r="B135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5" s="5" t="str">
        <f t="shared" si="51"/>
        <v>SGNHWFVFSVYLLTFLVGLPLNLLALVVFVGK</v>
      </c>
      <c r="G135" s="4" t="str">
        <f t="shared" si="52"/>
        <v/>
      </c>
      <c r="H135" s="4" t="str">
        <f t="shared" si="53"/>
        <v>VAVDVLLLNLTASDLLLLLFLPFRMVEAAN</v>
      </c>
      <c r="I135" s="4" t="str">
        <f t="shared" si="54"/>
        <v>HWPL</v>
      </c>
      <c r="J135" s="4" t="str">
        <f t="shared" si="55"/>
        <v>PFILCPLSGFIFFTTIYLTALFLAAVSIERFLSVAH</v>
      </c>
      <c r="K135" s="4" t="str">
        <f t="shared" si="56"/>
        <v>PLWYKTRP</v>
      </c>
      <c r="L135" s="4" t="str">
        <f t="shared" si="57"/>
        <v>RLGQAGLVSVACWLLASAHCSVVYVI</v>
      </c>
      <c r="M135" s="4" t="str">
        <f t="shared" si="58"/>
        <v>CYL</v>
      </c>
      <c r="N135" s="4" t="str">
        <f t="shared" si="59"/>
        <v>LAILLPVRLEMAVVLFVVPLIITSYCYSRLVWILGRG</v>
      </c>
      <c r="O135" s="4" t="str">
        <f t="shared" si="60"/>
        <v>RRQRRVAGLLAATLLNFLVCFGPYNVSHVVGYIC</v>
      </c>
      <c r="P135" s="4" t="str">
        <f t="shared" si="61"/>
        <v>AWRIYVTLLSTLNSCVDPFVYYFS</v>
      </c>
      <c r="Q135" s="4" t="str">
        <f t="shared" si="62"/>
        <v>SSGFQADFHELLRRL</v>
      </c>
      <c r="R135" s="5">
        <f>VLOOKUP($A135,'SegEnds_NonXtal_Prot#'!$A:$AL,3,FALSE)</f>
        <v>11</v>
      </c>
      <c r="S135" s="5" t="str">
        <f>VLOOKUP($A135,'SegEnds_NonXtal_Prot#'!$A:$AL,6,FALSE)</f>
        <v>-</v>
      </c>
      <c r="T135" s="5">
        <f>VLOOKUP($A135,'SegEnds_NonXtal_Prot#'!$A:$AL,9,FALSE)</f>
        <v>48</v>
      </c>
      <c r="U135" s="5">
        <f>VLOOKUP($A135,'SegEnds_NonXtal_Prot#'!$A:$AL,12,FALSE)</f>
        <v>80</v>
      </c>
      <c r="V135" s="5">
        <f>VLOOKUP($A135,'SegEnds_NonXtal_Prot#'!$A:$AL,15,FALSE)</f>
        <v>84</v>
      </c>
      <c r="W135" s="5">
        <f>VLOOKUP($A135,'SegEnds_NonXtal_Prot#'!$A:$AL,18,FALSE)</f>
        <v>120</v>
      </c>
      <c r="X135" s="5">
        <f>VLOOKUP($A135,'SegEnds_NonXtal_Prot#'!$A:$AL,21,FALSE)</f>
        <v>128</v>
      </c>
      <c r="Y135" s="5">
        <f>VLOOKUP($A135,'SegEnds_NonXtal_Prot#'!$A:$AL,24,FALSE)</f>
        <v>169</v>
      </c>
      <c r="Z135" s="5">
        <f>VLOOKUP($A135,'SegEnds_NonXtal_Prot#'!$A:$AL,27,FALSE)</f>
        <v>178</v>
      </c>
      <c r="AA135" s="5">
        <f>VLOOKUP($A135,'SegEnds_NonXtal_Prot#'!$A:$AL,30,FALSE)</f>
        <v>218</v>
      </c>
      <c r="AB135" s="5">
        <f>VLOOKUP($A135,'SegEnds_NonXtal_Prot#'!$A:$AL,33,FALSE)</f>
        <v>256</v>
      </c>
      <c r="AC135" s="5">
        <f>VLOOKUP($A135,'SegEnds_NonXtal_Prot#'!$A:$AL,36,FALSE)</f>
        <v>280</v>
      </c>
      <c r="AD135" s="5">
        <f>VLOOKUP($A135,'SegEnds_NonXtal_Prot#'!$A:$AL,5,FALSE)</f>
        <v>42</v>
      </c>
      <c r="AE135" s="5" t="str">
        <f>VLOOKUP($A135,'SegEnds_NonXtal_Prot#'!$A:$AL,8,FALSE)</f>
        <v>-</v>
      </c>
      <c r="AF135" s="5">
        <f>VLOOKUP($A135,'SegEnds_NonXtal_Prot#'!$A:$AL,11,FALSE)</f>
        <v>77</v>
      </c>
      <c r="AG135" s="5">
        <f>VLOOKUP($A135,'SegEnds_NonXtal_Prot#'!$A:$AL,14,FALSE)</f>
        <v>83</v>
      </c>
      <c r="AH135" s="5">
        <f>VLOOKUP($A135,'SegEnds_NonXtal_Prot#'!$A:$AL,17,FALSE)</f>
        <v>119</v>
      </c>
      <c r="AI135" s="5">
        <f>VLOOKUP($A135,'SegEnds_NonXtal_Prot#'!$A:$AL,20,FALSE)</f>
        <v>127</v>
      </c>
      <c r="AJ135" s="5">
        <f>VLOOKUP($A135,'SegEnds_NonXtal_Prot#'!$A:$AL,23,FALSE)</f>
        <v>153</v>
      </c>
      <c r="AK135" s="5">
        <f>VLOOKUP($A135,'SegEnds_NonXtal_Prot#'!$A:$AL,26,FALSE)</f>
        <v>171</v>
      </c>
      <c r="AL135" s="5">
        <f>VLOOKUP($A135,'SegEnds_NonXtal_Prot#'!$A:$AL,29,FALSE)</f>
        <v>214</v>
      </c>
      <c r="AM135" s="5">
        <f>VLOOKUP($A135,'SegEnds_NonXtal_Prot#'!$A:$AL,32,FALSE)</f>
        <v>251</v>
      </c>
      <c r="AN135" s="5">
        <f>VLOOKUP($A135,'SegEnds_NonXtal_Prot#'!$A:$AL,35,FALSE)</f>
        <v>279</v>
      </c>
      <c r="AO135" s="5">
        <f>VLOOKUP($A135,'SegEnds_NonXtal_Prot#'!$A:$AL,38,FALSE)</f>
        <v>294</v>
      </c>
      <c r="AP135" s="5">
        <f t="shared" si="63"/>
        <v>31</v>
      </c>
      <c r="AQ135" s="4" t="str">
        <f t="shared" si="64"/>
        <v>-</v>
      </c>
      <c r="AR135" s="4">
        <f t="shared" si="65"/>
        <v>29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25</v>
      </c>
      <c r="AW135" s="4">
        <f t="shared" si="70"/>
        <v>2</v>
      </c>
      <c r="AX135" s="4">
        <f t="shared" si="71"/>
        <v>36</v>
      </c>
      <c r="AY135" s="4">
        <f t="shared" si="72"/>
        <v>33</v>
      </c>
      <c r="AZ135" s="4">
        <f t="shared" si="73"/>
        <v>23</v>
      </c>
      <c r="BA135" s="4">
        <f t="shared" si="74"/>
        <v>14</v>
      </c>
    </row>
    <row r="136" spans="1:53" x14ac:dyDescent="0.2">
      <c r="A136" s="1" t="str">
        <f>'SegEnds_NonXtal_Prot#'!A105</f>
        <v>ffar4_human</v>
      </c>
      <c r="B136" s="1" t="str">
        <f t="shared" si="50"/>
        <v>LAAVETTVLVLIFAVSLLGNVCALVLVARRGATACLVLNLFCADLLFISAIPLVLAVRWTGPVACHLLFYVMTLSGSVTILTLAAVSLERMVCIVHGRRARAVLLALIWGYSAVAALPLCVFFIPGEISWDVSFVTLNFLVPGLVIVISYSKILQTSEHLLDARAVVTIRVSQQDFRLFRTLFLLMVSFFIMWSPIIITILLILIQLVIWPSLFFWVVAFTFANSALNPILYNMTLCRNEWKKIFCC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6" s="5" t="str">
        <f t="shared" si="51"/>
        <v>LAAVETTVLVLIFAVSLLGNVCALVLVARR</v>
      </c>
      <c r="G136" s="4" t="str">
        <f t="shared" si="52"/>
        <v/>
      </c>
      <c r="H136" s="4" t="str">
        <f t="shared" si="53"/>
        <v>GATACLVLNLFCADLLFISAIPLVLAVRWT</v>
      </c>
      <c r="I136" s="4" t="str">
        <f t="shared" si="54"/>
        <v>AWLL</v>
      </c>
      <c r="J136" s="4" t="str">
        <f t="shared" si="55"/>
        <v>GPVACHLLFYVMTLSGSVTILTLAAVSLERMVCIVH</v>
      </c>
      <c r="K136" s="4" t="str">
        <f t="shared" si="56"/>
        <v>LQRGVRGP</v>
      </c>
      <c r="L136" s="4" t="str">
        <f t="shared" si="57"/>
        <v>GRRARAVLLALIWGYSAVAALPLCVFF</v>
      </c>
      <c r="M136" s="4" t="str">
        <f t="shared" si="58"/>
        <v>CTL</v>
      </c>
      <c r="N136" s="4" t="str">
        <f t="shared" si="59"/>
        <v>IPGEISWDVSFVTLNFLVPGLVIVISYSKILQTSEHLLDARAVVT</v>
      </c>
      <c r="O136" s="4" t="str">
        <f t="shared" si="60"/>
        <v>IRVSQQDFRLFRTLFLLMVSFFIMWSPIIITILLILIQ</v>
      </c>
      <c r="P136" s="4" t="str">
        <f t="shared" si="61"/>
        <v>LVIWPSLFFWVVAFTFANSALNPILYNMT</v>
      </c>
      <c r="Q136" s="4" t="str">
        <f t="shared" si="62"/>
        <v>LCRNEWKKIFCC</v>
      </c>
      <c r="R136" s="5">
        <f>VLOOKUP($A136,'SegEnds_NonXtal_Prot#'!$A:$AL,3,FALSE)</f>
        <v>39</v>
      </c>
      <c r="S136" s="5" t="str">
        <f>VLOOKUP($A136,'SegEnds_NonXtal_Prot#'!$A:$AL,6,FALSE)</f>
        <v>-</v>
      </c>
      <c r="T136" s="5">
        <f>VLOOKUP($A136,'SegEnds_NonXtal_Prot#'!$A:$AL,9,FALSE)</f>
        <v>72</v>
      </c>
      <c r="U136" s="5">
        <f>VLOOKUP($A136,'SegEnds_NonXtal_Prot#'!$A:$AL,12,FALSE)</f>
        <v>103</v>
      </c>
      <c r="V136" s="5">
        <f>VLOOKUP($A136,'SegEnds_NonXtal_Prot#'!$A:$AL,15,FALSE)</f>
        <v>107</v>
      </c>
      <c r="W136" s="5">
        <f>VLOOKUP($A136,'SegEnds_NonXtal_Prot#'!$A:$AL,18,FALSE)</f>
        <v>143</v>
      </c>
      <c r="X136" s="5">
        <f>VLOOKUP($A136,'SegEnds_NonXtal_Prot#'!$A:$AL,21,FALSE)</f>
        <v>151</v>
      </c>
      <c r="Y136" s="5">
        <f>VLOOKUP($A136,'SegEnds_NonXtal_Prot#'!$A:$AL,24,FALSE)</f>
        <v>194</v>
      </c>
      <c r="Z136" s="5">
        <f>VLOOKUP($A136,'SegEnds_NonXtal_Prot#'!$A:$AL,27,FALSE)</f>
        <v>201</v>
      </c>
      <c r="AA136" s="5">
        <f>VLOOKUP($A136,'SegEnds_NonXtal_Prot#'!$A:$AL,30,FALSE)</f>
        <v>269</v>
      </c>
      <c r="AB136" s="5">
        <f>VLOOKUP($A136,'SegEnds_NonXtal_Prot#'!$A:$AL,33,FALSE)</f>
        <v>312</v>
      </c>
      <c r="AC136" s="5">
        <f>VLOOKUP($A136,'SegEnds_NonXtal_Prot#'!$A:$AL,36,FALSE)</f>
        <v>341</v>
      </c>
      <c r="AD136" s="5">
        <f>VLOOKUP($A136,'SegEnds_NonXtal_Prot#'!$A:$AL,5,FALSE)</f>
        <v>68</v>
      </c>
      <c r="AE136" s="5" t="str">
        <f>VLOOKUP($A136,'SegEnds_NonXtal_Prot#'!$A:$AL,8,FALSE)</f>
        <v>-</v>
      </c>
      <c r="AF136" s="5">
        <f>VLOOKUP($A136,'SegEnds_NonXtal_Prot#'!$A:$AL,11,FALSE)</f>
        <v>101</v>
      </c>
      <c r="AG136" s="5">
        <f>VLOOKUP($A136,'SegEnds_NonXtal_Prot#'!$A:$AL,14,FALSE)</f>
        <v>106</v>
      </c>
      <c r="AH136" s="5">
        <f>VLOOKUP($A136,'SegEnds_NonXtal_Prot#'!$A:$AL,17,FALSE)</f>
        <v>142</v>
      </c>
      <c r="AI136" s="5">
        <f>VLOOKUP($A136,'SegEnds_NonXtal_Prot#'!$A:$AL,20,FALSE)</f>
        <v>150</v>
      </c>
      <c r="AJ136" s="5">
        <f>VLOOKUP($A136,'SegEnds_NonXtal_Prot#'!$A:$AL,23,FALSE)</f>
        <v>177</v>
      </c>
      <c r="AK136" s="5">
        <f>VLOOKUP($A136,'SegEnds_NonXtal_Prot#'!$A:$AL,26,FALSE)</f>
        <v>196</v>
      </c>
      <c r="AL136" s="5">
        <f>VLOOKUP($A136,'SegEnds_NonXtal_Prot#'!$A:$AL,29,FALSE)</f>
        <v>245</v>
      </c>
      <c r="AM136" s="5">
        <f>VLOOKUP($A136,'SegEnds_NonXtal_Prot#'!$A:$AL,32,FALSE)</f>
        <v>306</v>
      </c>
      <c r="AN136" s="5">
        <f>VLOOKUP($A136,'SegEnds_NonXtal_Prot#'!$A:$AL,35,FALSE)</f>
        <v>340</v>
      </c>
      <c r="AO136" s="5">
        <f>VLOOKUP($A136,'SegEnds_NonXtal_Prot#'!$A:$AL,38,FALSE)</f>
        <v>352</v>
      </c>
      <c r="AP136" s="5">
        <f t="shared" si="63"/>
        <v>29</v>
      </c>
      <c r="AQ136" s="4" t="str">
        <f t="shared" si="64"/>
        <v>-</v>
      </c>
      <c r="AR136" s="4">
        <f t="shared" si="65"/>
        <v>29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44</v>
      </c>
      <c r="AY136" s="4">
        <f t="shared" si="72"/>
        <v>37</v>
      </c>
      <c r="AZ136" s="4">
        <f t="shared" si="73"/>
        <v>28</v>
      </c>
      <c r="BA136" s="4">
        <f t="shared" si="74"/>
        <v>11</v>
      </c>
    </row>
    <row r="137" spans="1:53" x14ac:dyDescent="0.2">
      <c r="A137" s="1" t="str">
        <f>'SegEnds_NonXtal_Prot#'!A106</f>
        <v>fpr1_human</v>
      </c>
      <c r="B137" s="1" t="str">
        <f t="shared" si="50"/>
        <v>FLDIITYLVFAVTFVLGVLGNGLVIWVAGFRTVTTISYLNLAVADFCFTSTLPFFMVRKAMGWFLCKFVFTIVDINLFGSVFLIALIALDRCVCVLHTVSLAKKVIIGPWVMALLLTLPVIIRVMLTVRGIIRFIIGFSAPMSIVAVSYGLIATKIHKQSSRPLRVLSFVAAAFFLCWSPYQVVALIATVRYKEIGIAVDVTSALAFFNSCLNPMLYVFMGQDFRERLIHALPAS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7" s="5" t="str">
        <f t="shared" si="51"/>
        <v>FLDIITYLVFAVTFVLGVLGNGLVIWVAGFR</v>
      </c>
      <c r="G137" s="4" t="str">
        <f t="shared" si="52"/>
        <v/>
      </c>
      <c r="H137" s="4" t="str">
        <f t="shared" si="53"/>
        <v>TVTTISYLNLAVADFCFTSTLPFFMVRKAM</v>
      </c>
      <c r="I137" s="4" t="str">
        <f t="shared" si="54"/>
        <v>HWPF</v>
      </c>
      <c r="J137" s="4" t="str">
        <f t="shared" si="55"/>
        <v>GWFLCKFVFTIVDINLFGSVFLIALIALDRCVCVLH</v>
      </c>
      <c r="K137" s="4" t="str">
        <f t="shared" si="56"/>
        <v>PVWTQNHR</v>
      </c>
      <c r="L137" s="4" t="str">
        <f t="shared" si="57"/>
        <v>TVSLAKKVIIGPWVMALLLTLPVIIRV</v>
      </c>
      <c r="M137" s="4" t="str">
        <f t="shared" si="58"/>
        <v>CTF</v>
      </c>
      <c r="N137" s="4" t="str">
        <f t="shared" si="59"/>
        <v>MLTVRGIIRFIIGFSAPMSIVAVSYGLIATKIHKQ</v>
      </c>
      <c r="O137" s="4" t="str">
        <f t="shared" si="60"/>
        <v>SSRPLRVLSFVAAAFFLCWSPYQVVALIATVR</v>
      </c>
      <c r="P137" s="4" t="str">
        <f t="shared" si="61"/>
        <v>YKEIGIAVDVTSALAFFNSCLNPMLYVFM</v>
      </c>
      <c r="Q137" s="4" t="str">
        <f t="shared" si="62"/>
        <v>GQDFRERLIHALPAS</v>
      </c>
      <c r="R137" s="5">
        <f>VLOOKUP($A137,'SegEnds_NonXtal_Prot#'!$A:$AL,3,FALSE)</f>
        <v>24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197</v>
      </c>
      <c r="AA137" s="5">
        <f>VLOOKUP($A137,'SegEnds_NonXtal_Prot#'!$A:$AL,30,FALSE)</f>
        <v>236</v>
      </c>
      <c r="AB137" s="5">
        <f>VLOOKUP($A137,'SegEnds_NonXtal_Prot#'!$A:$AL,33,FALSE)</f>
        <v>276</v>
      </c>
      <c r="AC137" s="5">
        <f>VLOOKUP($A137,'SegEnds_NonXtal_Prot#'!$A:$AL,36,FALSE)</f>
        <v>305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87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304</v>
      </c>
      <c r="AO137" s="5">
        <f>VLOOKUP($A137,'SegEnds_NonXtal_Prot#'!$A:$AL,38,FALSE)</f>
        <v>319</v>
      </c>
      <c r="AP137" s="5">
        <f t="shared" si="63"/>
        <v>30</v>
      </c>
      <c r="AQ137" s="4" t="str">
        <f t="shared" si="64"/>
        <v>-</v>
      </c>
      <c r="AR137" s="4">
        <f t="shared" si="65"/>
        <v>29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34</v>
      </c>
      <c r="AY137" s="4">
        <f t="shared" si="72"/>
        <v>31</v>
      </c>
      <c r="AZ137" s="4">
        <f t="shared" si="73"/>
        <v>28</v>
      </c>
      <c r="BA137" s="4">
        <f t="shared" si="74"/>
        <v>14</v>
      </c>
    </row>
    <row r="138" spans="1:53" x14ac:dyDescent="0.2">
      <c r="A138" s="1" t="str">
        <f>'SegEnds_NonXtal_Prot#'!A107</f>
        <v>fpr2_human</v>
      </c>
      <c r="B138" s="1" t="str">
        <f t="shared" si="50"/>
        <v>ESAGYTVLRILPLVVLGVTFVLGVLGNGLVIWVAGFRTVTTICYLNLALADFSFTATLPFLIVSMAMGWFLCKLIHIVVDINLFGSVFLIGFIALDRCICVLHTVSLAMKVIVGPWILALVLTLPVFLFLITMLTARGIIRFVIGFSLPMSIVAICYGLIAAKIHKKSSRPLRVLTAVVASFFICWFPFQLVALLGTVWFYGKYKIIDILVNPTSSLAFFNSCLNPMLYVFVGQDFRERLIHSLP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8" s="5" t="str">
        <f t="shared" si="51"/>
        <v>ESAGYTVLRILPLVVLGVTFVLGVLGNGLVIWVAGFR</v>
      </c>
      <c r="G138" s="4" t="str">
        <f t="shared" si="52"/>
        <v/>
      </c>
      <c r="H138" s="4" t="str">
        <f t="shared" si="53"/>
        <v>TVTTICYLNLALADFSFTATLPFLIVSMAM</v>
      </c>
      <c r="I138" s="4" t="str">
        <f t="shared" si="54"/>
        <v>KWPF</v>
      </c>
      <c r="J138" s="4" t="str">
        <f t="shared" si="55"/>
        <v>GWFLCKLIHIVVDINLFGSVFLIGFIALDRCICVLH</v>
      </c>
      <c r="K138" s="4" t="str">
        <f t="shared" si="56"/>
        <v>PVWAQNHR</v>
      </c>
      <c r="L138" s="4" t="str">
        <f t="shared" si="57"/>
        <v>TVSLAMKVIVGPWILALVLTLPVFLFL</v>
      </c>
      <c r="M138" s="4" t="str">
        <f t="shared" si="58"/>
        <v>CTF</v>
      </c>
      <c r="N138" s="4" t="str">
        <f t="shared" si="59"/>
        <v>ITMLTARGIIRFVIGFSLPMSIVAICYGLIAAKIHKK</v>
      </c>
      <c r="O138" s="4" t="str">
        <f t="shared" si="60"/>
        <v>SSRPLRVLTAVVASFFICWFPFQLVALLGTVW</v>
      </c>
      <c r="P138" s="4" t="str">
        <f t="shared" si="61"/>
        <v>FYGKYKIIDILVNPTSSLAFFNSCLNPMLYVFV</v>
      </c>
      <c r="Q138" s="4" t="str">
        <f t="shared" si="62"/>
        <v>GQDFRERLIHSLP</v>
      </c>
      <c r="R138" s="5">
        <f>VLOOKUP($A138,'SegEnds_NonXtal_Prot#'!$A:$AL,3,FALSE)</f>
        <v>18</v>
      </c>
      <c r="S138" s="5" t="str">
        <f>VLOOKUP($A138,'SegEnds_NonXtal_Prot#'!$A:$AL,6,FALSE)</f>
        <v>-</v>
      </c>
      <c r="T138" s="5">
        <f>VLOOKUP($A138,'SegEnds_NonXtal_Prot#'!$A:$AL,9,FALSE)</f>
        <v>58</v>
      </c>
      <c r="U138" s="5">
        <f>VLOOKUP($A138,'SegEnds_NonXtal_Prot#'!$A:$AL,12,FALSE)</f>
        <v>90</v>
      </c>
      <c r="V138" s="5">
        <f>VLOOKUP($A138,'SegEnds_NonXtal_Prot#'!$A:$AL,15,FALSE)</f>
        <v>94</v>
      </c>
      <c r="W138" s="5">
        <f>VLOOKUP($A138,'SegEnds_NonXtal_Prot#'!$A:$AL,18,FALSE)</f>
        <v>130</v>
      </c>
      <c r="X138" s="5">
        <f>VLOOKUP($A138,'SegEnds_NonXtal_Prot#'!$A:$AL,21,FALSE)</f>
        <v>138</v>
      </c>
      <c r="Y138" s="5">
        <f>VLOOKUP($A138,'SegEnds_NonXtal_Prot#'!$A:$AL,24,FALSE)</f>
        <v>176</v>
      </c>
      <c r="Z138" s="5">
        <f>VLOOKUP($A138,'SegEnds_NonXtal_Prot#'!$A:$AL,27,FALSE)</f>
        <v>195</v>
      </c>
      <c r="AA138" s="5">
        <f>VLOOKUP($A138,'SegEnds_NonXtal_Prot#'!$A:$AL,30,FALSE)</f>
        <v>236</v>
      </c>
      <c r="AB138" s="5">
        <f>VLOOKUP($A138,'SegEnds_NonXtal_Prot#'!$A:$AL,33,FALSE)</f>
        <v>273</v>
      </c>
      <c r="AC138" s="5">
        <f>VLOOKUP($A138,'SegEnds_NonXtal_Prot#'!$A:$AL,36,FALSE)</f>
        <v>306</v>
      </c>
      <c r="AD138" s="5">
        <f>VLOOKUP($A138,'SegEnds_NonXtal_Prot#'!$A:$AL,5,FALSE)</f>
        <v>54</v>
      </c>
      <c r="AE138" s="5" t="str">
        <f>VLOOKUP($A138,'SegEnds_NonXtal_Prot#'!$A:$AL,8,FALSE)</f>
        <v>-</v>
      </c>
      <c r="AF138" s="5">
        <f>VLOOKUP($A138,'SegEnds_NonXtal_Prot#'!$A:$AL,11,FALSE)</f>
        <v>87</v>
      </c>
      <c r="AG138" s="5">
        <f>VLOOKUP($A138,'SegEnds_NonXtal_Prot#'!$A:$AL,14,FALSE)</f>
        <v>93</v>
      </c>
      <c r="AH138" s="5">
        <f>VLOOKUP($A138,'SegEnds_NonXtal_Prot#'!$A:$AL,17,FALSE)</f>
        <v>129</v>
      </c>
      <c r="AI138" s="5">
        <f>VLOOKUP($A138,'SegEnds_NonXtal_Prot#'!$A:$AL,20,FALSE)</f>
        <v>137</v>
      </c>
      <c r="AJ138" s="5">
        <f>VLOOKUP($A138,'SegEnds_NonXtal_Prot#'!$A:$AL,23,FALSE)</f>
        <v>164</v>
      </c>
      <c r="AK138" s="5">
        <f>VLOOKUP($A138,'SegEnds_NonXtal_Prot#'!$A:$AL,26,FALSE)</f>
        <v>178</v>
      </c>
      <c r="AL138" s="5">
        <f>VLOOKUP($A138,'SegEnds_NonXtal_Prot#'!$A:$AL,29,FALSE)</f>
        <v>231</v>
      </c>
      <c r="AM138" s="5">
        <f>VLOOKUP($A138,'SegEnds_NonXtal_Prot#'!$A:$AL,32,FALSE)</f>
        <v>267</v>
      </c>
      <c r="AN138" s="5">
        <f>VLOOKUP($A138,'SegEnds_NonXtal_Prot#'!$A:$AL,35,FALSE)</f>
        <v>305</v>
      </c>
      <c r="AO138" s="5">
        <f>VLOOKUP($A138,'SegEnds_NonXtal_Prot#'!$A:$AL,38,FALSE)</f>
        <v>318</v>
      </c>
      <c r="AP138" s="5">
        <f t="shared" si="63"/>
        <v>36</v>
      </c>
      <c r="AQ138" s="4" t="str">
        <f t="shared" si="64"/>
        <v>-</v>
      </c>
      <c r="AR138" s="4">
        <f t="shared" si="65"/>
        <v>29</v>
      </c>
      <c r="AS138" s="4">
        <f t="shared" si="66"/>
        <v>3</v>
      </c>
      <c r="AT138" s="4">
        <f t="shared" si="67"/>
        <v>35</v>
      </c>
      <c r="AU138" s="4">
        <f t="shared" si="68"/>
        <v>7</v>
      </c>
      <c r="AV138" s="4">
        <f t="shared" si="69"/>
        <v>26</v>
      </c>
      <c r="AW138" s="4">
        <f t="shared" si="70"/>
        <v>2</v>
      </c>
      <c r="AX138" s="4">
        <f t="shared" si="71"/>
        <v>36</v>
      </c>
      <c r="AY138" s="4">
        <f t="shared" si="72"/>
        <v>31</v>
      </c>
      <c r="AZ138" s="4">
        <f t="shared" si="73"/>
        <v>32</v>
      </c>
      <c r="BA138" s="4">
        <f t="shared" si="74"/>
        <v>12</v>
      </c>
    </row>
    <row r="139" spans="1:53" x14ac:dyDescent="0.2">
      <c r="A139" s="1" t="str">
        <f>'SegEnds_NonXtal_Prot#'!A108</f>
        <v>fpr3_human</v>
      </c>
      <c r="B139" s="1" t="str">
        <f t="shared" si="50"/>
        <v>EPAGHTVLWIFSLLVHGVTFVFGVLGNGLVIWVAGFRTVNTICYLNLALADFSFSAILPFRMVSVAMGSFLCKLVHVMIDINLFVSVYLITIIALDRCICVLHTMSLAKRVMTGLWIFTIVLTLPNFIFWITMAKVFLILHFIIGFSVPMSIITVCYGIIAAKIHRNSSRPLRVFAAVVASFFICWFPYELIGILMAVWLNGKYKIILVLINPTSSLAFFNSCLNPILYVFMGRNFQERLIRSLP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9" s="5" t="str">
        <f t="shared" si="51"/>
        <v>EPAGHTVLWIFSLLVHGVTFVFGVLGNGLVIWVAGFR</v>
      </c>
      <c r="G139" s="4" t="str">
        <f t="shared" si="52"/>
        <v/>
      </c>
      <c r="H139" s="4" t="str">
        <f t="shared" si="53"/>
        <v>TVNTICYLNLALADFSFSAILPFRMVSVAM</v>
      </c>
      <c r="I139" s="4" t="str">
        <f t="shared" si="54"/>
        <v>KWPF</v>
      </c>
      <c r="J139" s="4" t="str">
        <f t="shared" si="55"/>
        <v>GSFLCKLVHVMIDINLFVSVYLITIIALDRCICVLH</v>
      </c>
      <c r="K139" s="4" t="str">
        <f t="shared" si="56"/>
        <v>PAWAQNHR</v>
      </c>
      <c r="L139" s="4" t="str">
        <f t="shared" si="57"/>
        <v>TMSLAKRVMTGLWIFTIVLTLPNFIFW</v>
      </c>
      <c r="M139" s="4" t="str">
        <f t="shared" si="58"/>
        <v>CIF</v>
      </c>
      <c r="N139" s="4" t="str">
        <f t="shared" si="59"/>
        <v>ITMAKVFLILHFIIGFSVPMSIITVCYGIIAAKIHRN</v>
      </c>
      <c r="O139" s="4" t="str">
        <f t="shared" si="60"/>
        <v>SSRPLRVFAAVVASFFICWFPYELIGILMAVW</v>
      </c>
      <c r="P139" s="4" t="str">
        <f t="shared" si="61"/>
        <v>LNGKYKIILVLINPTSSLAFFNSCLNPILYVFM</v>
      </c>
      <c r="Q139" s="4" t="str">
        <f t="shared" si="62"/>
        <v>GRNFQERLIRSLP</v>
      </c>
      <c r="R139" s="5">
        <f>VLOOKUP($A139,'SegEnds_NonXtal_Prot#'!$A:$AL,3,FALSE)</f>
        <v>18</v>
      </c>
      <c r="S139" s="5" t="str">
        <f>VLOOKUP($A139,'SegEnds_NonXtal_Prot#'!$A:$AL,6,FALSE)</f>
        <v>-</v>
      </c>
      <c r="T139" s="5">
        <f>VLOOKUP($A139,'SegEnds_NonXtal_Prot#'!$A:$AL,9,FALSE)</f>
        <v>58</v>
      </c>
      <c r="U139" s="5">
        <f>VLOOKUP($A139,'SegEnds_NonXtal_Prot#'!$A:$AL,12,FALSE)</f>
        <v>90</v>
      </c>
      <c r="V139" s="5">
        <f>VLOOKUP($A139,'SegEnds_NonXtal_Prot#'!$A:$AL,15,FALSE)</f>
        <v>94</v>
      </c>
      <c r="W139" s="5">
        <f>VLOOKUP($A139,'SegEnds_NonXtal_Prot#'!$A:$AL,18,FALSE)</f>
        <v>130</v>
      </c>
      <c r="X139" s="5">
        <f>VLOOKUP($A139,'SegEnds_NonXtal_Prot#'!$A:$AL,21,FALSE)</f>
        <v>138</v>
      </c>
      <c r="Y139" s="5">
        <f>VLOOKUP($A139,'SegEnds_NonXtal_Prot#'!$A:$AL,24,FALSE)</f>
        <v>176</v>
      </c>
      <c r="Z139" s="5">
        <f>VLOOKUP($A139,'SegEnds_NonXtal_Prot#'!$A:$AL,27,FALSE)</f>
        <v>195</v>
      </c>
      <c r="AA139" s="5">
        <f>VLOOKUP($A139,'SegEnds_NonXtal_Prot#'!$A:$AL,30,FALSE)</f>
        <v>236</v>
      </c>
      <c r="AB139" s="5">
        <f>VLOOKUP($A139,'SegEnds_NonXtal_Prot#'!$A:$AL,33,FALSE)</f>
        <v>273</v>
      </c>
      <c r="AC139" s="5">
        <f>VLOOKUP($A139,'SegEnds_NonXtal_Prot#'!$A:$AL,36,FALSE)</f>
        <v>306</v>
      </c>
      <c r="AD139" s="5">
        <f>VLOOKUP($A139,'SegEnds_NonXtal_Prot#'!$A:$AL,5,FALSE)</f>
        <v>54</v>
      </c>
      <c r="AE139" s="5" t="str">
        <f>VLOOKUP($A139,'SegEnds_NonXtal_Prot#'!$A:$AL,8,FALSE)</f>
        <v>-</v>
      </c>
      <c r="AF139" s="5">
        <f>VLOOKUP($A139,'SegEnds_NonXtal_Prot#'!$A:$AL,11,FALSE)</f>
        <v>87</v>
      </c>
      <c r="AG139" s="5">
        <f>VLOOKUP($A139,'SegEnds_NonXtal_Prot#'!$A:$AL,14,FALSE)</f>
        <v>93</v>
      </c>
      <c r="AH139" s="5">
        <f>VLOOKUP($A139,'SegEnds_NonXtal_Prot#'!$A:$AL,17,FALSE)</f>
        <v>129</v>
      </c>
      <c r="AI139" s="5">
        <f>VLOOKUP($A139,'SegEnds_NonXtal_Prot#'!$A:$AL,20,FALSE)</f>
        <v>137</v>
      </c>
      <c r="AJ139" s="5">
        <f>VLOOKUP($A139,'SegEnds_NonXtal_Prot#'!$A:$AL,23,FALSE)</f>
        <v>164</v>
      </c>
      <c r="AK139" s="5">
        <f>VLOOKUP($A139,'SegEnds_NonXtal_Prot#'!$A:$AL,26,FALSE)</f>
        <v>178</v>
      </c>
      <c r="AL139" s="5">
        <f>VLOOKUP($A139,'SegEnds_NonXtal_Prot#'!$A:$AL,29,FALSE)</f>
        <v>231</v>
      </c>
      <c r="AM139" s="5">
        <f>VLOOKUP($A139,'SegEnds_NonXtal_Prot#'!$A:$AL,32,FALSE)</f>
        <v>267</v>
      </c>
      <c r="AN139" s="5">
        <f>VLOOKUP($A139,'SegEnds_NonXtal_Prot#'!$A:$AL,35,FALSE)</f>
        <v>305</v>
      </c>
      <c r="AO139" s="5">
        <f>VLOOKUP($A139,'SegEnds_NonXtal_Prot#'!$A:$AL,38,FALSE)</f>
        <v>318</v>
      </c>
      <c r="AP139" s="5">
        <f t="shared" si="63"/>
        <v>36</v>
      </c>
      <c r="AQ139" s="4" t="str">
        <f t="shared" si="64"/>
        <v>-</v>
      </c>
      <c r="AR139" s="4">
        <f t="shared" si="65"/>
        <v>29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36</v>
      </c>
      <c r="AY139" s="4">
        <f t="shared" si="72"/>
        <v>31</v>
      </c>
      <c r="AZ139" s="4">
        <f t="shared" si="73"/>
        <v>32</v>
      </c>
      <c r="BA139" s="4">
        <f t="shared" si="74"/>
        <v>12</v>
      </c>
    </row>
    <row r="140" spans="1:53" x14ac:dyDescent="0.2">
      <c r="A140" s="1" t="str">
        <f>'SegEnds_NonXtal_Prot#'!A109</f>
        <v>fshr_human</v>
      </c>
      <c r="B140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40" s="5" t="str">
        <f t="shared" si="51"/>
        <v>EDIMGYNILRVLIWFISILAITGNIIVLVILTTS</v>
      </c>
      <c r="G140" s="4" t="str">
        <f t="shared" si="52"/>
        <v>YKLT</v>
      </c>
      <c r="H140" s="4" t="str">
        <f t="shared" si="53"/>
        <v>VPRFLMCNLAFADLCIGIYLLLIASVDIHT</v>
      </c>
      <c r="I140" s="4" t="str">
        <f t="shared" si="54"/>
        <v>DWQT</v>
      </c>
      <c r="J140" s="4" t="str">
        <f t="shared" si="55"/>
        <v>GAGCDAAGFFTVFASELSVYTLTAITLERWHTITH</v>
      </c>
      <c r="K140" s="4" t="str">
        <f t="shared" si="56"/>
        <v>AMQLDCKV</v>
      </c>
      <c r="L140" s="4" t="str">
        <f t="shared" si="57"/>
        <v>QLRHAASVMVMGWIFAFAAALFPIFG</v>
      </c>
      <c r="M140" s="4" t="str">
        <f t="shared" si="58"/>
        <v>CLP</v>
      </c>
      <c r="N140" s="4" t="str">
        <f t="shared" si="59"/>
        <v>PLSQLYVMSLLVLNVLAFVVICGCYIHIYLTVRN</v>
      </c>
      <c r="O140" s="4" t="str">
        <f t="shared" si="60"/>
        <v>SSSSDTRIAKRMAMLIFTDFLCMAPISFFAISASLK</v>
      </c>
      <c r="P140" s="4" t="str">
        <f t="shared" si="61"/>
        <v>VSKAKILLVLFHPINSCANPFLYAIF</v>
      </c>
      <c r="Q140" s="4" t="str">
        <f t="shared" si="62"/>
        <v>TKNFRRDFFILLSKCGCYEMQAQ</v>
      </c>
      <c r="R140" s="5">
        <f>VLOOKUP($A140,'SegEnds_NonXtal_Prot#'!$A:$AL,3,FALSE)</f>
        <v>357</v>
      </c>
      <c r="S140" s="5">
        <f>VLOOKUP($A140,'SegEnds_NonXtal_Prot#'!$A:$AL,6,FALSE)</f>
        <v>392</v>
      </c>
      <c r="T140" s="5">
        <f>VLOOKUP($A140,'SegEnds_NonXtal_Prot#'!$A:$AL,9,FALSE)</f>
        <v>396</v>
      </c>
      <c r="U140" s="5">
        <f>VLOOKUP($A140,'SegEnds_NonXtal_Prot#'!$A:$AL,12,FALSE)</f>
        <v>435</v>
      </c>
      <c r="V140" s="5">
        <f>VLOOKUP($A140,'SegEnds_NonXtal_Prot#'!$A:$AL,15,FALSE)</f>
        <v>439</v>
      </c>
      <c r="W140" s="5">
        <f>VLOOKUP($A140,'SegEnds_NonXtal_Prot#'!$A:$AL,18,FALSE)</f>
        <v>474</v>
      </c>
      <c r="X140" s="5">
        <f>VLOOKUP($A140,'SegEnds_NonXtal_Prot#'!$A:$AL,21,FALSE)</f>
        <v>482</v>
      </c>
      <c r="Y140" s="5">
        <f>VLOOKUP($A140,'SegEnds_NonXtal_Prot#'!$A:$AL,24,FALSE)</f>
        <v>517</v>
      </c>
      <c r="Z140" s="5">
        <f>VLOOKUP($A140,'SegEnds_NonXtal_Prot#'!$A:$AL,27,FALSE)</f>
        <v>525</v>
      </c>
      <c r="AA140" s="5">
        <f>VLOOKUP($A140,'SegEnds_NonXtal_Prot#'!$A:$AL,30,FALSE)</f>
        <v>563</v>
      </c>
      <c r="AB140" s="5">
        <f>VLOOKUP($A140,'SegEnds_NonXtal_Prot#'!$A:$AL,33,FALSE)</f>
        <v>604</v>
      </c>
      <c r="AC140" s="5">
        <f>VLOOKUP($A140,'SegEnds_NonXtal_Prot#'!$A:$AL,36,FALSE)</f>
        <v>630</v>
      </c>
      <c r="AD140" s="5">
        <f>VLOOKUP($A140,'SegEnds_NonXtal_Prot#'!$A:$AL,5,FALSE)</f>
        <v>390</v>
      </c>
      <c r="AE140" s="5">
        <f>VLOOKUP($A140,'SegEnds_NonXtal_Prot#'!$A:$AL,8,FALSE)</f>
        <v>395</v>
      </c>
      <c r="AF140" s="5">
        <f>VLOOKUP($A140,'SegEnds_NonXtal_Prot#'!$A:$AL,11,FALSE)</f>
        <v>425</v>
      </c>
      <c r="AG140" s="5">
        <f>VLOOKUP($A140,'SegEnds_NonXtal_Prot#'!$A:$AL,14,FALSE)</f>
        <v>438</v>
      </c>
      <c r="AH140" s="5">
        <f>VLOOKUP($A140,'SegEnds_NonXtal_Prot#'!$A:$AL,17,FALSE)</f>
        <v>473</v>
      </c>
      <c r="AI140" s="5">
        <f>VLOOKUP($A140,'SegEnds_NonXtal_Prot#'!$A:$AL,20,FALSE)</f>
        <v>481</v>
      </c>
      <c r="AJ140" s="5">
        <f>VLOOKUP($A140,'SegEnds_NonXtal_Prot#'!$A:$AL,23,FALSE)</f>
        <v>507</v>
      </c>
      <c r="AK140" s="5">
        <f>VLOOKUP($A140,'SegEnds_NonXtal_Prot#'!$A:$AL,26,FALSE)</f>
        <v>519</v>
      </c>
      <c r="AL140" s="5">
        <f>VLOOKUP($A140,'SegEnds_NonXtal_Prot#'!$A:$AL,29,FALSE)</f>
        <v>558</v>
      </c>
      <c r="AM140" s="5">
        <f>VLOOKUP($A140,'SegEnds_NonXtal_Prot#'!$A:$AL,32,FALSE)</f>
        <v>598</v>
      </c>
      <c r="AN140" s="5">
        <f>VLOOKUP($A140,'SegEnds_NonXtal_Prot#'!$A:$AL,35,FALSE)</f>
        <v>629</v>
      </c>
      <c r="AO140" s="5">
        <f>VLOOKUP($A140,'SegEnds_NonXtal_Prot#'!$A:$AL,38,FALSE)</f>
        <v>652</v>
      </c>
      <c r="AP140" s="5">
        <f t="shared" si="63"/>
        <v>33</v>
      </c>
      <c r="AQ140" s="4">
        <f t="shared" si="64"/>
        <v>3</v>
      </c>
      <c r="AR140" s="4">
        <f t="shared" si="65"/>
        <v>29</v>
      </c>
      <c r="AS140" s="4">
        <f t="shared" si="66"/>
        <v>3</v>
      </c>
      <c r="AT140" s="4">
        <f t="shared" si="67"/>
        <v>34</v>
      </c>
      <c r="AU140" s="4">
        <f t="shared" si="68"/>
        <v>7</v>
      </c>
      <c r="AV140" s="4">
        <f t="shared" si="69"/>
        <v>25</v>
      </c>
      <c r="AW140" s="4">
        <f t="shared" si="70"/>
        <v>2</v>
      </c>
      <c r="AX140" s="4">
        <f t="shared" si="71"/>
        <v>33</v>
      </c>
      <c r="AY140" s="4">
        <f t="shared" si="72"/>
        <v>35</v>
      </c>
      <c r="AZ140" s="4">
        <f t="shared" si="73"/>
        <v>25</v>
      </c>
      <c r="BA140" s="4">
        <f t="shared" si="74"/>
        <v>22</v>
      </c>
    </row>
    <row r="141" spans="1:53" x14ac:dyDescent="0.2">
      <c r="A141" s="1" t="str">
        <f>'SegEnds_NonXtal_Prot#'!A110</f>
        <v>galr1_human</v>
      </c>
      <c r="B141" s="1" t="str">
        <f t="shared" si="50"/>
        <v>VENFVTLVVFGLIFALGVLGNSLVITVLARSSTTNLFILNLSIADLAYLLFCIPFQATVYAGAFICKFIHYFFTVSMLVSIFTLAAMSVDRYVAIVHVSRNALLGVGCIWALSIAMASPVAYHQDPRHKKAYVVCTFVFGYLLPLLLICFCYAKVLNHLHKKLKNMSKKKTAQTVLVVVVVFGISWLPHHIIHLWAEFGTPASFLFRITAHCLAYSNSSVNPIIYAFLSENFRKAYKQVFK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41" s="5" t="str">
        <f t="shared" si="51"/>
        <v>VENFVTLVVFGLIFALGVLGNSLVITVLARS</v>
      </c>
      <c r="G141" s="4" t="str">
        <f t="shared" si="52"/>
        <v/>
      </c>
      <c r="H141" s="4" t="str">
        <f t="shared" si="53"/>
        <v>STTNLFILNLSIADLAYLLFCIPFQATVYA</v>
      </c>
      <c r="I141" s="4" t="str">
        <f t="shared" si="54"/>
        <v>TWVL</v>
      </c>
      <c r="J141" s="4" t="str">
        <f t="shared" si="55"/>
        <v>GAFICKFIHYFFTVSMLVSIFTLAAMSVDRYVAIVH</v>
      </c>
      <c r="K141" s="4" t="str">
        <f t="shared" si="56"/>
        <v>SRRSSSLR</v>
      </c>
      <c r="L141" s="4" t="str">
        <f t="shared" si="57"/>
        <v>VSRNALLGVGCIWALSIAMASPVAYHQ</v>
      </c>
      <c r="M141" s="4" t="str">
        <f t="shared" si="58"/>
        <v>CWE</v>
      </c>
      <c r="N141" s="4" t="str">
        <f t="shared" si="59"/>
        <v>DPRHKKAYVVCTFVFGYLLPLLLICFCYAKVLNHLHKKLKNM</v>
      </c>
      <c r="O141" s="4" t="str">
        <f t="shared" si="60"/>
        <v>SKKKTAQTVLVVVVVFGISWLPHHIIHLWAEFG</v>
      </c>
      <c r="P141" s="4" t="str">
        <f t="shared" si="61"/>
        <v>TPASFLFRITAHCLAYSNSSVNPIIYAFL</v>
      </c>
      <c r="Q141" s="4" t="str">
        <f t="shared" si="62"/>
        <v>SENFRKAYKQVFK</v>
      </c>
      <c r="R141" s="5">
        <f>VLOOKUP($A141,'SegEnds_NonXtal_Prot#'!$A:$AL,3,FALSE)</f>
        <v>31</v>
      </c>
      <c r="S141" s="5" t="str">
        <f>VLOOKUP($A141,'SegEnds_NonXtal_Prot#'!$A:$AL,6,FALSE)</f>
        <v>-</v>
      </c>
      <c r="T141" s="5">
        <f>VLOOKUP($A141,'SegEnds_NonXtal_Prot#'!$A:$AL,9,FALSE)</f>
        <v>68</v>
      </c>
      <c r="U141" s="5">
        <f>VLOOKUP($A141,'SegEnds_NonXtal_Prot#'!$A:$AL,12,FALSE)</f>
        <v>100</v>
      </c>
      <c r="V141" s="5">
        <f>VLOOKUP($A141,'SegEnds_NonXtal_Prot#'!$A:$AL,15,FALSE)</f>
        <v>104</v>
      </c>
      <c r="W141" s="5">
        <f>VLOOKUP($A141,'SegEnds_NonXtal_Prot#'!$A:$AL,18,FALSE)</f>
        <v>140</v>
      </c>
      <c r="X141" s="5">
        <f>VLOOKUP($A141,'SegEnds_NonXtal_Prot#'!$A:$AL,21,FALSE)</f>
        <v>148</v>
      </c>
      <c r="Y141" s="5">
        <f>VLOOKUP($A141,'SegEnds_NonXtal_Prot#'!$A:$AL,24,FALSE)</f>
        <v>187</v>
      </c>
      <c r="Z141" s="5">
        <f>VLOOKUP($A141,'SegEnds_NonXtal_Prot#'!$A:$AL,27,FALSE)</f>
        <v>193</v>
      </c>
      <c r="AA141" s="5">
        <f>VLOOKUP($A141,'SegEnds_NonXtal_Prot#'!$A:$AL,30,FALSE)</f>
        <v>241</v>
      </c>
      <c r="AB141" s="5">
        <f>VLOOKUP($A141,'SegEnds_NonXtal_Prot#'!$A:$AL,33,FALSE)</f>
        <v>278</v>
      </c>
      <c r="AC141" s="5">
        <f>VLOOKUP($A141,'SegEnds_NonXtal_Prot#'!$A:$AL,36,FALSE)</f>
        <v>307</v>
      </c>
      <c r="AD141" s="5">
        <f>VLOOKUP($A141,'SegEnds_NonXtal_Prot#'!$A:$AL,5,FALSE)</f>
        <v>61</v>
      </c>
      <c r="AE141" s="5" t="str">
        <f>VLOOKUP($A141,'SegEnds_NonXtal_Prot#'!$A:$AL,8,FALSE)</f>
        <v>-</v>
      </c>
      <c r="AF141" s="5">
        <f>VLOOKUP($A141,'SegEnds_NonXtal_Prot#'!$A:$AL,11,FALSE)</f>
        <v>97</v>
      </c>
      <c r="AG141" s="5">
        <f>VLOOKUP($A141,'SegEnds_NonXtal_Prot#'!$A:$AL,14,FALSE)</f>
        <v>103</v>
      </c>
      <c r="AH141" s="5">
        <f>VLOOKUP($A141,'SegEnds_NonXtal_Prot#'!$A:$AL,17,FALSE)</f>
        <v>139</v>
      </c>
      <c r="AI141" s="5">
        <f>VLOOKUP($A141,'SegEnds_NonXtal_Prot#'!$A:$AL,20,FALSE)</f>
        <v>147</v>
      </c>
      <c r="AJ141" s="5">
        <f>VLOOKUP($A141,'SegEnds_NonXtal_Prot#'!$A:$AL,23,FALSE)</f>
        <v>174</v>
      </c>
      <c r="AK141" s="5">
        <f>VLOOKUP($A141,'SegEnds_NonXtal_Prot#'!$A:$AL,26,FALSE)</f>
        <v>189</v>
      </c>
      <c r="AL141" s="5">
        <f>VLOOKUP($A141,'SegEnds_NonXtal_Prot#'!$A:$AL,29,FALSE)</f>
        <v>234</v>
      </c>
      <c r="AM141" s="5">
        <f>VLOOKUP($A141,'SegEnds_NonXtal_Prot#'!$A:$AL,32,FALSE)</f>
        <v>273</v>
      </c>
      <c r="AN141" s="5">
        <f>VLOOKUP($A141,'SegEnds_NonXtal_Prot#'!$A:$AL,35,FALSE)</f>
        <v>306</v>
      </c>
      <c r="AO141" s="5">
        <f>VLOOKUP($A141,'SegEnds_NonXtal_Prot#'!$A:$AL,38,FALSE)</f>
        <v>319</v>
      </c>
      <c r="AP141" s="5">
        <f t="shared" si="63"/>
        <v>30</v>
      </c>
      <c r="AQ141" s="4" t="str">
        <f t="shared" si="64"/>
        <v>-</v>
      </c>
      <c r="AR141" s="4">
        <f t="shared" si="65"/>
        <v>29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41</v>
      </c>
      <c r="AY141" s="4">
        <f t="shared" si="72"/>
        <v>32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'SegEnds_NonXtal_Prot#'!A112</f>
        <v>galr3_human</v>
      </c>
      <c r="B142" s="1" t="str">
        <f t="shared" si="50"/>
        <v>VGAVAVPVVFALIFLLGTVGNGLVLAVLLQPQEPGSTTDLFILNLAVADLCFILCCVPFQATIYTGALVCKAVHLLIYLTMYASSFTLAAVSVDRYLAVRHTPRNARAAVGLVWLLAALFSAPYLSYYEDARRRALDVATFAAGYLLPVAVVSLAYGRTLRFLWAAVGPAEARRRATGRAGRAMLAVAALYALCWGPHHALILCFWYGSPATYACRLASHCLAYANSCLNPLVYALASRHFRARFRRLWP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2" s="5" t="str">
        <f t="shared" si="51"/>
        <v>VGAVAVPVVFALIFLLGTVGNGLVLAVLLQP</v>
      </c>
      <c r="G142" s="4" t="str">
        <f t="shared" si="52"/>
        <v>PSAW</v>
      </c>
      <c r="H142" s="4" t="str">
        <f t="shared" si="53"/>
        <v>QEPGSTTDLFILNLAVADLCFILCCVPFQATIYT</v>
      </c>
      <c r="I142" s="4" t="str">
        <f t="shared" si="54"/>
        <v>AWLF</v>
      </c>
      <c r="J142" s="4" t="str">
        <f t="shared" si="55"/>
        <v>GALVCKAVHLLIYLTMYASSFTLAAVSVDRYLAVRH</v>
      </c>
      <c r="K142" s="4" t="str">
        <f t="shared" si="56"/>
        <v>PLRSRALR</v>
      </c>
      <c r="L142" s="4" t="str">
        <f t="shared" si="57"/>
        <v>TPRNARAAVGLVWLLAALFSAPYLSYY</v>
      </c>
      <c r="M142" s="4" t="str">
        <f t="shared" si="58"/>
        <v>CVP</v>
      </c>
      <c r="N142" s="4" t="str">
        <f t="shared" si="59"/>
        <v>EDARRRALDVATFAAGYLLPVAVVSLAYGRTLRFLWAAVGPA</v>
      </c>
      <c r="O142" s="4" t="str">
        <f t="shared" si="60"/>
        <v>EARRRATGRAGRAMLAVAALYALCWGPHHALILCFWYG</v>
      </c>
      <c r="P142" s="4" t="str">
        <f t="shared" si="61"/>
        <v>SPATYACRLASHCLAYANSCLNPLVYALA</v>
      </c>
      <c r="Q142" s="4" t="str">
        <f t="shared" si="62"/>
        <v>SRHFRARFRRLWP</v>
      </c>
      <c r="R142" s="5">
        <f>VLOOKUP($A142,'SegEnds_NonXtal_Prot#'!$A:$AL,3,FALSE)</f>
        <v>15</v>
      </c>
      <c r="S142" s="5">
        <f>VLOOKUP($A142,'SegEnds_NonXtal_Prot#'!$A:$AL,6,FALSE)</f>
        <v>47</v>
      </c>
      <c r="T142" s="5">
        <f>VLOOKUP($A142,'SegEnds_NonXtal_Prot#'!$A:$AL,9,FALSE)</f>
        <v>51</v>
      </c>
      <c r="U142" s="5">
        <f>VLOOKUP($A142,'SegEnds_NonXtal_Prot#'!$A:$AL,12,FALSE)</f>
        <v>87</v>
      </c>
      <c r="V142" s="5">
        <f>VLOOKUP($A142,'SegEnds_NonXtal_Prot#'!$A:$AL,15,FALSE)</f>
        <v>91</v>
      </c>
      <c r="W142" s="5">
        <f>VLOOKUP($A142,'SegEnds_NonXtal_Prot#'!$A:$AL,18,FALSE)</f>
        <v>127</v>
      </c>
      <c r="X142" s="5">
        <f>VLOOKUP($A142,'SegEnds_NonXtal_Prot#'!$A:$AL,21,FALSE)</f>
        <v>135</v>
      </c>
      <c r="Y142" s="5">
        <f>VLOOKUP($A142,'SegEnds_NonXtal_Prot#'!$A:$AL,24,FALSE)</f>
        <v>172</v>
      </c>
      <c r="Z142" s="5">
        <f>VLOOKUP($A142,'SegEnds_NonXtal_Prot#'!$A:$AL,27,FALSE)</f>
        <v>177</v>
      </c>
      <c r="AA142" s="5">
        <f>VLOOKUP($A142,'SegEnds_NonXtal_Prot#'!$A:$AL,30,FALSE)</f>
        <v>224</v>
      </c>
      <c r="AB142" s="5">
        <f>VLOOKUP($A142,'SegEnds_NonXtal_Prot#'!$A:$AL,33,FALSE)</f>
        <v>266</v>
      </c>
      <c r="AC142" s="5">
        <f>VLOOKUP($A142,'SegEnds_NonXtal_Prot#'!$A:$AL,36,FALSE)</f>
        <v>295</v>
      </c>
      <c r="AD142" s="5">
        <f>VLOOKUP($A142,'SegEnds_NonXtal_Prot#'!$A:$AL,5,FALSE)</f>
        <v>45</v>
      </c>
      <c r="AE142" s="5">
        <f>VLOOKUP($A142,'SegEnds_NonXtal_Prot#'!$A:$AL,8,FALSE)</f>
        <v>50</v>
      </c>
      <c r="AF142" s="5">
        <f>VLOOKUP($A142,'SegEnds_NonXtal_Prot#'!$A:$AL,11,FALSE)</f>
        <v>84</v>
      </c>
      <c r="AG142" s="5">
        <f>VLOOKUP($A142,'SegEnds_NonXtal_Prot#'!$A:$AL,14,FALSE)</f>
        <v>90</v>
      </c>
      <c r="AH142" s="5">
        <f>VLOOKUP($A142,'SegEnds_NonXtal_Prot#'!$A:$AL,17,FALSE)</f>
        <v>126</v>
      </c>
      <c r="AI142" s="5">
        <f>VLOOKUP($A142,'SegEnds_NonXtal_Prot#'!$A:$AL,20,FALSE)</f>
        <v>134</v>
      </c>
      <c r="AJ142" s="5">
        <f>VLOOKUP($A142,'SegEnds_NonXtal_Prot#'!$A:$AL,23,FALSE)</f>
        <v>161</v>
      </c>
      <c r="AK142" s="5">
        <f>VLOOKUP($A142,'SegEnds_NonXtal_Prot#'!$A:$AL,26,FALSE)</f>
        <v>174</v>
      </c>
      <c r="AL142" s="5">
        <f>VLOOKUP($A142,'SegEnds_NonXtal_Prot#'!$A:$AL,29,FALSE)</f>
        <v>218</v>
      </c>
      <c r="AM142" s="5">
        <f>VLOOKUP($A142,'SegEnds_NonXtal_Prot#'!$A:$AL,32,FALSE)</f>
        <v>261</v>
      </c>
      <c r="AN142" s="5">
        <f>VLOOKUP($A142,'SegEnds_NonXtal_Prot#'!$A:$AL,35,FALSE)</f>
        <v>294</v>
      </c>
      <c r="AO142" s="5">
        <f>VLOOKUP($A142,'SegEnds_NonXtal_Prot#'!$A:$AL,38,FALSE)</f>
        <v>307</v>
      </c>
      <c r="AP142" s="5">
        <f t="shared" si="63"/>
        <v>30</v>
      </c>
      <c r="AQ142" s="4">
        <f t="shared" si="64"/>
        <v>3</v>
      </c>
      <c r="AR142" s="4">
        <f t="shared" si="65"/>
        <v>33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41</v>
      </c>
      <c r="AY142" s="4">
        <f t="shared" si="72"/>
        <v>37</v>
      </c>
      <c r="AZ142" s="4">
        <f t="shared" si="73"/>
        <v>28</v>
      </c>
      <c r="BA142" s="4">
        <f t="shared" si="74"/>
        <v>12</v>
      </c>
    </row>
    <row r="143" spans="1:53" x14ac:dyDescent="0.2">
      <c r="A143" s="1" t="str">
        <f>'SegEnds_NonXtal_Prot#'!A113</f>
        <v>gasr_human</v>
      </c>
      <c r="B143" s="1" t="str">
        <f t="shared" si="50"/>
        <v>ELAIRITLYAVIFLMSVGGNMLIIVVLGLSTVTNAFLLSLAVSDLLLAVACMPFTLLPNLMGTVICKAVSYLMGVSVSVSTLSLVAIALERYSAICRTRSHAARVIVATWLLSGLLMVPYPVYTARVRQTWSVLLLLLLFFIPGVVMAVAYGLISRELYLGLRFDGDSDQAKLLAKKRVVRMLLVIVVLFFLCWLPVYSANTWRAFDRALSGAPISFIHLLSYASACVNPLVYCFMHRRFRQACLETC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143" s="5" t="str">
        <f t="shared" si="51"/>
        <v>ELAIRITLYAVIFLMSVGGNMLIIVVLGLS</v>
      </c>
      <c r="G143" s="4" t="str">
        <f t="shared" si="52"/>
        <v>RRLR</v>
      </c>
      <c r="H143" s="4" t="str">
        <f t="shared" si="53"/>
        <v>TVTNAFLLSLAVSDLLLAVACMPFTLLPNLM</v>
      </c>
      <c r="I143" s="4" t="str">
        <f t="shared" si="54"/>
        <v>TFIF</v>
      </c>
      <c r="J143" s="4" t="str">
        <f t="shared" si="55"/>
        <v>GTVICKAVSYLMGVSVSVSTLSLVAIALERYSAICR</v>
      </c>
      <c r="K143" s="4" t="str">
        <f t="shared" si="56"/>
        <v>PLQARVWQ</v>
      </c>
      <c r="L143" s="4" t="str">
        <f t="shared" si="57"/>
        <v>TRSHAARVIVATWLLSGLLMVPYPVYT</v>
      </c>
      <c r="M143" s="4" t="str">
        <f t="shared" si="58"/>
        <v>CVH</v>
      </c>
      <c r="N143" s="4" t="str">
        <f t="shared" si="59"/>
        <v>ARVRQTWSVLLLLLLFFIPGVVMAVAYGLISRELYLGLRFDGDSD</v>
      </c>
      <c r="O143" s="4" t="str">
        <f t="shared" si="60"/>
        <v>QAKLLAKKRVVRMLLVIVVLFFLCWLPVYSANTWRAFD</v>
      </c>
      <c r="P143" s="4" t="str">
        <f t="shared" si="61"/>
        <v>RALSGAPISFIHLLSYASACVNPLVYCFM</v>
      </c>
      <c r="Q143" s="4" t="str">
        <f t="shared" si="62"/>
        <v>HRRFRQACLETC</v>
      </c>
      <c r="R143" s="5">
        <f>VLOOKUP($A143,'SegEnds_NonXtal_Prot#'!$A:$AL,3,FALSE)</f>
        <v>53</v>
      </c>
      <c r="S143" s="5">
        <f>VLOOKUP($A143,'SegEnds_NonXtal_Prot#'!$A:$AL,6,FALSE)</f>
        <v>83</v>
      </c>
      <c r="T143" s="5">
        <f>VLOOKUP($A143,'SegEnds_NonXtal_Prot#'!$A:$AL,9,FALSE)</f>
        <v>87</v>
      </c>
      <c r="U143" s="5">
        <f>VLOOKUP($A143,'SegEnds_NonXtal_Prot#'!$A:$AL,12,FALSE)</f>
        <v>119</v>
      </c>
      <c r="V143" s="5">
        <f>VLOOKUP($A143,'SegEnds_NonXtal_Prot#'!$A:$AL,15,FALSE)</f>
        <v>123</v>
      </c>
      <c r="W143" s="5">
        <f>VLOOKUP($A143,'SegEnds_NonXtal_Prot#'!$A:$AL,18,FALSE)</f>
        <v>159</v>
      </c>
      <c r="X143" s="5">
        <f>VLOOKUP($A143,'SegEnds_NonXtal_Prot#'!$A:$AL,21,FALSE)</f>
        <v>167</v>
      </c>
      <c r="Y143" s="5">
        <f>VLOOKUP($A143,'SegEnds_NonXtal_Prot#'!$A:$AL,24,FALSE)</f>
        <v>205</v>
      </c>
      <c r="Z143" s="5">
        <f>VLOOKUP($A143,'SegEnds_NonXtal_Prot#'!$A:$AL,27,FALSE)</f>
        <v>212</v>
      </c>
      <c r="AA143" s="5">
        <f>VLOOKUP($A143,'SegEnds_NonXtal_Prot#'!$A:$AL,30,FALSE)</f>
        <v>322</v>
      </c>
      <c r="AB143" s="5">
        <f>VLOOKUP($A143,'SegEnds_NonXtal_Prot#'!$A:$AL,33,FALSE)</f>
        <v>365</v>
      </c>
      <c r="AC143" s="5">
        <f>VLOOKUP($A143,'SegEnds_NonXtal_Prot#'!$A:$AL,36,FALSE)</f>
        <v>394</v>
      </c>
      <c r="AD143" s="5">
        <f>VLOOKUP($A143,'SegEnds_NonXtal_Prot#'!$A:$AL,5,FALSE)</f>
        <v>82</v>
      </c>
      <c r="AE143" s="5">
        <f>VLOOKUP($A143,'SegEnds_NonXtal_Prot#'!$A:$AL,8,FALSE)</f>
        <v>86</v>
      </c>
      <c r="AF143" s="5">
        <f>VLOOKUP($A143,'SegEnds_NonXtal_Prot#'!$A:$AL,11,FALSE)</f>
        <v>117</v>
      </c>
      <c r="AG143" s="5">
        <f>VLOOKUP($A143,'SegEnds_NonXtal_Prot#'!$A:$AL,14,FALSE)</f>
        <v>122</v>
      </c>
      <c r="AH143" s="5">
        <f>VLOOKUP($A143,'SegEnds_NonXtal_Prot#'!$A:$AL,17,FALSE)</f>
        <v>158</v>
      </c>
      <c r="AI143" s="5">
        <f>VLOOKUP($A143,'SegEnds_NonXtal_Prot#'!$A:$AL,20,FALSE)</f>
        <v>166</v>
      </c>
      <c r="AJ143" s="5">
        <f>VLOOKUP($A143,'SegEnds_NonXtal_Prot#'!$A:$AL,23,FALSE)</f>
        <v>193</v>
      </c>
      <c r="AK143" s="5">
        <f>VLOOKUP($A143,'SegEnds_NonXtal_Prot#'!$A:$AL,26,FALSE)</f>
        <v>207</v>
      </c>
      <c r="AL143" s="5">
        <f>VLOOKUP($A143,'SegEnds_NonXtal_Prot#'!$A:$AL,29,FALSE)</f>
        <v>256</v>
      </c>
      <c r="AM143" s="5">
        <f>VLOOKUP($A143,'SegEnds_NonXtal_Prot#'!$A:$AL,32,FALSE)</f>
        <v>359</v>
      </c>
      <c r="AN143" s="5">
        <f>VLOOKUP($A143,'SegEnds_NonXtal_Prot#'!$A:$AL,35,FALSE)</f>
        <v>393</v>
      </c>
      <c r="AO143" s="5">
        <f>VLOOKUP($A143,'SegEnds_NonXtal_Prot#'!$A:$AL,38,FALSE)</f>
        <v>405</v>
      </c>
      <c r="AP143" s="5">
        <f t="shared" si="63"/>
        <v>29</v>
      </c>
      <c r="AQ143" s="4">
        <f t="shared" si="64"/>
        <v>3</v>
      </c>
      <c r="AR143" s="4">
        <f t="shared" si="65"/>
        <v>30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26</v>
      </c>
      <c r="AW143" s="4">
        <f t="shared" si="70"/>
        <v>2</v>
      </c>
      <c r="AX143" s="4">
        <f t="shared" si="71"/>
        <v>44</v>
      </c>
      <c r="AY143" s="4">
        <f t="shared" si="72"/>
        <v>37</v>
      </c>
      <c r="AZ143" s="4">
        <f t="shared" si="73"/>
        <v>28</v>
      </c>
      <c r="BA143" s="4">
        <f t="shared" si="74"/>
        <v>11</v>
      </c>
    </row>
    <row r="144" spans="1:53" x14ac:dyDescent="0.2">
      <c r="A144" s="1" t="str">
        <f>'SegEnds_NonXtal_Prot#'!A114</f>
        <v>ghsr_human</v>
      </c>
      <c r="B144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4" s="5" t="str">
        <f t="shared" si="51"/>
        <v>APLLAGVTATCVALFVVGIAGNLLTMLVVSRF</v>
      </c>
      <c r="G144" s="4" t="str">
        <f t="shared" si="52"/>
        <v>RELR</v>
      </c>
      <c r="H144" s="4" t="str">
        <f t="shared" si="53"/>
        <v>TTTNLYLSSMAFSDLLIFLCMPLDLVRLWQY</v>
      </c>
      <c r="I144" s="4" t="str">
        <f t="shared" si="54"/>
        <v>PWNF</v>
      </c>
      <c r="J144" s="4" t="str">
        <f t="shared" si="55"/>
        <v>GDLLCKLFQFVSESCTYATVLTITALSVERYFAICF</v>
      </c>
      <c r="K144" s="4" t="str">
        <f t="shared" si="56"/>
        <v>PLRAKVVV</v>
      </c>
      <c r="L144" s="4" t="str">
        <f t="shared" si="57"/>
        <v>TKGRVKLVIFVIWAVAFCSAGPIFVLV</v>
      </c>
      <c r="M144" s="4" t="str">
        <f t="shared" si="58"/>
        <v>CRP</v>
      </c>
      <c r="N144" s="4" t="str">
        <f t="shared" si="59"/>
        <v>RSGLLTVMVWVSSIFFFLPVFCLTVLYSLIGRKLWRRRRGD</v>
      </c>
      <c r="O144" s="4" t="str">
        <f t="shared" si="60"/>
        <v>SLRDQNHKQTVKMLAVVVFAFILCWLPFHVGRYLFSKS</v>
      </c>
      <c r="P144" s="4" t="str">
        <f t="shared" si="61"/>
        <v>AQISQYCNLVSFVLFYLSAAINPILYNIM</v>
      </c>
      <c r="Q144" s="4" t="str">
        <f t="shared" si="62"/>
        <v>SKKYRVAVFRLL</v>
      </c>
      <c r="R144" s="5">
        <f>VLOOKUP($A144,'SegEnds_NonXtal_Prot#'!$A:$AL,3,FALSE)</f>
        <v>40</v>
      </c>
      <c r="S144" s="5">
        <f>VLOOKUP($A144,'SegEnds_NonXtal_Prot#'!$A:$AL,6,FALSE)</f>
        <v>72</v>
      </c>
      <c r="T144" s="5">
        <f>VLOOKUP($A144,'SegEnds_NonXtal_Prot#'!$A:$AL,9,FALSE)</f>
        <v>76</v>
      </c>
      <c r="U144" s="5">
        <f>VLOOKUP($A144,'SegEnds_NonXtal_Prot#'!$A:$AL,12,FALSE)</f>
        <v>108</v>
      </c>
      <c r="V144" s="5">
        <f>VLOOKUP($A144,'SegEnds_NonXtal_Prot#'!$A:$AL,15,FALSE)</f>
        <v>112</v>
      </c>
      <c r="W144" s="5">
        <f>VLOOKUP($A144,'SegEnds_NonXtal_Prot#'!$A:$AL,18,FALSE)</f>
        <v>148</v>
      </c>
      <c r="X144" s="5">
        <f>VLOOKUP($A144,'SegEnds_NonXtal_Prot#'!$A:$AL,21,FALSE)</f>
        <v>156</v>
      </c>
      <c r="Y144" s="5">
        <f>VLOOKUP($A144,'SegEnds_NonXtal_Prot#'!$A:$AL,24,FALSE)</f>
        <v>198</v>
      </c>
      <c r="Z144" s="5">
        <f>VLOOKUP($A144,'SegEnds_NonXtal_Prot#'!$A:$AL,27,FALSE)</f>
        <v>206</v>
      </c>
      <c r="AA144" s="5">
        <f>VLOOKUP($A144,'SegEnds_NonXtal_Prot#'!$A:$AL,30,FALSE)</f>
        <v>252</v>
      </c>
      <c r="AB144" s="5">
        <f>VLOOKUP($A144,'SegEnds_NonXtal_Prot#'!$A:$AL,33,FALSE)</f>
        <v>298</v>
      </c>
      <c r="AC144" s="5">
        <f>VLOOKUP($A144,'SegEnds_NonXtal_Prot#'!$A:$AL,36,FALSE)</f>
        <v>327</v>
      </c>
      <c r="AD144" s="5">
        <f>VLOOKUP($A144,'SegEnds_NonXtal_Prot#'!$A:$AL,5,FALSE)</f>
        <v>71</v>
      </c>
      <c r="AE144" s="5">
        <f>VLOOKUP($A144,'SegEnds_NonXtal_Prot#'!$A:$AL,8,FALSE)</f>
        <v>75</v>
      </c>
      <c r="AF144" s="5">
        <f>VLOOKUP($A144,'SegEnds_NonXtal_Prot#'!$A:$AL,11,FALSE)</f>
        <v>106</v>
      </c>
      <c r="AG144" s="5">
        <f>VLOOKUP($A144,'SegEnds_NonXtal_Prot#'!$A:$AL,14,FALSE)</f>
        <v>111</v>
      </c>
      <c r="AH144" s="5">
        <f>VLOOKUP($A144,'SegEnds_NonXtal_Prot#'!$A:$AL,17,FALSE)</f>
        <v>147</v>
      </c>
      <c r="AI144" s="5">
        <f>VLOOKUP($A144,'SegEnds_NonXtal_Prot#'!$A:$AL,20,FALSE)</f>
        <v>155</v>
      </c>
      <c r="AJ144" s="5">
        <f>VLOOKUP($A144,'SegEnds_NonXtal_Prot#'!$A:$AL,23,FALSE)</f>
        <v>182</v>
      </c>
      <c r="AK144" s="5">
        <f>VLOOKUP($A144,'SegEnds_NonXtal_Prot#'!$A:$AL,26,FALSE)</f>
        <v>200</v>
      </c>
      <c r="AL144" s="5">
        <f>VLOOKUP($A144,'SegEnds_NonXtal_Prot#'!$A:$AL,29,FALSE)</f>
        <v>246</v>
      </c>
      <c r="AM144" s="5">
        <f>VLOOKUP($A144,'SegEnds_NonXtal_Prot#'!$A:$AL,32,FALSE)</f>
        <v>289</v>
      </c>
      <c r="AN144" s="5">
        <f>VLOOKUP($A144,'SegEnds_NonXtal_Prot#'!$A:$AL,35,FALSE)</f>
        <v>326</v>
      </c>
      <c r="AO144" s="5">
        <f>VLOOKUP($A144,'SegEnds_NonXtal_Prot#'!$A:$AL,38,FALSE)</f>
        <v>338</v>
      </c>
      <c r="AP144" s="5">
        <f t="shared" si="63"/>
        <v>31</v>
      </c>
      <c r="AQ144" s="4">
        <f t="shared" si="64"/>
        <v>3</v>
      </c>
      <c r="AR144" s="4">
        <f t="shared" si="65"/>
        <v>30</v>
      </c>
      <c r="AS144" s="4">
        <f t="shared" si="66"/>
        <v>3</v>
      </c>
      <c r="AT144" s="4">
        <f t="shared" si="67"/>
        <v>35</v>
      </c>
      <c r="AU144" s="4">
        <f t="shared" si="68"/>
        <v>7</v>
      </c>
      <c r="AV144" s="4">
        <f t="shared" si="69"/>
        <v>26</v>
      </c>
      <c r="AW144" s="4">
        <f t="shared" si="70"/>
        <v>2</v>
      </c>
      <c r="AX144" s="4">
        <f t="shared" si="71"/>
        <v>40</v>
      </c>
      <c r="AY144" s="4">
        <f t="shared" si="72"/>
        <v>37</v>
      </c>
      <c r="AZ144" s="4">
        <f t="shared" si="73"/>
        <v>28</v>
      </c>
      <c r="BA144" s="4">
        <f t="shared" si="74"/>
        <v>11</v>
      </c>
    </row>
    <row r="145" spans="1:53" x14ac:dyDescent="0.2">
      <c r="A145" s="1" t="str">
        <f>'SegEnds_NonXtal_Prot#'!A115</f>
        <v>gp101_human</v>
      </c>
      <c r="B145" s="1" t="str">
        <f t="shared" si="50"/>
        <v>KMPISLAHGIIRSTVLVIFLAASFVGNIVLALVLQRKQVTNRFIFNLLVTDLLQISLVAPWVVATSVNSHFCTALVSLTHLFAFASVNTIVVVSVDRYLSIIHTQRRGYLLLYGTWIVAILQSTPPLYGWSPSYTILSVVSFIVIPLIVMIACYSVVFCAARRQHALLYNVPLPRCYQCKAAKVIFIIIFSYVLSLGPYCFLAVLAVWVPQWVITIIIWLFFLQCCIHPYVYGYMHKTIKKEIQDMLK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5" s="5" t="str">
        <f t="shared" si="51"/>
        <v>KMPISLAHGIIRSTVLVIFLAASFVGNIVLALVLQRK</v>
      </c>
      <c r="G145" s="4" t="str">
        <f t="shared" si="52"/>
        <v>PQLL</v>
      </c>
      <c r="H145" s="4" t="str">
        <f t="shared" si="53"/>
        <v>QVTNRFIFNLLVTDLLQISLVAPWVVATSV</v>
      </c>
      <c r="I145" s="4" t="str">
        <f t="shared" si="54"/>
        <v>FWPL</v>
      </c>
      <c r="J145" s="4" t="str">
        <f t="shared" si="55"/>
        <v>NSHFCTALVSLTHLFAFASVNTIVVVSVDRYLSIIH</v>
      </c>
      <c r="K145" s="4" t="str">
        <f t="shared" si="56"/>
        <v>PLSYPSKM</v>
      </c>
      <c r="L145" s="4" t="str">
        <f t="shared" si="57"/>
        <v>TQRRGYLLLYGTWIVAILQSTPPLYGW</v>
      </c>
      <c r="M145" s="4" t="str">
        <f t="shared" si="58"/>
        <v>CSM</v>
      </c>
      <c r="N145" s="4" t="str">
        <f t="shared" si="59"/>
        <v>SPSYTILSVVSFIVIPLIVMIACYSVVFCAARRQHALLYNV</v>
      </c>
      <c r="O145" s="4" t="str">
        <f t="shared" si="60"/>
        <v>PLPRCYQCKAAKVIFIIIFSYVLSLGPYCFLAVLAVWV</v>
      </c>
      <c r="P145" s="4" t="str">
        <f t="shared" si="61"/>
        <v>PQWVITIIIWLFFLQCCIHPYVYGYM</v>
      </c>
      <c r="Q145" s="4" t="str">
        <f t="shared" si="62"/>
        <v>HKTIKKEIQDMLK</v>
      </c>
      <c r="R145" s="5">
        <f>VLOOKUP($A145,'SegEnds_NonXtal_Prot#'!$A:$AL,3,FALSE)</f>
        <v>23</v>
      </c>
      <c r="S145" s="5">
        <f>VLOOKUP($A145,'SegEnds_NonXtal_Prot#'!$A:$AL,6,FALSE)</f>
        <v>60</v>
      </c>
      <c r="T145" s="5">
        <f>VLOOKUP($A145,'SegEnds_NonXtal_Prot#'!$A:$AL,9,FALSE)</f>
        <v>64</v>
      </c>
      <c r="U145" s="5">
        <f>VLOOKUP($A145,'SegEnds_NonXtal_Prot#'!$A:$AL,12,FALSE)</f>
        <v>96</v>
      </c>
      <c r="V145" s="5">
        <f>VLOOKUP($A145,'SegEnds_NonXtal_Prot#'!$A:$AL,15,FALSE)</f>
        <v>100</v>
      </c>
      <c r="W145" s="5">
        <f>VLOOKUP($A145,'SegEnds_NonXtal_Prot#'!$A:$AL,18,FALSE)</f>
        <v>136</v>
      </c>
      <c r="X145" s="5">
        <f>VLOOKUP($A145,'SegEnds_NonXtal_Prot#'!$A:$AL,21,FALSE)</f>
        <v>144</v>
      </c>
      <c r="Y145" s="5">
        <f>VLOOKUP($A145,'SegEnds_NonXtal_Prot#'!$A:$AL,24,FALSE)</f>
        <v>182</v>
      </c>
      <c r="Z145" s="5">
        <f>VLOOKUP($A145,'SegEnds_NonXtal_Prot#'!$A:$AL,27,FALSE)</f>
        <v>189</v>
      </c>
      <c r="AA145" s="5">
        <f>VLOOKUP($A145,'SegEnds_NonXtal_Prot#'!$A:$AL,30,FALSE)</f>
        <v>388</v>
      </c>
      <c r="AB145" s="5">
        <f>VLOOKUP($A145,'SegEnds_NonXtal_Prot#'!$A:$AL,33,FALSE)</f>
        <v>432</v>
      </c>
      <c r="AC145" s="5">
        <f>VLOOKUP($A145,'SegEnds_NonXtal_Prot#'!$A:$AL,36,FALSE)</f>
        <v>458</v>
      </c>
      <c r="AD145" s="5">
        <f>VLOOKUP($A145,'SegEnds_NonXtal_Prot#'!$A:$AL,5,FALSE)</f>
        <v>59</v>
      </c>
      <c r="AE145" s="5">
        <f>VLOOKUP($A145,'SegEnds_NonXtal_Prot#'!$A:$AL,8,FALSE)</f>
        <v>63</v>
      </c>
      <c r="AF145" s="5">
        <f>VLOOKUP($A145,'SegEnds_NonXtal_Prot#'!$A:$AL,11,FALSE)</f>
        <v>93</v>
      </c>
      <c r="AG145" s="5">
        <f>VLOOKUP($A145,'SegEnds_NonXtal_Prot#'!$A:$AL,14,FALSE)</f>
        <v>99</v>
      </c>
      <c r="AH145" s="5">
        <f>VLOOKUP($A145,'SegEnds_NonXtal_Prot#'!$A:$AL,17,FALSE)</f>
        <v>135</v>
      </c>
      <c r="AI145" s="5">
        <f>VLOOKUP($A145,'SegEnds_NonXtal_Prot#'!$A:$AL,20,FALSE)</f>
        <v>143</v>
      </c>
      <c r="AJ145" s="5">
        <f>VLOOKUP($A145,'SegEnds_NonXtal_Prot#'!$A:$AL,23,FALSE)</f>
        <v>170</v>
      </c>
      <c r="AK145" s="5">
        <f>VLOOKUP($A145,'SegEnds_NonXtal_Prot#'!$A:$AL,26,FALSE)</f>
        <v>184</v>
      </c>
      <c r="AL145" s="5">
        <f>VLOOKUP($A145,'SegEnds_NonXtal_Prot#'!$A:$AL,29,FALSE)</f>
        <v>229</v>
      </c>
      <c r="AM145" s="5">
        <f>VLOOKUP($A145,'SegEnds_NonXtal_Prot#'!$A:$AL,32,FALSE)</f>
        <v>425</v>
      </c>
      <c r="AN145" s="5">
        <f>VLOOKUP($A145,'SegEnds_NonXtal_Prot#'!$A:$AL,35,FALSE)</f>
        <v>457</v>
      </c>
      <c r="AO145" s="5">
        <f>VLOOKUP($A145,'SegEnds_NonXtal_Prot#'!$A:$AL,38,FALSE)</f>
        <v>470</v>
      </c>
      <c r="AP145" s="5">
        <f t="shared" si="63"/>
        <v>36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26</v>
      </c>
      <c r="AW145" s="4">
        <f t="shared" si="70"/>
        <v>2</v>
      </c>
      <c r="AX145" s="4">
        <f t="shared" si="71"/>
        <v>40</v>
      </c>
      <c r="AY145" s="4">
        <f t="shared" si="72"/>
        <v>37</v>
      </c>
      <c r="AZ145" s="4">
        <f t="shared" si="73"/>
        <v>25</v>
      </c>
      <c r="BA145" s="4">
        <f t="shared" si="74"/>
        <v>12</v>
      </c>
    </row>
    <row r="146" spans="1:53" x14ac:dyDescent="0.2">
      <c r="A146" s="1" t="str">
        <f>'SegEnds_NonXtal_Prot#'!A116</f>
        <v>gp119_human</v>
      </c>
      <c r="B146" s="1" t="str">
        <f t="shared" si="50"/>
        <v>SFSFGVILAVLASLIIATNTLVAVAVLLLGVSLCFTLNLAVADTLIGVAISGLLTDQLSRPTQKTLCSLRMAFVTSSAAASVLTVMLITFDRYLAIKQSGFVAGACIAGLWLVSYLIGFLPLGIPFHPHFVLTLSCVGFFPAMLLFVFFYCDMLKIASMHSQQIRGYRSPRTPSDFKALRTVSVLIGSFALSWTPFLITGIVQVACYLVLERYLWLLGVGNSLLNPLIYAYWQKEVRLQLYHMA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6" s="5" t="str">
        <f t="shared" si="51"/>
        <v>SFSFGVILAVLASLIIATNTLVAVAVLLL</v>
      </c>
      <c r="G146" s="4" t="str">
        <f t="shared" si="52"/>
        <v/>
      </c>
      <c r="H146" s="4" t="str">
        <f t="shared" si="53"/>
        <v>GVSLCFTLNLAVADTLIGVAISGLLTDQLS</v>
      </c>
      <c r="I146" s="4" t="str">
        <f t="shared" si="54"/>
        <v/>
      </c>
      <c r="J146" s="4" t="str">
        <f t="shared" si="55"/>
        <v>RPTQKTLCSLRMAFVTSSAAASVLTVMLITFDRYLAIKQ</v>
      </c>
      <c r="K146" s="4" t="str">
        <f t="shared" si="56"/>
        <v>PFRYLKIM</v>
      </c>
      <c r="L146" s="4" t="str">
        <f t="shared" si="57"/>
        <v>SGFVAGACIAGLWLVSYLIGFLPLGIP</v>
      </c>
      <c r="M146" s="4" t="str">
        <f t="shared" si="58"/>
        <v>CSF</v>
      </c>
      <c r="N146" s="4" t="str">
        <f t="shared" si="59"/>
        <v>FHPHFVLTLSCVGFFPAMLLFVFFYCDMLKIASMHSQQIR</v>
      </c>
      <c r="O146" s="4" t="str">
        <f t="shared" si="60"/>
        <v>GYRSPRTPSDFKALRTVSVLIGSFALSWTPFLITGIVQVAC</v>
      </c>
      <c r="P146" s="4" t="str">
        <f t="shared" si="61"/>
        <v>YLVLERYLWLLGVGNSLLNPLIYAYW</v>
      </c>
      <c r="Q146" s="4" t="str">
        <f t="shared" si="62"/>
        <v>QKEVRLQLYHMA</v>
      </c>
      <c r="R146" s="5">
        <f>VLOOKUP($A146,'SegEnds_NonXtal_Prot#'!$A:$AL,3,FALSE)</f>
        <v>4</v>
      </c>
      <c r="S146" s="5" t="str">
        <f>VLOOKUP($A146,'SegEnds_NonXtal_Prot#'!$A:$AL,6,FALSE)</f>
        <v>-</v>
      </c>
      <c r="T146" s="5">
        <f>VLOOKUP($A146,'SegEnds_NonXtal_Prot#'!$A:$AL,9,FALSE)</f>
        <v>38</v>
      </c>
      <c r="U146" s="5" t="str">
        <f>VLOOKUP($A146,'SegEnds_NonXtal_Prot#'!$A:$AL,12,FALSE)</f>
        <v>-</v>
      </c>
      <c r="V146" s="5">
        <f>VLOOKUP($A146,'SegEnds_NonXtal_Prot#'!$A:$AL,15,FALSE)</f>
        <v>71</v>
      </c>
      <c r="W146" s="5">
        <f>VLOOKUP($A146,'SegEnds_NonXtal_Prot#'!$A:$AL,18,FALSE)</f>
        <v>110</v>
      </c>
      <c r="X146" s="5">
        <f>VLOOKUP($A146,'SegEnds_NonXtal_Prot#'!$A:$AL,21,FALSE)</f>
        <v>118</v>
      </c>
      <c r="Y146" s="5">
        <f>VLOOKUP($A146,'SegEnds_NonXtal_Prot#'!$A:$AL,24,FALSE)</f>
        <v>155</v>
      </c>
      <c r="Z146" s="5">
        <f>VLOOKUP($A146,'SegEnds_NonXtal_Prot#'!$A:$AL,27,FALSE)</f>
        <v>161</v>
      </c>
      <c r="AA146" s="5">
        <f>VLOOKUP($A146,'SegEnds_NonXtal_Prot#'!$A:$AL,30,FALSE)</f>
        <v>211</v>
      </c>
      <c r="AB146" s="5">
        <f>VLOOKUP($A146,'SegEnds_NonXtal_Prot#'!$A:$AL,33,FALSE)</f>
        <v>257</v>
      </c>
      <c r="AC146" s="5">
        <f>VLOOKUP($A146,'SegEnds_NonXtal_Prot#'!$A:$AL,36,FALSE)</f>
        <v>283</v>
      </c>
      <c r="AD146" s="5">
        <f>VLOOKUP($A146,'SegEnds_NonXtal_Prot#'!$A:$AL,5,FALSE)</f>
        <v>32</v>
      </c>
      <c r="AE146" s="5" t="str">
        <f>VLOOKUP($A146,'SegEnds_NonXtal_Prot#'!$A:$AL,8,FALSE)</f>
        <v>-</v>
      </c>
      <c r="AF146" s="5">
        <f>VLOOKUP($A146,'SegEnds_NonXtal_Prot#'!$A:$AL,11,FALSE)</f>
        <v>67</v>
      </c>
      <c r="AG146" s="5" t="str">
        <f>VLOOKUP($A146,'SegEnds_NonXtal_Prot#'!$A:$AL,14,FALSE)</f>
        <v>-</v>
      </c>
      <c r="AH146" s="5">
        <f>VLOOKUP($A146,'SegEnds_NonXtal_Prot#'!$A:$AL,17,FALSE)</f>
        <v>109</v>
      </c>
      <c r="AI146" s="5">
        <f>VLOOKUP($A146,'SegEnds_NonXtal_Prot#'!$A:$AL,20,FALSE)</f>
        <v>117</v>
      </c>
      <c r="AJ146" s="5">
        <f>VLOOKUP($A146,'SegEnds_NonXtal_Prot#'!$A:$AL,23,FALSE)</f>
        <v>144</v>
      </c>
      <c r="AK146" s="5">
        <f>VLOOKUP($A146,'SegEnds_NonXtal_Prot#'!$A:$AL,26,FALSE)</f>
        <v>157</v>
      </c>
      <c r="AL146" s="5">
        <f>VLOOKUP($A146,'SegEnds_NonXtal_Prot#'!$A:$AL,29,FALSE)</f>
        <v>200</v>
      </c>
      <c r="AM146" s="5">
        <f>VLOOKUP($A146,'SegEnds_NonXtal_Prot#'!$A:$AL,32,FALSE)</f>
        <v>251</v>
      </c>
      <c r="AN146" s="5">
        <f>VLOOKUP($A146,'SegEnds_NonXtal_Prot#'!$A:$AL,35,FALSE)</f>
        <v>282</v>
      </c>
      <c r="AO146" s="5">
        <f>VLOOKUP($A146,'SegEnds_NonXtal_Prot#'!$A:$AL,38,FALSE)</f>
        <v>294</v>
      </c>
      <c r="AP146" s="5">
        <f t="shared" si="63"/>
        <v>28</v>
      </c>
      <c r="AQ146" s="4" t="str">
        <f t="shared" si="64"/>
        <v>-</v>
      </c>
      <c r="AR146" s="4">
        <f t="shared" si="65"/>
        <v>29</v>
      </c>
      <c r="AS146" s="4" t="str">
        <f t="shared" si="66"/>
        <v>-</v>
      </c>
      <c r="AT146" s="4">
        <f t="shared" si="67"/>
        <v>38</v>
      </c>
      <c r="AU146" s="4">
        <f t="shared" si="68"/>
        <v>7</v>
      </c>
      <c r="AV146" s="4">
        <f t="shared" si="69"/>
        <v>26</v>
      </c>
      <c r="AW146" s="4">
        <f t="shared" si="70"/>
        <v>2</v>
      </c>
      <c r="AX146" s="4">
        <f t="shared" si="71"/>
        <v>39</v>
      </c>
      <c r="AY146" s="4">
        <f t="shared" si="72"/>
        <v>40</v>
      </c>
      <c r="AZ146" s="4">
        <f t="shared" si="73"/>
        <v>25</v>
      </c>
      <c r="BA146" s="4">
        <f t="shared" si="74"/>
        <v>11</v>
      </c>
    </row>
    <row r="147" spans="1:53" x14ac:dyDescent="0.2">
      <c r="A147" s="1" t="str">
        <f>'SegEnds_NonXtal_Prot#'!A117</f>
        <v>gp141_human</v>
      </c>
      <c r="B147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7" s="5" t="str">
        <f t="shared" si="51"/>
        <v>PHLISLYFIVLIGGLVGVISILFLLVK</v>
      </c>
      <c r="G147" s="4" t="str">
        <f t="shared" si="52"/>
        <v>MNTR</v>
      </c>
      <c r="H147" s="4" t="str">
        <f t="shared" si="53"/>
        <v>SVTTMAVINLVVVHSVFLLTVPFRLTYLIK</v>
      </c>
      <c r="I147" s="4" t="str">
        <f t="shared" si="54"/>
        <v>TWMF</v>
      </c>
      <c r="J147" s="4" t="str">
        <f t="shared" si="55"/>
        <v>GLPFCKFVSAMLHIHMYLTFLFYVVILVTRYLIFFK</v>
      </c>
      <c r="K147" s="4" t="str">
        <f t="shared" si="56"/>
        <v>CKDKVEFY</v>
      </c>
      <c r="L147" s="4" t="str">
        <f t="shared" si="57"/>
        <v>RKLHAVAASAGMWTLVIVIVVPLVV</v>
      </c>
      <c r="M147" s="4" t="str">
        <f t="shared" si="58"/>
        <v>CFK</v>
      </c>
      <c r="N147" s="4" t="str">
        <f t="shared" si="59"/>
        <v>INYMIVIFVIAVAVILLVFQVFIIMLMVQKLRHS</v>
      </c>
      <c r="O147" s="4" t="str">
        <f t="shared" si="60"/>
        <v>HQEFWAQLKNLFFIGVILVCFLPYQFFRIYYLNV</v>
      </c>
      <c r="P147" s="4" t="str">
        <f t="shared" si="61"/>
        <v>CNSKVAFYNEIFLSVTAISCYDLLLFVFG</v>
      </c>
      <c r="Q147" s="4" t="str">
        <f t="shared" si="62"/>
        <v>SHWFKQKIIGLWN</v>
      </c>
      <c r="R147" s="5">
        <f>VLOOKUP($A147,'SegEnds_NonXtal_Prot#'!$A:$AL,3,FALSE)</f>
        <v>18</v>
      </c>
      <c r="S147" s="5">
        <f>VLOOKUP($A147,'SegEnds_NonXtal_Prot#'!$A:$AL,6,FALSE)</f>
        <v>45</v>
      </c>
      <c r="T147" s="5">
        <f>VLOOKUP($A147,'SegEnds_NonXtal_Prot#'!$A:$AL,9,FALSE)</f>
        <v>49</v>
      </c>
      <c r="U147" s="5">
        <f>VLOOKUP($A147,'SegEnds_NonXtal_Prot#'!$A:$AL,12,FALSE)</f>
        <v>80</v>
      </c>
      <c r="V147" s="5">
        <f>VLOOKUP($A147,'SegEnds_NonXtal_Prot#'!$A:$AL,15,FALSE)</f>
        <v>84</v>
      </c>
      <c r="W147" s="5">
        <f>VLOOKUP($A147,'SegEnds_NonXtal_Prot#'!$A:$AL,18,FALSE)</f>
        <v>120</v>
      </c>
      <c r="X147" s="5">
        <f>VLOOKUP($A147,'SegEnds_NonXtal_Prot#'!$A:$AL,21,FALSE)</f>
        <v>128</v>
      </c>
      <c r="Y147" s="5">
        <f>VLOOKUP($A147,'SegEnds_NonXtal_Prot#'!$A:$AL,24,FALSE)</f>
        <v>166</v>
      </c>
      <c r="Z147" s="5">
        <f>VLOOKUP($A147,'SegEnds_NonXtal_Prot#'!$A:$AL,27,FALSE)</f>
        <v>181</v>
      </c>
      <c r="AA147" s="5">
        <f>VLOOKUP($A147,'SegEnds_NonXtal_Prot#'!$A:$AL,30,FALSE)</f>
        <v>218</v>
      </c>
      <c r="AB147" s="5">
        <f>VLOOKUP($A147,'SegEnds_NonXtal_Prot#'!$A:$AL,33,FALSE)</f>
        <v>258</v>
      </c>
      <c r="AC147" s="5">
        <f>VLOOKUP($A147,'SegEnds_NonXtal_Prot#'!$A:$AL,36,FALSE)</f>
        <v>288</v>
      </c>
      <c r="AD147" s="5">
        <f>VLOOKUP($A147,'SegEnds_NonXtal_Prot#'!$A:$AL,5,FALSE)</f>
        <v>44</v>
      </c>
      <c r="AE147" s="5">
        <f>VLOOKUP($A147,'SegEnds_NonXtal_Prot#'!$A:$AL,8,FALSE)</f>
        <v>48</v>
      </c>
      <c r="AF147" s="5">
        <f>VLOOKUP($A147,'SegEnds_NonXtal_Prot#'!$A:$AL,11,FALSE)</f>
        <v>78</v>
      </c>
      <c r="AG147" s="5">
        <f>VLOOKUP($A147,'SegEnds_NonXtal_Prot#'!$A:$AL,14,FALSE)</f>
        <v>83</v>
      </c>
      <c r="AH147" s="5">
        <f>VLOOKUP($A147,'SegEnds_NonXtal_Prot#'!$A:$AL,17,FALSE)</f>
        <v>119</v>
      </c>
      <c r="AI147" s="5">
        <f>VLOOKUP($A147,'SegEnds_NonXtal_Prot#'!$A:$AL,20,FALSE)</f>
        <v>127</v>
      </c>
      <c r="AJ147" s="5">
        <f>VLOOKUP($A147,'SegEnds_NonXtal_Prot#'!$A:$AL,23,FALSE)</f>
        <v>152</v>
      </c>
      <c r="AK147" s="5">
        <f>VLOOKUP($A147,'SegEnds_NonXtal_Prot#'!$A:$AL,26,FALSE)</f>
        <v>168</v>
      </c>
      <c r="AL147" s="5">
        <f>VLOOKUP($A147,'SegEnds_NonXtal_Prot#'!$A:$AL,29,FALSE)</f>
        <v>214</v>
      </c>
      <c r="AM147" s="5">
        <f>VLOOKUP($A147,'SegEnds_NonXtal_Prot#'!$A:$AL,32,FALSE)</f>
        <v>251</v>
      </c>
      <c r="AN147" s="5">
        <f>VLOOKUP($A147,'SegEnds_NonXtal_Prot#'!$A:$AL,35,FALSE)</f>
        <v>286</v>
      </c>
      <c r="AO147" s="5">
        <f>VLOOKUP($A147,'SegEnds_NonXtal_Prot#'!$A:$AL,38,FALSE)</f>
        <v>300</v>
      </c>
      <c r="AP147" s="5">
        <f t="shared" si="63"/>
        <v>26</v>
      </c>
      <c r="AQ147" s="4">
        <f t="shared" si="64"/>
        <v>3</v>
      </c>
      <c r="AR147" s="4">
        <f t="shared" si="65"/>
        <v>29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24</v>
      </c>
      <c r="AW147" s="4">
        <f t="shared" si="70"/>
        <v>2</v>
      </c>
      <c r="AX147" s="4">
        <f t="shared" si="71"/>
        <v>33</v>
      </c>
      <c r="AY147" s="4">
        <f t="shared" si="72"/>
        <v>33</v>
      </c>
      <c r="AZ147" s="4">
        <f t="shared" si="73"/>
        <v>28</v>
      </c>
      <c r="BA147" s="4">
        <f t="shared" si="74"/>
        <v>12</v>
      </c>
    </row>
    <row r="148" spans="1:53" x14ac:dyDescent="0.2">
      <c r="A148" s="1" t="str">
        <f>'SegEnds_NonXtal_Prot#'!A118</f>
        <v>gp148_human</v>
      </c>
      <c r="B148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8" s="5" t="str">
        <f t="shared" si="51"/>
        <v>SSMLYWLFLPSSLLAAATLAVSPLLLVTILRN</v>
      </c>
      <c r="G148" s="4" t="str">
        <f t="shared" si="52"/>
        <v>QRLR</v>
      </c>
      <c r="H148" s="4" t="str">
        <f t="shared" si="53"/>
        <v>QEPHYLLPANILLSDLAYILLHMLISSSSLG</v>
      </c>
      <c r="I148" s="4" t="str">
        <f t="shared" si="54"/>
        <v>GWEL</v>
      </c>
      <c r="J148" s="4" t="str">
        <f t="shared" si="55"/>
        <v>GRMACGILTDAVFAACTSTILSFTAIVLHTYLAVIH</v>
      </c>
      <c r="K148" s="4" t="str">
        <f t="shared" si="56"/>
        <v>PLRYLSFM</v>
      </c>
      <c r="L148" s="4" t="str">
        <f t="shared" si="57"/>
        <v>SHGAAWKAVALIWLVACCFPTFLIWL</v>
      </c>
      <c r="M148" s="4" t="str">
        <f t="shared" si="58"/>
        <v/>
      </c>
      <c r="N148" s="4" t="str">
        <f t="shared" si="59"/>
        <v>EQGASYILPPSMGTQPGCGLLVIVTYTSILCVLFLCTALIAN</v>
      </c>
      <c r="O148" s="4" t="str">
        <f t="shared" si="60"/>
        <v>GQGYSRARGTLLIHSVLITLYVSTGVVFSLDMVLT</v>
      </c>
      <c r="P148" s="4" t="str">
        <f t="shared" si="61"/>
        <v>GTHTWLLAANSEVLMMLPRAML</v>
      </c>
      <c r="Q148" s="4" t="str">
        <f t="shared" si="62"/>
        <v>TYLYLLRYRQLL</v>
      </c>
      <c r="R148" s="5">
        <f>VLOOKUP($A148,'SegEnds_NonXtal_Prot#'!$A:$AL,3,FALSE)</f>
        <v>46</v>
      </c>
      <c r="S148" s="5">
        <f>VLOOKUP($A148,'SegEnds_NonXtal_Prot#'!$A:$AL,6,FALSE)</f>
        <v>78</v>
      </c>
      <c r="T148" s="5">
        <f>VLOOKUP($A148,'SegEnds_NonXtal_Prot#'!$A:$AL,9,FALSE)</f>
        <v>82</v>
      </c>
      <c r="U148" s="5">
        <f>VLOOKUP($A148,'SegEnds_NonXtal_Prot#'!$A:$AL,12,FALSE)</f>
        <v>113</v>
      </c>
      <c r="V148" s="5">
        <f>VLOOKUP($A148,'SegEnds_NonXtal_Prot#'!$A:$AL,15,FALSE)</f>
        <v>117</v>
      </c>
      <c r="W148" s="5">
        <f>VLOOKUP($A148,'SegEnds_NonXtal_Prot#'!$A:$AL,18,FALSE)</f>
        <v>153</v>
      </c>
      <c r="X148" s="5">
        <f>VLOOKUP($A148,'SegEnds_NonXtal_Prot#'!$A:$AL,21,FALSE)</f>
        <v>161</v>
      </c>
      <c r="Y148" s="5" t="str">
        <f>VLOOKUP($A148,'SegEnds_NonXtal_Prot#'!$A:$AL,24,FALSE)</f>
        <v>-</v>
      </c>
      <c r="Z148" s="5">
        <f>VLOOKUP($A148,'SegEnds_NonXtal_Prot#'!$A:$AL,27,FALSE)</f>
        <v>196</v>
      </c>
      <c r="AA148" s="5">
        <f>VLOOKUP($A148,'SegEnds_NonXtal_Prot#'!$A:$AL,30,FALSE)</f>
        <v>253</v>
      </c>
      <c r="AB148" s="5">
        <f>VLOOKUP($A148,'SegEnds_NonXtal_Prot#'!$A:$AL,33,FALSE)</f>
        <v>295</v>
      </c>
      <c r="AC148" s="5">
        <f>VLOOKUP($A148,'SegEnds_NonXtal_Prot#'!$A:$AL,36,FALSE)</f>
        <v>317</v>
      </c>
      <c r="AD148" s="5">
        <f>VLOOKUP($A148,'SegEnds_NonXtal_Prot#'!$A:$AL,5,FALSE)</f>
        <v>77</v>
      </c>
      <c r="AE148" s="5">
        <f>VLOOKUP($A148,'SegEnds_NonXtal_Prot#'!$A:$AL,8,FALSE)</f>
        <v>81</v>
      </c>
      <c r="AF148" s="5">
        <f>VLOOKUP($A148,'SegEnds_NonXtal_Prot#'!$A:$AL,11,FALSE)</f>
        <v>112</v>
      </c>
      <c r="AG148" s="5">
        <f>VLOOKUP($A148,'SegEnds_NonXtal_Prot#'!$A:$AL,14,FALSE)</f>
        <v>116</v>
      </c>
      <c r="AH148" s="5">
        <f>VLOOKUP($A148,'SegEnds_NonXtal_Prot#'!$A:$AL,17,FALSE)</f>
        <v>152</v>
      </c>
      <c r="AI148" s="5">
        <f>VLOOKUP($A148,'SegEnds_NonXtal_Prot#'!$A:$AL,20,FALSE)</f>
        <v>160</v>
      </c>
      <c r="AJ148" s="5">
        <f>VLOOKUP($A148,'SegEnds_NonXtal_Prot#'!$A:$AL,23,FALSE)</f>
        <v>186</v>
      </c>
      <c r="AK148" s="5" t="str">
        <f>VLOOKUP($A148,'SegEnds_NonXtal_Prot#'!$A:$AL,26,FALSE)</f>
        <v>-</v>
      </c>
      <c r="AL148" s="5">
        <f>VLOOKUP($A148,'SegEnds_NonXtal_Prot#'!$A:$AL,29,FALSE)</f>
        <v>237</v>
      </c>
      <c r="AM148" s="5">
        <f>VLOOKUP($A148,'SegEnds_NonXtal_Prot#'!$A:$AL,32,FALSE)</f>
        <v>287</v>
      </c>
      <c r="AN148" s="5">
        <f>VLOOKUP($A148,'SegEnds_NonXtal_Prot#'!$A:$AL,35,FALSE)</f>
        <v>316</v>
      </c>
      <c r="AO148" s="5">
        <f>VLOOKUP($A148,'SegEnds_NonXtal_Prot#'!$A:$AL,38,FALSE)</f>
        <v>328</v>
      </c>
      <c r="AP148" s="5">
        <f t="shared" si="63"/>
        <v>31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 t="str">
        <f t="shared" si="70"/>
        <v>-</v>
      </c>
      <c r="AX148" s="4">
        <f t="shared" si="71"/>
        <v>41</v>
      </c>
      <c r="AY148" s="4">
        <f t="shared" si="72"/>
        <v>34</v>
      </c>
      <c r="AZ148" s="4">
        <f t="shared" si="73"/>
        <v>21</v>
      </c>
      <c r="BA148" s="4">
        <f t="shared" si="74"/>
        <v>11</v>
      </c>
    </row>
    <row r="149" spans="1:53" x14ac:dyDescent="0.2">
      <c r="A149" s="1" t="str">
        <f>'SegEnds_NonXtal_Prot#'!A119</f>
        <v>gp152_human</v>
      </c>
      <c r="B149" s="1" t="str">
        <f t="shared" si="50"/>
        <v>YPQGGWDTVFLVALLLLGLPANGLMAWLAGSQTRLALLLLSLALSDFLFLAAAAFQILEIRHGGTAACRFYYFLWGVSYSSGLFLLAALSLDRCLLALCPVRLPLWVCAGVWVLATLFSVPWLVFPEELSLRMLEVLGGFLPFLLLLVCHVLTQATACRTQQQPAACRGFARVARTILSAYVVLRLPYQLAQLLYLAFGYLLWEALVYSDYLILLNSCLSPFLCLMASADLRTLLRSVL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9" s="5" t="str">
        <f t="shared" si="51"/>
        <v>YPQGGWDTVFLVALLLLGLPANGLMAWLAGSQ</v>
      </c>
      <c r="G149" s="4" t="str">
        <f t="shared" si="52"/>
        <v/>
      </c>
      <c r="H149" s="4" t="str">
        <f t="shared" si="53"/>
        <v>TRLALLLLSLALSDFLFLAAAAFQILEIRHG</v>
      </c>
      <c r="I149" s="4" t="str">
        <f t="shared" si="54"/>
        <v>HWPL</v>
      </c>
      <c r="J149" s="4" t="str">
        <f t="shared" si="55"/>
        <v>GTAACRFYYFLWGVSYSSGLFLLAALSLDRCLLALC</v>
      </c>
      <c r="K149" s="4" t="str">
        <f t="shared" si="56"/>
        <v>PHWYPGHR</v>
      </c>
      <c r="L149" s="4" t="str">
        <f t="shared" si="57"/>
        <v>PVRLPLWVCAGVWVLATLFSVPWLVFP</v>
      </c>
      <c r="M149" s="4" t="str">
        <f t="shared" si="58"/>
        <v>CLD</v>
      </c>
      <c r="N149" s="4" t="str">
        <f t="shared" si="59"/>
        <v>EELSLRMLEVLGGFLPFLLLLVCHVLTQATACRT</v>
      </c>
      <c r="O149" s="4" t="str">
        <f t="shared" si="60"/>
        <v>QQQPAACRGFARVARTILSAYVVLRLPYQLAQLLYLAF</v>
      </c>
      <c r="P149" s="4" t="str">
        <f t="shared" si="61"/>
        <v>GYLLWEALVYSDYLILLNSCLSPFLCLMA</v>
      </c>
      <c r="Q149" s="4" t="str">
        <f t="shared" si="62"/>
        <v>SADLRTLLRSVL</v>
      </c>
      <c r="R149" s="5">
        <f>VLOOKUP($A149,'SegEnds_NonXtal_Prot#'!$A:$AL,3,FALSE)</f>
        <v>26</v>
      </c>
      <c r="S149" s="5" t="str">
        <f>VLOOKUP($A149,'SegEnds_NonXtal_Prot#'!$A:$AL,6,FALSE)</f>
        <v>-</v>
      </c>
      <c r="T149" s="5">
        <f>VLOOKUP($A149,'SegEnds_NonXtal_Prot#'!$A:$AL,9,FALSE)</f>
        <v>64</v>
      </c>
      <c r="U149" s="5">
        <f>VLOOKUP($A149,'SegEnds_NonXtal_Prot#'!$A:$AL,12,FALSE)</f>
        <v>96</v>
      </c>
      <c r="V149" s="5">
        <f>VLOOKUP($A149,'SegEnds_NonXtal_Prot#'!$A:$AL,15,FALSE)</f>
        <v>100</v>
      </c>
      <c r="W149" s="5">
        <f>VLOOKUP($A149,'SegEnds_NonXtal_Prot#'!$A:$AL,18,FALSE)</f>
        <v>136</v>
      </c>
      <c r="X149" s="5">
        <f>VLOOKUP($A149,'SegEnds_NonXtal_Prot#'!$A:$AL,21,FALSE)</f>
        <v>144</v>
      </c>
      <c r="Y149" s="5">
        <f>VLOOKUP($A149,'SegEnds_NonXtal_Prot#'!$A:$AL,24,FALSE)</f>
        <v>182</v>
      </c>
      <c r="Z149" s="5">
        <f>VLOOKUP($A149,'SegEnds_NonXtal_Prot#'!$A:$AL,27,FALSE)</f>
        <v>189</v>
      </c>
      <c r="AA149" s="5">
        <f>VLOOKUP($A149,'SegEnds_NonXtal_Prot#'!$A:$AL,30,FALSE)</f>
        <v>226</v>
      </c>
      <c r="AB149" s="5">
        <f>VLOOKUP($A149,'SegEnds_NonXtal_Prot#'!$A:$AL,33,FALSE)</f>
        <v>270</v>
      </c>
      <c r="AC149" s="5">
        <f>VLOOKUP($A149,'SegEnds_NonXtal_Prot#'!$A:$AL,36,FALSE)</f>
        <v>299</v>
      </c>
      <c r="AD149" s="5">
        <f>VLOOKUP($A149,'SegEnds_NonXtal_Prot#'!$A:$AL,5,FALSE)</f>
        <v>57</v>
      </c>
      <c r="AE149" s="5" t="str">
        <f>VLOOKUP($A149,'SegEnds_NonXtal_Prot#'!$A:$AL,8,FALSE)</f>
        <v>-</v>
      </c>
      <c r="AF149" s="5">
        <f>VLOOKUP($A149,'SegEnds_NonXtal_Prot#'!$A:$AL,11,FALSE)</f>
        <v>94</v>
      </c>
      <c r="AG149" s="5">
        <f>VLOOKUP($A149,'SegEnds_NonXtal_Prot#'!$A:$AL,14,FALSE)</f>
        <v>99</v>
      </c>
      <c r="AH149" s="5">
        <f>VLOOKUP($A149,'SegEnds_NonXtal_Prot#'!$A:$AL,17,FALSE)</f>
        <v>135</v>
      </c>
      <c r="AI149" s="5">
        <f>VLOOKUP($A149,'SegEnds_NonXtal_Prot#'!$A:$AL,20,FALSE)</f>
        <v>143</v>
      </c>
      <c r="AJ149" s="5">
        <f>VLOOKUP($A149,'SegEnds_NonXtal_Prot#'!$A:$AL,23,FALSE)</f>
        <v>170</v>
      </c>
      <c r="AK149" s="5">
        <f>VLOOKUP($A149,'SegEnds_NonXtal_Prot#'!$A:$AL,26,FALSE)</f>
        <v>184</v>
      </c>
      <c r="AL149" s="5">
        <f>VLOOKUP($A149,'SegEnds_NonXtal_Prot#'!$A:$AL,29,FALSE)</f>
        <v>222</v>
      </c>
      <c r="AM149" s="5">
        <f>VLOOKUP($A149,'SegEnds_NonXtal_Prot#'!$A:$AL,32,FALSE)</f>
        <v>263</v>
      </c>
      <c r="AN149" s="5">
        <f>VLOOKUP($A149,'SegEnds_NonXtal_Prot#'!$A:$AL,35,FALSE)</f>
        <v>298</v>
      </c>
      <c r="AO149" s="5">
        <f>VLOOKUP($A149,'SegEnds_NonXtal_Prot#'!$A:$AL,38,FALSE)</f>
        <v>310</v>
      </c>
      <c r="AP149" s="5">
        <f t="shared" si="63"/>
        <v>31</v>
      </c>
      <c r="AQ149" s="4" t="str">
        <f t="shared" si="64"/>
        <v>-</v>
      </c>
      <c r="AR149" s="4">
        <f t="shared" si="65"/>
        <v>30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26</v>
      </c>
      <c r="AW149" s="4">
        <f t="shared" si="70"/>
        <v>2</v>
      </c>
      <c r="AX149" s="4">
        <f t="shared" si="71"/>
        <v>33</v>
      </c>
      <c r="AY149" s="4">
        <f t="shared" si="72"/>
        <v>37</v>
      </c>
      <c r="AZ149" s="4">
        <f t="shared" si="73"/>
        <v>28</v>
      </c>
      <c r="BA149" s="4">
        <f t="shared" si="74"/>
        <v>11</v>
      </c>
    </row>
    <row r="150" spans="1:53" x14ac:dyDescent="0.2">
      <c r="A150" s="1" t="str">
        <f>'SegEnds_NonXtal_Prot#'!A120</f>
        <v>gp153_human</v>
      </c>
      <c r="B150" s="1" t="str">
        <f t="shared" si="50"/>
        <v>RLPGSAVGWLVCGGLSLLANAWGILSVGAKKPLEFLLCTLAATHMLNVAVPIATYSVVQLNEGLCKVFVSTFYTLTLATCFSVTSLSYHRMWMVCWAKKQAVHTVMGIWMVSFILSALPAVGGLGFGVCFLLLVGGSVAMGVICTAIALFQTLAVQVGRQADRREPAKTSLQTTGLVTTIVFIYDCLMGFPVLVVSFSSLRAPWMALCVLWCSVAQALLLPVFLWACDRYRADLKAVR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50" s="5" t="str">
        <f t="shared" si="51"/>
        <v>RLPGSAVGWLVCGGLSLLANAWGILSVGAK</v>
      </c>
      <c r="G150" s="4" t="str">
        <f t="shared" si="52"/>
        <v>QKKW</v>
      </c>
      <c r="H150" s="4" t="str">
        <f t="shared" si="53"/>
        <v>KPLEFLLCTLAATHMLNVAVPIATYSVVQL</v>
      </c>
      <c r="I150" s="4" t="str">
        <f t="shared" si="54"/>
        <v>DFEW</v>
      </c>
      <c r="J150" s="4" t="str">
        <f t="shared" si="55"/>
        <v>NEGLCKVFVSTFYTLTLATCFSVTSLSYHRMWMVCW</v>
      </c>
      <c r="K150" s="4" t="str">
        <f t="shared" si="56"/>
        <v>PVNYRLSN</v>
      </c>
      <c r="L150" s="4" t="str">
        <f t="shared" si="57"/>
        <v>AKKQAVHTVMGIWMVSFILSALPAVG</v>
      </c>
      <c r="M150" s="4" t="str">
        <f t="shared" si="58"/>
        <v>CRF</v>
      </c>
      <c r="N150" s="4" t="str">
        <f t="shared" si="59"/>
        <v>GLGFGVCFLLLVGGSVAMGVICTAIALFQTLAVQVGRQADRR</v>
      </c>
      <c r="O150" s="4" t="str">
        <f t="shared" si="60"/>
        <v>EPAKTSLQTTGLVTTIVFIYDCLMGFPVLVVSFSSLRA</v>
      </c>
      <c r="P150" s="4" t="str">
        <f t="shared" si="61"/>
        <v>PWMALCVLWCSVAQALLLPVFLWA</v>
      </c>
      <c r="Q150" s="4" t="str">
        <f t="shared" si="62"/>
        <v>CDRYRADLKAVR</v>
      </c>
      <c r="R150" s="5">
        <f>VLOOKUP($A150,'SegEnds_NonXtal_Prot#'!$A:$AL,3,FALSE)</f>
        <v>6</v>
      </c>
      <c r="S150" s="5">
        <f>VLOOKUP($A150,'SegEnds_NonXtal_Prot#'!$A:$AL,6,FALSE)</f>
        <v>36</v>
      </c>
      <c r="T150" s="5">
        <f>VLOOKUP($A150,'SegEnds_NonXtal_Prot#'!$A:$AL,9,FALSE)</f>
        <v>40</v>
      </c>
      <c r="U150" s="5">
        <f>VLOOKUP($A150,'SegEnds_NonXtal_Prot#'!$A:$AL,12,FALSE)</f>
        <v>75</v>
      </c>
      <c r="V150" s="5">
        <f>VLOOKUP($A150,'SegEnds_NonXtal_Prot#'!$A:$AL,15,FALSE)</f>
        <v>79</v>
      </c>
      <c r="W150" s="5">
        <f>VLOOKUP($A150,'SegEnds_NonXtal_Prot#'!$A:$AL,18,FALSE)</f>
        <v>115</v>
      </c>
      <c r="X150" s="5">
        <f>VLOOKUP($A150,'SegEnds_NonXtal_Prot#'!$A:$AL,21,FALSE)</f>
        <v>123</v>
      </c>
      <c r="Y150" s="5">
        <f>VLOOKUP($A150,'SegEnds_NonXtal_Prot#'!$A:$AL,24,FALSE)</f>
        <v>161</v>
      </c>
      <c r="Z150" s="5">
        <f>VLOOKUP($A150,'SegEnds_NonXtal_Prot#'!$A:$AL,27,FALSE)</f>
        <v>169</v>
      </c>
      <c r="AA150" s="5">
        <f>VLOOKUP($A150,'SegEnds_NonXtal_Prot#'!$A:$AL,30,FALSE)</f>
        <v>234</v>
      </c>
      <c r="AB150" s="5">
        <f>VLOOKUP($A150,'SegEnds_NonXtal_Prot#'!$A:$AL,33,FALSE)</f>
        <v>276</v>
      </c>
      <c r="AC150" s="5">
        <f>VLOOKUP($A150,'SegEnds_NonXtal_Prot#'!$A:$AL,36,FALSE)</f>
        <v>300</v>
      </c>
      <c r="AD150" s="5">
        <f>VLOOKUP($A150,'SegEnds_NonXtal_Prot#'!$A:$AL,5,FALSE)</f>
        <v>35</v>
      </c>
      <c r="AE150" s="5">
        <f>VLOOKUP($A150,'SegEnds_NonXtal_Prot#'!$A:$AL,8,FALSE)</f>
        <v>39</v>
      </c>
      <c r="AF150" s="5">
        <f>VLOOKUP($A150,'SegEnds_NonXtal_Prot#'!$A:$AL,11,FALSE)</f>
        <v>69</v>
      </c>
      <c r="AG150" s="5">
        <f>VLOOKUP($A150,'SegEnds_NonXtal_Prot#'!$A:$AL,14,FALSE)</f>
        <v>78</v>
      </c>
      <c r="AH150" s="5">
        <f>VLOOKUP($A150,'SegEnds_NonXtal_Prot#'!$A:$AL,17,FALSE)</f>
        <v>114</v>
      </c>
      <c r="AI150" s="5">
        <f>VLOOKUP($A150,'SegEnds_NonXtal_Prot#'!$A:$AL,20,FALSE)</f>
        <v>122</v>
      </c>
      <c r="AJ150" s="5">
        <f>VLOOKUP($A150,'SegEnds_NonXtal_Prot#'!$A:$AL,23,FALSE)</f>
        <v>148</v>
      </c>
      <c r="AK150" s="5">
        <f>VLOOKUP($A150,'SegEnds_NonXtal_Prot#'!$A:$AL,26,FALSE)</f>
        <v>163</v>
      </c>
      <c r="AL150" s="5">
        <f>VLOOKUP($A150,'SegEnds_NonXtal_Prot#'!$A:$AL,29,FALSE)</f>
        <v>210</v>
      </c>
      <c r="AM150" s="5">
        <f>VLOOKUP($A150,'SegEnds_NonXtal_Prot#'!$A:$AL,32,FALSE)</f>
        <v>271</v>
      </c>
      <c r="AN150" s="5">
        <f>VLOOKUP($A150,'SegEnds_NonXtal_Prot#'!$A:$AL,35,FALSE)</f>
        <v>299</v>
      </c>
      <c r="AO150" s="5">
        <f>VLOOKUP($A150,'SegEnds_NonXtal_Prot#'!$A:$AL,38,FALSE)</f>
        <v>311</v>
      </c>
      <c r="AP150" s="5">
        <f t="shared" si="63"/>
        <v>29</v>
      </c>
      <c r="AQ150" s="4">
        <f t="shared" si="64"/>
        <v>3</v>
      </c>
      <c r="AR150" s="4">
        <f t="shared" si="65"/>
        <v>29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25</v>
      </c>
      <c r="AW150" s="4">
        <f t="shared" si="70"/>
        <v>2</v>
      </c>
      <c r="AX150" s="4">
        <f t="shared" si="71"/>
        <v>41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'SegEnds_NonXtal_Prot#'!A124</f>
        <v>gp173_human</v>
      </c>
      <c r="B151" s="1" t="str">
        <f t="shared" si="50"/>
        <v>AYVKLVLLGLIMCVSLAGNAILSLLVLKEKAPYYFLLDLCLADGIRSAVCFPFVLASVRHSALSCKIVAFMAVLFCFHAAFMLFCISVTRYMAIAHTLWTCAAVICMAWTLSVAMAFPPVFDVVQMVPAISQNWTFHGPGATGQAAANWIAGFGRGPMPPTLLLLGMDEVKGEKQLGRMFYAITLLFLLLWSPYIVACYWRVFVPHRYLATAVWMSFAQAAVNPIVCFLLNKDLKKCLRTHA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51" s="5" t="str">
        <f t="shared" si="51"/>
        <v>AYVKLVLLGLIMCVSLAGNAILSLLVLKE</v>
      </c>
      <c r="G151" s="4" t="str">
        <f t="shared" si="52"/>
        <v>RALH</v>
      </c>
      <c r="H151" s="4" t="str">
        <f t="shared" si="53"/>
        <v>KAPYYFLLDLCLADGIRSAVCFPFVLASVRH</v>
      </c>
      <c r="I151" s="4" t="str">
        <f t="shared" si="54"/>
        <v>SWTF</v>
      </c>
      <c r="J151" s="4" t="str">
        <f t="shared" si="55"/>
        <v>SALSCKIVAFMAVLFCFHAAFMLFCISVTRYMAIAH</v>
      </c>
      <c r="K151" s="4" t="str">
        <f t="shared" si="56"/>
        <v>HRFYAKRM</v>
      </c>
      <c r="L151" s="4" t="str">
        <f t="shared" si="57"/>
        <v>TLWTCAAVICMAWTLSVAMAFPPVFDV</v>
      </c>
      <c r="M151" s="4" t="str">
        <f t="shared" si="58"/>
        <v>CIF</v>
      </c>
      <c r="N151" s="4" t="str">
        <f t="shared" si="59"/>
        <v>VQMVPAISQNWTFHGPGATGQAAANWIAGFGRGPMPPTLL</v>
      </c>
      <c r="O151" s="4" t="str">
        <f t="shared" si="60"/>
        <v>LLGMDEVKGEKQLGRMFYAITLLFLLLWSPYIVACYWRVFV</v>
      </c>
      <c r="P151" s="4" t="str">
        <f t="shared" si="61"/>
        <v>PHRYLATAVWMSFAQAAVNPIVCFLL</v>
      </c>
      <c r="Q151" s="4" t="str">
        <f t="shared" si="62"/>
        <v>NKDLKKCLRTHA</v>
      </c>
      <c r="R151" s="5">
        <f>VLOOKUP($A151,'SegEnds_NonXtal_Prot#'!$A:$AL,3,FALSE)</f>
        <v>22</v>
      </c>
      <c r="S151" s="5">
        <f>VLOOKUP($A151,'SegEnds_NonXtal_Prot#'!$A:$AL,6,FALSE)</f>
        <v>51</v>
      </c>
      <c r="T151" s="5">
        <f>VLOOKUP($A151,'SegEnds_NonXtal_Prot#'!$A:$AL,9,FALSE)</f>
        <v>55</v>
      </c>
      <c r="U151" s="5">
        <f>VLOOKUP($A151,'SegEnds_NonXtal_Prot#'!$A:$AL,12,FALSE)</f>
        <v>88</v>
      </c>
      <c r="V151" s="5">
        <f>VLOOKUP($A151,'SegEnds_NonXtal_Prot#'!$A:$AL,15,FALSE)</f>
        <v>92</v>
      </c>
      <c r="W151" s="5">
        <f>VLOOKUP($A151,'SegEnds_NonXtal_Prot#'!$A:$AL,18,FALSE)</f>
        <v>128</v>
      </c>
      <c r="X151" s="5">
        <f>VLOOKUP($A151,'SegEnds_NonXtal_Prot#'!$A:$AL,21,FALSE)</f>
        <v>136</v>
      </c>
      <c r="Y151" s="5">
        <f>VLOOKUP($A151,'SegEnds_NonXtal_Prot#'!$A:$AL,24,FALSE)</f>
        <v>174</v>
      </c>
      <c r="Z151" s="5">
        <f>VLOOKUP($A151,'SegEnds_NonXtal_Prot#'!$A:$AL,27,FALSE)</f>
        <v>220</v>
      </c>
      <c r="AA151" s="5">
        <f>VLOOKUP($A151,'SegEnds_NonXtal_Prot#'!$A:$AL,30,FALSE)</f>
        <v>272</v>
      </c>
      <c r="AB151" s="5">
        <f>VLOOKUP($A151,'SegEnds_NonXtal_Prot#'!$A:$AL,33,FALSE)</f>
        <v>318</v>
      </c>
      <c r="AC151" s="5">
        <f>VLOOKUP($A151,'SegEnds_NonXtal_Prot#'!$A:$AL,36,FALSE)</f>
        <v>344</v>
      </c>
      <c r="AD151" s="5">
        <f>VLOOKUP($A151,'SegEnds_NonXtal_Prot#'!$A:$AL,5,FALSE)</f>
        <v>50</v>
      </c>
      <c r="AE151" s="5">
        <f>VLOOKUP($A151,'SegEnds_NonXtal_Prot#'!$A:$AL,8,FALSE)</f>
        <v>54</v>
      </c>
      <c r="AF151" s="5">
        <f>VLOOKUP($A151,'SegEnds_NonXtal_Prot#'!$A:$AL,11,FALSE)</f>
        <v>85</v>
      </c>
      <c r="AG151" s="5">
        <f>VLOOKUP($A151,'SegEnds_NonXtal_Prot#'!$A:$AL,14,FALSE)</f>
        <v>91</v>
      </c>
      <c r="AH151" s="5">
        <f>VLOOKUP($A151,'SegEnds_NonXtal_Prot#'!$A:$AL,17,FALSE)</f>
        <v>127</v>
      </c>
      <c r="AI151" s="5">
        <f>VLOOKUP($A151,'SegEnds_NonXtal_Prot#'!$A:$AL,20,FALSE)</f>
        <v>135</v>
      </c>
      <c r="AJ151" s="5">
        <f>VLOOKUP($A151,'SegEnds_NonXtal_Prot#'!$A:$AL,23,FALSE)</f>
        <v>162</v>
      </c>
      <c r="AK151" s="5">
        <f>VLOOKUP($A151,'SegEnds_NonXtal_Prot#'!$A:$AL,26,FALSE)</f>
        <v>176</v>
      </c>
      <c r="AL151" s="5">
        <f>VLOOKUP($A151,'SegEnds_NonXtal_Prot#'!$A:$AL,29,FALSE)</f>
        <v>259</v>
      </c>
      <c r="AM151" s="5">
        <f>VLOOKUP($A151,'SegEnds_NonXtal_Prot#'!$A:$AL,32,FALSE)</f>
        <v>312</v>
      </c>
      <c r="AN151" s="5">
        <f>VLOOKUP($A151,'SegEnds_NonXtal_Prot#'!$A:$AL,35,FALSE)</f>
        <v>343</v>
      </c>
      <c r="AO151" s="5">
        <f>VLOOKUP($A151,'SegEnds_NonXtal_Prot#'!$A:$AL,38,FALSE)</f>
        <v>355</v>
      </c>
      <c r="AP151" s="5">
        <f t="shared" si="63"/>
        <v>28</v>
      </c>
      <c r="AQ151" s="4">
        <f t="shared" si="64"/>
        <v>3</v>
      </c>
      <c r="AR151" s="4">
        <f t="shared" si="65"/>
        <v>30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39</v>
      </c>
      <c r="AY151" s="4">
        <f t="shared" si="72"/>
        <v>40</v>
      </c>
      <c r="AZ151" s="4">
        <f t="shared" si="73"/>
        <v>25</v>
      </c>
      <c r="BA151" s="4">
        <f t="shared" si="74"/>
        <v>11</v>
      </c>
    </row>
    <row r="152" spans="1:53" x14ac:dyDescent="0.2">
      <c r="A152" s="1" t="str">
        <f>'SegEnds_NonXtal_Prot#'!A125</f>
        <v>gp182_human</v>
      </c>
      <c r="B152" s="1" t="str">
        <f t="shared" si="5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52" s="5" t="str">
        <f t="shared" si="51"/>
        <v>VVLFALYLAMFVVGLVENLLVICVNWRG</v>
      </c>
      <c r="G152" s="4" t="str">
        <f t="shared" si="52"/>
        <v>SGRA</v>
      </c>
      <c r="H152" s="4" t="str">
        <f t="shared" si="53"/>
        <v>GLMNLYILNMAIADLGIVLSLPVWMLEVTLD</v>
      </c>
      <c r="I152" s="4" t="str">
        <f t="shared" si="54"/>
        <v>TWLW</v>
      </c>
      <c r="J152" s="4" t="str">
        <f t="shared" si="55"/>
        <v>GSFSCRFTHYFYFVNMYSSIFFLVCLSVDRYVTLTS</v>
      </c>
      <c r="K152" s="4" t="str">
        <f t="shared" si="56"/>
        <v>ASPSWQRY</v>
      </c>
      <c r="L152" s="4" t="str">
        <f t="shared" si="57"/>
        <v>QHRVRRAMCAGIWVLSAIIPLPEVVHI</v>
      </c>
      <c r="M152" s="4" t="str">
        <f t="shared" si="58"/>
        <v>CLF</v>
      </c>
      <c r="N152" s="4" t="str">
        <f t="shared" si="59"/>
        <v>TYSTWALAVALSTTILGFLLPFPLITVFNVLTACRLRQP</v>
      </c>
      <c r="O152" s="4" t="str">
        <f t="shared" si="60"/>
        <v>SRRHCLLLCAYVAVFVMCWLPYHVTLLLLTLHGTH</v>
      </c>
      <c r="P152" s="4" t="str">
        <f t="shared" si="61"/>
        <v>HCHLVHLLYFFYDVIDCFSMLHCVINPILYNFL</v>
      </c>
      <c r="Q152" s="4" t="str">
        <f t="shared" si="62"/>
        <v>SPHFRGRLLNAVVHY</v>
      </c>
      <c r="R152" s="5">
        <f>VLOOKUP($A152,'SegEnds_NonXtal_Prot#'!$A:$AL,3,FALSE)</f>
        <v>54</v>
      </c>
      <c r="S152" s="5">
        <f>VLOOKUP($A152,'SegEnds_NonXtal_Prot#'!$A:$AL,6,FALSE)</f>
        <v>82</v>
      </c>
      <c r="T152" s="5">
        <f>VLOOKUP($A152,'SegEnds_NonXtal_Prot#'!$A:$AL,9,FALSE)</f>
        <v>86</v>
      </c>
      <c r="U152" s="5">
        <f>VLOOKUP($A152,'SegEnds_NonXtal_Prot#'!$A:$AL,12,FALSE)</f>
        <v>118</v>
      </c>
      <c r="V152" s="5">
        <f>VLOOKUP($A152,'SegEnds_NonXtal_Prot#'!$A:$AL,15,FALSE)</f>
        <v>122</v>
      </c>
      <c r="W152" s="5">
        <f>VLOOKUP($A152,'SegEnds_NonXtal_Prot#'!$A:$AL,18,FALSE)</f>
        <v>158</v>
      </c>
      <c r="X152" s="5">
        <f>VLOOKUP($A152,'SegEnds_NonXtal_Prot#'!$A:$AL,21,FALSE)</f>
        <v>166</v>
      </c>
      <c r="Y152" s="5">
        <f>VLOOKUP($A152,'SegEnds_NonXtal_Prot#'!$A:$AL,24,FALSE)</f>
        <v>202</v>
      </c>
      <c r="Z152" s="5">
        <f>VLOOKUP($A152,'SegEnds_NonXtal_Prot#'!$A:$AL,27,FALSE)</f>
        <v>210</v>
      </c>
      <c r="AA152" s="5">
        <f>VLOOKUP($A152,'SegEnds_NonXtal_Prot#'!$A:$AL,30,FALSE)</f>
        <v>253</v>
      </c>
      <c r="AB152" s="5">
        <f>VLOOKUP($A152,'SegEnds_NonXtal_Prot#'!$A:$AL,33,FALSE)</f>
        <v>291</v>
      </c>
      <c r="AC152" s="5">
        <f>VLOOKUP($A152,'SegEnds_NonXtal_Prot#'!$A:$AL,36,FALSE)</f>
        <v>324</v>
      </c>
      <c r="AD152" s="5">
        <f>VLOOKUP($A152,'SegEnds_NonXtal_Prot#'!$A:$AL,5,FALSE)</f>
        <v>81</v>
      </c>
      <c r="AE152" s="5">
        <f>VLOOKUP($A152,'SegEnds_NonXtal_Prot#'!$A:$AL,8,FALSE)</f>
        <v>85</v>
      </c>
      <c r="AF152" s="5">
        <f>VLOOKUP($A152,'SegEnds_NonXtal_Prot#'!$A:$AL,11,FALSE)</f>
        <v>116</v>
      </c>
      <c r="AG152" s="5">
        <f>VLOOKUP($A152,'SegEnds_NonXtal_Prot#'!$A:$AL,14,FALSE)</f>
        <v>121</v>
      </c>
      <c r="AH152" s="5">
        <f>VLOOKUP($A152,'SegEnds_NonXtal_Prot#'!$A:$AL,17,FALSE)</f>
        <v>157</v>
      </c>
      <c r="AI152" s="5">
        <f>VLOOKUP($A152,'SegEnds_NonXtal_Prot#'!$A:$AL,20,FALSE)</f>
        <v>165</v>
      </c>
      <c r="AJ152" s="5">
        <f>VLOOKUP($A152,'SegEnds_NonXtal_Prot#'!$A:$AL,23,FALSE)</f>
        <v>192</v>
      </c>
      <c r="AK152" s="5">
        <f>VLOOKUP($A152,'SegEnds_NonXtal_Prot#'!$A:$AL,26,FALSE)</f>
        <v>204</v>
      </c>
      <c r="AL152" s="5">
        <f>VLOOKUP($A152,'SegEnds_NonXtal_Prot#'!$A:$AL,29,FALSE)</f>
        <v>248</v>
      </c>
      <c r="AM152" s="5">
        <f>VLOOKUP($A152,'SegEnds_NonXtal_Prot#'!$A:$AL,32,FALSE)</f>
        <v>287</v>
      </c>
      <c r="AN152" s="5">
        <f>VLOOKUP($A152,'SegEnds_NonXtal_Prot#'!$A:$AL,35,FALSE)</f>
        <v>323</v>
      </c>
      <c r="AO152" s="5">
        <f>VLOOKUP($A152,'SegEnds_NonXtal_Prot#'!$A:$AL,38,FALSE)</f>
        <v>338</v>
      </c>
      <c r="AP152" s="5">
        <f t="shared" si="63"/>
        <v>27</v>
      </c>
      <c r="AQ152" s="4">
        <f t="shared" si="64"/>
        <v>3</v>
      </c>
      <c r="AR152" s="4">
        <f t="shared" si="65"/>
        <v>30</v>
      </c>
      <c r="AS152" s="4">
        <f t="shared" si="66"/>
        <v>3</v>
      </c>
      <c r="AT152" s="4">
        <f t="shared" si="67"/>
        <v>35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38</v>
      </c>
      <c r="AY152" s="4">
        <f t="shared" si="72"/>
        <v>34</v>
      </c>
      <c r="AZ152" s="4">
        <f t="shared" si="73"/>
        <v>32</v>
      </c>
      <c r="BA152" s="4">
        <f t="shared" si="74"/>
        <v>14</v>
      </c>
    </row>
    <row r="153" spans="1:53" x14ac:dyDescent="0.2">
      <c r="A153" s="1" t="str">
        <f>'SegEnds_NonXtal_Prot#'!A126</f>
        <v>gp183_human</v>
      </c>
      <c r="B153" s="1" t="str">
        <f t="shared" si="50"/>
        <v>TARIVMPLHYSLVFIIGLVGNLLALVVIVQNNSTTLYSTNLVISDILFTTALPTRIAYYAMGDALCRITALVFYINTYAGVNFMTCLSIDRFIAVVHRIEHAKGVCIFVWILVFAQTLPLLINPETKSLPWILLGACFIGYVLPLIIILICYSQICCKLFRTLTEKSGVNKKALNTIILIIVVFVLCFTPYHVAIIQHMIKKLRECSQRHSFQISLHFTVCLMNFNCCMDPFIYFFACKGYKRKVMRMLK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3" s="5" t="str">
        <f t="shared" si="51"/>
        <v>TARIVMPLHYSLVFIIGLVGNLLALVVIVQN</v>
      </c>
      <c r="G153" s="4" t="str">
        <f t="shared" si="52"/>
        <v>RKKI</v>
      </c>
      <c r="H153" s="4" t="str">
        <f t="shared" si="53"/>
        <v>NSTTLYSTNLVISDILFTTALPTRIAYYAM</v>
      </c>
      <c r="I153" s="4" t="str">
        <f t="shared" si="54"/>
        <v>DWRI</v>
      </c>
      <c r="J153" s="4" t="str">
        <f t="shared" si="55"/>
        <v>GDALCRITALVFYINTYAGVNFMTCLSIDRFIAVVH</v>
      </c>
      <c r="K153" s="4" t="str">
        <f t="shared" si="56"/>
        <v>PLRYNKIK</v>
      </c>
      <c r="L153" s="4" t="str">
        <f t="shared" si="57"/>
        <v>RIEHAKGVCIFVWILVFAQTLPLLINP</v>
      </c>
      <c r="M153" s="4" t="str">
        <f t="shared" si="58"/>
        <v>CME</v>
      </c>
      <c r="N153" s="4" t="str">
        <f t="shared" si="59"/>
        <v>ETKSLPWILLGACFIGYVLPLIIILICYSQICCKLFRT</v>
      </c>
      <c r="O153" s="4" t="str">
        <f t="shared" si="60"/>
        <v>LTEKSGVNKKALNTIILIIVVFVLCFTPYHVAIIQHMIKKLR</v>
      </c>
      <c r="P153" s="4" t="str">
        <f t="shared" si="61"/>
        <v>ECSQRHSFQISLHFTVCLMNFNCCMDPFIYFFA</v>
      </c>
      <c r="Q153" s="4" t="str">
        <f t="shared" si="62"/>
        <v>CKGYKRKVMRMLK</v>
      </c>
      <c r="R153" s="5">
        <f>VLOOKUP($A153,'SegEnds_NonXtal_Prot#'!$A:$AL,3,FALSE)</f>
        <v>29</v>
      </c>
      <c r="S153" s="5">
        <f>VLOOKUP($A153,'SegEnds_NonXtal_Prot#'!$A:$AL,6,FALSE)</f>
        <v>60</v>
      </c>
      <c r="T153" s="5">
        <f>VLOOKUP($A153,'SegEnds_NonXtal_Prot#'!$A:$AL,9,FALSE)</f>
        <v>64</v>
      </c>
      <c r="U153" s="5">
        <f>VLOOKUP($A153,'SegEnds_NonXtal_Prot#'!$A:$AL,12,FALSE)</f>
        <v>96</v>
      </c>
      <c r="V153" s="5">
        <f>VLOOKUP($A153,'SegEnds_NonXtal_Prot#'!$A:$AL,15,FALSE)</f>
        <v>100</v>
      </c>
      <c r="W153" s="5">
        <f>VLOOKUP($A153,'SegEnds_NonXtal_Prot#'!$A:$AL,18,FALSE)</f>
        <v>136</v>
      </c>
      <c r="X153" s="5">
        <f>VLOOKUP($A153,'SegEnds_NonXtal_Prot#'!$A:$AL,21,FALSE)</f>
        <v>144</v>
      </c>
      <c r="Y153" s="5">
        <f>VLOOKUP($A153,'SegEnds_NonXtal_Prot#'!$A:$AL,24,FALSE)</f>
        <v>181</v>
      </c>
      <c r="Z153" s="5">
        <f>VLOOKUP($A153,'SegEnds_NonXtal_Prot#'!$A:$AL,27,FALSE)</f>
        <v>189</v>
      </c>
      <c r="AA153" s="5">
        <f>VLOOKUP($A153,'SegEnds_NonXtal_Prot#'!$A:$AL,30,FALSE)</f>
        <v>232</v>
      </c>
      <c r="AB153" s="5">
        <f>VLOOKUP($A153,'SegEnds_NonXtal_Prot#'!$A:$AL,33,FALSE)</f>
        <v>279</v>
      </c>
      <c r="AC153" s="5">
        <f>VLOOKUP($A153,'SegEnds_NonXtal_Prot#'!$A:$AL,36,FALSE)</f>
        <v>312</v>
      </c>
      <c r="AD153" s="5">
        <f>VLOOKUP($A153,'SegEnds_NonXtal_Prot#'!$A:$AL,5,FALSE)</f>
        <v>59</v>
      </c>
      <c r="AE153" s="5">
        <f>VLOOKUP($A153,'SegEnds_NonXtal_Prot#'!$A:$AL,8,FALSE)</f>
        <v>63</v>
      </c>
      <c r="AF153" s="5">
        <f>VLOOKUP($A153,'SegEnds_NonXtal_Prot#'!$A:$AL,11,FALSE)</f>
        <v>93</v>
      </c>
      <c r="AG153" s="5">
        <f>VLOOKUP($A153,'SegEnds_NonXtal_Prot#'!$A:$AL,14,FALSE)</f>
        <v>99</v>
      </c>
      <c r="AH153" s="5">
        <f>VLOOKUP($A153,'SegEnds_NonXtal_Prot#'!$A:$AL,17,FALSE)</f>
        <v>135</v>
      </c>
      <c r="AI153" s="5">
        <f>VLOOKUP($A153,'SegEnds_NonXtal_Prot#'!$A:$AL,20,FALSE)</f>
        <v>143</v>
      </c>
      <c r="AJ153" s="5">
        <f>VLOOKUP($A153,'SegEnds_NonXtal_Prot#'!$A:$AL,23,FALSE)</f>
        <v>170</v>
      </c>
      <c r="AK153" s="5">
        <f>VLOOKUP($A153,'SegEnds_NonXtal_Prot#'!$A:$AL,26,FALSE)</f>
        <v>183</v>
      </c>
      <c r="AL153" s="5">
        <f>VLOOKUP($A153,'SegEnds_NonXtal_Prot#'!$A:$AL,29,FALSE)</f>
        <v>226</v>
      </c>
      <c r="AM153" s="5">
        <f>VLOOKUP($A153,'SegEnds_NonXtal_Prot#'!$A:$AL,32,FALSE)</f>
        <v>273</v>
      </c>
      <c r="AN153" s="5">
        <f>VLOOKUP($A153,'SegEnds_NonXtal_Prot#'!$A:$AL,35,FALSE)</f>
        <v>311</v>
      </c>
      <c r="AO153" s="5">
        <f>VLOOKUP($A153,'SegEnds_NonXtal_Prot#'!$A:$AL,38,FALSE)</f>
        <v>324</v>
      </c>
      <c r="AP153" s="5">
        <f t="shared" si="63"/>
        <v>30</v>
      </c>
      <c r="AQ153" s="4">
        <f t="shared" si="64"/>
        <v>3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37</v>
      </c>
      <c r="AY153" s="4">
        <f t="shared" si="72"/>
        <v>41</v>
      </c>
      <c r="AZ153" s="4">
        <f t="shared" si="73"/>
        <v>32</v>
      </c>
      <c r="BA153" s="4">
        <f t="shared" si="74"/>
        <v>12</v>
      </c>
    </row>
    <row r="154" spans="1:53" x14ac:dyDescent="0.2">
      <c r="A154" s="1" t="str">
        <f>'SegEnds_NonXtal_Prot#'!A127</f>
        <v>gper1_human</v>
      </c>
      <c r="B154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4" s="5" t="str">
        <f t="shared" si="51"/>
        <v>EHQQYVIGLFLSCLYTIFLFPIGFVGNILILVVNISF</v>
      </c>
      <c r="G154" s="4" t="str">
        <f t="shared" si="52"/>
        <v>REKM</v>
      </c>
      <c r="H154" s="4" t="str">
        <f t="shared" si="53"/>
        <v>TIPDLYFINLAVADLILVADSLIEVFNLHE</v>
      </c>
      <c r="I154" s="4" t="str">
        <f t="shared" si="54"/>
        <v>YYDI</v>
      </c>
      <c r="J154" s="4" t="str">
        <f t="shared" si="55"/>
        <v>AVLCTFMSLFLQVNMYSSVFFLTWMSFDRYIALAR</v>
      </c>
      <c r="K154" s="4" t="str">
        <f t="shared" si="56"/>
        <v>AMRCSLFR</v>
      </c>
      <c r="L154" s="4" t="str">
        <f t="shared" si="57"/>
        <v>TKHHARLSCGLIWMASVSATLVPFTAV</v>
      </c>
      <c r="M154" s="4" t="str">
        <f t="shared" si="58"/>
        <v>CFC</v>
      </c>
      <c r="N154" s="4" t="str">
        <f t="shared" si="59"/>
        <v>DVREVQWLEVTLGFIVPFAIIGLCYSLIVRVLVRA</v>
      </c>
      <c r="O154" s="4" t="str">
        <f t="shared" si="60"/>
        <v>RGLRPRRQKALRMILAVVLVFFVCWLPENVFISVHLLQRTQ</v>
      </c>
      <c r="P154" s="4" t="str">
        <f t="shared" si="61"/>
        <v>KQSFRHAHPLTGHIVNLAAFSNSCLNPLIYSFL</v>
      </c>
      <c r="Q154" s="4" t="str">
        <f t="shared" si="62"/>
        <v>GETFRDKLRLYIE</v>
      </c>
      <c r="R154" s="5">
        <f>VLOOKUP($A154,'SegEnds_NonXtal_Prot#'!$A:$AL,3,FALSE)</f>
        <v>51</v>
      </c>
      <c r="S154" s="5">
        <f>VLOOKUP($A154,'SegEnds_NonXtal_Prot#'!$A:$AL,6,FALSE)</f>
        <v>88</v>
      </c>
      <c r="T154" s="5">
        <f>VLOOKUP($A154,'SegEnds_NonXtal_Prot#'!$A:$AL,9,FALSE)</f>
        <v>92</v>
      </c>
      <c r="U154" s="5">
        <f>VLOOKUP($A154,'SegEnds_NonXtal_Prot#'!$A:$AL,12,FALSE)</f>
        <v>123</v>
      </c>
      <c r="V154" s="5">
        <f>VLOOKUP($A154,'SegEnds_NonXtal_Prot#'!$A:$AL,15,FALSE)</f>
        <v>127</v>
      </c>
      <c r="W154" s="5">
        <f>VLOOKUP($A154,'SegEnds_NonXtal_Prot#'!$A:$AL,18,FALSE)</f>
        <v>162</v>
      </c>
      <c r="X154" s="5">
        <f>VLOOKUP($A154,'SegEnds_NonXtal_Prot#'!$A:$AL,21,FALSE)</f>
        <v>170</v>
      </c>
      <c r="Y154" s="5">
        <f>VLOOKUP($A154,'SegEnds_NonXtal_Prot#'!$A:$AL,24,FALSE)</f>
        <v>205</v>
      </c>
      <c r="Z154" s="5">
        <f>VLOOKUP($A154,'SegEnds_NonXtal_Prot#'!$A:$AL,27,FALSE)</f>
        <v>210</v>
      </c>
      <c r="AA154" s="5">
        <f>VLOOKUP($A154,'SegEnds_NonXtal_Prot#'!$A:$AL,30,FALSE)</f>
        <v>248</v>
      </c>
      <c r="AB154" s="5">
        <f>VLOOKUP($A154,'SegEnds_NonXtal_Prot#'!$A:$AL,33,FALSE)</f>
        <v>295</v>
      </c>
      <c r="AC154" s="5">
        <f>VLOOKUP($A154,'SegEnds_NonXtal_Prot#'!$A:$AL,36,FALSE)</f>
        <v>328</v>
      </c>
      <c r="AD154" s="5">
        <f>VLOOKUP($A154,'SegEnds_NonXtal_Prot#'!$A:$AL,5,FALSE)</f>
        <v>87</v>
      </c>
      <c r="AE154" s="5">
        <f>VLOOKUP($A154,'SegEnds_NonXtal_Prot#'!$A:$AL,8,FALSE)</f>
        <v>91</v>
      </c>
      <c r="AF154" s="5">
        <f>VLOOKUP($A154,'SegEnds_NonXtal_Prot#'!$A:$AL,11,FALSE)</f>
        <v>121</v>
      </c>
      <c r="AG154" s="5">
        <f>VLOOKUP($A154,'SegEnds_NonXtal_Prot#'!$A:$AL,14,FALSE)</f>
        <v>126</v>
      </c>
      <c r="AH154" s="5">
        <f>VLOOKUP($A154,'SegEnds_NonXtal_Prot#'!$A:$AL,17,FALSE)</f>
        <v>161</v>
      </c>
      <c r="AI154" s="5">
        <f>VLOOKUP($A154,'SegEnds_NonXtal_Prot#'!$A:$AL,20,FALSE)</f>
        <v>169</v>
      </c>
      <c r="AJ154" s="5">
        <f>VLOOKUP($A154,'SegEnds_NonXtal_Prot#'!$A:$AL,23,FALSE)</f>
        <v>196</v>
      </c>
      <c r="AK154" s="5">
        <f>VLOOKUP($A154,'SegEnds_NonXtal_Prot#'!$A:$AL,26,FALSE)</f>
        <v>207</v>
      </c>
      <c r="AL154" s="5">
        <f>VLOOKUP($A154,'SegEnds_NonXtal_Prot#'!$A:$AL,29,FALSE)</f>
        <v>244</v>
      </c>
      <c r="AM154" s="5">
        <f>VLOOKUP($A154,'SegEnds_NonXtal_Prot#'!$A:$AL,32,FALSE)</f>
        <v>288</v>
      </c>
      <c r="AN154" s="5">
        <f>VLOOKUP($A154,'SegEnds_NonXtal_Prot#'!$A:$AL,35,FALSE)</f>
        <v>327</v>
      </c>
      <c r="AO154" s="5">
        <f>VLOOKUP($A154,'SegEnds_NonXtal_Prot#'!$A:$AL,38,FALSE)</f>
        <v>340</v>
      </c>
      <c r="AP154" s="5">
        <f t="shared" si="63"/>
        <v>36</v>
      </c>
      <c r="AQ154" s="4">
        <f t="shared" si="64"/>
        <v>3</v>
      </c>
      <c r="AR154" s="4">
        <f t="shared" si="65"/>
        <v>29</v>
      </c>
      <c r="AS154" s="4">
        <f t="shared" si="66"/>
        <v>3</v>
      </c>
      <c r="AT154" s="4">
        <f t="shared" si="67"/>
        <v>34</v>
      </c>
      <c r="AU154" s="4">
        <f t="shared" si="68"/>
        <v>7</v>
      </c>
      <c r="AV154" s="4">
        <f t="shared" si="69"/>
        <v>26</v>
      </c>
      <c r="AW154" s="4">
        <f t="shared" si="70"/>
        <v>2</v>
      </c>
      <c r="AX154" s="4">
        <f t="shared" si="71"/>
        <v>34</v>
      </c>
      <c r="AY154" s="4">
        <f t="shared" si="72"/>
        <v>40</v>
      </c>
      <c r="AZ154" s="4">
        <f t="shared" si="73"/>
        <v>32</v>
      </c>
      <c r="BA154" s="4">
        <f t="shared" si="74"/>
        <v>12</v>
      </c>
    </row>
    <row r="155" spans="1:53" x14ac:dyDescent="0.2">
      <c r="A155" s="1" t="str">
        <f>'SegEnds_NonXtal_Prot#'!A128</f>
        <v>gpr1_human</v>
      </c>
      <c r="B155" s="1" t="str">
        <f t="shared" si="50"/>
        <v>VVHWVSLVLYCLAFVLGIPGNAIVIWFTGFKTVTTLWFLNLAIADFIFLLFLPLYISYVAMGIWLCKANSFTAQLNMFASVFFLTVISLDHYIHLIHTLKNSLIVIIFIWLLASLIGGPALYFRRHHVLTWVKFIIGYLFPLLTMSICYLCLIFKVKKRSSRHFWTILVVVVAFVVCWTPYHLFSIWELTIHHVMQAGIPLSTGLAFLNSCLNPILYVLISKKFQARFRSSVAEI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5" s="5" t="str">
        <f t="shared" si="51"/>
        <v>VVHWVSLVLYCLAFVLGIPGNAIVIWFTGFK</v>
      </c>
      <c r="G155" s="4" t="str">
        <f t="shared" si="52"/>
        <v/>
      </c>
      <c r="H155" s="4" t="str">
        <f t="shared" si="53"/>
        <v>TVTTLWFLNLAIADFIFLLFLPLYISYVAM</v>
      </c>
      <c r="I155" s="4" t="str">
        <f t="shared" si="54"/>
        <v>HWPF</v>
      </c>
      <c r="J155" s="4" t="str">
        <f t="shared" si="55"/>
        <v>GIWLCKANSFTAQLNMFASVFFLTVISLDHYIHLIH</v>
      </c>
      <c r="K155" s="4" t="str">
        <f t="shared" si="56"/>
        <v>PVLSHRHR</v>
      </c>
      <c r="L155" s="4" t="str">
        <f t="shared" si="57"/>
        <v>TLKNSLIVIIFIWLLASLIGGPALYFR</v>
      </c>
      <c r="M155" s="4" t="str">
        <f t="shared" si="58"/>
        <v>CYN</v>
      </c>
      <c r="N155" s="4" t="str">
        <f t="shared" si="59"/>
        <v>RHHVLTWVKFIIGYLFPLLTMSICYLCLIFKVKKR</v>
      </c>
      <c r="O155" s="4" t="str">
        <f t="shared" si="60"/>
        <v>SSRHFWTILVVVVAFVVCWTPYHLFSIWELTI</v>
      </c>
      <c r="P155" s="4" t="str">
        <f t="shared" si="61"/>
        <v>HHVMQAGIPLSTGLAFLNSCLNPILYVLI</v>
      </c>
      <c r="Q155" s="4" t="str">
        <f t="shared" si="62"/>
        <v>SKKFQARFRSSVAEI</v>
      </c>
      <c r="R155" s="5">
        <f>VLOOKUP($A155,'SegEnds_NonXtal_Prot#'!$A:$AL,3,FALSE)</f>
        <v>36</v>
      </c>
      <c r="S155" s="5" t="str">
        <f>VLOOKUP($A155,'SegEnds_NonXtal_Prot#'!$A:$AL,6,FALSE)</f>
        <v>-</v>
      </c>
      <c r="T155" s="5">
        <f>VLOOKUP($A155,'SegEnds_NonXtal_Prot#'!$A:$AL,9,FALSE)</f>
        <v>70</v>
      </c>
      <c r="U155" s="5">
        <f>VLOOKUP($A155,'SegEnds_NonXtal_Prot#'!$A:$AL,12,FALSE)</f>
        <v>102</v>
      </c>
      <c r="V155" s="5">
        <f>VLOOKUP($A155,'SegEnds_NonXtal_Prot#'!$A:$AL,15,FALSE)</f>
        <v>106</v>
      </c>
      <c r="W155" s="5">
        <f>VLOOKUP($A155,'SegEnds_NonXtal_Prot#'!$A:$AL,18,FALSE)</f>
        <v>142</v>
      </c>
      <c r="X155" s="5">
        <f>VLOOKUP($A155,'SegEnds_NonXtal_Prot#'!$A:$AL,21,FALSE)</f>
        <v>150</v>
      </c>
      <c r="Y155" s="5">
        <f>VLOOKUP($A155,'SegEnds_NonXtal_Prot#'!$A:$AL,24,FALSE)</f>
        <v>187</v>
      </c>
      <c r="Z155" s="5">
        <f>VLOOKUP($A155,'SegEnds_NonXtal_Prot#'!$A:$AL,27,FALSE)</f>
        <v>202</v>
      </c>
      <c r="AA155" s="5">
        <f>VLOOKUP($A155,'SegEnds_NonXtal_Prot#'!$A:$AL,30,FALSE)</f>
        <v>241</v>
      </c>
      <c r="AB155" s="5">
        <f>VLOOKUP($A155,'SegEnds_NonXtal_Prot#'!$A:$AL,33,FALSE)</f>
        <v>279</v>
      </c>
      <c r="AC155" s="5">
        <f>VLOOKUP($A155,'SegEnds_NonXtal_Prot#'!$A:$AL,36,FALSE)</f>
        <v>308</v>
      </c>
      <c r="AD155" s="5">
        <f>VLOOKUP($A155,'SegEnds_NonXtal_Prot#'!$A:$AL,5,FALSE)</f>
        <v>66</v>
      </c>
      <c r="AE155" s="5" t="str">
        <f>VLOOKUP($A155,'SegEnds_NonXtal_Prot#'!$A:$AL,8,FALSE)</f>
        <v>-</v>
      </c>
      <c r="AF155" s="5">
        <f>VLOOKUP($A155,'SegEnds_NonXtal_Prot#'!$A:$AL,11,FALSE)</f>
        <v>99</v>
      </c>
      <c r="AG155" s="5">
        <f>VLOOKUP($A155,'SegEnds_NonXtal_Prot#'!$A:$AL,14,FALSE)</f>
        <v>105</v>
      </c>
      <c r="AH155" s="5">
        <f>VLOOKUP($A155,'SegEnds_NonXtal_Prot#'!$A:$AL,17,FALSE)</f>
        <v>141</v>
      </c>
      <c r="AI155" s="5">
        <f>VLOOKUP($A155,'SegEnds_NonXtal_Prot#'!$A:$AL,20,FALSE)</f>
        <v>149</v>
      </c>
      <c r="AJ155" s="5">
        <f>VLOOKUP($A155,'SegEnds_NonXtal_Prot#'!$A:$AL,23,FALSE)</f>
        <v>176</v>
      </c>
      <c r="AK155" s="5">
        <f>VLOOKUP($A155,'SegEnds_NonXtal_Prot#'!$A:$AL,26,FALSE)</f>
        <v>189</v>
      </c>
      <c r="AL155" s="5">
        <f>VLOOKUP($A155,'SegEnds_NonXtal_Prot#'!$A:$AL,29,FALSE)</f>
        <v>236</v>
      </c>
      <c r="AM155" s="5">
        <f>VLOOKUP($A155,'SegEnds_NonXtal_Prot#'!$A:$AL,32,FALSE)</f>
        <v>272</v>
      </c>
      <c r="AN155" s="5">
        <f>VLOOKUP($A155,'SegEnds_NonXtal_Prot#'!$A:$AL,35,FALSE)</f>
        <v>307</v>
      </c>
      <c r="AO155" s="5">
        <f>VLOOKUP($A155,'SegEnds_NonXtal_Prot#'!$A:$AL,38,FALSE)</f>
        <v>322</v>
      </c>
      <c r="AP155" s="5">
        <f t="shared" si="63"/>
        <v>30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31</v>
      </c>
      <c r="AZ155" s="4">
        <f t="shared" si="73"/>
        <v>28</v>
      </c>
      <c r="BA155" s="4">
        <f t="shared" si="74"/>
        <v>14</v>
      </c>
    </row>
    <row r="156" spans="1:53" x14ac:dyDescent="0.2">
      <c r="A156" s="1" t="str">
        <f>'SegEnds_NonXtal_Prot#'!A129</f>
        <v>gpr12_human</v>
      </c>
      <c r="B156" s="1" t="str">
        <f t="shared" si="50"/>
        <v>LVVNPWDIVLCTSGTLISCENAIVVLIIFHNAPMFLLIGSLALADLLAGIGLITNFVQSEATKLVTIGLIVASFSASVCSLLAITVDRYLSLYYTVTFTYVMLVMLWGTSICLGLLPVMGTKNNAAILSVSFLFMFALMLQLYIQICKIVMRHAHQITSHYVTTRKGVSTLAIILGTFAACWMPFTLYSLIADYTYTYATLLPATYNSIINPVIYAFRNQEIQKALCLICC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6" s="5" t="str">
        <f t="shared" si="51"/>
        <v>LVVNPWDIVLCTSGTLISCENAIVVLIIFHN</v>
      </c>
      <c r="G156" s="4" t="str">
        <f t="shared" si="52"/>
        <v/>
      </c>
      <c r="H156" s="4" t="str">
        <f t="shared" si="53"/>
        <v>APMFLLIGSLALADLLAGIGLITNFV</v>
      </c>
      <c r="I156" s="4" t="str">
        <f t="shared" si="54"/>
        <v>AYLL</v>
      </c>
      <c r="J156" s="4" t="str">
        <f t="shared" si="55"/>
        <v>QSEATKLVTIGLIVASFSASVCSLLAITVDRYLSLYY</v>
      </c>
      <c r="K156" s="4" t="str">
        <f t="shared" si="56"/>
        <v>ALTYHSER</v>
      </c>
      <c r="L156" s="4" t="str">
        <f t="shared" si="57"/>
        <v>TVTFTYVMLVMLWGTSICLGLLPVMG</v>
      </c>
      <c r="M156" s="4" t="str">
        <f t="shared" si="58"/>
        <v/>
      </c>
      <c r="N156" s="4" t="str">
        <f t="shared" si="59"/>
        <v>TKNNAAILSVSFLFMFALMLQLYIQICKIVMRHAHQI</v>
      </c>
      <c r="O156" s="4" t="str">
        <f t="shared" si="60"/>
        <v>TSHYVTTRKGVSTLAIILGTFAACWMPFTLYSLIADYT</v>
      </c>
      <c r="P156" s="4" t="str">
        <f t="shared" si="61"/>
        <v>YTYATLLPATYNSIINPVIYAFR</v>
      </c>
      <c r="Q156" s="4" t="str">
        <f t="shared" si="62"/>
        <v>NQEIQKALCLICC</v>
      </c>
      <c r="R156" s="5">
        <f>VLOOKUP($A156,'SegEnds_NonXtal_Prot#'!$A:$AL,3,FALSE)</f>
        <v>42</v>
      </c>
      <c r="S156" s="5" t="str">
        <f>VLOOKUP($A156,'SegEnds_NonXtal_Prot#'!$A:$AL,6,FALSE)</f>
        <v>-</v>
      </c>
      <c r="T156" s="5">
        <f>VLOOKUP($A156,'SegEnds_NonXtal_Prot#'!$A:$AL,9,FALSE)</f>
        <v>77</v>
      </c>
      <c r="U156" s="5">
        <f>VLOOKUP($A156,'SegEnds_NonXtal_Prot#'!$A:$AL,12,FALSE)</f>
        <v>104</v>
      </c>
      <c r="V156" s="5">
        <f>VLOOKUP($A156,'SegEnds_NonXtal_Prot#'!$A:$AL,15,FALSE)</f>
        <v>108</v>
      </c>
      <c r="W156" s="5">
        <f>VLOOKUP($A156,'SegEnds_NonXtal_Prot#'!$A:$AL,18,FALSE)</f>
        <v>145</v>
      </c>
      <c r="X156" s="5">
        <f>VLOOKUP($A156,'SegEnds_NonXtal_Prot#'!$A:$AL,21,FALSE)</f>
        <v>153</v>
      </c>
      <c r="Y156" s="5" t="str">
        <f>VLOOKUP($A156,'SegEnds_NonXtal_Prot#'!$A:$AL,24,FALSE)</f>
        <v>-</v>
      </c>
      <c r="Z156" s="5">
        <f>VLOOKUP($A156,'SegEnds_NonXtal_Prot#'!$A:$AL,27,FALSE)</f>
        <v>195</v>
      </c>
      <c r="AA156" s="5">
        <f>VLOOKUP($A156,'SegEnds_NonXtal_Prot#'!$A:$AL,30,FALSE)</f>
        <v>240</v>
      </c>
      <c r="AB156" s="5">
        <f>VLOOKUP($A156,'SegEnds_NonXtal_Prot#'!$A:$AL,33,FALSE)</f>
        <v>282</v>
      </c>
      <c r="AC156" s="5">
        <f>VLOOKUP($A156,'SegEnds_NonXtal_Prot#'!$A:$AL,36,FALSE)</f>
        <v>305</v>
      </c>
      <c r="AD156" s="5">
        <f>VLOOKUP($A156,'SegEnds_NonXtal_Prot#'!$A:$AL,5,FALSE)</f>
        <v>72</v>
      </c>
      <c r="AE156" s="5" t="str">
        <f>VLOOKUP($A156,'SegEnds_NonXtal_Prot#'!$A:$AL,8,FALSE)</f>
        <v>-</v>
      </c>
      <c r="AF156" s="5">
        <f>VLOOKUP($A156,'SegEnds_NonXtal_Prot#'!$A:$AL,11,FALSE)</f>
        <v>102</v>
      </c>
      <c r="AG156" s="5">
        <f>VLOOKUP($A156,'SegEnds_NonXtal_Prot#'!$A:$AL,14,FALSE)</f>
        <v>107</v>
      </c>
      <c r="AH156" s="5">
        <f>VLOOKUP($A156,'SegEnds_NonXtal_Prot#'!$A:$AL,17,FALSE)</f>
        <v>144</v>
      </c>
      <c r="AI156" s="5">
        <f>VLOOKUP($A156,'SegEnds_NonXtal_Prot#'!$A:$AL,20,FALSE)</f>
        <v>152</v>
      </c>
      <c r="AJ156" s="5">
        <f>VLOOKUP($A156,'SegEnds_NonXtal_Prot#'!$A:$AL,23,FALSE)</f>
        <v>178</v>
      </c>
      <c r="AK156" s="5" t="str">
        <f>VLOOKUP($A156,'SegEnds_NonXtal_Prot#'!$A:$AL,26,FALSE)</f>
        <v>-</v>
      </c>
      <c r="AL156" s="5">
        <f>VLOOKUP($A156,'SegEnds_NonXtal_Prot#'!$A:$AL,29,FALSE)</f>
        <v>231</v>
      </c>
      <c r="AM156" s="5">
        <f>VLOOKUP($A156,'SegEnds_NonXtal_Prot#'!$A:$AL,32,FALSE)</f>
        <v>277</v>
      </c>
      <c r="AN156" s="5">
        <f>VLOOKUP($A156,'SegEnds_NonXtal_Prot#'!$A:$AL,35,FALSE)</f>
        <v>304</v>
      </c>
      <c r="AO156" s="5">
        <f>VLOOKUP($A156,'SegEnds_NonXtal_Prot#'!$A:$AL,38,FALSE)</f>
        <v>317</v>
      </c>
      <c r="AP156" s="5">
        <f t="shared" si="63"/>
        <v>30</v>
      </c>
      <c r="AQ156" s="4" t="str">
        <f t="shared" si="64"/>
        <v>-</v>
      </c>
      <c r="AR156" s="4">
        <f t="shared" si="65"/>
        <v>25</v>
      </c>
      <c r="AS156" s="4">
        <f t="shared" si="66"/>
        <v>3</v>
      </c>
      <c r="AT156" s="4">
        <f t="shared" si="67"/>
        <v>36</v>
      </c>
      <c r="AU156" s="4">
        <f t="shared" si="68"/>
        <v>7</v>
      </c>
      <c r="AV156" s="4">
        <f t="shared" si="69"/>
        <v>25</v>
      </c>
      <c r="AW156" s="4" t="str">
        <f t="shared" si="70"/>
        <v>-</v>
      </c>
      <c r="AX156" s="4">
        <f t="shared" si="71"/>
        <v>36</v>
      </c>
      <c r="AY156" s="4">
        <f t="shared" si="72"/>
        <v>37</v>
      </c>
      <c r="AZ156" s="4">
        <f t="shared" si="73"/>
        <v>22</v>
      </c>
      <c r="BA156" s="4">
        <f t="shared" si="74"/>
        <v>12</v>
      </c>
    </row>
    <row r="157" spans="1:53" x14ac:dyDescent="0.2">
      <c r="A157" s="1" t="str">
        <f>'SegEnds_NonXtal_Prot#'!A130</f>
        <v>gpr15_human</v>
      </c>
      <c r="B157" s="1" t="str">
        <f t="shared" si="50"/>
        <v>YTSVFLPVFYTAVFLTGVLGNLVLMGALHFKRLIDIFIINLAASDFIFLVTLPLWVDKEASGSFLCKGSSYMISVNMHCSVLLLTCMSVDRYLAIVWRTDCAYVVCASIWFISCLLGLPTLLSRIKLIWSLVALIFTFFVPLLSIVTCYCCIARKLCAHGKHNKKLKKSIKIIFIVVAAFLVSWLPFNTFKFLAIVSHYLPSAILQLGMEVSGPLAFANSCVNPFIYYIFDSYIRRAIVHCLCPC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7" s="5" t="str">
        <f t="shared" si="51"/>
        <v>YTSVFLPVFYTAVFLTGVLGNLVLMGALHFK</v>
      </c>
      <c r="G157" s="4" t="str">
        <f t="shared" si="52"/>
        <v/>
      </c>
      <c r="H157" s="4" t="str">
        <f t="shared" si="53"/>
        <v>RLIDIFIINLAASDFIFLVTLPLWVDKEAS</v>
      </c>
      <c r="I157" s="4" t="str">
        <f t="shared" si="54"/>
        <v>LWRT</v>
      </c>
      <c r="J157" s="4" t="str">
        <f t="shared" si="55"/>
        <v>GSFLCKGSSYMISVNMHCSVLLLTCMSVDRYLAIVW</v>
      </c>
      <c r="K157" s="4" t="str">
        <f t="shared" si="56"/>
        <v>PVVSRKFR</v>
      </c>
      <c r="L157" s="4" t="str">
        <f t="shared" si="57"/>
        <v>RTDCAYVVCASIWFISCLLGLPTLLSR</v>
      </c>
      <c r="M157" s="4" t="str">
        <f t="shared" si="58"/>
        <v>CAE</v>
      </c>
      <c r="N157" s="4" t="str">
        <f t="shared" si="59"/>
        <v>IKLIWSLVALIFTFFVPLLSIVTCYCCIARKLCAH</v>
      </c>
      <c r="O157" s="4" t="str">
        <f t="shared" si="60"/>
        <v>GKHNKKLKKSIKIIFIVVAAFLVSWLPFNTFKFLAIVS</v>
      </c>
      <c r="P157" s="4" t="str">
        <f t="shared" si="61"/>
        <v>HYLPSAILQLGMEVSGPLAFANSCVNPFIYYIF</v>
      </c>
      <c r="Q157" s="4" t="str">
        <f t="shared" si="62"/>
        <v>DSYIRRAIVHCLCPC</v>
      </c>
      <c r="R157" s="5">
        <f>VLOOKUP($A157,'SegEnds_NonXtal_Prot#'!$A:$AL,3,FALSE)</f>
        <v>31</v>
      </c>
      <c r="S157" s="5" t="str">
        <f>VLOOKUP($A157,'SegEnds_NonXtal_Prot#'!$A:$AL,6,FALSE)</f>
        <v>-</v>
      </c>
      <c r="T157" s="5">
        <f>VLOOKUP($A157,'SegEnds_NonXtal_Prot#'!$A:$AL,9,FALSE)</f>
        <v>66</v>
      </c>
      <c r="U157" s="5">
        <f>VLOOKUP($A157,'SegEnds_NonXtal_Prot#'!$A:$AL,12,FALSE)</f>
        <v>98</v>
      </c>
      <c r="V157" s="5">
        <f>VLOOKUP($A157,'SegEnds_NonXtal_Prot#'!$A:$AL,15,FALSE)</f>
        <v>102</v>
      </c>
      <c r="W157" s="5">
        <f>VLOOKUP($A157,'SegEnds_NonXtal_Prot#'!$A:$AL,18,FALSE)</f>
        <v>138</v>
      </c>
      <c r="X157" s="5">
        <f>VLOOKUP($A157,'SegEnds_NonXtal_Prot#'!$A:$AL,21,FALSE)</f>
        <v>146</v>
      </c>
      <c r="Y157" s="5">
        <f>VLOOKUP($A157,'SegEnds_NonXtal_Prot#'!$A:$AL,24,FALSE)</f>
        <v>183</v>
      </c>
      <c r="Z157" s="5">
        <f>VLOOKUP($A157,'SegEnds_NonXtal_Prot#'!$A:$AL,27,FALSE)</f>
        <v>191</v>
      </c>
      <c r="AA157" s="5">
        <f>VLOOKUP($A157,'SegEnds_NonXtal_Prot#'!$A:$AL,30,FALSE)</f>
        <v>230</v>
      </c>
      <c r="AB157" s="5">
        <f>VLOOKUP($A157,'SegEnds_NonXtal_Prot#'!$A:$AL,33,FALSE)</f>
        <v>273</v>
      </c>
      <c r="AC157" s="5">
        <f>VLOOKUP($A157,'SegEnds_NonXtal_Prot#'!$A:$AL,36,FALSE)</f>
        <v>306</v>
      </c>
      <c r="AD157" s="5">
        <f>VLOOKUP($A157,'SegEnds_NonXtal_Prot#'!$A:$AL,5,FALSE)</f>
        <v>61</v>
      </c>
      <c r="AE157" s="5" t="str">
        <f>VLOOKUP($A157,'SegEnds_NonXtal_Prot#'!$A:$AL,8,FALSE)</f>
        <v>-</v>
      </c>
      <c r="AF157" s="5">
        <f>VLOOKUP($A157,'SegEnds_NonXtal_Prot#'!$A:$AL,11,FALSE)</f>
        <v>95</v>
      </c>
      <c r="AG157" s="5">
        <f>VLOOKUP($A157,'SegEnds_NonXtal_Prot#'!$A:$AL,14,FALSE)</f>
        <v>101</v>
      </c>
      <c r="AH157" s="5">
        <f>VLOOKUP($A157,'SegEnds_NonXtal_Prot#'!$A:$AL,17,FALSE)</f>
        <v>137</v>
      </c>
      <c r="AI157" s="5">
        <f>VLOOKUP($A157,'SegEnds_NonXtal_Prot#'!$A:$AL,20,FALSE)</f>
        <v>145</v>
      </c>
      <c r="AJ157" s="5">
        <f>VLOOKUP($A157,'SegEnds_NonXtal_Prot#'!$A:$AL,23,FALSE)</f>
        <v>172</v>
      </c>
      <c r="AK157" s="5">
        <f>VLOOKUP($A157,'SegEnds_NonXtal_Prot#'!$A:$AL,26,FALSE)</f>
        <v>185</v>
      </c>
      <c r="AL157" s="5">
        <f>VLOOKUP($A157,'SegEnds_NonXtal_Prot#'!$A:$AL,29,FALSE)</f>
        <v>225</v>
      </c>
      <c r="AM157" s="5">
        <f>VLOOKUP($A157,'SegEnds_NonXtal_Prot#'!$A:$AL,32,FALSE)</f>
        <v>267</v>
      </c>
      <c r="AN157" s="5">
        <f>VLOOKUP($A157,'SegEnds_NonXtal_Prot#'!$A:$AL,35,FALSE)</f>
        <v>305</v>
      </c>
      <c r="AO157" s="5">
        <f>VLOOKUP($A157,'SegEnds_NonXtal_Prot#'!$A:$AL,38,FALSE)</f>
        <v>320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34</v>
      </c>
      <c r="AY157" s="4">
        <f t="shared" si="72"/>
        <v>37</v>
      </c>
      <c r="AZ157" s="4">
        <f t="shared" si="73"/>
        <v>32</v>
      </c>
      <c r="BA157" s="4">
        <f t="shared" si="74"/>
        <v>14</v>
      </c>
    </row>
    <row r="158" spans="1:53" x14ac:dyDescent="0.2">
      <c r="A158" s="1" t="str">
        <f>'SegEnds_NonXtal_Prot#'!A131</f>
        <v>gpr17_human</v>
      </c>
      <c r="B158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8" s="5" t="str">
        <f t="shared" si="51"/>
        <v>MLFASFYLLDFILALVGNTLALWLFIRD</v>
      </c>
      <c r="G158" s="4" t="str">
        <f t="shared" si="52"/>
        <v/>
      </c>
      <c r="H158" s="4" t="str">
        <f t="shared" si="53"/>
        <v>TPANVFLMHLAVADLSCVLVLPTRLVYHFSG</v>
      </c>
      <c r="I158" s="4" t="str">
        <f t="shared" si="54"/>
        <v>HWPF</v>
      </c>
      <c r="J158" s="4" t="str">
        <f t="shared" si="55"/>
        <v>GEIACRLTGFLFYLNMYASIYFLTCISADRFLAIVH</v>
      </c>
      <c r="K158" s="4" t="str">
        <f t="shared" si="56"/>
        <v>PVKSLKLR</v>
      </c>
      <c r="L158" s="4" t="str">
        <f t="shared" si="57"/>
        <v>RPLYAHLACAFLWVVVAVAMAPLLVSP</v>
      </c>
      <c r="M158" s="4" t="str">
        <f t="shared" si="58"/>
        <v>CLQ</v>
      </c>
      <c r="N158" s="4" t="str">
        <f t="shared" si="59"/>
        <v>LYREKASHHALVSLAVAFTFPFITTVTCYLLIIRSLRQ</v>
      </c>
      <c r="O158" s="4" t="str">
        <f t="shared" si="60"/>
        <v>EKRLKTKAVRMIAIVLAIFLVCFVPYHVNRSVYVLHYRS</v>
      </c>
      <c r="P158" s="4" t="str">
        <f t="shared" si="61"/>
        <v>SCATQRILALANRITSCLTSLNGALDPIMYFFV</v>
      </c>
      <c r="Q158" s="4" t="str">
        <f t="shared" si="62"/>
        <v>AEKFRHALCNLLCGK</v>
      </c>
      <c r="R158" s="5">
        <f>VLOOKUP($A158,'SegEnds_NonXtal_Prot#'!$A:$AL,3,FALSE)</f>
        <v>60</v>
      </c>
      <c r="S158" s="5" t="str">
        <f>VLOOKUP($A158,'SegEnds_NonXtal_Prot#'!$A:$AL,6,FALSE)</f>
        <v>-</v>
      </c>
      <c r="T158" s="5">
        <f>VLOOKUP($A158,'SegEnds_NonXtal_Prot#'!$A:$AL,9,FALSE)</f>
        <v>92</v>
      </c>
      <c r="U158" s="5">
        <f>VLOOKUP($A158,'SegEnds_NonXtal_Prot#'!$A:$AL,12,FALSE)</f>
        <v>124</v>
      </c>
      <c r="V158" s="5">
        <f>VLOOKUP($A158,'SegEnds_NonXtal_Prot#'!$A:$AL,15,FALSE)</f>
        <v>128</v>
      </c>
      <c r="W158" s="5">
        <f>VLOOKUP($A158,'SegEnds_NonXtal_Prot#'!$A:$AL,18,FALSE)</f>
        <v>164</v>
      </c>
      <c r="X158" s="5">
        <f>VLOOKUP($A158,'SegEnds_NonXtal_Prot#'!$A:$AL,21,FALSE)</f>
        <v>172</v>
      </c>
      <c r="Y158" s="5">
        <f>VLOOKUP($A158,'SegEnds_NonXtal_Prot#'!$A:$AL,24,FALSE)</f>
        <v>209</v>
      </c>
      <c r="Z158" s="5">
        <f>VLOOKUP($A158,'SegEnds_NonXtal_Prot#'!$A:$AL,27,FALSE)</f>
        <v>212</v>
      </c>
      <c r="AA158" s="5">
        <f>VLOOKUP($A158,'SegEnds_NonXtal_Prot#'!$A:$AL,30,FALSE)</f>
        <v>254</v>
      </c>
      <c r="AB158" s="5">
        <f>VLOOKUP($A158,'SegEnds_NonXtal_Prot#'!$A:$AL,33,FALSE)</f>
        <v>296</v>
      </c>
      <c r="AC158" s="5">
        <f>VLOOKUP($A158,'SegEnds_NonXtal_Prot#'!$A:$AL,36,FALSE)</f>
        <v>329</v>
      </c>
      <c r="AD158" s="5">
        <f>VLOOKUP($A158,'SegEnds_NonXtal_Prot#'!$A:$AL,5,FALSE)</f>
        <v>87</v>
      </c>
      <c r="AE158" s="5" t="str">
        <f>VLOOKUP($A158,'SegEnds_NonXtal_Prot#'!$A:$AL,8,FALSE)</f>
        <v>-</v>
      </c>
      <c r="AF158" s="5">
        <f>VLOOKUP($A158,'SegEnds_NonXtal_Prot#'!$A:$AL,11,FALSE)</f>
        <v>122</v>
      </c>
      <c r="AG158" s="5">
        <f>VLOOKUP($A158,'SegEnds_NonXtal_Prot#'!$A:$AL,14,FALSE)</f>
        <v>127</v>
      </c>
      <c r="AH158" s="5">
        <f>VLOOKUP($A158,'SegEnds_NonXtal_Prot#'!$A:$AL,17,FALSE)</f>
        <v>163</v>
      </c>
      <c r="AI158" s="5">
        <f>VLOOKUP($A158,'SegEnds_NonXtal_Prot#'!$A:$AL,20,FALSE)</f>
        <v>171</v>
      </c>
      <c r="AJ158" s="5">
        <f>VLOOKUP($A158,'SegEnds_NonXtal_Prot#'!$A:$AL,23,FALSE)</f>
        <v>198</v>
      </c>
      <c r="AK158" s="5">
        <f>VLOOKUP($A158,'SegEnds_NonXtal_Prot#'!$A:$AL,26,FALSE)</f>
        <v>211</v>
      </c>
      <c r="AL158" s="5">
        <f>VLOOKUP($A158,'SegEnds_NonXtal_Prot#'!$A:$AL,29,FALSE)</f>
        <v>249</v>
      </c>
      <c r="AM158" s="5">
        <f>VLOOKUP($A158,'SegEnds_NonXtal_Prot#'!$A:$AL,32,FALSE)</f>
        <v>292</v>
      </c>
      <c r="AN158" s="5">
        <f>VLOOKUP($A158,'SegEnds_NonXtal_Prot#'!$A:$AL,35,FALSE)</f>
        <v>328</v>
      </c>
      <c r="AO158" s="5">
        <f>VLOOKUP($A158,'SegEnds_NonXtal_Prot#'!$A:$AL,38,FALSE)</f>
        <v>343</v>
      </c>
      <c r="AP158" s="5">
        <f t="shared" si="63"/>
        <v>27</v>
      </c>
      <c r="AQ158" s="4" t="str">
        <f t="shared" si="64"/>
        <v>-</v>
      </c>
      <c r="AR158" s="4">
        <f t="shared" si="65"/>
        <v>30</v>
      </c>
      <c r="AS158" s="4">
        <f t="shared" si="66"/>
        <v>3</v>
      </c>
      <c r="AT158" s="4">
        <f t="shared" si="67"/>
        <v>35</v>
      </c>
      <c r="AU158" s="4">
        <f t="shared" si="68"/>
        <v>7</v>
      </c>
      <c r="AV158" s="4">
        <f t="shared" si="69"/>
        <v>26</v>
      </c>
      <c r="AW158" s="4">
        <f t="shared" si="70"/>
        <v>2</v>
      </c>
      <c r="AX158" s="4">
        <f t="shared" si="71"/>
        <v>37</v>
      </c>
      <c r="AY158" s="4">
        <f t="shared" si="72"/>
        <v>38</v>
      </c>
      <c r="AZ158" s="4">
        <f t="shared" si="73"/>
        <v>32</v>
      </c>
      <c r="BA158" s="4">
        <f t="shared" si="74"/>
        <v>14</v>
      </c>
    </row>
    <row r="159" spans="1:53" x14ac:dyDescent="0.2">
      <c r="A159" s="1" t="str">
        <f>'SegEnds_NonXtal_Prot#'!A132</f>
        <v>gpr18_human</v>
      </c>
      <c r="B159" s="1" t="str">
        <f t="shared" si="50"/>
        <v>EYKIAALVFYSCIFIIGLFVNITALWVFSCTTTVTIYMMNVALVDLIFIMTLPFRMFYYAKGEYFCQILGALTVFYPSIALWLLAFISADRYMAIVQNTCKAVLACVGVWIMTLTTTTPLLLLYYLKAVNVLNLTRLTFFFLIPLFIMIGCYLVIIHNLLHGKLKPKVKEKSIRIIITLLVQVLVCFMPFHICFAFLMLGYNPWGAFTTFLMNLSTCLDVILYYIVSKQFQARVISVML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9" s="5" t="str">
        <f t="shared" si="51"/>
        <v>EYKIAALVFYSCIFIIGLFVNITALWVFSCT</v>
      </c>
      <c r="G159" s="4" t="str">
        <f t="shared" si="52"/>
        <v/>
      </c>
      <c r="H159" s="4" t="str">
        <f t="shared" si="53"/>
        <v>TTVTIYMMNVALVDLIFIMTLPFRMFYYAK</v>
      </c>
      <c r="I159" s="4" t="str">
        <f t="shared" si="54"/>
        <v>EWPF</v>
      </c>
      <c r="J159" s="4" t="str">
        <f t="shared" si="55"/>
        <v>GEYFCQILGALTVFYPSIALWLLAFISADRYMAIVQ</v>
      </c>
      <c r="K159" s="4" t="str">
        <f t="shared" si="56"/>
        <v>PKYAKELK</v>
      </c>
      <c r="L159" s="4" t="str">
        <f t="shared" si="57"/>
        <v>NTCKAVLACVGVWIMTLTTTTPLLLLY</v>
      </c>
      <c r="M159" s="4" t="str">
        <f t="shared" si="58"/>
        <v>CLK</v>
      </c>
      <c r="N159" s="4" t="str">
        <f t="shared" si="59"/>
        <v>YLKAVNVLNLTRLTFFFLIPLFIMIGCYLVIIHNLLHG</v>
      </c>
      <c r="O159" s="4" t="str">
        <f t="shared" si="60"/>
        <v>KLKPKVKEKSIRIIITLLVQVLVCFMPFHICFAFLMLG</v>
      </c>
      <c r="P159" s="4" t="str">
        <f t="shared" si="61"/>
        <v>YNPWGAFTTFLMNLSTCLDVILYYIV</v>
      </c>
      <c r="Q159" s="4" t="str">
        <f t="shared" si="62"/>
        <v>SKQFQARVISVML</v>
      </c>
      <c r="R159" s="5">
        <f>VLOOKUP($A159,'SegEnds_NonXtal_Prot#'!$A:$AL,3,FALSE)</f>
        <v>20</v>
      </c>
      <c r="S159" s="5" t="str">
        <f>VLOOKUP($A159,'SegEnds_NonXtal_Prot#'!$A:$AL,6,FALSE)</f>
        <v>-</v>
      </c>
      <c r="T159" s="5">
        <f>VLOOKUP($A159,'SegEnds_NonXtal_Prot#'!$A:$AL,9,FALSE)</f>
        <v>55</v>
      </c>
      <c r="U159" s="5">
        <f>VLOOKUP($A159,'SegEnds_NonXtal_Prot#'!$A:$AL,12,FALSE)</f>
        <v>86</v>
      </c>
      <c r="V159" s="5">
        <f>VLOOKUP($A159,'SegEnds_NonXtal_Prot#'!$A:$AL,15,FALSE)</f>
        <v>90</v>
      </c>
      <c r="W159" s="5">
        <f>VLOOKUP($A159,'SegEnds_NonXtal_Prot#'!$A:$AL,18,FALSE)</f>
        <v>126</v>
      </c>
      <c r="X159" s="5">
        <f>VLOOKUP($A159,'SegEnds_NonXtal_Prot#'!$A:$AL,21,FALSE)</f>
        <v>134</v>
      </c>
      <c r="Y159" s="5">
        <f>VLOOKUP($A159,'SegEnds_NonXtal_Prot#'!$A:$AL,24,FALSE)</f>
        <v>172</v>
      </c>
      <c r="Z159" s="5">
        <f>VLOOKUP($A159,'SegEnds_NonXtal_Prot#'!$A:$AL,27,FALSE)</f>
        <v>180</v>
      </c>
      <c r="AA159" s="5">
        <f>VLOOKUP($A159,'SegEnds_NonXtal_Prot#'!$A:$AL,30,FALSE)</f>
        <v>221</v>
      </c>
      <c r="AB159" s="5">
        <f>VLOOKUP($A159,'SegEnds_NonXtal_Prot#'!$A:$AL,33,FALSE)</f>
        <v>264</v>
      </c>
      <c r="AC159" s="5">
        <f>VLOOKUP($A159,'SegEnds_NonXtal_Prot#'!$A:$AL,36,FALSE)</f>
        <v>290</v>
      </c>
      <c r="AD159" s="5">
        <f>VLOOKUP($A159,'SegEnds_NonXtal_Prot#'!$A:$AL,5,FALSE)</f>
        <v>50</v>
      </c>
      <c r="AE159" s="5" t="str">
        <f>VLOOKUP($A159,'SegEnds_NonXtal_Prot#'!$A:$AL,8,FALSE)</f>
        <v>-</v>
      </c>
      <c r="AF159" s="5">
        <f>VLOOKUP($A159,'SegEnds_NonXtal_Prot#'!$A:$AL,11,FALSE)</f>
        <v>84</v>
      </c>
      <c r="AG159" s="5">
        <f>VLOOKUP($A159,'SegEnds_NonXtal_Prot#'!$A:$AL,14,FALSE)</f>
        <v>89</v>
      </c>
      <c r="AH159" s="5">
        <f>VLOOKUP($A159,'SegEnds_NonXtal_Prot#'!$A:$AL,17,FALSE)</f>
        <v>125</v>
      </c>
      <c r="AI159" s="5">
        <f>VLOOKUP($A159,'SegEnds_NonXtal_Prot#'!$A:$AL,20,FALSE)</f>
        <v>133</v>
      </c>
      <c r="AJ159" s="5">
        <f>VLOOKUP($A159,'SegEnds_NonXtal_Prot#'!$A:$AL,23,FALSE)</f>
        <v>160</v>
      </c>
      <c r="AK159" s="5">
        <f>VLOOKUP($A159,'SegEnds_NonXtal_Prot#'!$A:$AL,26,FALSE)</f>
        <v>174</v>
      </c>
      <c r="AL159" s="5">
        <f>VLOOKUP($A159,'SegEnds_NonXtal_Prot#'!$A:$AL,29,FALSE)</f>
        <v>217</v>
      </c>
      <c r="AM159" s="5">
        <f>VLOOKUP($A159,'SegEnds_NonXtal_Prot#'!$A:$AL,32,FALSE)</f>
        <v>258</v>
      </c>
      <c r="AN159" s="5">
        <f>VLOOKUP($A159,'SegEnds_NonXtal_Prot#'!$A:$AL,35,FALSE)</f>
        <v>289</v>
      </c>
      <c r="AO159" s="5">
        <f>VLOOKUP($A159,'SegEnds_NonXtal_Prot#'!$A:$AL,38,FALSE)</f>
        <v>302</v>
      </c>
      <c r="AP159" s="5">
        <f t="shared" si="63"/>
        <v>30</v>
      </c>
      <c r="AQ159" s="4" t="str">
        <f t="shared" si="64"/>
        <v>-</v>
      </c>
      <c r="AR159" s="4">
        <f t="shared" si="65"/>
        <v>29</v>
      </c>
      <c r="AS159" s="4">
        <f t="shared" si="66"/>
        <v>3</v>
      </c>
      <c r="AT159" s="4">
        <f t="shared" si="67"/>
        <v>35</v>
      </c>
      <c r="AU159" s="4">
        <f t="shared" si="68"/>
        <v>7</v>
      </c>
      <c r="AV159" s="4">
        <f t="shared" si="69"/>
        <v>26</v>
      </c>
      <c r="AW159" s="4">
        <f t="shared" si="70"/>
        <v>2</v>
      </c>
      <c r="AX159" s="4">
        <f t="shared" si="71"/>
        <v>37</v>
      </c>
      <c r="AY159" s="4">
        <f t="shared" si="72"/>
        <v>37</v>
      </c>
      <c r="AZ159" s="4">
        <f t="shared" si="73"/>
        <v>25</v>
      </c>
      <c r="BA159" s="4">
        <f t="shared" si="74"/>
        <v>12</v>
      </c>
    </row>
    <row r="160" spans="1:53" x14ac:dyDescent="0.2">
      <c r="A160" s="1" t="str">
        <f>'SegEnds_NonXtal_Prot#'!A133</f>
        <v>gpr20_human</v>
      </c>
      <c r="B160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60" s="5" t="str">
        <f t="shared" si="51"/>
        <v>GLWLALMAVHGAIFLAGLVLNGLALYVFCCR</v>
      </c>
      <c r="G160" s="4" t="str">
        <f t="shared" si="52"/>
        <v>TRAK</v>
      </c>
      <c r="H160" s="4" t="str">
        <f t="shared" si="53"/>
        <v>TPSVIYTINLVVTDLLVGLSLPTRFAVYYG</v>
      </c>
      <c r="I160" s="4" t="str">
        <f t="shared" si="54"/>
        <v/>
      </c>
      <c r="J160" s="4" t="str">
        <f t="shared" si="55"/>
        <v>CAFPHVLGYFLNMHCSILFLTCICVDRYLAIVR</v>
      </c>
      <c r="K160" s="4" t="str">
        <f t="shared" si="56"/>
        <v>PEGSRRCR</v>
      </c>
      <c r="L160" s="4" t="str">
        <f t="shared" si="57"/>
        <v>QPACARAVCAFVWLAAGAVTLSVLGVT</v>
      </c>
      <c r="M160" s="4" t="str">
        <f t="shared" si="58"/>
        <v/>
      </c>
      <c r="N160" s="4" t="str">
        <f t="shared" si="59"/>
        <v>RVFALTVLEFLLPLLVISVFTGRIMCALSRP</v>
      </c>
      <c r="O160" s="4" t="str">
        <f t="shared" si="60"/>
        <v>HQGRQRRVRAMQLLLTVLIIFLVCFTPFHARQVAVALW</v>
      </c>
      <c r="P160" s="4" t="str">
        <f t="shared" si="61"/>
        <v>HHTSLVVYHVAVTLSSLNSCMDPIVYCFV</v>
      </c>
      <c r="Q160" s="4" t="str">
        <f t="shared" si="62"/>
        <v>TSGFQATVRGLFG</v>
      </c>
      <c r="R160" s="5">
        <f>VLOOKUP($A160,'SegEnds_NonXtal_Prot#'!$A:$AL,3,FALSE)</f>
        <v>51</v>
      </c>
      <c r="S160" s="5">
        <f>VLOOKUP($A160,'SegEnds_NonXtal_Prot#'!$A:$AL,6,FALSE)</f>
        <v>82</v>
      </c>
      <c r="T160" s="5">
        <f>VLOOKUP($A160,'SegEnds_NonXtal_Prot#'!$A:$AL,9,FALSE)</f>
        <v>86</v>
      </c>
      <c r="U160" s="5" t="str">
        <f>VLOOKUP($A160,'SegEnds_NonXtal_Prot#'!$A:$AL,12,FALSE)</f>
        <v>-</v>
      </c>
      <c r="V160" s="5">
        <f>VLOOKUP($A160,'SegEnds_NonXtal_Prot#'!$A:$AL,15,FALSE)</f>
        <v>122</v>
      </c>
      <c r="W160" s="5">
        <f>VLOOKUP($A160,'SegEnds_NonXtal_Prot#'!$A:$AL,18,FALSE)</f>
        <v>155</v>
      </c>
      <c r="X160" s="5">
        <f>VLOOKUP($A160,'SegEnds_NonXtal_Prot#'!$A:$AL,21,FALSE)</f>
        <v>163</v>
      </c>
      <c r="Y160" s="5" t="str">
        <f>VLOOKUP($A160,'SegEnds_NonXtal_Prot#'!$A:$AL,24,FALSE)</f>
        <v>-</v>
      </c>
      <c r="Z160" s="5">
        <f>VLOOKUP($A160,'SegEnds_NonXtal_Prot#'!$A:$AL,27,FALSE)</f>
        <v>196</v>
      </c>
      <c r="AA160" s="5">
        <f>VLOOKUP($A160,'SegEnds_NonXtal_Prot#'!$A:$AL,30,FALSE)</f>
        <v>230</v>
      </c>
      <c r="AB160" s="5">
        <f>VLOOKUP($A160,'SegEnds_NonXtal_Prot#'!$A:$AL,33,FALSE)</f>
        <v>272</v>
      </c>
      <c r="AC160" s="5">
        <f>VLOOKUP($A160,'SegEnds_NonXtal_Prot#'!$A:$AL,36,FALSE)</f>
        <v>301</v>
      </c>
      <c r="AD160" s="5">
        <f>VLOOKUP($A160,'SegEnds_NonXtal_Prot#'!$A:$AL,5,FALSE)</f>
        <v>81</v>
      </c>
      <c r="AE160" s="5">
        <f>VLOOKUP($A160,'SegEnds_NonXtal_Prot#'!$A:$AL,8,FALSE)</f>
        <v>85</v>
      </c>
      <c r="AF160" s="5">
        <f>VLOOKUP($A160,'SegEnds_NonXtal_Prot#'!$A:$AL,11,FALSE)</f>
        <v>115</v>
      </c>
      <c r="AG160" s="5" t="str">
        <f>VLOOKUP($A160,'SegEnds_NonXtal_Prot#'!$A:$AL,14,FALSE)</f>
        <v>-</v>
      </c>
      <c r="AH160" s="5">
        <f>VLOOKUP($A160,'SegEnds_NonXtal_Prot#'!$A:$AL,17,FALSE)</f>
        <v>154</v>
      </c>
      <c r="AI160" s="5">
        <f>VLOOKUP($A160,'SegEnds_NonXtal_Prot#'!$A:$AL,20,FALSE)</f>
        <v>162</v>
      </c>
      <c r="AJ160" s="5">
        <f>VLOOKUP($A160,'SegEnds_NonXtal_Prot#'!$A:$AL,23,FALSE)</f>
        <v>189</v>
      </c>
      <c r="AK160" s="5" t="str">
        <f>VLOOKUP($A160,'SegEnds_NonXtal_Prot#'!$A:$AL,26,FALSE)</f>
        <v>-</v>
      </c>
      <c r="AL160" s="5">
        <f>VLOOKUP($A160,'SegEnds_NonXtal_Prot#'!$A:$AL,29,FALSE)</f>
        <v>226</v>
      </c>
      <c r="AM160" s="5">
        <f>VLOOKUP($A160,'SegEnds_NonXtal_Prot#'!$A:$AL,32,FALSE)</f>
        <v>267</v>
      </c>
      <c r="AN160" s="5">
        <f>VLOOKUP($A160,'SegEnds_NonXtal_Prot#'!$A:$AL,35,FALSE)</f>
        <v>300</v>
      </c>
      <c r="AO160" s="5">
        <f>VLOOKUP($A160,'SegEnds_NonXtal_Prot#'!$A:$AL,38,FALSE)</f>
        <v>313</v>
      </c>
      <c r="AP160" s="5">
        <f t="shared" si="63"/>
        <v>30</v>
      </c>
      <c r="AQ160" s="4">
        <f t="shared" si="64"/>
        <v>3</v>
      </c>
      <c r="AR160" s="4">
        <f t="shared" si="65"/>
        <v>29</v>
      </c>
      <c r="AS160" s="4" t="str">
        <f t="shared" si="66"/>
        <v>-</v>
      </c>
      <c r="AT160" s="4">
        <f t="shared" si="67"/>
        <v>32</v>
      </c>
      <c r="AU160" s="4">
        <f t="shared" si="68"/>
        <v>7</v>
      </c>
      <c r="AV160" s="4">
        <f t="shared" si="69"/>
        <v>26</v>
      </c>
      <c r="AW160" s="4" t="str">
        <f t="shared" si="70"/>
        <v>-</v>
      </c>
      <c r="AX160" s="4">
        <f t="shared" si="71"/>
        <v>30</v>
      </c>
      <c r="AY160" s="4">
        <f t="shared" si="72"/>
        <v>37</v>
      </c>
      <c r="AZ160" s="4">
        <f t="shared" si="73"/>
        <v>28</v>
      </c>
      <c r="BA160" s="4">
        <f t="shared" si="74"/>
        <v>12</v>
      </c>
    </row>
    <row r="161" spans="1:53" x14ac:dyDescent="0.2">
      <c r="A161" s="1" t="str">
        <f>'SegEnds_NonXtal_Prot#'!A134</f>
        <v>gpr21_human</v>
      </c>
      <c r="B161" s="1" t="str">
        <f t="shared" si="50"/>
        <v>CLLEVLIIVFLTVLIISGNIIVIFVFHCAHHTTSYFIQTMAYADLFVGVSCVVPSLSLLHPVEESLTCQIFGFVVSVLKSVSMASLACISIDRYIAITKTPWRLRLCIFLIWLYSTLVFLPSFFHWTDSYFTLFIVMMLYAPAALIVCFTYFNIFRICQQHTKDISETGEVQACPDKRYAMVLFRITSVFYILWLPYIIYFLLESSTRFASFLTTWLAISNSFCNCVIYSLSNSVFQRGLKRLS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61" s="5" t="str">
        <f t="shared" si="51"/>
        <v>CLLEVLIIVFLTVLIISGNIIVIFVFHCA</v>
      </c>
      <c r="G161" s="4" t="str">
        <f t="shared" si="52"/>
        <v>PLLN</v>
      </c>
      <c r="H161" s="4" t="str">
        <f t="shared" si="53"/>
        <v>HHTTSYFIQTMAYADLFVGVSCVVPSLSLLH</v>
      </c>
      <c r="I161" s="4" t="str">
        <f t="shared" si="54"/>
        <v/>
      </c>
      <c r="J161" s="4" t="str">
        <f t="shared" si="55"/>
        <v>PVEESLTCQIFGFVVSVLKSVSMASLACISIDRYIAITK</v>
      </c>
      <c r="K161" s="4" t="str">
        <f t="shared" si="56"/>
        <v>PLTYNTLV</v>
      </c>
      <c r="L161" s="4" t="str">
        <f t="shared" si="57"/>
        <v>TPWRLRLCIFLIWLYSTLVFLPSFFHW</v>
      </c>
      <c r="M161" s="4" t="str">
        <f t="shared" si="58"/>
        <v>CAE</v>
      </c>
      <c r="N161" s="4" t="str">
        <f t="shared" si="59"/>
        <v>TDSYFTLFIVMMLYAPAALIVCFTYFNIFRICQQHTKDIS</v>
      </c>
      <c r="O161" s="4" t="str">
        <f t="shared" si="60"/>
        <v>ETGEVQACPDKRYAMVLFRITSVFYILWLPYIIYFLLESST</v>
      </c>
      <c r="P161" s="4" t="str">
        <f t="shared" si="61"/>
        <v>RFASFLTTWLAISNSFCNCVIYSLS</v>
      </c>
      <c r="Q161" s="4" t="str">
        <f t="shared" si="62"/>
        <v>NSVFQRGLKRLS</v>
      </c>
      <c r="R161" s="5">
        <f>VLOOKUP($A161,'SegEnds_NonXtal_Prot#'!$A:$AL,3,FALSE)</f>
        <v>28</v>
      </c>
      <c r="S161" s="5">
        <f>VLOOKUP($A161,'SegEnds_NonXtal_Prot#'!$A:$AL,6,FALSE)</f>
        <v>57</v>
      </c>
      <c r="T161" s="5">
        <f>VLOOKUP($A161,'SegEnds_NonXtal_Prot#'!$A:$AL,9,FALSE)</f>
        <v>61</v>
      </c>
      <c r="U161" s="5" t="str">
        <f>VLOOKUP($A161,'SegEnds_NonXtal_Prot#'!$A:$AL,12,FALSE)</f>
        <v>-</v>
      </c>
      <c r="V161" s="5">
        <f>VLOOKUP($A161,'SegEnds_NonXtal_Prot#'!$A:$AL,15,FALSE)</f>
        <v>95</v>
      </c>
      <c r="W161" s="5">
        <f>VLOOKUP($A161,'SegEnds_NonXtal_Prot#'!$A:$AL,18,FALSE)</f>
        <v>134</v>
      </c>
      <c r="X161" s="5">
        <f>VLOOKUP($A161,'SegEnds_NonXtal_Prot#'!$A:$AL,21,FALSE)</f>
        <v>142</v>
      </c>
      <c r="Y161" s="5">
        <f>VLOOKUP($A161,'SegEnds_NonXtal_Prot#'!$A:$AL,24,FALSE)</f>
        <v>181</v>
      </c>
      <c r="Z161" s="5">
        <f>VLOOKUP($A161,'SegEnds_NonXtal_Prot#'!$A:$AL,27,FALSE)</f>
        <v>187</v>
      </c>
      <c r="AA161" s="5">
        <f>VLOOKUP($A161,'SegEnds_NonXtal_Prot#'!$A:$AL,30,FALSE)</f>
        <v>238</v>
      </c>
      <c r="AB161" s="5">
        <f>VLOOKUP($A161,'SegEnds_NonXtal_Prot#'!$A:$AL,33,FALSE)</f>
        <v>283</v>
      </c>
      <c r="AC161" s="5">
        <f>VLOOKUP($A161,'SegEnds_NonXtal_Prot#'!$A:$AL,36,FALSE)</f>
        <v>308</v>
      </c>
      <c r="AD161" s="5">
        <f>VLOOKUP($A161,'SegEnds_NonXtal_Prot#'!$A:$AL,5,FALSE)</f>
        <v>56</v>
      </c>
      <c r="AE161" s="5">
        <f>VLOOKUP($A161,'SegEnds_NonXtal_Prot#'!$A:$AL,8,FALSE)</f>
        <v>60</v>
      </c>
      <c r="AF161" s="5">
        <f>VLOOKUP($A161,'SegEnds_NonXtal_Prot#'!$A:$AL,11,FALSE)</f>
        <v>91</v>
      </c>
      <c r="AG161" s="5" t="str">
        <f>VLOOKUP($A161,'SegEnds_NonXtal_Prot#'!$A:$AL,14,FALSE)</f>
        <v>-</v>
      </c>
      <c r="AH161" s="5">
        <f>VLOOKUP($A161,'SegEnds_NonXtal_Prot#'!$A:$AL,17,FALSE)</f>
        <v>133</v>
      </c>
      <c r="AI161" s="5">
        <f>VLOOKUP($A161,'SegEnds_NonXtal_Prot#'!$A:$AL,20,FALSE)</f>
        <v>141</v>
      </c>
      <c r="AJ161" s="5">
        <f>VLOOKUP($A161,'SegEnds_NonXtal_Prot#'!$A:$AL,23,FALSE)</f>
        <v>168</v>
      </c>
      <c r="AK161" s="5">
        <f>VLOOKUP($A161,'SegEnds_NonXtal_Prot#'!$A:$AL,26,FALSE)</f>
        <v>183</v>
      </c>
      <c r="AL161" s="5">
        <f>VLOOKUP($A161,'SegEnds_NonXtal_Prot#'!$A:$AL,29,FALSE)</f>
        <v>226</v>
      </c>
      <c r="AM161" s="5">
        <f>VLOOKUP($A161,'SegEnds_NonXtal_Prot#'!$A:$AL,32,FALSE)</f>
        <v>278</v>
      </c>
      <c r="AN161" s="5">
        <f>VLOOKUP($A161,'SegEnds_NonXtal_Prot#'!$A:$AL,35,FALSE)</f>
        <v>307</v>
      </c>
      <c r="AO161" s="5">
        <f>VLOOKUP($A161,'SegEnds_NonXtal_Prot#'!$A:$AL,38,FALSE)</f>
        <v>319</v>
      </c>
      <c r="AP161" s="5">
        <f t="shared" si="63"/>
        <v>28</v>
      </c>
      <c r="AQ161" s="4">
        <f t="shared" si="64"/>
        <v>3</v>
      </c>
      <c r="AR161" s="4">
        <f t="shared" si="65"/>
        <v>30</v>
      </c>
      <c r="AS161" s="4" t="str">
        <f t="shared" si="66"/>
        <v>-</v>
      </c>
      <c r="AT161" s="4">
        <f t="shared" si="67"/>
        <v>38</v>
      </c>
      <c r="AU161" s="4">
        <f t="shared" si="68"/>
        <v>7</v>
      </c>
      <c r="AV161" s="4">
        <f t="shared" si="69"/>
        <v>26</v>
      </c>
      <c r="AW161" s="4">
        <f t="shared" si="70"/>
        <v>2</v>
      </c>
      <c r="AX161" s="4">
        <f t="shared" si="71"/>
        <v>39</v>
      </c>
      <c r="AY161" s="4">
        <f t="shared" si="72"/>
        <v>40</v>
      </c>
      <c r="AZ161" s="4">
        <f t="shared" si="73"/>
        <v>24</v>
      </c>
      <c r="BA161" s="4">
        <f t="shared" si="74"/>
        <v>11</v>
      </c>
    </row>
    <row r="162" spans="1:53" x14ac:dyDescent="0.2">
      <c r="A162" s="1" t="str">
        <f>'SegEnds_NonXtal_Prot#'!A135</f>
        <v>gpr25_human</v>
      </c>
      <c r="B162" s="1" t="str">
        <f t="shared" si="50"/>
        <v>YGYVYIPALYLAAFAVGLLGNAFVVWLLAGRRLVDTFVLHLAAADLGFVLTLPLWAAAAALGDGLCKLSSFALAGTRCAGALLLAGMSVDRYLAVVKTPRCALASCCGVWAVALLAGLPSLVYRAFQGLSLLLLLLTFVLPLVVTLFCYCRISRRLRRRARRNSLRIIFAIESTFVGSWLPFSALRAVFHLARLGPCPLLLALRWGLTIATCLAFVNSCANPLIYLLLDRSFRARALDGACGR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2" s="5" t="str">
        <f t="shared" si="51"/>
        <v>YGYVYIPALYLAAFAVGLLGNAFVVWLLAGR</v>
      </c>
      <c r="G162" s="4" t="str">
        <f t="shared" si="52"/>
        <v>RGPR</v>
      </c>
      <c r="H162" s="4" t="str">
        <f t="shared" si="53"/>
        <v>RLVDTFVLHLAAADLGFVLTLPLWAAAAAL</v>
      </c>
      <c r="I162" s="4" t="str">
        <f t="shared" si="54"/>
        <v>RWPF</v>
      </c>
      <c r="J162" s="4" t="str">
        <f t="shared" si="55"/>
        <v>GDGLCKLSSFALAGTRCAGALLLAGMSVDRYLAVVK</v>
      </c>
      <c r="K162" s="4" t="str">
        <f t="shared" si="56"/>
        <v>LLEARPLR</v>
      </c>
      <c r="L162" s="4" t="str">
        <f t="shared" si="57"/>
        <v>TPRCALASCCGVWAVALLAGLPSLVYR</v>
      </c>
      <c r="M162" s="4" t="str">
        <f t="shared" si="58"/>
        <v>CGE</v>
      </c>
      <c r="N162" s="4" t="str">
        <f t="shared" si="59"/>
        <v>AFQGLSLLLLLLTFVLPLVVTLFCYCRISRRLRR</v>
      </c>
      <c r="O162" s="4" t="str">
        <f t="shared" si="60"/>
        <v>RARRNSLRIIFAIESTFVGSWLPFSALRAVFHLARLG</v>
      </c>
      <c r="P162" s="4" t="str">
        <f t="shared" si="61"/>
        <v>PCPLLLALRWGLTIATCLAFVNSCANPLIYLLL</v>
      </c>
      <c r="Q162" s="4" t="str">
        <f t="shared" si="62"/>
        <v>DRSFRARALDGACGR</v>
      </c>
      <c r="R162" s="5">
        <f>VLOOKUP($A162,'SegEnds_NonXtal_Prot#'!$A:$AL,3,FALSE)</f>
        <v>37</v>
      </c>
      <c r="S162" s="5">
        <f>VLOOKUP($A162,'SegEnds_NonXtal_Prot#'!$A:$AL,6,FALSE)</f>
        <v>68</v>
      </c>
      <c r="T162" s="5">
        <f>VLOOKUP($A162,'SegEnds_NonXtal_Prot#'!$A:$AL,9,FALSE)</f>
        <v>72</v>
      </c>
      <c r="U162" s="5">
        <f>VLOOKUP($A162,'SegEnds_NonXtal_Prot#'!$A:$AL,12,FALSE)</f>
        <v>104</v>
      </c>
      <c r="V162" s="5">
        <f>VLOOKUP($A162,'SegEnds_NonXtal_Prot#'!$A:$AL,15,FALSE)</f>
        <v>108</v>
      </c>
      <c r="W162" s="5">
        <f>VLOOKUP($A162,'SegEnds_NonXtal_Prot#'!$A:$AL,18,FALSE)</f>
        <v>144</v>
      </c>
      <c r="X162" s="5">
        <f>VLOOKUP($A162,'SegEnds_NonXtal_Prot#'!$A:$AL,21,FALSE)</f>
        <v>152</v>
      </c>
      <c r="Y162" s="5">
        <f>VLOOKUP($A162,'SegEnds_NonXtal_Prot#'!$A:$AL,24,FALSE)</f>
        <v>191</v>
      </c>
      <c r="Z162" s="5">
        <f>VLOOKUP($A162,'SegEnds_NonXtal_Prot#'!$A:$AL,27,FALSE)</f>
        <v>198</v>
      </c>
      <c r="AA162" s="5">
        <f>VLOOKUP($A162,'SegEnds_NonXtal_Prot#'!$A:$AL,30,FALSE)</f>
        <v>237</v>
      </c>
      <c r="AB162" s="5">
        <f>VLOOKUP($A162,'SegEnds_NonXtal_Prot#'!$A:$AL,33,FALSE)</f>
        <v>278</v>
      </c>
      <c r="AC162" s="5">
        <f>VLOOKUP($A162,'SegEnds_NonXtal_Prot#'!$A:$AL,36,FALSE)</f>
        <v>311</v>
      </c>
      <c r="AD162" s="5">
        <f>VLOOKUP($A162,'SegEnds_NonXtal_Prot#'!$A:$AL,5,FALSE)</f>
        <v>67</v>
      </c>
      <c r="AE162" s="5">
        <f>VLOOKUP($A162,'SegEnds_NonXtal_Prot#'!$A:$AL,8,FALSE)</f>
        <v>71</v>
      </c>
      <c r="AF162" s="5">
        <f>VLOOKUP($A162,'SegEnds_NonXtal_Prot#'!$A:$AL,11,FALSE)</f>
        <v>101</v>
      </c>
      <c r="AG162" s="5">
        <f>VLOOKUP($A162,'SegEnds_NonXtal_Prot#'!$A:$AL,14,FALSE)</f>
        <v>107</v>
      </c>
      <c r="AH162" s="5">
        <f>VLOOKUP($A162,'SegEnds_NonXtal_Prot#'!$A:$AL,17,FALSE)</f>
        <v>143</v>
      </c>
      <c r="AI162" s="5">
        <f>VLOOKUP($A162,'SegEnds_NonXtal_Prot#'!$A:$AL,20,FALSE)</f>
        <v>151</v>
      </c>
      <c r="AJ162" s="5">
        <f>VLOOKUP($A162,'SegEnds_NonXtal_Prot#'!$A:$AL,23,FALSE)</f>
        <v>178</v>
      </c>
      <c r="AK162" s="5">
        <f>VLOOKUP($A162,'SegEnds_NonXtal_Prot#'!$A:$AL,26,FALSE)</f>
        <v>193</v>
      </c>
      <c r="AL162" s="5">
        <f>VLOOKUP($A162,'SegEnds_NonXtal_Prot#'!$A:$AL,29,FALSE)</f>
        <v>231</v>
      </c>
      <c r="AM162" s="5">
        <f>VLOOKUP($A162,'SegEnds_NonXtal_Prot#'!$A:$AL,32,FALSE)</f>
        <v>273</v>
      </c>
      <c r="AN162" s="5">
        <f>VLOOKUP($A162,'SegEnds_NonXtal_Prot#'!$A:$AL,35,FALSE)</f>
        <v>310</v>
      </c>
      <c r="AO162" s="5">
        <f>VLOOKUP($A162,'SegEnds_NonXtal_Prot#'!$A:$AL,38,FALSE)</f>
        <v>325</v>
      </c>
      <c r="AP162" s="5">
        <f t="shared" si="63"/>
        <v>30</v>
      </c>
      <c r="AQ162" s="4">
        <f t="shared" si="64"/>
        <v>3</v>
      </c>
      <c r="AR162" s="4">
        <f t="shared" si="65"/>
        <v>29</v>
      </c>
      <c r="AS162" s="4">
        <f t="shared" si="66"/>
        <v>3</v>
      </c>
      <c r="AT162" s="4">
        <f t="shared" si="67"/>
        <v>35</v>
      </c>
      <c r="AU162" s="4">
        <f t="shared" si="68"/>
        <v>7</v>
      </c>
      <c r="AV162" s="4">
        <f t="shared" si="69"/>
        <v>26</v>
      </c>
      <c r="AW162" s="4">
        <f t="shared" si="70"/>
        <v>2</v>
      </c>
      <c r="AX162" s="4">
        <f t="shared" si="71"/>
        <v>33</v>
      </c>
      <c r="AY162" s="4">
        <f t="shared" si="72"/>
        <v>36</v>
      </c>
      <c r="AZ162" s="4">
        <f t="shared" si="73"/>
        <v>32</v>
      </c>
      <c r="BA162" s="4">
        <f t="shared" si="74"/>
        <v>14</v>
      </c>
    </row>
    <row r="163" spans="1:53" x14ac:dyDescent="0.2">
      <c r="A163" s="1" t="str">
        <f>'SegEnds_NonXtal_Prot#'!A136</f>
        <v>gpr26_human</v>
      </c>
      <c r="B163" s="1" t="str">
        <f t="shared" si="50"/>
        <v>WDAGLAGLLVGTMGVSLLSNALVLLCLLHSRQAPALFTLNLTCGNLLCTVVNMPLTLAGVVAGDRLCRLAAFLDTFLAANSMLSMAALSIDRWVAVVFRLRDAALMVAYTWLHALTFPAAALALSFAVFTGAFHALSFLLSFVVLCCTYLKVLKVARFHCKRIDVITEEQKRRRQRATKKISTFIGTFLVCFAPYVITRLVELFSGSHWGVLSKCLAYSKAASDPFVYSLLRHQYRKSCKEIL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3" s="5" t="str">
        <f t="shared" si="51"/>
        <v>WDAGLAGLLVGTMGVSLLSNALVLLCLLHS</v>
      </c>
      <c r="G163" s="4" t="str">
        <f t="shared" si="52"/>
        <v>ADIR</v>
      </c>
      <c r="H163" s="4" t="str">
        <f t="shared" si="53"/>
        <v>RQAPALFTLNLTCGNLLCTVVNMPLTLAGVVA</v>
      </c>
      <c r="I163" s="4" t="str">
        <f t="shared" si="54"/>
        <v/>
      </c>
      <c r="J163" s="4" t="str">
        <f t="shared" si="55"/>
        <v>GDRLCRLAAFLDTFLAANSMLSMAALSIDRWVAVVF</v>
      </c>
      <c r="K163" s="4" t="str">
        <f t="shared" si="56"/>
        <v>PLSYRAKM</v>
      </c>
      <c r="L163" s="4" t="str">
        <f t="shared" si="57"/>
        <v>RLRDAALMVAYTWLHALTFPAAALALS</v>
      </c>
      <c r="M163" s="4" t="str">
        <f t="shared" si="58"/>
        <v>CSR</v>
      </c>
      <c r="N163" s="4" t="str">
        <f t="shared" si="59"/>
        <v>FAVFTGAFHALSFLLSFVVLCCTYLKVLKVARFHCKRIDVIT</v>
      </c>
      <c r="O163" s="4" t="str">
        <f t="shared" si="60"/>
        <v>EEQKRRRQRATKKISTFIGTFLVCFAPYVITRLVELFS</v>
      </c>
      <c r="P163" s="4" t="str">
        <f t="shared" si="61"/>
        <v>GSHWGVLSKCLAYSKAASDPFVYSLL</v>
      </c>
      <c r="Q163" s="4" t="str">
        <f t="shared" si="62"/>
        <v>RHQYRKSCKEIL</v>
      </c>
      <c r="R163" s="5">
        <f>VLOOKUP($A163,'SegEnds_NonXtal_Prot#'!$A:$AL,3,FALSE)</f>
        <v>4</v>
      </c>
      <c r="S163" s="5">
        <f>VLOOKUP($A163,'SegEnds_NonXtal_Prot#'!$A:$AL,6,FALSE)</f>
        <v>34</v>
      </c>
      <c r="T163" s="5">
        <f>VLOOKUP($A163,'SegEnds_NonXtal_Prot#'!$A:$AL,9,FALSE)</f>
        <v>38</v>
      </c>
      <c r="U163" s="5" t="str">
        <f>VLOOKUP($A163,'SegEnds_NonXtal_Prot#'!$A:$AL,12,FALSE)</f>
        <v>-</v>
      </c>
      <c r="V163" s="5">
        <f>VLOOKUP($A163,'SegEnds_NonXtal_Prot#'!$A:$AL,15,FALSE)</f>
        <v>75</v>
      </c>
      <c r="W163" s="5">
        <f>VLOOKUP($A163,'SegEnds_NonXtal_Prot#'!$A:$AL,18,FALSE)</f>
        <v>111</v>
      </c>
      <c r="X163" s="5">
        <f>VLOOKUP($A163,'SegEnds_NonXtal_Prot#'!$A:$AL,21,FALSE)</f>
        <v>119</v>
      </c>
      <c r="Y163" s="5">
        <f>VLOOKUP($A163,'SegEnds_NonXtal_Prot#'!$A:$AL,24,FALSE)</f>
        <v>159</v>
      </c>
      <c r="Z163" s="5">
        <f>VLOOKUP($A163,'SegEnds_NonXtal_Prot#'!$A:$AL,27,FALSE)</f>
        <v>169</v>
      </c>
      <c r="AA163" s="5">
        <f>VLOOKUP($A163,'SegEnds_NonXtal_Prot#'!$A:$AL,30,FALSE)</f>
        <v>230</v>
      </c>
      <c r="AB163" s="5">
        <f>VLOOKUP($A163,'SegEnds_NonXtal_Prot#'!$A:$AL,33,FALSE)</f>
        <v>272</v>
      </c>
      <c r="AC163" s="5">
        <f>VLOOKUP($A163,'SegEnds_NonXtal_Prot#'!$A:$AL,36,FALSE)</f>
        <v>298</v>
      </c>
      <c r="AD163" s="5">
        <f>VLOOKUP($A163,'SegEnds_NonXtal_Prot#'!$A:$AL,5,FALSE)</f>
        <v>33</v>
      </c>
      <c r="AE163" s="5">
        <f>VLOOKUP($A163,'SegEnds_NonXtal_Prot#'!$A:$AL,8,FALSE)</f>
        <v>37</v>
      </c>
      <c r="AF163" s="5">
        <f>VLOOKUP($A163,'SegEnds_NonXtal_Prot#'!$A:$AL,11,FALSE)</f>
        <v>69</v>
      </c>
      <c r="AG163" s="5" t="str">
        <f>VLOOKUP($A163,'SegEnds_NonXtal_Prot#'!$A:$AL,14,FALSE)</f>
        <v>-</v>
      </c>
      <c r="AH163" s="5">
        <f>VLOOKUP($A163,'SegEnds_NonXtal_Prot#'!$A:$AL,17,FALSE)</f>
        <v>110</v>
      </c>
      <c r="AI163" s="5">
        <f>VLOOKUP($A163,'SegEnds_NonXtal_Prot#'!$A:$AL,20,FALSE)</f>
        <v>118</v>
      </c>
      <c r="AJ163" s="5">
        <f>VLOOKUP($A163,'SegEnds_NonXtal_Prot#'!$A:$AL,23,FALSE)</f>
        <v>145</v>
      </c>
      <c r="AK163" s="5">
        <f>VLOOKUP($A163,'SegEnds_NonXtal_Prot#'!$A:$AL,26,FALSE)</f>
        <v>161</v>
      </c>
      <c r="AL163" s="5">
        <f>VLOOKUP($A163,'SegEnds_NonXtal_Prot#'!$A:$AL,29,FALSE)</f>
        <v>210</v>
      </c>
      <c r="AM163" s="5">
        <f>VLOOKUP($A163,'SegEnds_NonXtal_Prot#'!$A:$AL,32,FALSE)</f>
        <v>267</v>
      </c>
      <c r="AN163" s="5">
        <f>VLOOKUP($A163,'SegEnds_NonXtal_Prot#'!$A:$AL,35,FALSE)</f>
        <v>297</v>
      </c>
      <c r="AO163" s="5">
        <f>VLOOKUP($A163,'SegEnds_NonXtal_Prot#'!$A:$AL,38,FALSE)</f>
        <v>309</v>
      </c>
      <c r="AP163" s="5">
        <f t="shared" si="63"/>
        <v>29</v>
      </c>
      <c r="AQ163" s="4">
        <f t="shared" si="64"/>
        <v>3</v>
      </c>
      <c r="AR163" s="4">
        <f t="shared" si="65"/>
        <v>31</v>
      </c>
      <c r="AS163" s="4" t="str">
        <f t="shared" si="66"/>
        <v>-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41</v>
      </c>
      <c r="AY163" s="4">
        <f t="shared" si="72"/>
        <v>37</v>
      </c>
      <c r="AZ163" s="4">
        <f t="shared" si="73"/>
        <v>25</v>
      </c>
      <c r="BA163" s="4">
        <f t="shared" si="74"/>
        <v>11</v>
      </c>
    </row>
    <row r="164" spans="1:53" x14ac:dyDescent="0.2">
      <c r="A164" s="1" t="str">
        <f>'SegEnds_NonXtal_Prot#'!A137</f>
        <v>gpr3_human</v>
      </c>
      <c r="B164" s="1" t="str">
        <f t="shared" si="50"/>
        <v>LPSPKAWDVVLCISGTLVSCENALVVAIIVGTAPMFLLVGSLAVADLLAGLGLVLHFAGSAEMSLVLVGVLAMAFTASIGSLLAITVDRYLSLYNTVTRTYVMLALVWGGALGLGLLPVLASKNHLVVLAIAFFMVFGIMLQLYAQICRIVCRHAQQIASHYVATRKGIATLAVVLGAFAACWLPFTVYCLLGDAHYTYLTLLPATYNSMINPIIYAFRNQDVQKVLWAVCC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4" s="5" t="str">
        <f t="shared" si="51"/>
        <v>LPSPKAWDVVLCISGTLVSCENALVVAIIVGT</v>
      </c>
      <c r="G164" s="4" t="str">
        <f t="shared" si="52"/>
        <v>PAFR</v>
      </c>
      <c r="H164" s="4" t="str">
        <f t="shared" si="53"/>
        <v>APMFLLVGSLAVADLLAGLGLVLHFA</v>
      </c>
      <c r="I164" s="4" t="str">
        <f t="shared" si="54"/>
        <v>VFCI</v>
      </c>
      <c r="J164" s="4" t="str">
        <f t="shared" si="55"/>
        <v>GSAEMSLVLVGVLAMAFTASIGSLLAITVDRYLSLYN</v>
      </c>
      <c r="K164" s="4" t="str">
        <f t="shared" si="56"/>
        <v>ALTYYSET</v>
      </c>
      <c r="L164" s="4" t="str">
        <f t="shared" si="57"/>
        <v>TVTRTYVMLALVWGGALGLGLLPVLA</v>
      </c>
      <c r="M164" s="4" t="str">
        <f t="shared" si="58"/>
        <v/>
      </c>
      <c r="N164" s="4" t="str">
        <f t="shared" si="59"/>
        <v>SKNHLVVLAIAFFMVFGIMLQLYAQICRIVCRHAQQI</v>
      </c>
      <c r="O164" s="4" t="str">
        <f t="shared" si="60"/>
        <v>ASHYVATRKGIATLAVVLGAFAACWLPFTVYCLLGDAH</v>
      </c>
      <c r="P164" s="4" t="str">
        <f t="shared" si="61"/>
        <v>YTYLTLLPATYNSMINPIIYAFR</v>
      </c>
      <c r="Q164" s="4" t="str">
        <f t="shared" si="62"/>
        <v>NQDVQKVLWAVCC</v>
      </c>
      <c r="R164" s="5">
        <f>VLOOKUP($A164,'SegEnds_NonXtal_Prot#'!$A:$AL,3,FALSE)</f>
        <v>37</v>
      </c>
      <c r="S164" s="5">
        <f>VLOOKUP($A164,'SegEnds_NonXtal_Prot#'!$A:$AL,6,FALSE)</f>
        <v>69</v>
      </c>
      <c r="T164" s="5">
        <f>VLOOKUP($A164,'SegEnds_NonXtal_Prot#'!$A:$AL,9,FALSE)</f>
        <v>73</v>
      </c>
      <c r="U164" s="5">
        <f>VLOOKUP($A164,'SegEnds_NonXtal_Prot#'!$A:$AL,12,FALSE)</f>
        <v>100</v>
      </c>
      <c r="V164" s="5">
        <f>VLOOKUP($A164,'SegEnds_NonXtal_Prot#'!$A:$AL,15,FALSE)</f>
        <v>104</v>
      </c>
      <c r="W164" s="5">
        <f>VLOOKUP($A164,'SegEnds_NonXtal_Prot#'!$A:$AL,18,FALSE)</f>
        <v>141</v>
      </c>
      <c r="X164" s="5">
        <f>VLOOKUP($A164,'SegEnds_NonXtal_Prot#'!$A:$AL,21,FALSE)</f>
        <v>149</v>
      </c>
      <c r="Y164" s="5" t="str">
        <f>VLOOKUP($A164,'SegEnds_NonXtal_Prot#'!$A:$AL,24,FALSE)</f>
        <v>-</v>
      </c>
      <c r="Z164" s="5">
        <f>VLOOKUP($A164,'SegEnds_NonXtal_Prot#'!$A:$AL,27,FALSE)</f>
        <v>191</v>
      </c>
      <c r="AA164" s="5">
        <f>VLOOKUP($A164,'SegEnds_NonXtal_Prot#'!$A:$AL,30,FALSE)</f>
        <v>236</v>
      </c>
      <c r="AB164" s="5">
        <f>VLOOKUP($A164,'SegEnds_NonXtal_Prot#'!$A:$AL,33,FALSE)</f>
        <v>278</v>
      </c>
      <c r="AC164" s="5">
        <f>VLOOKUP($A164,'SegEnds_NonXtal_Prot#'!$A:$AL,36,FALSE)</f>
        <v>301</v>
      </c>
      <c r="AD164" s="5">
        <f>VLOOKUP($A164,'SegEnds_NonXtal_Prot#'!$A:$AL,5,FALSE)</f>
        <v>68</v>
      </c>
      <c r="AE164" s="5">
        <f>VLOOKUP($A164,'SegEnds_NonXtal_Prot#'!$A:$AL,8,FALSE)</f>
        <v>72</v>
      </c>
      <c r="AF164" s="5">
        <f>VLOOKUP($A164,'SegEnds_NonXtal_Prot#'!$A:$AL,11,FALSE)</f>
        <v>98</v>
      </c>
      <c r="AG164" s="5">
        <f>VLOOKUP($A164,'SegEnds_NonXtal_Prot#'!$A:$AL,14,FALSE)</f>
        <v>103</v>
      </c>
      <c r="AH164" s="5">
        <f>VLOOKUP($A164,'SegEnds_NonXtal_Prot#'!$A:$AL,17,FALSE)</f>
        <v>140</v>
      </c>
      <c r="AI164" s="5">
        <f>VLOOKUP($A164,'SegEnds_NonXtal_Prot#'!$A:$AL,20,FALSE)</f>
        <v>148</v>
      </c>
      <c r="AJ164" s="5">
        <f>VLOOKUP($A164,'SegEnds_NonXtal_Prot#'!$A:$AL,23,FALSE)</f>
        <v>174</v>
      </c>
      <c r="AK164" s="5" t="str">
        <f>VLOOKUP($A164,'SegEnds_NonXtal_Prot#'!$A:$AL,26,FALSE)</f>
        <v>-</v>
      </c>
      <c r="AL164" s="5">
        <f>VLOOKUP($A164,'SegEnds_NonXtal_Prot#'!$A:$AL,29,FALSE)</f>
        <v>227</v>
      </c>
      <c r="AM164" s="5">
        <f>VLOOKUP($A164,'SegEnds_NonXtal_Prot#'!$A:$AL,32,FALSE)</f>
        <v>273</v>
      </c>
      <c r="AN164" s="5">
        <f>VLOOKUP($A164,'SegEnds_NonXtal_Prot#'!$A:$AL,35,FALSE)</f>
        <v>300</v>
      </c>
      <c r="AO164" s="5">
        <f>VLOOKUP($A164,'SegEnds_NonXtal_Prot#'!$A:$AL,38,FALSE)</f>
        <v>313</v>
      </c>
      <c r="AP164" s="5">
        <f t="shared" si="63"/>
        <v>31</v>
      </c>
      <c r="AQ164" s="4">
        <f t="shared" si="64"/>
        <v>3</v>
      </c>
      <c r="AR164" s="4">
        <f t="shared" si="65"/>
        <v>25</v>
      </c>
      <c r="AS164" s="4">
        <f t="shared" si="66"/>
        <v>3</v>
      </c>
      <c r="AT164" s="4">
        <f t="shared" si="67"/>
        <v>36</v>
      </c>
      <c r="AU164" s="4">
        <f t="shared" si="68"/>
        <v>7</v>
      </c>
      <c r="AV164" s="4">
        <f t="shared" si="69"/>
        <v>25</v>
      </c>
      <c r="AW164" s="4" t="str">
        <f t="shared" si="70"/>
        <v>-</v>
      </c>
      <c r="AX164" s="4">
        <f t="shared" si="71"/>
        <v>36</v>
      </c>
      <c r="AY164" s="4">
        <f t="shared" si="72"/>
        <v>37</v>
      </c>
      <c r="AZ164" s="4">
        <f t="shared" si="73"/>
        <v>22</v>
      </c>
      <c r="BA164" s="4">
        <f t="shared" si="74"/>
        <v>12</v>
      </c>
    </row>
    <row r="165" spans="1:53" x14ac:dyDescent="0.2">
      <c r="A165" s="1" t="str">
        <f>'SegEnds_NonXtal_Prot#'!A138</f>
        <v>gpr31_human</v>
      </c>
      <c r="B165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5" s="5" t="str">
        <f t="shared" si="51"/>
        <v>PNCSAPSTVVATAVGVLLGLECGLGLLGNAVALWTFLFR</v>
      </c>
      <c r="G165" s="4" t="str">
        <f t="shared" si="52"/>
        <v>VRVW</v>
      </c>
      <c r="H165" s="4" t="str">
        <f t="shared" si="53"/>
        <v>KPYAVYLLNLALADLLLAACLPFLAAFYLS</v>
      </c>
      <c r="I165" s="4" t="str">
        <f t="shared" si="54"/>
        <v>AWHL</v>
      </c>
      <c r="J165" s="4" t="str">
        <f t="shared" si="55"/>
        <v>GRVGCWALHFLLDLSRSVGMAFLAAVALDRYLRVVH</v>
      </c>
      <c r="K165" s="4" t="str">
        <f t="shared" si="56"/>
        <v>PRLKVNLL</v>
      </c>
      <c r="L165" s="4" t="str">
        <f t="shared" si="57"/>
        <v>SPQAALGVSGLVWLLMVALTCPGLLIS</v>
      </c>
      <c r="M165" s="4" t="str">
        <f t="shared" si="58"/>
        <v>CHS</v>
      </c>
      <c r="N165" s="4" t="str">
        <f t="shared" si="59"/>
        <v>DGSFSIIWQEALSCLQFVLPFGLIVFCNAGIIRALQKR</v>
      </c>
      <c r="O165" s="4" t="str">
        <f t="shared" si="60"/>
        <v>PEKQPKLQRAQALVTLVVVLFALCFLPCFLARVLMHIF</v>
      </c>
      <c r="P165" s="4" t="str">
        <f t="shared" si="61"/>
        <v>LCAVAHTSDVTGSLTYLHSVLNPVVYCFS</v>
      </c>
      <c r="Q165" s="4" t="str">
        <f t="shared" si="62"/>
        <v>SPTFRSSYRRVFHT</v>
      </c>
      <c r="R165" s="5">
        <f>VLOOKUP($A165,'SegEnds_NonXtal_Prot#'!$A:$AL,3,FALSE)</f>
        <v>4</v>
      </c>
      <c r="S165" s="5">
        <f>VLOOKUP($A165,'SegEnds_NonXtal_Prot#'!$A:$AL,6,FALSE)</f>
        <v>43</v>
      </c>
      <c r="T165" s="5">
        <f>VLOOKUP($A165,'SegEnds_NonXtal_Prot#'!$A:$AL,9,FALSE)</f>
        <v>47</v>
      </c>
      <c r="U165" s="5">
        <f>VLOOKUP($A165,'SegEnds_NonXtal_Prot#'!$A:$AL,12,FALSE)</f>
        <v>79</v>
      </c>
      <c r="V165" s="5">
        <f>VLOOKUP($A165,'SegEnds_NonXtal_Prot#'!$A:$AL,15,FALSE)</f>
        <v>83</v>
      </c>
      <c r="W165" s="5">
        <f>VLOOKUP($A165,'SegEnds_NonXtal_Prot#'!$A:$AL,18,FALSE)</f>
        <v>119</v>
      </c>
      <c r="X165" s="5">
        <f>VLOOKUP($A165,'SegEnds_NonXtal_Prot#'!$A:$AL,21,FALSE)</f>
        <v>127</v>
      </c>
      <c r="Y165" s="5">
        <f>VLOOKUP($A165,'SegEnds_NonXtal_Prot#'!$A:$AL,24,FALSE)</f>
        <v>162</v>
      </c>
      <c r="Z165" s="5">
        <f>VLOOKUP($A165,'SegEnds_NonXtal_Prot#'!$A:$AL,27,FALSE)</f>
        <v>170</v>
      </c>
      <c r="AA165" s="5">
        <f>VLOOKUP($A165,'SegEnds_NonXtal_Prot#'!$A:$AL,30,FALSE)</f>
        <v>211</v>
      </c>
      <c r="AB165" s="5">
        <f>VLOOKUP($A165,'SegEnds_NonXtal_Prot#'!$A:$AL,33,FALSE)</f>
        <v>257</v>
      </c>
      <c r="AC165" s="5">
        <f>VLOOKUP($A165,'SegEnds_NonXtal_Prot#'!$A:$AL,36,FALSE)</f>
        <v>286</v>
      </c>
      <c r="AD165" s="5">
        <f>VLOOKUP($A165,'SegEnds_NonXtal_Prot#'!$A:$AL,5,FALSE)</f>
        <v>42</v>
      </c>
      <c r="AE165" s="5">
        <f>VLOOKUP($A165,'SegEnds_NonXtal_Prot#'!$A:$AL,8,FALSE)</f>
        <v>46</v>
      </c>
      <c r="AF165" s="5">
        <f>VLOOKUP($A165,'SegEnds_NonXtal_Prot#'!$A:$AL,11,FALSE)</f>
        <v>76</v>
      </c>
      <c r="AG165" s="5">
        <f>VLOOKUP($A165,'SegEnds_NonXtal_Prot#'!$A:$AL,14,FALSE)</f>
        <v>82</v>
      </c>
      <c r="AH165" s="5">
        <f>VLOOKUP($A165,'SegEnds_NonXtal_Prot#'!$A:$AL,17,FALSE)</f>
        <v>118</v>
      </c>
      <c r="AI165" s="5">
        <f>VLOOKUP($A165,'SegEnds_NonXtal_Prot#'!$A:$AL,20,FALSE)</f>
        <v>126</v>
      </c>
      <c r="AJ165" s="5">
        <f>VLOOKUP($A165,'SegEnds_NonXtal_Prot#'!$A:$AL,23,FALSE)</f>
        <v>153</v>
      </c>
      <c r="AK165" s="5">
        <f>VLOOKUP($A165,'SegEnds_NonXtal_Prot#'!$A:$AL,26,FALSE)</f>
        <v>164</v>
      </c>
      <c r="AL165" s="5">
        <f>VLOOKUP($A165,'SegEnds_NonXtal_Prot#'!$A:$AL,29,FALSE)</f>
        <v>207</v>
      </c>
      <c r="AM165" s="5">
        <f>VLOOKUP($A165,'SegEnds_NonXtal_Prot#'!$A:$AL,32,FALSE)</f>
        <v>248</v>
      </c>
      <c r="AN165" s="5">
        <f>VLOOKUP($A165,'SegEnds_NonXtal_Prot#'!$A:$AL,35,FALSE)</f>
        <v>285</v>
      </c>
      <c r="AO165" s="5">
        <f>VLOOKUP($A165,'SegEnds_NonXtal_Prot#'!$A:$AL,38,FALSE)</f>
        <v>299</v>
      </c>
      <c r="AP165" s="5">
        <f t="shared" si="63"/>
        <v>38</v>
      </c>
      <c r="AQ165" s="4">
        <f t="shared" si="64"/>
        <v>3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37</v>
      </c>
      <c r="AY165" s="4">
        <f t="shared" si="72"/>
        <v>37</v>
      </c>
      <c r="AZ165" s="4">
        <f t="shared" si="73"/>
        <v>28</v>
      </c>
      <c r="BA165" s="4">
        <f t="shared" si="74"/>
        <v>13</v>
      </c>
    </row>
    <row r="166" spans="1:53" x14ac:dyDescent="0.2">
      <c r="A166" s="1" t="str">
        <f>'SegEnds_NonXtal_Prot#'!A139</f>
        <v>gpr32_human</v>
      </c>
      <c r="B166" s="1" t="str">
        <f t="shared" si="50"/>
        <v>SLRPLTVVILSASIVVGVLGNGLVLWMTVFRTVSTVCFFHLALADFMLSLSLPIAMYYIVSGEWACKLYITFVFLSYFASNCLLVFISVDRCISVLYTVQRASWLAFGVWLLAAALCSAHLKFRVVEGHIIGTIGHFLLGFLGPLAIIGTCAHLIRAKLLREANRPKRLLLVLVSAFFIFWSPFNVVLLVHLWRHPRMLLILQASFALGCVNSSLNPFLYVFVGRDFQEKFFQSLT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6" s="5" t="str">
        <f t="shared" si="51"/>
        <v>SLRPLTVVILSASIVVGVLGNGLVLWMTVFR</v>
      </c>
      <c r="G166" s="4" t="str">
        <f t="shared" si="52"/>
        <v/>
      </c>
      <c r="H166" s="4" t="str">
        <f t="shared" si="53"/>
        <v>TVSTVCFFHLALADFMLSLSLPIAMYYIVS</v>
      </c>
      <c r="I166" s="4" t="str">
        <f t="shared" si="54"/>
        <v>QWLL</v>
      </c>
      <c r="J166" s="4" t="str">
        <f t="shared" si="55"/>
        <v>GEWACKLYITFVFLSYFASNCLLVFISVDRCISVLY</v>
      </c>
      <c r="K166" s="4" t="str">
        <f t="shared" si="56"/>
        <v>PVWALNHR</v>
      </c>
      <c r="L166" s="4" t="str">
        <f t="shared" si="57"/>
        <v>TVQRASWLAFGVWLLAAALCSAHLKFR</v>
      </c>
      <c r="M166" s="4" t="str">
        <f t="shared" si="58"/>
        <v>CYL</v>
      </c>
      <c r="N166" s="4" t="str">
        <f t="shared" si="59"/>
        <v>VVEGHIIGTIGHFLLGFLGPLAIIGTCAHLIRAKLLRE</v>
      </c>
      <c r="O166" s="4" t="str">
        <f t="shared" si="60"/>
        <v>ANRPKRLLLVLVSAFFIFWSPFNVVLLVHLWR</v>
      </c>
      <c r="P166" s="4" t="str">
        <f t="shared" si="61"/>
        <v>HPRMLLILQASFALGCVNSSLNPFLYVFV</v>
      </c>
      <c r="Q166" s="4" t="str">
        <f t="shared" si="62"/>
        <v>GRDFQEKFFQSLT</v>
      </c>
      <c r="R166" s="5">
        <f>VLOOKUP($A166,'SegEnds_NonXtal_Prot#'!$A:$AL,3,FALSE)</f>
        <v>41</v>
      </c>
      <c r="S166" s="5" t="str">
        <f>VLOOKUP($A166,'SegEnds_NonXtal_Prot#'!$A:$AL,6,FALSE)</f>
        <v>-</v>
      </c>
      <c r="T166" s="5">
        <f>VLOOKUP($A166,'SegEnds_NonXtal_Prot#'!$A:$AL,9,FALSE)</f>
        <v>75</v>
      </c>
      <c r="U166" s="5">
        <f>VLOOKUP($A166,'SegEnds_NonXtal_Prot#'!$A:$AL,12,FALSE)</f>
        <v>106</v>
      </c>
      <c r="V166" s="5">
        <f>VLOOKUP($A166,'SegEnds_NonXtal_Prot#'!$A:$AL,15,FALSE)</f>
        <v>110</v>
      </c>
      <c r="W166" s="5">
        <f>VLOOKUP($A166,'SegEnds_NonXtal_Prot#'!$A:$AL,18,FALSE)</f>
        <v>146</v>
      </c>
      <c r="X166" s="5">
        <f>VLOOKUP($A166,'SegEnds_NonXtal_Prot#'!$A:$AL,21,FALSE)</f>
        <v>154</v>
      </c>
      <c r="Y166" s="5">
        <f>VLOOKUP($A166,'SegEnds_NonXtal_Prot#'!$A:$AL,24,FALSE)</f>
        <v>191</v>
      </c>
      <c r="Z166" s="5">
        <f>VLOOKUP($A166,'SegEnds_NonXtal_Prot#'!$A:$AL,27,FALSE)</f>
        <v>209</v>
      </c>
      <c r="AA166" s="5">
        <f>VLOOKUP($A166,'SegEnds_NonXtal_Prot#'!$A:$AL,30,FALSE)</f>
        <v>251</v>
      </c>
      <c r="AB166" s="5">
        <f>VLOOKUP($A166,'SegEnds_NonXtal_Prot#'!$A:$AL,33,FALSE)</f>
        <v>291</v>
      </c>
      <c r="AC166" s="5">
        <f>VLOOKUP($A166,'SegEnds_NonXtal_Prot#'!$A:$AL,36,FALSE)</f>
        <v>320</v>
      </c>
      <c r="AD166" s="5">
        <f>VLOOKUP($A166,'SegEnds_NonXtal_Prot#'!$A:$AL,5,FALSE)</f>
        <v>71</v>
      </c>
      <c r="AE166" s="5" t="str">
        <f>VLOOKUP($A166,'SegEnds_NonXtal_Prot#'!$A:$AL,8,FALSE)</f>
        <v>-</v>
      </c>
      <c r="AF166" s="5">
        <f>VLOOKUP($A166,'SegEnds_NonXtal_Prot#'!$A:$AL,11,FALSE)</f>
        <v>104</v>
      </c>
      <c r="AG166" s="5">
        <f>VLOOKUP($A166,'SegEnds_NonXtal_Prot#'!$A:$AL,14,FALSE)</f>
        <v>109</v>
      </c>
      <c r="AH166" s="5">
        <f>VLOOKUP($A166,'SegEnds_NonXtal_Prot#'!$A:$AL,17,FALSE)</f>
        <v>145</v>
      </c>
      <c r="AI166" s="5">
        <f>VLOOKUP($A166,'SegEnds_NonXtal_Prot#'!$A:$AL,20,FALSE)</f>
        <v>153</v>
      </c>
      <c r="AJ166" s="5">
        <f>VLOOKUP($A166,'SegEnds_NonXtal_Prot#'!$A:$AL,23,FALSE)</f>
        <v>180</v>
      </c>
      <c r="AK166" s="5">
        <f>VLOOKUP($A166,'SegEnds_NonXtal_Prot#'!$A:$AL,26,FALSE)</f>
        <v>193</v>
      </c>
      <c r="AL166" s="5">
        <f>VLOOKUP($A166,'SegEnds_NonXtal_Prot#'!$A:$AL,29,FALSE)</f>
        <v>246</v>
      </c>
      <c r="AM166" s="5">
        <f>VLOOKUP($A166,'SegEnds_NonXtal_Prot#'!$A:$AL,32,FALSE)</f>
        <v>282</v>
      </c>
      <c r="AN166" s="5">
        <f>VLOOKUP($A166,'SegEnds_NonXtal_Prot#'!$A:$AL,35,FALSE)</f>
        <v>319</v>
      </c>
      <c r="AO166" s="5">
        <f>VLOOKUP($A166,'SegEnds_NonXtal_Prot#'!$A:$AL,38,FALSE)</f>
        <v>332</v>
      </c>
      <c r="AP166" s="5">
        <f t="shared" si="63"/>
        <v>30</v>
      </c>
      <c r="AQ166" s="4" t="str">
        <f t="shared" si="64"/>
        <v>-</v>
      </c>
      <c r="AR166" s="4">
        <f t="shared" si="65"/>
        <v>29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26</v>
      </c>
      <c r="AW166" s="4">
        <f t="shared" si="70"/>
        <v>2</v>
      </c>
      <c r="AX166" s="4">
        <f t="shared" si="71"/>
        <v>37</v>
      </c>
      <c r="AY166" s="4">
        <f t="shared" si="72"/>
        <v>31</v>
      </c>
      <c r="AZ166" s="4">
        <f t="shared" si="73"/>
        <v>28</v>
      </c>
      <c r="BA166" s="4">
        <f t="shared" si="74"/>
        <v>12</v>
      </c>
    </row>
    <row r="167" spans="1:53" x14ac:dyDescent="0.2">
      <c r="A167" s="1" t="str">
        <f>'SegEnds_NonXtal_Prot#'!A140</f>
        <v>gpr33_human</v>
      </c>
      <c r="B167" s="1" t="str">
        <f t="shared" si="50"/>
        <v>ASKMIIALSLYISSIIGTITNGLYLWVLRFKTVNTLLFFHLILSYFISTMILPFMATSQLQGTALCKVFNGTLSLGMFTSVFFLSAIGLDRYLLTLHTPRWASSIVLGVWISAAALSIPYLIFRIHVACFISRFLLGFLLPFFIIIFCYERVASKVKERSSKPFKVMMTAIISFFVCWMPYHIHQGLLLTTLELTLILTVLTTSFNTIFSPTLYLFVGENFKKVFKKSILAL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7" s="5" t="str">
        <f t="shared" si="51"/>
        <v>ASKMIIALSLYISSIIGTITNGLYLWVLRFK</v>
      </c>
      <c r="G167" s="4" t="str">
        <f t="shared" si="52"/>
        <v/>
      </c>
      <c r="H167" s="4" t="str">
        <f t="shared" si="53"/>
        <v>TVNTLLFFHLILSYFISTMILPFMATSQLQ</v>
      </c>
      <c r="I167" s="4" t="str">
        <f t="shared" si="54"/>
        <v>HWNF</v>
      </c>
      <c r="J167" s="4" t="str">
        <f t="shared" si="55"/>
        <v>GTALCKVFNGTLSLGMFTSVFFLSAIGLDRYLLTLH</v>
      </c>
      <c r="K167" s="4" t="str">
        <f t="shared" si="56"/>
        <v>PVWSQQHR</v>
      </c>
      <c r="L167" s="4" t="str">
        <f t="shared" si="57"/>
        <v>TPRWASSIVLGVWISAAALSIPYLIFR</v>
      </c>
      <c r="M167" s="4" t="str">
        <f t="shared" si="58"/>
        <v>CQN</v>
      </c>
      <c r="N167" s="4" t="str">
        <f t="shared" si="59"/>
        <v>IHVACFISRFLLGFLLPFFIIIFCYERVASKVKER</v>
      </c>
      <c r="O167" s="4" t="str">
        <f t="shared" si="60"/>
        <v>SSKPFKVMMTAIISFFVCWMPYHIHQGLLLTT</v>
      </c>
      <c r="P167" s="4" t="str">
        <f t="shared" si="61"/>
        <v>LELTLILTVLTTSFNTIFSPTLYLFV</v>
      </c>
      <c r="Q167" s="4" t="str">
        <f t="shared" si="62"/>
        <v>GENFKKVFKKSILAL</v>
      </c>
      <c r="R167" s="5">
        <f>VLOOKUP($A167,'SegEnds_NonXtal_Prot#'!$A:$AL,3,FALSE)</f>
        <v>27</v>
      </c>
      <c r="S167" s="5" t="str">
        <f>VLOOKUP($A167,'SegEnds_NonXtal_Prot#'!$A:$AL,6,FALSE)</f>
        <v>-</v>
      </c>
      <c r="T167" s="5">
        <f>VLOOKUP($A167,'SegEnds_NonXtal_Prot#'!$A:$AL,9,FALSE)</f>
        <v>61</v>
      </c>
      <c r="U167" s="5">
        <f>VLOOKUP($A167,'SegEnds_NonXtal_Prot#'!$A:$AL,12,FALSE)</f>
        <v>93</v>
      </c>
      <c r="V167" s="5">
        <f>VLOOKUP($A167,'SegEnds_NonXtal_Prot#'!$A:$AL,15,FALSE)</f>
        <v>97</v>
      </c>
      <c r="W167" s="5">
        <f>VLOOKUP($A167,'SegEnds_NonXtal_Prot#'!$A:$AL,18,FALSE)</f>
        <v>133</v>
      </c>
      <c r="X167" s="5">
        <f>VLOOKUP($A167,'SegEnds_NonXtal_Prot#'!$A:$AL,21,FALSE)</f>
        <v>141</v>
      </c>
      <c r="Y167" s="5">
        <f>VLOOKUP($A167,'SegEnds_NonXtal_Prot#'!$A:$AL,24,FALSE)</f>
        <v>179</v>
      </c>
      <c r="Z167" s="5">
        <f>VLOOKUP($A167,'SegEnds_NonXtal_Prot#'!$A:$AL,27,FALSE)</f>
        <v>201</v>
      </c>
      <c r="AA167" s="5">
        <f>VLOOKUP($A167,'SegEnds_NonXtal_Prot#'!$A:$AL,30,FALSE)</f>
        <v>240</v>
      </c>
      <c r="AB167" s="5">
        <f>VLOOKUP($A167,'SegEnds_NonXtal_Prot#'!$A:$AL,33,FALSE)</f>
        <v>277</v>
      </c>
      <c r="AC167" s="5">
        <f>VLOOKUP($A167,'SegEnds_NonXtal_Prot#'!$A:$AL,36,FALSE)</f>
        <v>303</v>
      </c>
      <c r="AD167" s="5">
        <f>VLOOKUP($A167,'SegEnds_NonXtal_Prot#'!$A:$AL,5,FALSE)</f>
        <v>57</v>
      </c>
      <c r="AE167" s="5" t="str">
        <f>VLOOKUP($A167,'SegEnds_NonXtal_Prot#'!$A:$AL,8,FALSE)</f>
        <v>-</v>
      </c>
      <c r="AF167" s="5">
        <f>VLOOKUP($A167,'SegEnds_NonXtal_Prot#'!$A:$AL,11,FALSE)</f>
        <v>90</v>
      </c>
      <c r="AG167" s="5">
        <f>VLOOKUP($A167,'SegEnds_NonXtal_Prot#'!$A:$AL,14,FALSE)</f>
        <v>96</v>
      </c>
      <c r="AH167" s="5">
        <f>VLOOKUP($A167,'SegEnds_NonXtal_Prot#'!$A:$AL,17,FALSE)</f>
        <v>132</v>
      </c>
      <c r="AI167" s="5">
        <f>VLOOKUP($A167,'SegEnds_NonXtal_Prot#'!$A:$AL,20,FALSE)</f>
        <v>140</v>
      </c>
      <c r="AJ167" s="5">
        <f>VLOOKUP($A167,'SegEnds_NonXtal_Prot#'!$A:$AL,23,FALSE)</f>
        <v>167</v>
      </c>
      <c r="AK167" s="5">
        <f>VLOOKUP($A167,'SegEnds_NonXtal_Prot#'!$A:$AL,26,FALSE)</f>
        <v>181</v>
      </c>
      <c r="AL167" s="5">
        <f>VLOOKUP($A167,'SegEnds_NonXtal_Prot#'!$A:$AL,29,FALSE)</f>
        <v>235</v>
      </c>
      <c r="AM167" s="5">
        <f>VLOOKUP($A167,'SegEnds_NonXtal_Prot#'!$A:$AL,32,FALSE)</f>
        <v>271</v>
      </c>
      <c r="AN167" s="5">
        <f>VLOOKUP($A167,'SegEnds_NonXtal_Prot#'!$A:$AL,35,FALSE)</f>
        <v>302</v>
      </c>
      <c r="AO167" s="5">
        <f>VLOOKUP($A167,'SegEnds_NonXtal_Prot#'!$A:$AL,38,FALSE)</f>
        <v>317</v>
      </c>
      <c r="AP167" s="5">
        <f t="shared" si="63"/>
        <v>30</v>
      </c>
      <c r="AQ167" s="4" t="str">
        <f t="shared" si="64"/>
        <v>-</v>
      </c>
      <c r="AR167" s="4">
        <f t="shared" si="65"/>
        <v>29</v>
      </c>
      <c r="AS167" s="4">
        <f t="shared" si="66"/>
        <v>3</v>
      </c>
      <c r="AT167" s="4">
        <f t="shared" si="67"/>
        <v>35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34</v>
      </c>
      <c r="AY167" s="4">
        <f t="shared" si="72"/>
        <v>31</v>
      </c>
      <c r="AZ167" s="4">
        <f t="shared" si="73"/>
        <v>25</v>
      </c>
      <c r="BA167" s="4">
        <f t="shared" si="74"/>
        <v>14</v>
      </c>
    </row>
    <row r="168" spans="1:53" x14ac:dyDescent="0.2">
      <c r="A168" s="1" t="str">
        <f>'SegEnds_NonXtal_Prot#'!A141</f>
        <v>gpr34_human</v>
      </c>
      <c r="B168" s="1" t="str">
        <f t="shared" si="50"/>
        <v>KLLSTVLTTSYSVIFIVGLVGNIIALYVFLGINSIQIYLLNVAIADLLLIFCLPFRIMYHINGVILCKVVGTLFYMNMYISIILLGFISLDRYIKINRTTKQSIYVCCIVWMLALGGFLTMIILNAKGEAIFNFILVVMFWLIFLLIILSYIKIGKNLLRIKFPNSGKYATTARNSFIVLIIFTICFVPYHAFRFIYISSSCYWKEIVHKTNEIMLVLSSFNSCLDPVMYFLMSSNIRKIMCQLLFRR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8" s="5" t="str">
        <f t="shared" si="51"/>
        <v>KLLSTVLTTSYSVIFIVGLVGNIIALYVFLGI</v>
      </c>
      <c r="G168" s="4" t="str">
        <f t="shared" si="52"/>
        <v/>
      </c>
      <c r="H168" s="4" t="str">
        <f t="shared" si="53"/>
        <v>NSIQIYLLNVAIADLLLIFCLPFRIMYHIN</v>
      </c>
      <c r="I168" s="4" t="str">
        <f t="shared" si="54"/>
        <v>KWTL</v>
      </c>
      <c r="J168" s="4" t="str">
        <f t="shared" si="55"/>
        <v>GVILCKVVGTLFYMNMYISIILLGFISLDRYIKINR</v>
      </c>
      <c r="K168" s="4" t="str">
        <f t="shared" si="56"/>
        <v>SIQQRKAI</v>
      </c>
      <c r="L168" s="4" t="str">
        <f t="shared" si="57"/>
        <v>TTKQSIYVCCIVWMLALGGFLTMIIL</v>
      </c>
      <c r="M168" s="4" t="str">
        <f t="shared" si="58"/>
        <v>CFH</v>
      </c>
      <c r="N168" s="4" t="str">
        <f t="shared" si="59"/>
        <v>NAKGEAIFNFILVVMFWLIFLLIILSYIKIGKNLLRI</v>
      </c>
      <c r="O168" s="4" t="str">
        <f t="shared" si="60"/>
        <v>KFPNSGKYATTARNSFIVLIIFTICFVPYHAFRFIYISS</v>
      </c>
      <c r="P168" s="4" t="str">
        <f t="shared" si="61"/>
        <v>SCYWKEIVHKTNEIMLVLSSFNSCLDPVMYFLM</v>
      </c>
      <c r="Q168" s="4" t="str">
        <f t="shared" si="62"/>
        <v>SSNIRKIMCQLLFRR</v>
      </c>
      <c r="R168" s="5">
        <f>VLOOKUP($A168,'SegEnds_NonXtal_Prot#'!$A:$AL,3,FALSE)</f>
        <v>51</v>
      </c>
      <c r="S168" s="5" t="str">
        <f>VLOOKUP($A168,'SegEnds_NonXtal_Prot#'!$A:$AL,6,FALSE)</f>
        <v>-</v>
      </c>
      <c r="T168" s="5">
        <f>VLOOKUP($A168,'SegEnds_NonXtal_Prot#'!$A:$AL,9,FALSE)</f>
        <v>87</v>
      </c>
      <c r="U168" s="5">
        <f>VLOOKUP($A168,'SegEnds_NonXtal_Prot#'!$A:$AL,12,FALSE)</f>
        <v>119</v>
      </c>
      <c r="V168" s="5">
        <f>VLOOKUP($A168,'SegEnds_NonXtal_Prot#'!$A:$AL,15,FALSE)</f>
        <v>123</v>
      </c>
      <c r="W168" s="5">
        <f>VLOOKUP($A168,'SegEnds_NonXtal_Prot#'!$A:$AL,18,FALSE)</f>
        <v>159</v>
      </c>
      <c r="X168" s="5">
        <f>VLOOKUP($A168,'SegEnds_NonXtal_Prot#'!$A:$AL,21,FALSE)</f>
        <v>167</v>
      </c>
      <c r="Y168" s="5">
        <f>VLOOKUP($A168,'SegEnds_NonXtal_Prot#'!$A:$AL,24,FALSE)</f>
        <v>204</v>
      </c>
      <c r="Z168" s="5">
        <f>VLOOKUP($A168,'SegEnds_NonXtal_Prot#'!$A:$AL,27,FALSE)</f>
        <v>212</v>
      </c>
      <c r="AA168" s="5">
        <f>VLOOKUP($A168,'SegEnds_NonXtal_Prot#'!$A:$AL,30,FALSE)</f>
        <v>254</v>
      </c>
      <c r="AB168" s="5">
        <f>VLOOKUP($A168,'SegEnds_NonXtal_Prot#'!$A:$AL,33,FALSE)</f>
        <v>298</v>
      </c>
      <c r="AC168" s="5">
        <f>VLOOKUP($A168,'SegEnds_NonXtal_Prot#'!$A:$AL,36,FALSE)</f>
        <v>331</v>
      </c>
      <c r="AD168" s="5">
        <f>VLOOKUP($A168,'SegEnds_NonXtal_Prot#'!$A:$AL,5,FALSE)</f>
        <v>82</v>
      </c>
      <c r="AE168" s="5" t="str">
        <f>VLOOKUP($A168,'SegEnds_NonXtal_Prot#'!$A:$AL,8,FALSE)</f>
        <v>-</v>
      </c>
      <c r="AF168" s="5">
        <f>VLOOKUP($A168,'SegEnds_NonXtal_Prot#'!$A:$AL,11,FALSE)</f>
        <v>116</v>
      </c>
      <c r="AG168" s="5">
        <f>VLOOKUP($A168,'SegEnds_NonXtal_Prot#'!$A:$AL,14,FALSE)</f>
        <v>122</v>
      </c>
      <c r="AH168" s="5">
        <f>VLOOKUP($A168,'SegEnds_NonXtal_Prot#'!$A:$AL,17,FALSE)</f>
        <v>158</v>
      </c>
      <c r="AI168" s="5">
        <f>VLOOKUP($A168,'SegEnds_NonXtal_Prot#'!$A:$AL,20,FALSE)</f>
        <v>166</v>
      </c>
      <c r="AJ168" s="5">
        <f>VLOOKUP($A168,'SegEnds_NonXtal_Prot#'!$A:$AL,23,FALSE)</f>
        <v>192</v>
      </c>
      <c r="AK168" s="5">
        <f>VLOOKUP($A168,'SegEnds_NonXtal_Prot#'!$A:$AL,26,FALSE)</f>
        <v>206</v>
      </c>
      <c r="AL168" s="5">
        <f>VLOOKUP($A168,'SegEnds_NonXtal_Prot#'!$A:$AL,29,FALSE)</f>
        <v>248</v>
      </c>
      <c r="AM168" s="5">
        <f>VLOOKUP($A168,'SegEnds_NonXtal_Prot#'!$A:$AL,32,FALSE)</f>
        <v>292</v>
      </c>
      <c r="AN168" s="5">
        <f>VLOOKUP($A168,'SegEnds_NonXtal_Prot#'!$A:$AL,35,FALSE)</f>
        <v>330</v>
      </c>
      <c r="AO168" s="5">
        <f>VLOOKUP($A168,'SegEnds_NonXtal_Prot#'!$A:$AL,38,FALSE)</f>
        <v>345</v>
      </c>
      <c r="AP168" s="5">
        <f t="shared" si="63"/>
        <v>31</v>
      </c>
      <c r="AQ168" s="4" t="str">
        <f t="shared" si="64"/>
        <v>-</v>
      </c>
      <c r="AR168" s="4">
        <f t="shared" si="65"/>
        <v>29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25</v>
      </c>
      <c r="AW168" s="4">
        <f t="shared" si="70"/>
        <v>2</v>
      </c>
      <c r="AX168" s="4">
        <f t="shared" si="71"/>
        <v>36</v>
      </c>
      <c r="AY168" s="4">
        <f t="shared" si="72"/>
        <v>38</v>
      </c>
      <c r="AZ168" s="4">
        <f t="shared" si="73"/>
        <v>32</v>
      </c>
      <c r="BA168" s="4">
        <f t="shared" si="74"/>
        <v>14</v>
      </c>
    </row>
    <row r="169" spans="1:53" x14ac:dyDescent="0.2">
      <c r="A169" s="1" t="str">
        <f>'SegEnds_NonXtal_Prot#'!A142</f>
        <v>gpr35_human</v>
      </c>
      <c r="B169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9" s="5" t="str">
        <f t="shared" si="51"/>
        <v>WPPAIKLGFYAYLGVLLVLGLLLNSLALWVFCCR</v>
      </c>
      <c r="G169" s="4" t="str">
        <f t="shared" si="52"/>
        <v>MQQW</v>
      </c>
      <c r="H169" s="4" t="str">
        <f t="shared" si="53"/>
        <v>TETRIYMTNLAVADLCLLCTLPFVLHSLRD</v>
      </c>
      <c r="I169" s="4" t="str">
        <f t="shared" si="54"/>
        <v/>
      </c>
      <c r="J169" s="4" t="str">
        <f t="shared" si="55"/>
        <v>LCQLSQGIYLTNRYMSISLVTAIAVDRYVAVRH</v>
      </c>
      <c r="K169" s="4" t="str">
        <f t="shared" si="56"/>
        <v>PLRARGLR</v>
      </c>
      <c r="L169" s="4" t="str">
        <f t="shared" si="57"/>
        <v>SPRQAAAVCAVLWVLVIGSLVARWLLG</v>
      </c>
      <c r="M169" s="4" t="str">
        <f t="shared" si="58"/>
        <v>CFR</v>
      </c>
      <c r="N169" s="4" t="str">
        <f t="shared" si="59"/>
        <v>HNFNSMAFPLLGFYLPLAVVVFCSLKVVTALAQR</v>
      </c>
      <c r="O169" s="4" t="str">
        <f t="shared" si="60"/>
        <v>VGQAEATRKAARMVWANLLVFVVCFLPLHVGLTVRLAV</v>
      </c>
      <c r="P169" s="4" t="str">
        <f t="shared" si="61"/>
        <v>LETIRRALYITSKLSDANCCLDAICYYYM</v>
      </c>
      <c r="Q169" s="4" t="str">
        <f t="shared" si="62"/>
        <v>AKEFQEASALAV</v>
      </c>
      <c r="R169" s="5">
        <f>VLOOKUP($A169,'SegEnds_NonXtal_Prot#'!$A:$AL,3,FALSE)</f>
        <v>15</v>
      </c>
      <c r="S169" s="5">
        <f>VLOOKUP($A169,'SegEnds_NonXtal_Prot#'!$A:$AL,6,FALSE)</f>
        <v>49</v>
      </c>
      <c r="T169" s="5">
        <f>VLOOKUP($A169,'SegEnds_NonXtal_Prot#'!$A:$AL,9,FALSE)</f>
        <v>53</v>
      </c>
      <c r="U169" s="5" t="str">
        <f>VLOOKUP($A169,'SegEnds_NonXtal_Prot#'!$A:$AL,12,FALSE)</f>
        <v>-</v>
      </c>
      <c r="V169" s="5">
        <f>VLOOKUP($A169,'SegEnds_NonXtal_Prot#'!$A:$AL,15,FALSE)</f>
        <v>88</v>
      </c>
      <c r="W169" s="5">
        <f>VLOOKUP($A169,'SegEnds_NonXtal_Prot#'!$A:$AL,18,FALSE)</f>
        <v>121</v>
      </c>
      <c r="X169" s="5">
        <f>VLOOKUP($A169,'SegEnds_NonXtal_Prot#'!$A:$AL,21,FALSE)</f>
        <v>129</v>
      </c>
      <c r="Y169" s="5">
        <f>VLOOKUP($A169,'SegEnds_NonXtal_Prot#'!$A:$AL,24,FALSE)</f>
        <v>162</v>
      </c>
      <c r="Z169" s="5">
        <f>VLOOKUP($A169,'SegEnds_NonXtal_Prot#'!$A:$AL,27,FALSE)</f>
        <v>168</v>
      </c>
      <c r="AA169" s="5">
        <f>VLOOKUP($A169,'SegEnds_NonXtal_Prot#'!$A:$AL,30,FALSE)</f>
        <v>206</v>
      </c>
      <c r="AB169" s="5">
        <f>VLOOKUP($A169,'SegEnds_NonXtal_Prot#'!$A:$AL,33,FALSE)</f>
        <v>251</v>
      </c>
      <c r="AC169" s="5">
        <f>VLOOKUP($A169,'SegEnds_NonXtal_Prot#'!$A:$AL,36,FALSE)</f>
        <v>280</v>
      </c>
      <c r="AD169" s="5">
        <f>VLOOKUP($A169,'SegEnds_NonXtal_Prot#'!$A:$AL,5,FALSE)</f>
        <v>48</v>
      </c>
      <c r="AE169" s="5">
        <f>VLOOKUP($A169,'SegEnds_NonXtal_Prot#'!$A:$AL,8,FALSE)</f>
        <v>52</v>
      </c>
      <c r="AF169" s="5">
        <f>VLOOKUP($A169,'SegEnds_NonXtal_Prot#'!$A:$AL,11,FALSE)</f>
        <v>82</v>
      </c>
      <c r="AG169" s="5" t="str">
        <f>VLOOKUP($A169,'SegEnds_NonXtal_Prot#'!$A:$AL,14,FALSE)</f>
        <v>-</v>
      </c>
      <c r="AH169" s="5">
        <f>VLOOKUP($A169,'SegEnds_NonXtal_Prot#'!$A:$AL,17,FALSE)</f>
        <v>120</v>
      </c>
      <c r="AI169" s="5">
        <f>VLOOKUP($A169,'SegEnds_NonXtal_Prot#'!$A:$AL,20,FALSE)</f>
        <v>128</v>
      </c>
      <c r="AJ169" s="5">
        <f>VLOOKUP($A169,'SegEnds_NonXtal_Prot#'!$A:$AL,23,FALSE)</f>
        <v>155</v>
      </c>
      <c r="AK169" s="5">
        <f>VLOOKUP($A169,'SegEnds_NonXtal_Prot#'!$A:$AL,26,FALSE)</f>
        <v>164</v>
      </c>
      <c r="AL169" s="5">
        <f>VLOOKUP($A169,'SegEnds_NonXtal_Prot#'!$A:$AL,29,FALSE)</f>
        <v>201</v>
      </c>
      <c r="AM169" s="5">
        <f>VLOOKUP($A169,'SegEnds_NonXtal_Prot#'!$A:$AL,32,FALSE)</f>
        <v>243</v>
      </c>
      <c r="AN169" s="5">
        <f>VLOOKUP($A169,'SegEnds_NonXtal_Prot#'!$A:$AL,35,FALSE)</f>
        <v>279</v>
      </c>
      <c r="AO169" s="5">
        <f>VLOOKUP($A169,'SegEnds_NonXtal_Prot#'!$A:$AL,38,FALSE)</f>
        <v>291</v>
      </c>
      <c r="AP169" s="5">
        <f t="shared" si="63"/>
        <v>33</v>
      </c>
      <c r="AQ169" s="4">
        <f t="shared" si="64"/>
        <v>3</v>
      </c>
      <c r="AR169" s="4">
        <f t="shared" si="65"/>
        <v>29</v>
      </c>
      <c r="AS169" s="4" t="str">
        <f t="shared" si="66"/>
        <v>-</v>
      </c>
      <c r="AT169" s="4">
        <f t="shared" si="67"/>
        <v>32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33</v>
      </c>
      <c r="AY169" s="4">
        <f t="shared" si="72"/>
        <v>37</v>
      </c>
      <c r="AZ169" s="4">
        <f t="shared" si="73"/>
        <v>28</v>
      </c>
      <c r="BA169" s="4">
        <f t="shared" si="74"/>
        <v>11</v>
      </c>
    </row>
    <row r="170" spans="1:53" x14ac:dyDescent="0.2">
      <c r="A170" s="1" t="str">
        <f>'SegEnds_NonXtal_Prot#'!A143</f>
        <v>gpr37_human</v>
      </c>
      <c r="B170" s="1" t="str">
        <f t="shared" si="50"/>
        <v>FYPLTQESYGAYAVMCLSVVIFGTGIIGNLAVMCIVCHNSISNSLLANLAFWDFLIIFFCLPLVIFHELTEDFSCKIVPYIEVASLGVTTFTLCALCIDRFRAATNNCSSTTAKLAVIWVGALLLALPEVVLRVLALTYDSARLWWYFGCYFCLPTLFTITCSLVTARKIRKAEKACKRQIQLESQMNCTVVALTILYGFCIIPENICNIVTAYMQQTMDLLNIISQFLLFFKSCVTPVLLFCLCKPFSRAFMECCCC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70" s="5" t="str">
        <f t="shared" si="51"/>
        <v>FYPLTQESYGAYAVMCLSVVIFGTGIIGNLAVMCIVCHN</v>
      </c>
      <c r="G170" s="4" t="str">
        <f t="shared" si="52"/>
        <v>YYMR</v>
      </c>
      <c r="H170" s="4" t="str">
        <f t="shared" si="53"/>
        <v>SISNSLLANLAFWDFLIIFFCLPLVIFHELT</v>
      </c>
      <c r="I170" s="4" t="str">
        <f t="shared" si="54"/>
        <v>KWLL</v>
      </c>
      <c r="J170" s="4" t="str">
        <f t="shared" si="55"/>
        <v>EDFSCKIVPYIEVASLGVTTFTLCALCIDRFRAATN</v>
      </c>
      <c r="K170" s="4" t="str">
        <f t="shared" si="56"/>
        <v>QMYYEMIE</v>
      </c>
      <c r="L170" s="4" t="str">
        <f t="shared" si="57"/>
        <v>NCSSTTAKLAVIWVGALLLALPEVVLR</v>
      </c>
      <c r="M170" s="4" t="str">
        <f t="shared" si="58"/>
        <v>CII</v>
      </c>
      <c r="N170" s="4" t="str">
        <f t="shared" si="59"/>
        <v>VLALTYDSARLWWYFGCYFCLPTLFTITCSLVTARKIRKAEKAC</v>
      </c>
      <c r="O170" s="4" t="str">
        <f t="shared" si="60"/>
        <v>KRQIQLESQMNCTVVALTILYGFCIIPENICNIVTAYM</v>
      </c>
      <c r="P170" s="4" t="str">
        <f t="shared" si="61"/>
        <v>QQTMDLLNIISQFLLFFKSCVTPVLLFCL</v>
      </c>
      <c r="Q170" s="4" t="str">
        <f t="shared" si="62"/>
        <v>CKPFSRAFMECCCC</v>
      </c>
      <c r="R170" s="5">
        <f>VLOOKUP($A170,'SegEnds_NonXtal_Prot#'!$A:$AL,3,FALSE)</f>
        <v>251</v>
      </c>
      <c r="S170" s="5">
        <f>VLOOKUP($A170,'SegEnds_NonXtal_Prot#'!$A:$AL,6,FALSE)</f>
        <v>290</v>
      </c>
      <c r="T170" s="5">
        <f>VLOOKUP($A170,'SegEnds_NonXtal_Prot#'!$A:$AL,9,FALSE)</f>
        <v>294</v>
      </c>
      <c r="U170" s="5">
        <f>VLOOKUP($A170,'SegEnds_NonXtal_Prot#'!$A:$AL,12,FALSE)</f>
        <v>326</v>
      </c>
      <c r="V170" s="5">
        <f>VLOOKUP($A170,'SegEnds_NonXtal_Prot#'!$A:$AL,15,FALSE)</f>
        <v>330</v>
      </c>
      <c r="W170" s="5">
        <f>VLOOKUP($A170,'SegEnds_NonXtal_Prot#'!$A:$AL,18,FALSE)</f>
        <v>367</v>
      </c>
      <c r="X170" s="5">
        <f>VLOOKUP($A170,'SegEnds_NonXtal_Prot#'!$A:$AL,21,FALSE)</f>
        <v>375</v>
      </c>
      <c r="Y170" s="5">
        <f>VLOOKUP($A170,'SegEnds_NonXtal_Prot#'!$A:$AL,24,FALSE)</f>
        <v>419</v>
      </c>
      <c r="Z170" s="5">
        <f>VLOOKUP($A170,'SegEnds_NonXtal_Prot#'!$A:$AL,27,FALSE)</f>
        <v>433</v>
      </c>
      <c r="AA170" s="5">
        <f>VLOOKUP($A170,'SegEnds_NonXtal_Prot#'!$A:$AL,30,FALSE)</f>
        <v>481</v>
      </c>
      <c r="AB170" s="5">
        <f>VLOOKUP($A170,'SegEnds_NonXtal_Prot#'!$A:$AL,33,FALSE)</f>
        <v>524</v>
      </c>
      <c r="AC170" s="5">
        <f>VLOOKUP($A170,'SegEnds_NonXtal_Prot#'!$A:$AL,36,FALSE)</f>
        <v>553</v>
      </c>
      <c r="AD170" s="5">
        <f>VLOOKUP($A170,'SegEnds_NonXtal_Prot#'!$A:$AL,5,FALSE)</f>
        <v>289</v>
      </c>
      <c r="AE170" s="5">
        <f>VLOOKUP($A170,'SegEnds_NonXtal_Prot#'!$A:$AL,8,FALSE)</f>
        <v>293</v>
      </c>
      <c r="AF170" s="5">
        <f>VLOOKUP($A170,'SegEnds_NonXtal_Prot#'!$A:$AL,11,FALSE)</f>
        <v>324</v>
      </c>
      <c r="AG170" s="5">
        <f>VLOOKUP($A170,'SegEnds_NonXtal_Prot#'!$A:$AL,14,FALSE)</f>
        <v>329</v>
      </c>
      <c r="AH170" s="5">
        <f>VLOOKUP($A170,'SegEnds_NonXtal_Prot#'!$A:$AL,17,FALSE)</f>
        <v>365</v>
      </c>
      <c r="AI170" s="5">
        <f>VLOOKUP($A170,'SegEnds_NonXtal_Prot#'!$A:$AL,20,FALSE)</f>
        <v>374</v>
      </c>
      <c r="AJ170" s="5">
        <f>VLOOKUP($A170,'SegEnds_NonXtal_Prot#'!$A:$AL,23,FALSE)</f>
        <v>401</v>
      </c>
      <c r="AK170" s="5">
        <f>VLOOKUP($A170,'SegEnds_NonXtal_Prot#'!$A:$AL,26,FALSE)</f>
        <v>421</v>
      </c>
      <c r="AL170" s="5">
        <f>VLOOKUP($A170,'SegEnds_NonXtal_Prot#'!$A:$AL,29,FALSE)</f>
        <v>476</v>
      </c>
      <c r="AM170" s="5">
        <f>VLOOKUP($A170,'SegEnds_NonXtal_Prot#'!$A:$AL,32,FALSE)</f>
        <v>518</v>
      </c>
      <c r="AN170" s="5">
        <f>VLOOKUP($A170,'SegEnds_NonXtal_Prot#'!$A:$AL,35,FALSE)</f>
        <v>552</v>
      </c>
      <c r="AO170" s="5">
        <f>VLOOKUP($A170,'SegEnds_NonXtal_Prot#'!$A:$AL,38,FALSE)</f>
        <v>566</v>
      </c>
      <c r="AP170" s="5">
        <f t="shared" si="63"/>
        <v>38</v>
      </c>
      <c r="AQ170" s="4">
        <f t="shared" si="64"/>
        <v>3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26</v>
      </c>
      <c r="AW170" s="4">
        <f t="shared" si="70"/>
        <v>2</v>
      </c>
      <c r="AX170" s="4">
        <f t="shared" si="71"/>
        <v>43</v>
      </c>
      <c r="AY170" s="4">
        <f t="shared" si="72"/>
        <v>37</v>
      </c>
      <c r="AZ170" s="4">
        <f t="shared" si="73"/>
        <v>28</v>
      </c>
      <c r="BA170" s="4">
        <f t="shared" si="74"/>
        <v>13</v>
      </c>
    </row>
    <row r="171" spans="1:53" x14ac:dyDescent="0.2">
      <c r="A171" s="1" t="str">
        <f>'SegEnds_NonXtal_Prot#'!A144</f>
        <v>gpr39_human</v>
      </c>
      <c r="B171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71" s="5" t="str">
        <f t="shared" si="51"/>
        <v>TWIKITLILVYLIIFVMGLLGNSATIRVTQVL</v>
      </c>
      <c r="G171" s="4" t="str">
        <f t="shared" si="52"/>
        <v/>
      </c>
      <c r="H171" s="4" t="str">
        <f t="shared" si="53"/>
        <v>KEVTDHMVSLACSDILVFLIGMPMEFYSIIWN</v>
      </c>
      <c r="I171" s="4" t="str">
        <f t="shared" si="54"/>
        <v/>
      </c>
      <c r="J171" s="4" t="str">
        <f t="shared" si="55"/>
        <v>TSSYTLSCKLHTFLFEACSYATLLHVLTLSFERYIAICH</v>
      </c>
      <c r="K171" s="4" t="str">
        <f t="shared" si="56"/>
        <v>PFRYKAVS</v>
      </c>
      <c r="L171" s="4" t="str">
        <f t="shared" si="57"/>
        <v>GPCQVKLLIGFVWVTSALVALPLLFAM</v>
      </c>
      <c r="M171" s="4" t="str">
        <f t="shared" si="58"/>
        <v>CTN</v>
      </c>
      <c r="N171" s="4" t="str">
        <f t="shared" si="59"/>
        <v>RWTVFQSSIFGAFVVYLVVLLSVAFMCWNMMQVLMKSQKGSL</v>
      </c>
      <c r="O171" s="4" t="str">
        <f t="shared" si="60"/>
        <v>EESRTARRQTIIFLRLIVVTLAVCWMPNQIRRIMAAAK</v>
      </c>
      <c r="P171" s="4" t="str">
        <f t="shared" si="61"/>
        <v>TRSYFRAYMILLPFSETFFYLSSVINPLLYTVS</v>
      </c>
      <c r="Q171" s="4" t="str">
        <f t="shared" si="62"/>
        <v>SQQFRRVFVQVL</v>
      </c>
      <c r="R171" s="5">
        <f>VLOOKUP($A171,'SegEnds_NonXtal_Prot#'!$A:$AL,3,FALSE)</f>
        <v>27</v>
      </c>
      <c r="S171" s="5" t="str">
        <f>VLOOKUP($A171,'SegEnds_NonXtal_Prot#'!$A:$AL,6,FALSE)</f>
        <v>-</v>
      </c>
      <c r="T171" s="5">
        <f>VLOOKUP($A171,'SegEnds_NonXtal_Prot#'!$A:$AL,9,FALSE)</f>
        <v>66</v>
      </c>
      <c r="U171" s="5" t="str">
        <f>VLOOKUP($A171,'SegEnds_NonXtal_Prot#'!$A:$AL,12,FALSE)</f>
        <v>-</v>
      </c>
      <c r="V171" s="5">
        <f>VLOOKUP($A171,'SegEnds_NonXtal_Prot#'!$A:$AL,15,FALSE)</f>
        <v>101</v>
      </c>
      <c r="W171" s="5">
        <f>VLOOKUP($A171,'SegEnds_NonXtal_Prot#'!$A:$AL,18,FALSE)</f>
        <v>140</v>
      </c>
      <c r="X171" s="5">
        <f>VLOOKUP($A171,'SegEnds_NonXtal_Prot#'!$A:$AL,21,FALSE)</f>
        <v>148</v>
      </c>
      <c r="Y171" s="5">
        <f>VLOOKUP($A171,'SegEnds_NonXtal_Prot#'!$A:$AL,24,FALSE)</f>
        <v>210</v>
      </c>
      <c r="Z171" s="5">
        <f>VLOOKUP($A171,'SegEnds_NonXtal_Prot#'!$A:$AL,27,FALSE)</f>
        <v>216</v>
      </c>
      <c r="AA171" s="5">
        <f>VLOOKUP($A171,'SegEnds_NonXtal_Prot#'!$A:$AL,30,FALSE)</f>
        <v>272</v>
      </c>
      <c r="AB171" s="5">
        <f>VLOOKUP($A171,'SegEnds_NonXtal_Prot#'!$A:$AL,33,FALSE)</f>
        <v>315</v>
      </c>
      <c r="AC171" s="5">
        <f>VLOOKUP($A171,'SegEnds_NonXtal_Prot#'!$A:$AL,36,FALSE)</f>
        <v>348</v>
      </c>
      <c r="AD171" s="5">
        <f>VLOOKUP($A171,'SegEnds_NonXtal_Prot#'!$A:$AL,5,FALSE)</f>
        <v>58</v>
      </c>
      <c r="AE171" s="5" t="str">
        <f>VLOOKUP($A171,'SegEnds_NonXtal_Prot#'!$A:$AL,8,FALSE)</f>
        <v>-</v>
      </c>
      <c r="AF171" s="5">
        <f>VLOOKUP($A171,'SegEnds_NonXtal_Prot#'!$A:$AL,11,FALSE)</f>
        <v>97</v>
      </c>
      <c r="AG171" s="5" t="str">
        <f>VLOOKUP($A171,'SegEnds_NonXtal_Prot#'!$A:$AL,14,FALSE)</f>
        <v>-</v>
      </c>
      <c r="AH171" s="5">
        <f>VLOOKUP($A171,'SegEnds_NonXtal_Prot#'!$A:$AL,17,FALSE)</f>
        <v>139</v>
      </c>
      <c r="AI171" s="5">
        <f>VLOOKUP($A171,'SegEnds_NonXtal_Prot#'!$A:$AL,20,FALSE)</f>
        <v>147</v>
      </c>
      <c r="AJ171" s="5">
        <f>VLOOKUP($A171,'SegEnds_NonXtal_Prot#'!$A:$AL,23,FALSE)</f>
        <v>174</v>
      </c>
      <c r="AK171" s="5">
        <f>VLOOKUP($A171,'SegEnds_NonXtal_Prot#'!$A:$AL,26,FALSE)</f>
        <v>212</v>
      </c>
      <c r="AL171" s="5">
        <f>VLOOKUP($A171,'SegEnds_NonXtal_Prot#'!$A:$AL,29,FALSE)</f>
        <v>257</v>
      </c>
      <c r="AM171" s="5">
        <f>VLOOKUP($A171,'SegEnds_NonXtal_Prot#'!$A:$AL,32,FALSE)</f>
        <v>309</v>
      </c>
      <c r="AN171" s="5">
        <f>VLOOKUP($A171,'SegEnds_NonXtal_Prot#'!$A:$AL,35,FALSE)</f>
        <v>347</v>
      </c>
      <c r="AO171" s="5">
        <f>VLOOKUP($A171,'SegEnds_NonXtal_Prot#'!$A:$AL,38,FALSE)</f>
        <v>359</v>
      </c>
      <c r="AP171" s="5">
        <f t="shared" si="63"/>
        <v>31</v>
      </c>
      <c r="AQ171" s="4" t="str">
        <f t="shared" si="64"/>
        <v>-</v>
      </c>
      <c r="AR171" s="4">
        <f t="shared" si="65"/>
        <v>31</v>
      </c>
      <c r="AS171" s="4" t="str">
        <f t="shared" si="66"/>
        <v>-</v>
      </c>
      <c r="AT171" s="4">
        <f t="shared" si="67"/>
        <v>38</v>
      </c>
      <c r="AU171" s="4">
        <f t="shared" si="68"/>
        <v>7</v>
      </c>
      <c r="AV171" s="4">
        <f t="shared" si="69"/>
        <v>26</v>
      </c>
      <c r="AW171" s="4">
        <f t="shared" si="70"/>
        <v>2</v>
      </c>
      <c r="AX171" s="4">
        <f t="shared" si="71"/>
        <v>41</v>
      </c>
      <c r="AY171" s="4">
        <f t="shared" si="72"/>
        <v>37</v>
      </c>
      <c r="AZ171" s="4">
        <f t="shared" si="73"/>
        <v>32</v>
      </c>
      <c r="BA171" s="4">
        <f t="shared" si="74"/>
        <v>11</v>
      </c>
    </row>
    <row r="172" spans="1:53" x14ac:dyDescent="0.2">
      <c r="A172" s="1" t="str">
        <f>'SegEnds_NonXtal_Prot#'!A145</f>
        <v>gpr4_human</v>
      </c>
      <c r="B172" s="1" t="str">
        <f t="shared" si="50"/>
        <v>SRVDHLFPPSLYIFVIGVGLPTNCLALWAAYRQNELGVYLMNLSIADLLYICTLPLWVDYFLHGPGSCKLFGFIFYTNIYISIAFLCCISVDRYLAVAHRVKTAVAVSSVVWATELGANSAPLFMEGWVAWMNLYRVFVGFLFPWALMLLSYRGILRAVRGERQEKAKIKRLALSLIAIVLVCFAPYHVLLLSRSAIYLGDCGFEERVFSAYHSSLAFTSLNCVADPILYCLVNEGARSDVAKALHNL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2" s="5" t="str">
        <f t="shared" si="51"/>
        <v>SRVDHLFPPSLYIFVIGVGLPTNCLALWAAYRQ</v>
      </c>
      <c r="G172" s="4" t="str">
        <f t="shared" si="52"/>
        <v/>
      </c>
      <c r="H172" s="4" t="str">
        <f t="shared" si="53"/>
        <v>NELGVYLMNLSIADLLYICTLPLWVDYFLH</v>
      </c>
      <c r="I172" s="4" t="str">
        <f t="shared" si="54"/>
        <v>NWIH</v>
      </c>
      <c r="J172" s="4" t="str">
        <f t="shared" si="55"/>
        <v>GPGSCKLFGFIFYTNIYISIAFLCCISVDRYLAVAH</v>
      </c>
      <c r="K172" s="4" t="str">
        <f t="shared" si="56"/>
        <v>PLRFARLR</v>
      </c>
      <c r="L172" s="4" t="str">
        <f t="shared" si="57"/>
        <v>RVKTAVAVSSVVWATELGANSAPLF</v>
      </c>
      <c r="M172" s="4" t="str">
        <f t="shared" si="58"/>
        <v>CFE</v>
      </c>
      <c r="N172" s="4" t="str">
        <f t="shared" si="59"/>
        <v>MEGWVAWMNLYRVFVGFLFPWALMLLSYRGILRAVRG</v>
      </c>
      <c r="O172" s="4" t="str">
        <f t="shared" si="60"/>
        <v>ERQEKAKIKRLALSLIAIVLVCFAPYHVLLLSRSAIYLG</v>
      </c>
      <c r="P172" s="4" t="str">
        <f t="shared" si="61"/>
        <v>DCGFEERVFSAYHSSLAFTSLNCVADPILYCLV</v>
      </c>
      <c r="Q172" s="4" t="str">
        <f t="shared" si="62"/>
        <v>NEGARSDVAKALHNL</v>
      </c>
      <c r="R172" s="5">
        <f>VLOOKUP($A172,'SegEnds_NonXtal_Prot#'!$A:$AL,3,FALSE)</f>
        <v>13</v>
      </c>
      <c r="S172" s="5" t="str">
        <f>VLOOKUP($A172,'SegEnds_NonXtal_Prot#'!$A:$AL,6,FALSE)</f>
        <v>-</v>
      </c>
      <c r="T172" s="5">
        <f>VLOOKUP($A172,'SegEnds_NonXtal_Prot#'!$A:$AL,9,FALSE)</f>
        <v>50</v>
      </c>
      <c r="U172" s="5">
        <f>VLOOKUP($A172,'SegEnds_NonXtal_Prot#'!$A:$AL,12,FALSE)</f>
        <v>82</v>
      </c>
      <c r="V172" s="5">
        <f>VLOOKUP($A172,'SegEnds_NonXtal_Prot#'!$A:$AL,15,FALSE)</f>
        <v>86</v>
      </c>
      <c r="W172" s="5">
        <f>VLOOKUP($A172,'SegEnds_NonXtal_Prot#'!$A:$AL,18,FALSE)</f>
        <v>122</v>
      </c>
      <c r="X172" s="5">
        <f>VLOOKUP($A172,'SegEnds_NonXtal_Prot#'!$A:$AL,21,FALSE)</f>
        <v>130</v>
      </c>
      <c r="Y172" s="5">
        <f>VLOOKUP($A172,'SegEnds_NonXtal_Prot#'!$A:$AL,24,FALSE)</f>
        <v>168</v>
      </c>
      <c r="Z172" s="5">
        <f>VLOOKUP($A172,'SegEnds_NonXtal_Prot#'!$A:$AL,27,FALSE)</f>
        <v>174</v>
      </c>
      <c r="AA172" s="5">
        <f>VLOOKUP($A172,'SegEnds_NonXtal_Prot#'!$A:$AL,30,FALSE)</f>
        <v>215</v>
      </c>
      <c r="AB172" s="5">
        <f>VLOOKUP($A172,'SegEnds_NonXtal_Prot#'!$A:$AL,33,FALSE)</f>
        <v>257</v>
      </c>
      <c r="AC172" s="5">
        <f>VLOOKUP($A172,'SegEnds_NonXtal_Prot#'!$A:$AL,36,FALSE)</f>
        <v>290</v>
      </c>
      <c r="AD172" s="5">
        <f>VLOOKUP($A172,'SegEnds_NonXtal_Prot#'!$A:$AL,5,FALSE)</f>
        <v>45</v>
      </c>
      <c r="AE172" s="5" t="str">
        <f>VLOOKUP($A172,'SegEnds_NonXtal_Prot#'!$A:$AL,8,FALSE)</f>
        <v>-</v>
      </c>
      <c r="AF172" s="5">
        <f>VLOOKUP($A172,'SegEnds_NonXtal_Prot#'!$A:$AL,11,FALSE)</f>
        <v>79</v>
      </c>
      <c r="AG172" s="5">
        <f>VLOOKUP($A172,'SegEnds_NonXtal_Prot#'!$A:$AL,14,FALSE)</f>
        <v>85</v>
      </c>
      <c r="AH172" s="5">
        <f>VLOOKUP($A172,'SegEnds_NonXtal_Prot#'!$A:$AL,17,FALSE)</f>
        <v>121</v>
      </c>
      <c r="AI172" s="5">
        <f>VLOOKUP($A172,'SegEnds_NonXtal_Prot#'!$A:$AL,20,FALSE)</f>
        <v>129</v>
      </c>
      <c r="AJ172" s="5">
        <f>VLOOKUP($A172,'SegEnds_NonXtal_Prot#'!$A:$AL,23,FALSE)</f>
        <v>154</v>
      </c>
      <c r="AK172" s="5">
        <f>VLOOKUP($A172,'SegEnds_NonXtal_Prot#'!$A:$AL,26,FALSE)</f>
        <v>170</v>
      </c>
      <c r="AL172" s="5">
        <f>VLOOKUP($A172,'SegEnds_NonXtal_Prot#'!$A:$AL,29,FALSE)</f>
        <v>210</v>
      </c>
      <c r="AM172" s="5">
        <f>VLOOKUP($A172,'SegEnds_NonXtal_Prot#'!$A:$AL,32,FALSE)</f>
        <v>253</v>
      </c>
      <c r="AN172" s="5">
        <f>VLOOKUP($A172,'SegEnds_NonXtal_Prot#'!$A:$AL,35,FALSE)</f>
        <v>289</v>
      </c>
      <c r="AO172" s="5">
        <f>VLOOKUP($A172,'SegEnds_NonXtal_Prot#'!$A:$AL,38,FALSE)</f>
        <v>304</v>
      </c>
      <c r="AP172" s="5">
        <f t="shared" si="63"/>
        <v>32</v>
      </c>
      <c r="AQ172" s="4" t="str">
        <f t="shared" si="64"/>
        <v>-</v>
      </c>
      <c r="AR172" s="4">
        <f t="shared" si="65"/>
        <v>29</v>
      </c>
      <c r="AS172" s="4">
        <f t="shared" si="66"/>
        <v>3</v>
      </c>
      <c r="AT172" s="4">
        <f t="shared" si="67"/>
        <v>35</v>
      </c>
      <c r="AU172" s="4">
        <f t="shared" si="68"/>
        <v>7</v>
      </c>
      <c r="AV172" s="4">
        <f t="shared" si="69"/>
        <v>24</v>
      </c>
      <c r="AW172" s="4">
        <f t="shared" si="70"/>
        <v>2</v>
      </c>
      <c r="AX172" s="4">
        <f t="shared" si="71"/>
        <v>36</v>
      </c>
      <c r="AY172" s="4">
        <f t="shared" si="72"/>
        <v>38</v>
      </c>
      <c r="AZ172" s="4">
        <f t="shared" si="73"/>
        <v>32</v>
      </c>
      <c r="BA172" s="4">
        <f t="shared" si="74"/>
        <v>14</v>
      </c>
    </row>
    <row r="173" spans="1:53" x14ac:dyDescent="0.2">
      <c r="A173" s="1" t="str">
        <f>'SegEnds_NonXtal_Prot#'!A147</f>
        <v>gpr52_human</v>
      </c>
      <c r="B173" s="1" t="str">
        <f t="shared" si="50"/>
        <v>CIFETVVIVLLTFLIIAGNLTVIFVFHCAHYTTSYFIQTMAYADLFVGVSCLVPTLSLLHGVHESLTCQVFGYIISVLKSVSMACLACISVDRYLAITKTPCRLRICIILIWIYSCLIFLPSFFGWTSAYFTGFIVCLLYAPAAFVVCFTYFHIFKICRQHTKEINSSRETGHSPDRRYAMVLFRITSVFYMLWLPYIIYFLLESSRPTLSFLTTWLAISNSFCNCVIYSLSNSVFRLGLRRLS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3" s="5" t="str">
        <f t="shared" si="51"/>
        <v>CIFETVVIVLLTFLIIAGNLTVIFVFHCA</v>
      </c>
      <c r="G173" s="4" t="str">
        <f t="shared" si="52"/>
        <v>PLLH</v>
      </c>
      <c r="H173" s="4" t="str">
        <f t="shared" si="53"/>
        <v>HYTTSYFIQTMAYADLFVGVSCLVPTLSLLH</v>
      </c>
      <c r="I173" s="4" t="str">
        <f t="shared" si="54"/>
        <v/>
      </c>
      <c r="J173" s="4" t="str">
        <f t="shared" si="55"/>
        <v>GVHESLTCQVFGYIISVLKSVSMACLACISVDRYLAITK</v>
      </c>
      <c r="K173" s="4" t="str">
        <f t="shared" si="56"/>
        <v>PLSYNQLV</v>
      </c>
      <c r="L173" s="4" t="str">
        <f t="shared" si="57"/>
        <v>TPCRLRICIILIWIYSCLIFLPSFFGW</v>
      </c>
      <c r="M173" s="4" t="str">
        <f t="shared" si="58"/>
        <v>CAT</v>
      </c>
      <c r="N173" s="4" t="str">
        <f t="shared" si="59"/>
        <v>TSAYFTGFIVCLLYAPAAFVVCFTYFHIFKICRQHTKEIN</v>
      </c>
      <c r="O173" s="4" t="str">
        <f t="shared" si="60"/>
        <v>SSRETGHSPDRRYAMVLFRITSVFYMLWLPYIIYFLLESSR</v>
      </c>
      <c r="P173" s="4" t="str">
        <f t="shared" si="61"/>
        <v>PTLSFLTTWLAISNSFCNCVIYSLS</v>
      </c>
      <c r="Q173" s="4" t="str">
        <f t="shared" si="62"/>
        <v>NSVFRLGLRRLS</v>
      </c>
      <c r="R173" s="5">
        <f>VLOOKUP($A173,'SegEnds_NonXtal_Prot#'!$A:$AL,3,FALSE)</f>
        <v>40</v>
      </c>
      <c r="S173" s="5">
        <f>VLOOKUP($A173,'SegEnds_NonXtal_Prot#'!$A:$AL,6,FALSE)</f>
        <v>69</v>
      </c>
      <c r="T173" s="5">
        <f>VLOOKUP($A173,'SegEnds_NonXtal_Prot#'!$A:$AL,9,FALSE)</f>
        <v>73</v>
      </c>
      <c r="U173" s="5" t="str">
        <f>VLOOKUP($A173,'SegEnds_NonXtal_Prot#'!$A:$AL,12,FALSE)</f>
        <v>-</v>
      </c>
      <c r="V173" s="5">
        <f>VLOOKUP($A173,'SegEnds_NonXtal_Prot#'!$A:$AL,15,FALSE)</f>
        <v>107</v>
      </c>
      <c r="W173" s="5">
        <f>VLOOKUP($A173,'SegEnds_NonXtal_Prot#'!$A:$AL,18,FALSE)</f>
        <v>146</v>
      </c>
      <c r="X173" s="5">
        <f>VLOOKUP($A173,'SegEnds_NonXtal_Prot#'!$A:$AL,21,FALSE)</f>
        <v>154</v>
      </c>
      <c r="Y173" s="5">
        <f>VLOOKUP($A173,'SegEnds_NonXtal_Prot#'!$A:$AL,24,FALSE)</f>
        <v>193</v>
      </c>
      <c r="Z173" s="5">
        <f>VLOOKUP($A173,'SegEnds_NonXtal_Prot#'!$A:$AL,27,FALSE)</f>
        <v>199</v>
      </c>
      <c r="AA173" s="5">
        <f>VLOOKUP($A173,'SegEnds_NonXtal_Prot#'!$A:$AL,30,FALSE)</f>
        <v>251</v>
      </c>
      <c r="AB173" s="5">
        <f>VLOOKUP($A173,'SegEnds_NonXtal_Prot#'!$A:$AL,33,FALSE)</f>
        <v>296</v>
      </c>
      <c r="AC173" s="5">
        <f>VLOOKUP($A173,'SegEnds_NonXtal_Prot#'!$A:$AL,36,FALSE)</f>
        <v>321</v>
      </c>
      <c r="AD173" s="5">
        <f>VLOOKUP($A173,'SegEnds_NonXtal_Prot#'!$A:$AL,5,FALSE)</f>
        <v>68</v>
      </c>
      <c r="AE173" s="5">
        <f>VLOOKUP($A173,'SegEnds_NonXtal_Prot#'!$A:$AL,8,FALSE)</f>
        <v>72</v>
      </c>
      <c r="AF173" s="5">
        <f>VLOOKUP($A173,'SegEnds_NonXtal_Prot#'!$A:$AL,11,FALSE)</f>
        <v>103</v>
      </c>
      <c r="AG173" s="5" t="str">
        <f>VLOOKUP($A173,'SegEnds_NonXtal_Prot#'!$A:$AL,14,FALSE)</f>
        <v>-</v>
      </c>
      <c r="AH173" s="5">
        <f>VLOOKUP($A173,'SegEnds_NonXtal_Prot#'!$A:$AL,17,FALSE)</f>
        <v>145</v>
      </c>
      <c r="AI173" s="5">
        <f>VLOOKUP($A173,'SegEnds_NonXtal_Prot#'!$A:$AL,20,FALSE)</f>
        <v>153</v>
      </c>
      <c r="AJ173" s="5">
        <f>VLOOKUP($A173,'SegEnds_NonXtal_Prot#'!$A:$AL,23,FALSE)</f>
        <v>180</v>
      </c>
      <c r="AK173" s="5">
        <f>VLOOKUP($A173,'SegEnds_NonXtal_Prot#'!$A:$AL,26,FALSE)</f>
        <v>195</v>
      </c>
      <c r="AL173" s="5">
        <f>VLOOKUP($A173,'SegEnds_NonXtal_Prot#'!$A:$AL,29,FALSE)</f>
        <v>238</v>
      </c>
      <c r="AM173" s="5">
        <f>VLOOKUP($A173,'SegEnds_NonXtal_Prot#'!$A:$AL,32,FALSE)</f>
        <v>291</v>
      </c>
      <c r="AN173" s="5">
        <f>VLOOKUP($A173,'SegEnds_NonXtal_Prot#'!$A:$AL,35,FALSE)</f>
        <v>320</v>
      </c>
      <c r="AO173" s="5">
        <f>VLOOKUP($A173,'SegEnds_NonXtal_Prot#'!$A:$AL,38,FALSE)</f>
        <v>332</v>
      </c>
      <c r="AP173" s="5">
        <f t="shared" si="63"/>
        <v>28</v>
      </c>
      <c r="AQ173" s="4">
        <f t="shared" si="64"/>
        <v>3</v>
      </c>
      <c r="AR173" s="4">
        <f t="shared" si="65"/>
        <v>30</v>
      </c>
      <c r="AS173" s="4" t="str">
        <f t="shared" si="66"/>
        <v>-</v>
      </c>
      <c r="AT173" s="4">
        <f t="shared" si="67"/>
        <v>38</v>
      </c>
      <c r="AU173" s="4">
        <f t="shared" si="68"/>
        <v>7</v>
      </c>
      <c r="AV173" s="4">
        <f t="shared" si="69"/>
        <v>26</v>
      </c>
      <c r="AW173" s="4">
        <f t="shared" si="70"/>
        <v>2</v>
      </c>
      <c r="AX173" s="4">
        <f t="shared" si="71"/>
        <v>39</v>
      </c>
      <c r="AY173" s="4">
        <f t="shared" si="72"/>
        <v>40</v>
      </c>
      <c r="AZ173" s="4">
        <f t="shared" si="73"/>
        <v>24</v>
      </c>
      <c r="BA173" s="4">
        <f t="shared" si="74"/>
        <v>11</v>
      </c>
    </row>
    <row r="174" spans="1:53" x14ac:dyDescent="0.2">
      <c r="A174" s="1" t="str">
        <f>'SegEnds_NonXtal_Prot#'!A148</f>
        <v>gpr55_human</v>
      </c>
      <c r="B174" s="1" t="str">
        <f t="shared" si="50"/>
        <v>LMKTLQFAVHIPTFVLGLLLNLLAIHGFSTFAATSIYMINLAVFDLLLVLSLPFKMVLSQVLCTLVECLYFVSMYGSVFTICFISMDRFLAIRYSPRKIFGICCTIWVLVWTGSIPIYSFHDDTWSAKVFFPLEVFGFLLPMGIMGFCCSRSIHILLGRTQDWVQQKACIYSIAASLAVFVVSFLPVHLGFFLQFLVRNSECRAKQSISFFLQLSMCFSNVNCCLDVFCYYFVIKEFRMNIRAHRP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74" s="5" t="str">
        <f t="shared" si="51"/>
        <v>LMKTLQFAVHIPTFVLGLLLNLLAIHGFSTF</v>
      </c>
      <c r="G174" s="4" t="str">
        <f t="shared" si="52"/>
        <v/>
      </c>
      <c r="H174" s="4" t="str">
        <f t="shared" si="53"/>
        <v>AATSIYMINLAVFDLLLVLSLPFKMVLSQV</v>
      </c>
      <c r="I174" s="4" t="str">
        <f t="shared" si="54"/>
        <v/>
      </c>
      <c r="J174" s="4" t="str">
        <f t="shared" si="55"/>
        <v>LCTLVECLYFVSMYGSVFTICFISMDRFLAIRY</v>
      </c>
      <c r="K174" s="4" t="str">
        <f t="shared" si="56"/>
        <v>PLLVSHLR</v>
      </c>
      <c r="L174" s="4" t="str">
        <f t="shared" si="57"/>
        <v>SPRKIFGICCTIWVLVWTGSIPIYSFH</v>
      </c>
      <c r="M174" s="4" t="str">
        <f t="shared" si="58"/>
        <v>CFH</v>
      </c>
      <c r="N174" s="4" t="str">
        <f t="shared" si="59"/>
        <v>DDTWSAKVFFPLEVFGFLLPMGIMGFCCSRSIHILLGR</v>
      </c>
      <c r="O174" s="4" t="str">
        <f t="shared" si="60"/>
        <v>TQDWVQQKACIYSIAASLAVFVVSFLPVHLGFFLQFLVRNS</v>
      </c>
      <c r="P174" s="4" t="str">
        <f t="shared" si="61"/>
        <v>ECRAKQSISFFLQLSMCFSNVNCCLDVFCYYFV</v>
      </c>
      <c r="Q174" s="4" t="str">
        <f t="shared" si="62"/>
        <v>IKEFRMNIRAHRP</v>
      </c>
      <c r="R174" s="5">
        <f>VLOOKUP($A174,'SegEnds_NonXtal_Prot#'!$A:$AL,3,FALSE)</f>
        <v>18</v>
      </c>
      <c r="S174" s="5" t="str">
        <f>VLOOKUP($A174,'SegEnds_NonXtal_Prot#'!$A:$AL,6,FALSE)</f>
        <v>-</v>
      </c>
      <c r="T174" s="5">
        <f>VLOOKUP($A174,'SegEnds_NonXtal_Prot#'!$A:$AL,9,FALSE)</f>
        <v>57</v>
      </c>
      <c r="U174" s="5" t="str">
        <f>VLOOKUP($A174,'SegEnds_NonXtal_Prot#'!$A:$AL,12,FALSE)</f>
        <v>-</v>
      </c>
      <c r="V174" s="5">
        <f>VLOOKUP($A174,'SegEnds_NonXtal_Prot#'!$A:$AL,15,FALSE)</f>
        <v>93</v>
      </c>
      <c r="W174" s="5">
        <f>VLOOKUP($A174,'SegEnds_NonXtal_Prot#'!$A:$AL,18,FALSE)</f>
        <v>126</v>
      </c>
      <c r="X174" s="5">
        <f>VLOOKUP($A174,'SegEnds_NonXtal_Prot#'!$A:$AL,21,FALSE)</f>
        <v>134</v>
      </c>
      <c r="Y174" s="5">
        <f>VLOOKUP($A174,'SegEnds_NonXtal_Prot#'!$A:$AL,24,FALSE)</f>
        <v>168</v>
      </c>
      <c r="Z174" s="5">
        <f>VLOOKUP($A174,'SegEnds_NonXtal_Prot#'!$A:$AL,27,FALSE)</f>
        <v>174</v>
      </c>
      <c r="AA174" s="5">
        <f>VLOOKUP($A174,'SegEnds_NonXtal_Prot#'!$A:$AL,30,FALSE)</f>
        <v>215</v>
      </c>
      <c r="AB174" s="5">
        <f>VLOOKUP($A174,'SegEnds_NonXtal_Prot#'!$A:$AL,33,FALSE)</f>
        <v>259</v>
      </c>
      <c r="AC174" s="5">
        <f>VLOOKUP($A174,'SegEnds_NonXtal_Prot#'!$A:$AL,36,FALSE)</f>
        <v>292</v>
      </c>
      <c r="AD174" s="5">
        <f>VLOOKUP($A174,'SegEnds_NonXtal_Prot#'!$A:$AL,5,FALSE)</f>
        <v>48</v>
      </c>
      <c r="AE174" s="5" t="str">
        <f>VLOOKUP($A174,'SegEnds_NonXtal_Prot#'!$A:$AL,8,FALSE)</f>
        <v>-</v>
      </c>
      <c r="AF174" s="5">
        <f>VLOOKUP($A174,'SegEnds_NonXtal_Prot#'!$A:$AL,11,FALSE)</f>
        <v>86</v>
      </c>
      <c r="AG174" s="5" t="str">
        <f>VLOOKUP($A174,'SegEnds_NonXtal_Prot#'!$A:$AL,14,FALSE)</f>
        <v>-</v>
      </c>
      <c r="AH174" s="5">
        <f>VLOOKUP($A174,'SegEnds_NonXtal_Prot#'!$A:$AL,17,FALSE)</f>
        <v>125</v>
      </c>
      <c r="AI174" s="5">
        <f>VLOOKUP($A174,'SegEnds_NonXtal_Prot#'!$A:$AL,20,FALSE)</f>
        <v>133</v>
      </c>
      <c r="AJ174" s="5">
        <f>VLOOKUP($A174,'SegEnds_NonXtal_Prot#'!$A:$AL,23,FALSE)</f>
        <v>160</v>
      </c>
      <c r="AK174" s="5">
        <f>VLOOKUP($A174,'SegEnds_NonXtal_Prot#'!$A:$AL,26,FALSE)</f>
        <v>170</v>
      </c>
      <c r="AL174" s="5">
        <f>VLOOKUP($A174,'SegEnds_NonXtal_Prot#'!$A:$AL,29,FALSE)</f>
        <v>211</v>
      </c>
      <c r="AM174" s="5">
        <f>VLOOKUP($A174,'SegEnds_NonXtal_Prot#'!$A:$AL,32,FALSE)</f>
        <v>255</v>
      </c>
      <c r="AN174" s="5">
        <f>VLOOKUP($A174,'SegEnds_NonXtal_Prot#'!$A:$AL,35,FALSE)</f>
        <v>291</v>
      </c>
      <c r="AO174" s="5">
        <f>VLOOKUP($A174,'SegEnds_NonXtal_Prot#'!$A:$AL,38,FALSE)</f>
        <v>304</v>
      </c>
      <c r="AP174" s="5">
        <f t="shared" si="63"/>
        <v>30</v>
      </c>
      <c r="AQ174" s="4" t="str">
        <f t="shared" si="64"/>
        <v>-</v>
      </c>
      <c r="AR174" s="4">
        <f t="shared" si="65"/>
        <v>29</v>
      </c>
      <c r="AS174" s="4" t="str">
        <f t="shared" si="66"/>
        <v>-</v>
      </c>
      <c r="AT174" s="4">
        <f t="shared" si="67"/>
        <v>32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37</v>
      </c>
      <c r="AY174" s="4">
        <f t="shared" si="72"/>
        <v>40</v>
      </c>
      <c r="AZ174" s="4">
        <f t="shared" si="73"/>
        <v>32</v>
      </c>
      <c r="BA174" s="4">
        <f t="shared" si="74"/>
        <v>12</v>
      </c>
    </row>
    <row r="175" spans="1:53" x14ac:dyDescent="0.2">
      <c r="A175" s="1" t="str">
        <f>'SegEnds_NonXtal_Prot#'!A149</f>
        <v>gpr6_human</v>
      </c>
      <c r="B175" s="1" t="str">
        <f t="shared" si="50"/>
        <v>LPAVNPWDVLLCVSGTVIAGENALVVALIASTTPMFVLVGSLATADLLAGCGLILHFVPSETVSLLTVGFLVASFAASVSSLLAITVDRYLSLYNTLLGVHLLLAATWTVSLGLGLLPVLGARSHVALLSAAFFMVFGIMLHLYVRICQVVWRHAHQIPPHLAATRKGVGTLAVVLGTFGASWLPFAIYCVVGSHEYTYATLLPATYNSMINPIIYAFRNQEIQRALWLLLC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5" s="5" t="str">
        <f t="shared" si="51"/>
        <v>LPAVNPWDVLLCVSGTVIAGENALVVALIAST</v>
      </c>
      <c r="G175" s="4" t="str">
        <f t="shared" si="52"/>
        <v>PALR</v>
      </c>
      <c r="H175" s="4" t="str">
        <f t="shared" si="53"/>
        <v>TPMFVLVGSLATADLLAGCGLILHFV</v>
      </c>
      <c r="I175" s="4" t="str">
        <f t="shared" si="54"/>
        <v>QYLV</v>
      </c>
      <c r="J175" s="4" t="str">
        <f t="shared" si="55"/>
        <v>PSETVSLLTVGFLVASFAASVSSLLAITVDRYLSLYN</v>
      </c>
      <c r="K175" s="4" t="str">
        <f t="shared" si="56"/>
        <v>ALTYYSRR</v>
      </c>
      <c r="L175" s="4" t="str">
        <f t="shared" si="57"/>
        <v>TLLGVHLLLAATWTVSLGLGLLPVLG</v>
      </c>
      <c r="M175" s="4" t="str">
        <f t="shared" si="58"/>
        <v/>
      </c>
      <c r="N175" s="4" t="str">
        <f t="shared" si="59"/>
        <v>ARSHVALLSAAFFMVFGIMLHLYVRICQVVWRHAHQI</v>
      </c>
      <c r="O175" s="4" t="str">
        <f t="shared" si="60"/>
        <v>PPHLAATRKGVGTLAVVLGTFGASWLPFAIYCVVGSHE</v>
      </c>
      <c r="P175" s="4" t="str">
        <f t="shared" si="61"/>
        <v>YTYATLLPATYNSMINPIIYAFR</v>
      </c>
      <c r="Q175" s="4" t="str">
        <f t="shared" si="62"/>
        <v>NQEIQRALWLLLC</v>
      </c>
      <c r="R175" s="5">
        <f>VLOOKUP($A175,'SegEnds_NonXtal_Prot#'!$A:$AL,3,FALSE)</f>
        <v>69</v>
      </c>
      <c r="S175" s="5">
        <f>VLOOKUP($A175,'SegEnds_NonXtal_Prot#'!$A:$AL,6,FALSE)</f>
        <v>101</v>
      </c>
      <c r="T175" s="5">
        <f>VLOOKUP($A175,'SegEnds_NonXtal_Prot#'!$A:$AL,9,FALSE)</f>
        <v>105</v>
      </c>
      <c r="U175" s="5">
        <f>VLOOKUP($A175,'SegEnds_NonXtal_Prot#'!$A:$AL,12,FALSE)</f>
        <v>132</v>
      </c>
      <c r="V175" s="5">
        <f>VLOOKUP($A175,'SegEnds_NonXtal_Prot#'!$A:$AL,15,FALSE)</f>
        <v>136</v>
      </c>
      <c r="W175" s="5">
        <f>VLOOKUP($A175,'SegEnds_NonXtal_Prot#'!$A:$AL,18,FALSE)</f>
        <v>173</v>
      </c>
      <c r="X175" s="5">
        <f>VLOOKUP($A175,'SegEnds_NonXtal_Prot#'!$A:$AL,21,FALSE)</f>
        <v>181</v>
      </c>
      <c r="Y175" s="5" t="str">
        <f>VLOOKUP($A175,'SegEnds_NonXtal_Prot#'!$A:$AL,24,FALSE)</f>
        <v>-</v>
      </c>
      <c r="Z175" s="5">
        <f>VLOOKUP($A175,'SegEnds_NonXtal_Prot#'!$A:$AL,27,FALSE)</f>
        <v>223</v>
      </c>
      <c r="AA175" s="5">
        <f>VLOOKUP($A175,'SegEnds_NonXtal_Prot#'!$A:$AL,30,FALSE)</f>
        <v>268</v>
      </c>
      <c r="AB175" s="5">
        <f>VLOOKUP($A175,'SegEnds_NonXtal_Prot#'!$A:$AL,33,FALSE)</f>
        <v>310</v>
      </c>
      <c r="AC175" s="5">
        <f>VLOOKUP($A175,'SegEnds_NonXtal_Prot#'!$A:$AL,36,FALSE)</f>
        <v>333</v>
      </c>
      <c r="AD175" s="5">
        <f>VLOOKUP($A175,'SegEnds_NonXtal_Prot#'!$A:$AL,5,FALSE)</f>
        <v>100</v>
      </c>
      <c r="AE175" s="5">
        <f>VLOOKUP($A175,'SegEnds_NonXtal_Prot#'!$A:$AL,8,FALSE)</f>
        <v>104</v>
      </c>
      <c r="AF175" s="5">
        <f>VLOOKUP($A175,'SegEnds_NonXtal_Prot#'!$A:$AL,11,FALSE)</f>
        <v>130</v>
      </c>
      <c r="AG175" s="5">
        <f>VLOOKUP($A175,'SegEnds_NonXtal_Prot#'!$A:$AL,14,FALSE)</f>
        <v>135</v>
      </c>
      <c r="AH175" s="5">
        <f>VLOOKUP($A175,'SegEnds_NonXtal_Prot#'!$A:$AL,17,FALSE)</f>
        <v>172</v>
      </c>
      <c r="AI175" s="5">
        <f>VLOOKUP($A175,'SegEnds_NonXtal_Prot#'!$A:$AL,20,FALSE)</f>
        <v>180</v>
      </c>
      <c r="AJ175" s="5">
        <f>VLOOKUP($A175,'SegEnds_NonXtal_Prot#'!$A:$AL,23,FALSE)</f>
        <v>206</v>
      </c>
      <c r="AK175" s="5" t="str">
        <f>VLOOKUP($A175,'SegEnds_NonXtal_Prot#'!$A:$AL,26,FALSE)</f>
        <v>-</v>
      </c>
      <c r="AL175" s="5">
        <f>VLOOKUP($A175,'SegEnds_NonXtal_Prot#'!$A:$AL,29,FALSE)</f>
        <v>259</v>
      </c>
      <c r="AM175" s="5">
        <f>VLOOKUP($A175,'SegEnds_NonXtal_Prot#'!$A:$AL,32,FALSE)</f>
        <v>305</v>
      </c>
      <c r="AN175" s="5">
        <f>VLOOKUP($A175,'SegEnds_NonXtal_Prot#'!$A:$AL,35,FALSE)</f>
        <v>332</v>
      </c>
      <c r="AO175" s="5">
        <f>VLOOKUP($A175,'SegEnds_NonXtal_Prot#'!$A:$AL,38,FALSE)</f>
        <v>345</v>
      </c>
      <c r="AP175" s="5">
        <f t="shared" si="63"/>
        <v>31</v>
      </c>
      <c r="AQ175" s="4">
        <f t="shared" si="64"/>
        <v>3</v>
      </c>
      <c r="AR175" s="4">
        <f t="shared" si="65"/>
        <v>25</v>
      </c>
      <c r="AS175" s="4">
        <f t="shared" si="66"/>
        <v>3</v>
      </c>
      <c r="AT175" s="4">
        <f t="shared" si="67"/>
        <v>36</v>
      </c>
      <c r="AU175" s="4">
        <f t="shared" si="68"/>
        <v>7</v>
      </c>
      <c r="AV175" s="4">
        <f t="shared" si="69"/>
        <v>25</v>
      </c>
      <c r="AW175" s="4" t="str">
        <f t="shared" si="70"/>
        <v>-</v>
      </c>
      <c r="AX175" s="4">
        <f t="shared" si="71"/>
        <v>36</v>
      </c>
      <c r="AY175" s="4">
        <f t="shared" si="72"/>
        <v>37</v>
      </c>
      <c r="AZ175" s="4">
        <f t="shared" si="73"/>
        <v>22</v>
      </c>
      <c r="BA175" s="4">
        <f t="shared" si="74"/>
        <v>12</v>
      </c>
    </row>
    <row r="176" spans="1:53" x14ac:dyDescent="0.2">
      <c r="A176" s="1" t="str">
        <f>'SegEnds_NonXtal_Prot#'!A150</f>
        <v>gpr61_human</v>
      </c>
      <c r="B176" s="1" t="str">
        <f t="shared" si="50"/>
        <v>SESVALFFMLLLDLTAVAGNAAVMAVIAKTLRKFVFVFHLCLVDLLAALTLMPLAMLSSSAFGEVACRLYLFLSVCFVSLAILSVSAINVERYYYVVHTLGLVASVLVGVWVKALAMASVPVLGRCQLFVVVFAVLYFLLPLLLILVVYCSMFRVARVAAMQHGPLPPHRTFGGGKAAVVLLAVGGQFLLCWLPYFSFHLYVALSTGQVESVVTWIGYFCFTSNPFFYGCLNRQIRGELSKQF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6" s="5" t="str">
        <f t="shared" si="51"/>
        <v>SESVALFFMLLLDLTAVAGNAAVMAVIAKT</v>
      </c>
      <c r="G176" s="4" t="str">
        <f t="shared" si="52"/>
        <v/>
      </c>
      <c r="H176" s="4" t="str">
        <f t="shared" si="53"/>
        <v>LRKFVFVFHLCLVDLLAALTLMPLAMLSSSA</v>
      </c>
      <c r="I176" s="4" t="str">
        <f t="shared" si="54"/>
        <v>DHAL</v>
      </c>
      <c r="J176" s="4" t="str">
        <f t="shared" si="55"/>
        <v>FGEVACRLYLFLSVCFVSLAILSVSAINVERYYYVVH</v>
      </c>
      <c r="K176" s="4" t="str">
        <f t="shared" si="56"/>
        <v>PMRYEVRM</v>
      </c>
      <c r="L176" s="4" t="str">
        <f t="shared" si="57"/>
        <v>TLGLVASVLVGVWVKALAMASVPVLGR</v>
      </c>
      <c r="M176" s="4" t="str">
        <f t="shared" si="58"/>
        <v>CSL</v>
      </c>
      <c r="N176" s="4" t="str">
        <f t="shared" si="59"/>
        <v>CQLFVVVFAVLYFLLPLLLILVVYCSMFRVARVAAMQHGPLP</v>
      </c>
      <c r="O176" s="4" t="str">
        <f t="shared" si="60"/>
        <v>PHRTFGGGKAAVVLLAVGGQFLLCWLPYFSFHLYVALS</v>
      </c>
      <c r="P176" s="4" t="str">
        <f t="shared" si="61"/>
        <v>TGQVESVVTWIGYFCFTSNPFFYGCL</v>
      </c>
      <c r="Q176" s="4" t="str">
        <f t="shared" si="62"/>
        <v>NRQIRGELSKQF</v>
      </c>
      <c r="R176" s="5">
        <f>VLOOKUP($A176,'SegEnds_NonXtal_Prot#'!$A:$AL,3,FALSE)</f>
        <v>41</v>
      </c>
      <c r="S176" s="5" t="str">
        <f>VLOOKUP($A176,'SegEnds_NonXtal_Prot#'!$A:$AL,6,FALSE)</f>
        <v>-</v>
      </c>
      <c r="T176" s="5">
        <f>VLOOKUP($A176,'SegEnds_NonXtal_Prot#'!$A:$AL,9,FALSE)</f>
        <v>73</v>
      </c>
      <c r="U176" s="5">
        <f>VLOOKUP($A176,'SegEnds_NonXtal_Prot#'!$A:$AL,12,FALSE)</f>
        <v>106</v>
      </c>
      <c r="V176" s="5">
        <f>VLOOKUP($A176,'SegEnds_NonXtal_Prot#'!$A:$AL,15,FALSE)</f>
        <v>110</v>
      </c>
      <c r="W176" s="5">
        <f>VLOOKUP($A176,'SegEnds_NonXtal_Prot#'!$A:$AL,18,FALSE)</f>
        <v>147</v>
      </c>
      <c r="X176" s="5">
        <f>VLOOKUP($A176,'SegEnds_NonXtal_Prot#'!$A:$AL,21,FALSE)</f>
        <v>155</v>
      </c>
      <c r="Y176" s="5">
        <f>VLOOKUP($A176,'SegEnds_NonXtal_Prot#'!$A:$AL,24,FALSE)</f>
        <v>195</v>
      </c>
      <c r="Z176" s="5">
        <f>VLOOKUP($A176,'SegEnds_NonXtal_Prot#'!$A:$AL,27,FALSE)</f>
        <v>205</v>
      </c>
      <c r="AA176" s="5">
        <f>VLOOKUP($A176,'SegEnds_NonXtal_Prot#'!$A:$AL,30,FALSE)</f>
        <v>276</v>
      </c>
      <c r="AB176" s="5">
        <f>VLOOKUP($A176,'SegEnds_NonXtal_Prot#'!$A:$AL,33,FALSE)</f>
        <v>319</v>
      </c>
      <c r="AC176" s="5">
        <f>VLOOKUP($A176,'SegEnds_NonXtal_Prot#'!$A:$AL,36,FALSE)</f>
        <v>345</v>
      </c>
      <c r="AD176" s="5">
        <f>VLOOKUP($A176,'SegEnds_NonXtal_Prot#'!$A:$AL,5,FALSE)</f>
        <v>70</v>
      </c>
      <c r="AE176" s="5" t="str">
        <f>VLOOKUP($A176,'SegEnds_NonXtal_Prot#'!$A:$AL,8,FALSE)</f>
        <v>-</v>
      </c>
      <c r="AF176" s="5">
        <f>VLOOKUP($A176,'SegEnds_NonXtal_Prot#'!$A:$AL,11,FALSE)</f>
        <v>103</v>
      </c>
      <c r="AG176" s="5">
        <f>VLOOKUP($A176,'SegEnds_NonXtal_Prot#'!$A:$AL,14,FALSE)</f>
        <v>109</v>
      </c>
      <c r="AH176" s="5">
        <f>VLOOKUP($A176,'SegEnds_NonXtal_Prot#'!$A:$AL,17,FALSE)</f>
        <v>146</v>
      </c>
      <c r="AI176" s="5">
        <f>VLOOKUP($A176,'SegEnds_NonXtal_Prot#'!$A:$AL,20,FALSE)</f>
        <v>154</v>
      </c>
      <c r="AJ176" s="5">
        <f>VLOOKUP($A176,'SegEnds_NonXtal_Prot#'!$A:$AL,23,FALSE)</f>
        <v>181</v>
      </c>
      <c r="AK176" s="5">
        <f>VLOOKUP($A176,'SegEnds_NonXtal_Prot#'!$A:$AL,26,FALSE)</f>
        <v>197</v>
      </c>
      <c r="AL176" s="5">
        <f>VLOOKUP($A176,'SegEnds_NonXtal_Prot#'!$A:$AL,29,FALSE)</f>
        <v>246</v>
      </c>
      <c r="AM176" s="5">
        <f>VLOOKUP($A176,'SegEnds_NonXtal_Prot#'!$A:$AL,32,FALSE)</f>
        <v>313</v>
      </c>
      <c r="AN176" s="5">
        <f>VLOOKUP($A176,'SegEnds_NonXtal_Prot#'!$A:$AL,35,FALSE)</f>
        <v>344</v>
      </c>
      <c r="AO176" s="5">
        <f>VLOOKUP($A176,'SegEnds_NonXtal_Prot#'!$A:$AL,38,FALSE)</f>
        <v>356</v>
      </c>
      <c r="AP176" s="5">
        <f t="shared" si="63"/>
        <v>29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36</v>
      </c>
      <c r="AU176" s="4">
        <f t="shared" si="68"/>
        <v>7</v>
      </c>
      <c r="AV176" s="4">
        <f t="shared" si="69"/>
        <v>26</v>
      </c>
      <c r="AW176" s="4">
        <f t="shared" si="70"/>
        <v>2</v>
      </c>
      <c r="AX176" s="4">
        <f t="shared" si="71"/>
        <v>41</v>
      </c>
      <c r="AY176" s="4">
        <f t="shared" si="72"/>
        <v>37</v>
      </c>
      <c r="AZ176" s="4">
        <f t="shared" si="73"/>
        <v>25</v>
      </c>
      <c r="BA176" s="4">
        <f t="shared" si="74"/>
        <v>11</v>
      </c>
    </row>
    <row r="177" spans="1:53" x14ac:dyDescent="0.2">
      <c r="A177" s="1" t="str">
        <f>'SegEnds_NonXtal_Prot#'!A151</f>
        <v>gpr78_human</v>
      </c>
      <c r="B177" s="1" t="str">
        <f t="shared" si="50"/>
        <v>EALLAGLLVMVLAVALLSNALVLLCCAYSTRASGVLLVNLSLGHLLLAALDMPFTLLGVMRAPGACQVIGFLDTFLASNAALSVAALSADQWLAVGFRPRYAGLLLGCAWGQSLAFSGAALGCSRPRFAAFTATLHAVGFVLPLAVLCLTSLQVHRVARRHCQRMDTVTIQQKRRRHRATRKIGIAIATFLICFAPYVMTRLAELVPNAQWGILSKCLTYSKAVADPFTYSLLRRPFRQVLAGMV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7" s="5" t="str">
        <f t="shared" si="51"/>
        <v>EALLAGLLVMVLAVALLSNALVLLCCAYS</v>
      </c>
      <c r="G177" s="4" t="str">
        <f t="shared" si="52"/>
        <v>AELR</v>
      </c>
      <c r="H177" s="4" t="str">
        <f t="shared" si="53"/>
        <v>TRASGVLLVNLSLGHLLLAALDMPFTLLGVMR</v>
      </c>
      <c r="I177" s="4" t="str">
        <f t="shared" si="54"/>
        <v/>
      </c>
      <c r="J177" s="4" t="str">
        <f t="shared" si="55"/>
        <v>APGACQVIGFLDTFLASNAALSVAALSADQWLAVGF</v>
      </c>
      <c r="K177" s="4" t="str">
        <f t="shared" si="56"/>
        <v>PLRYAGRL</v>
      </c>
      <c r="L177" s="4" t="str">
        <f t="shared" si="57"/>
        <v>RPRYAGLLLGCAWGQSLAFSGAALGCS</v>
      </c>
      <c r="M177" s="4" t="str">
        <f t="shared" si="58"/>
        <v>CSL</v>
      </c>
      <c r="N177" s="4" t="str">
        <f t="shared" si="59"/>
        <v>RPRFAAFTATLHAVGFVLPLAVLCLTSLQVHRVARRHCQRMDTVT</v>
      </c>
      <c r="O177" s="4" t="str">
        <f t="shared" si="60"/>
        <v>IQQKRRRHRATRKIGIAIATFLICFAPYVMTRLAELVP</v>
      </c>
      <c r="P177" s="4" t="str">
        <f t="shared" si="61"/>
        <v>NAQWGILSKCLTYSKAVADPFTYSLL</v>
      </c>
      <c r="Q177" s="4" t="str">
        <f t="shared" si="62"/>
        <v>RRPFRQVLAGMV</v>
      </c>
      <c r="R177" s="5">
        <f>VLOOKUP($A177,'SegEnds_NonXtal_Prot#'!$A:$AL,3,FALSE)</f>
        <v>5</v>
      </c>
      <c r="S177" s="5">
        <f>VLOOKUP($A177,'SegEnds_NonXtal_Prot#'!$A:$AL,6,FALSE)</f>
        <v>34</v>
      </c>
      <c r="T177" s="5">
        <f>VLOOKUP($A177,'SegEnds_NonXtal_Prot#'!$A:$AL,9,FALSE)</f>
        <v>38</v>
      </c>
      <c r="U177" s="5" t="str">
        <f>VLOOKUP($A177,'SegEnds_NonXtal_Prot#'!$A:$AL,12,FALSE)</f>
        <v>-</v>
      </c>
      <c r="V177" s="5">
        <f>VLOOKUP($A177,'SegEnds_NonXtal_Prot#'!$A:$AL,15,FALSE)</f>
        <v>75</v>
      </c>
      <c r="W177" s="5">
        <f>VLOOKUP($A177,'SegEnds_NonXtal_Prot#'!$A:$AL,18,FALSE)</f>
        <v>111</v>
      </c>
      <c r="X177" s="5">
        <f>VLOOKUP($A177,'SegEnds_NonXtal_Prot#'!$A:$AL,21,FALSE)</f>
        <v>119</v>
      </c>
      <c r="Y177" s="5">
        <f>VLOOKUP($A177,'SegEnds_NonXtal_Prot#'!$A:$AL,24,FALSE)</f>
        <v>156</v>
      </c>
      <c r="Z177" s="5">
        <f>VLOOKUP($A177,'SegEnds_NonXtal_Prot#'!$A:$AL,27,FALSE)</f>
        <v>166</v>
      </c>
      <c r="AA177" s="5">
        <f>VLOOKUP($A177,'SegEnds_NonXtal_Prot#'!$A:$AL,30,FALSE)</f>
        <v>230</v>
      </c>
      <c r="AB177" s="5">
        <f>VLOOKUP($A177,'SegEnds_NonXtal_Prot#'!$A:$AL,33,FALSE)</f>
        <v>272</v>
      </c>
      <c r="AC177" s="5">
        <f>VLOOKUP($A177,'SegEnds_NonXtal_Prot#'!$A:$AL,36,FALSE)</f>
        <v>298</v>
      </c>
      <c r="AD177" s="5">
        <f>VLOOKUP($A177,'SegEnds_NonXtal_Prot#'!$A:$AL,5,FALSE)</f>
        <v>33</v>
      </c>
      <c r="AE177" s="5">
        <f>VLOOKUP($A177,'SegEnds_NonXtal_Prot#'!$A:$AL,8,FALSE)</f>
        <v>37</v>
      </c>
      <c r="AF177" s="5">
        <f>VLOOKUP($A177,'SegEnds_NonXtal_Prot#'!$A:$AL,11,FALSE)</f>
        <v>69</v>
      </c>
      <c r="AG177" s="5" t="str">
        <f>VLOOKUP($A177,'SegEnds_NonXtal_Prot#'!$A:$AL,14,FALSE)</f>
        <v>-</v>
      </c>
      <c r="AH177" s="5">
        <f>VLOOKUP($A177,'SegEnds_NonXtal_Prot#'!$A:$AL,17,FALSE)</f>
        <v>110</v>
      </c>
      <c r="AI177" s="5">
        <f>VLOOKUP($A177,'SegEnds_NonXtal_Prot#'!$A:$AL,20,FALSE)</f>
        <v>118</v>
      </c>
      <c r="AJ177" s="5">
        <f>VLOOKUP($A177,'SegEnds_NonXtal_Prot#'!$A:$AL,23,FALSE)</f>
        <v>145</v>
      </c>
      <c r="AK177" s="5">
        <f>VLOOKUP($A177,'SegEnds_NonXtal_Prot#'!$A:$AL,26,FALSE)</f>
        <v>158</v>
      </c>
      <c r="AL177" s="5">
        <f>VLOOKUP($A177,'SegEnds_NonXtal_Prot#'!$A:$AL,29,FALSE)</f>
        <v>210</v>
      </c>
      <c r="AM177" s="5">
        <f>VLOOKUP($A177,'SegEnds_NonXtal_Prot#'!$A:$AL,32,FALSE)</f>
        <v>267</v>
      </c>
      <c r="AN177" s="5">
        <f>VLOOKUP($A177,'SegEnds_NonXtal_Prot#'!$A:$AL,35,FALSE)</f>
        <v>297</v>
      </c>
      <c r="AO177" s="5">
        <f>VLOOKUP($A177,'SegEnds_NonXtal_Prot#'!$A:$AL,38,FALSE)</f>
        <v>309</v>
      </c>
      <c r="AP177" s="5">
        <f t="shared" si="63"/>
        <v>28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26</v>
      </c>
      <c r="AW177" s="4">
        <f t="shared" si="70"/>
        <v>2</v>
      </c>
      <c r="AX177" s="4">
        <f t="shared" si="71"/>
        <v>44</v>
      </c>
      <c r="AY177" s="4">
        <f t="shared" si="72"/>
        <v>37</v>
      </c>
      <c r="AZ177" s="4">
        <f t="shared" si="73"/>
        <v>25</v>
      </c>
      <c r="BA177" s="4">
        <f t="shared" si="74"/>
        <v>11</v>
      </c>
    </row>
    <row r="178" spans="1:53" x14ac:dyDescent="0.2">
      <c r="A178" s="1" t="str">
        <f>'SegEnds_NonXtal_Prot#'!A152</f>
        <v>gpr82_human</v>
      </c>
      <c r="B178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8" s="5" t="str">
        <f t="shared" si="51"/>
        <v>MISSMALPIIYILLCIVGVFGNTLSQWIFLTK</v>
      </c>
      <c r="G178" s="4" t="str">
        <f t="shared" si="52"/>
        <v/>
      </c>
      <c r="H178" s="4" t="str">
        <f t="shared" si="53"/>
        <v>TSTHIYLSHLVTANLLVCSAMPFMSIYFLKG</v>
      </c>
      <c r="I178" s="4" t="str">
        <f t="shared" si="54"/>
        <v>QWEY</v>
      </c>
      <c r="J178" s="4" t="str">
        <f t="shared" si="55"/>
        <v>QSAQCRVVNFLGTLSMHASMFVSLLILSWIAISRYATLMQ</v>
      </c>
      <c r="K178" s="4" t="str">
        <f t="shared" si="56"/>
        <v>GHLLKKFR</v>
      </c>
      <c r="L178" s="4" t="str">
        <f t="shared" si="57"/>
        <v>QPNFARKLCIYIWGVVLGIIIPVTVYY</v>
      </c>
      <c r="M178" s="4" t="str">
        <f t="shared" si="58"/>
        <v/>
      </c>
      <c r="N178" s="4" t="str">
        <f t="shared" si="59"/>
        <v>LGAMISQIAGLIGTTFIGFSFLVVLTSYYSFVSHLRKI</v>
      </c>
      <c r="O178" s="4" t="str">
        <f t="shared" si="60"/>
        <v>IMEKDLTYSSVKRHLLVIQILLIVCFLPYSIFKPIFYVL</v>
      </c>
      <c r="P178" s="4" t="str">
        <f t="shared" si="61"/>
        <v>LNYLIETKNILTCLASARSSTDPIIFLLL</v>
      </c>
      <c r="Q178" s="4" t="str">
        <f t="shared" si="62"/>
        <v>DKTFKKTLYNLFT</v>
      </c>
      <c r="R178" s="5">
        <f>VLOOKUP($A178,'SegEnds_NonXtal_Prot#'!$A:$AL,3,FALSE)</f>
        <v>12</v>
      </c>
      <c r="S178" s="5" t="str">
        <f>VLOOKUP($A178,'SegEnds_NonXtal_Prot#'!$A:$AL,6,FALSE)</f>
        <v>-</v>
      </c>
      <c r="T178" s="5">
        <f>VLOOKUP($A178,'SegEnds_NonXtal_Prot#'!$A:$AL,9,FALSE)</f>
        <v>48</v>
      </c>
      <c r="U178" s="5">
        <f>VLOOKUP($A178,'SegEnds_NonXtal_Prot#'!$A:$AL,12,FALSE)</f>
        <v>80</v>
      </c>
      <c r="V178" s="5">
        <f>VLOOKUP($A178,'SegEnds_NonXtal_Prot#'!$A:$AL,15,FALSE)</f>
        <v>84</v>
      </c>
      <c r="W178" s="5">
        <f>VLOOKUP($A178,'SegEnds_NonXtal_Prot#'!$A:$AL,18,FALSE)</f>
        <v>140</v>
      </c>
      <c r="X178" s="5">
        <f>VLOOKUP($A178,'SegEnds_NonXtal_Prot#'!$A:$AL,21,FALSE)</f>
        <v>148</v>
      </c>
      <c r="Y178" s="5" t="str">
        <f>VLOOKUP($A178,'SegEnds_NonXtal_Prot#'!$A:$AL,24,FALSE)</f>
        <v>-</v>
      </c>
      <c r="Z178" s="5">
        <f>VLOOKUP($A178,'SegEnds_NonXtal_Prot#'!$A:$AL,27,FALSE)</f>
        <v>194</v>
      </c>
      <c r="AA178" s="5">
        <f>VLOOKUP($A178,'SegEnds_NonXtal_Prot#'!$A:$AL,30,FALSE)</f>
        <v>237</v>
      </c>
      <c r="AB178" s="5">
        <f>VLOOKUP($A178,'SegEnds_NonXtal_Prot#'!$A:$AL,33,FALSE)</f>
        <v>284</v>
      </c>
      <c r="AC178" s="5">
        <f>VLOOKUP($A178,'SegEnds_NonXtal_Prot#'!$A:$AL,36,FALSE)</f>
        <v>313</v>
      </c>
      <c r="AD178" s="5">
        <f>VLOOKUP($A178,'SegEnds_NonXtal_Prot#'!$A:$AL,5,FALSE)</f>
        <v>43</v>
      </c>
      <c r="AE178" s="5" t="str">
        <f>VLOOKUP($A178,'SegEnds_NonXtal_Prot#'!$A:$AL,8,FALSE)</f>
        <v>-</v>
      </c>
      <c r="AF178" s="5">
        <f>VLOOKUP($A178,'SegEnds_NonXtal_Prot#'!$A:$AL,11,FALSE)</f>
        <v>78</v>
      </c>
      <c r="AG178" s="5">
        <f>VLOOKUP($A178,'SegEnds_NonXtal_Prot#'!$A:$AL,14,FALSE)</f>
        <v>83</v>
      </c>
      <c r="AH178" s="5">
        <f>VLOOKUP($A178,'SegEnds_NonXtal_Prot#'!$A:$AL,17,FALSE)</f>
        <v>123</v>
      </c>
      <c r="AI178" s="5">
        <f>VLOOKUP($A178,'SegEnds_NonXtal_Prot#'!$A:$AL,20,FALSE)</f>
        <v>147</v>
      </c>
      <c r="AJ178" s="5">
        <f>VLOOKUP($A178,'SegEnds_NonXtal_Prot#'!$A:$AL,23,FALSE)</f>
        <v>174</v>
      </c>
      <c r="AK178" s="5" t="str">
        <f>VLOOKUP($A178,'SegEnds_NonXtal_Prot#'!$A:$AL,26,FALSE)</f>
        <v>-</v>
      </c>
      <c r="AL178" s="5">
        <f>VLOOKUP($A178,'SegEnds_NonXtal_Prot#'!$A:$AL,29,FALSE)</f>
        <v>231</v>
      </c>
      <c r="AM178" s="5">
        <f>VLOOKUP($A178,'SegEnds_NonXtal_Prot#'!$A:$AL,32,FALSE)</f>
        <v>275</v>
      </c>
      <c r="AN178" s="5">
        <f>VLOOKUP($A178,'SegEnds_NonXtal_Prot#'!$A:$AL,35,FALSE)</f>
        <v>312</v>
      </c>
      <c r="AO178" s="5">
        <f>VLOOKUP($A178,'SegEnds_NonXtal_Prot#'!$A:$AL,38,FALSE)</f>
        <v>325</v>
      </c>
      <c r="AP178" s="5">
        <f t="shared" si="63"/>
        <v>31</v>
      </c>
      <c r="AQ178" s="4" t="str">
        <f t="shared" si="64"/>
        <v>-</v>
      </c>
      <c r="AR178" s="4">
        <f t="shared" si="65"/>
        <v>30</v>
      </c>
      <c r="AS178" s="4">
        <f t="shared" si="66"/>
        <v>3</v>
      </c>
      <c r="AT178" s="4">
        <f t="shared" si="67"/>
        <v>39</v>
      </c>
      <c r="AU178" s="4">
        <f t="shared" si="68"/>
        <v>7</v>
      </c>
      <c r="AV178" s="4">
        <f t="shared" si="69"/>
        <v>26</v>
      </c>
      <c r="AW178" s="4" t="str">
        <f t="shared" si="70"/>
        <v>-</v>
      </c>
      <c r="AX178" s="4">
        <f t="shared" si="71"/>
        <v>37</v>
      </c>
      <c r="AY178" s="4">
        <f t="shared" si="72"/>
        <v>38</v>
      </c>
      <c r="AZ178" s="4">
        <f t="shared" si="73"/>
        <v>28</v>
      </c>
      <c r="BA178" s="4">
        <f t="shared" si="74"/>
        <v>12</v>
      </c>
    </row>
    <row r="179" spans="1:53" x14ac:dyDescent="0.2">
      <c r="A179" s="1" t="str">
        <f>'SegEnds_NonXtal_Prot#'!A153</f>
        <v>gpr84_human</v>
      </c>
      <c r="B179" s="1" t="str">
        <f t="shared" si="50"/>
        <v>SCYHESVLGYRYVAVSWGVVVAVTGTVGNVLTLLALAIQTRFNLLIANLTLADLLYCTLLQPFSVDTYLHGATFCRVFGLLLFASNSVSILTLCLIALGRYLLIAHSAKGIVLALVSTWVVGVASFAPLWPIYQYKLRQASIHSNHVARTDEAMPGRFQELDSRLASGGPSEGISSEPVPDSSSEFGKVTRMCFAVFLCFALSYIPFLLLNILDARVVVHMLAANLTWLNGCINPVLYAAMNRQFRQAYGSILKR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9" s="5" t="str">
        <f t="shared" si="51"/>
        <v>SCYHESVLGYRYVAVSWGVVVAVTGTVGNVLTLLALAIQ</v>
      </c>
      <c r="G179" s="4" t="str">
        <f t="shared" si="52"/>
        <v>PKLR</v>
      </c>
      <c r="H179" s="4" t="str">
        <f t="shared" si="53"/>
        <v>TRFNLLIANLTLADLLYCTLLQPFSVDTYLH</v>
      </c>
      <c r="I179" s="4" t="str">
        <f t="shared" si="54"/>
        <v/>
      </c>
      <c r="J179" s="4" t="str">
        <f t="shared" si="55"/>
        <v>GATFCRVFGLLLFASNSVSILTLCLIALGRYLLIAH</v>
      </c>
      <c r="K179" s="4" t="str">
        <f t="shared" si="56"/>
        <v>PKLFPQVF</v>
      </c>
      <c r="L179" s="4" t="str">
        <f t="shared" si="57"/>
        <v>SAKGIVLALVSTWVVGVASFAPLWPIY</v>
      </c>
      <c r="M179" s="4" t="str">
        <f t="shared" si="58"/>
        <v>CSF</v>
      </c>
      <c r="N179" s="4" t="str">
        <f t="shared" si="59"/>
        <v>QYKLRQASIHSNHVARTDEAMPGRFQELDSRLASGGPSEGISSEPV</v>
      </c>
      <c r="O179" s="4" t="str">
        <f t="shared" si="60"/>
        <v>PDSSSEFGKVTRMCFAVFLCFALSYIPFLLLNILDARV</v>
      </c>
      <c r="P179" s="4" t="str">
        <f t="shared" si="61"/>
        <v>VVHMLAANLTWLNGCINPVLYAAM</v>
      </c>
      <c r="Q179" s="4" t="str">
        <f t="shared" si="62"/>
        <v>NRQFRQAYGSILKR</v>
      </c>
      <c r="R179" s="5">
        <f>VLOOKUP($A179,'SegEnds_NonXtal_Prot#'!$A:$AL,3,FALSE)</f>
        <v>10</v>
      </c>
      <c r="S179" s="5">
        <f>VLOOKUP($A179,'SegEnds_NonXtal_Prot#'!$A:$AL,6,FALSE)</f>
        <v>49</v>
      </c>
      <c r="T179" s="5">
        <f>VLOOKUP($A179,'SegEnds_NonXtal_Prot#'!$A:$AL,9,FALSE)</f>
        <v>53</v>
      </c>
      <c r="U179" s="5" t="str">
        <f>VLOOKUP($A179,'SegEnds_NonXtal_Prot#'!$A:$AL,12,FALSE)</f>
        <v>-</v>
      </c>
      <c r="V179" s="5">
        <f>VLOOKUP($A179,'SegEnds_NonXtal_Prot#'!$A:$AL,15,FALSE)</f>
        <v>89</v>
      </c>
      <c r="W179" s="5">
        <f>VLOOKUP($A179,'SegEnds_NonXtal_Prot#'!$A:$AL,18,FALSE)</f>
        <v>125</v>
      </c>
      <c r="X179" s="5">
        <f>VLOOKUP($A179,'SegEnds_NonXtal_Prot#'!$A:$AL,21,FALSE)</f>
        <v>133</v>
      </c>
      <c r="Y179" s="5">
        <f>VLOOKUP($A179,'SegEnds_NonXtal_Prot#'!$A:$AL,24,FALSE)</f>
        <v>168</v>
      </c>
      <c r="Z179" s="5">
        <f>VLOOKUP($A179,'SegEnds_NonXtal_Prot#'!$A:$AL,27,FALSE)</f>
        <v>214</v>
      </c>
      <c r="AA179" s="5">
        <f>VLOOKUP($A179,'SegEnds_NonXtal_Prot#'!$A:$AL,30,FALSE)</f>
        <v>308</v>
      </c>
      <c r="AB179" s="5">
        <f>VLOOKUP($A179,'SegEnds_NonXtal_Prot#'!$A:$AL,33,FALSE)</f>
        <v>350</v>
      </c>
      <c r="AC179" s="5">
        <f>VLOOKUP($A179,'SegEnds_NonXtal_Prot#'!$A:$AL,36,FALSE)</f>
        <v>374</v>
      </c>
      <c r="AD179" s="5">
        <f>VLOOKUP($A179,'SegEnds_NonXtal_Prot#'!$A:$AL,5,FALSE)</f>
        <v>48</v>
      </c>
      <c r="AE179" s="5">
        <f>VLOOKUP($A179,'SegEnds_NonXtal_Prot#'!$A:$AL,8,FALSE)</f>
        <v>52</v>
      </c>
      <c r="AF179" s="5">
        <f>VLOOKUP($A179,'SegEnds_NonXtal_Prot#'!$A:$AL,11,FALSE)</f>
        <v>83</v>
      </c>
      <c r="AG179" s="5" t="str">
        <f>VLOOKUP($A179,'SegEnds_NonXtal_Prot#'!$A:$AL,14,FALSE)</f>
        <v>-</v>
      </c>
      <c r="AH179" s="5">
        <f>VLOOKUP($A179,'SegEnds_NonXtal_Prot#'!$A:$AL,17,FALSE)</f>
        <v>124</v>
      </c>
      <c r="AI179" s="5">
        <f>VLOOKUP($A179,'SegEnds_NonXtal_Prot#'!$A:$AL,20,FALSE)</f>
        <v>132</v>
      </c>
      <c r="AJ179" s="5">
        <f>VLOOKUP($A179,'SegEnds_NonXtal_Prot#'!$A:$AL,23,FALSE)</f>
        <v>159</v>
      </c>
      <c r="AK179" s="5">
        <f>VLOOKUP($A179,'SegEnds_NonXtal_Prot#'!$A:$AL,26,FALSE)</f>
        <v>170</v>
      </c>
      <c r="AL179" s="5">
        <f>VLOOKUP($A179,'SegEnds_NonXtal_Prot#'!$A:$AL,29,FALSE)</f>
        <v>259</v>
      </c>
      <c r="AM179" s="5">
        <f>VLOOKUP($A179,'SegEnds_NonXtal_Prot#'!$A:$AL,32,FALSE)</f>
        <v>345</v>
      </c>
      <c r="AN179" s="5">
        <f>VLOOKUP($A179,'SegEnds_NonXtal_Prot#'!$A:$AL,35,FALSE)</f>
        <v>373</v>
      </c>
      <c r="AO179" s="5">
        <f>VLOOKUP($A179,'SegEnds_NonXtal_Prot#'!$A:$AL,38,FALSE)</f>
        <v>387</v>
      </c>
      <c r="AP179" s="5">
        <f t="shared" si="63"/>
        <v>38</v>
      </c>
      <c r="AQ179" s="4">
        <f t="shared" si="64"/>
        <v>3</v>
      </c>
      <c r="AR179" s="4">
        <f t="shared" si="65"/>
        <v>30</v>
      </c>
      <c r="AS179" s="4" t="str">
        <f t="shared" si="66"/>
        <v>-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45</v>
      </c>
      <c r="AY179" s="4">
        <f t="shared" si="72"/>
        <v>37</v>
      </c>
      <c r="AZ179" s="4">
        <f t="shared" si="73"/>
        <v>23</v>
      </c>
      <c r="BA179" s="4">
        <f t="shared" si="74"/>
        <v>13</v>
      </c>
    </row>
    <row r="180" spans="1:53" x14ac:dyDescent="0.2">
      <c r="A180" s="1" t="str">
        <f>'SegEnds_NonXtal_Prot#'!A154</f>
        <v>gpr85_human</v>
      </c>
      <c r="B180" s="1" t="str">
        <f t="shared" si="50"/>
        <v>AFLKLTSLGFIIGVSVVGNLLISILLVKDRAPYYFLLDLCCSDILRSAICFPFVFNSVKNGTLTCKVIAFLGVLSCFHTAFMLFCISVTRYLAIAHTFWTCLAVICMVWTLSVAMAFPPVLDVVQFVAAVSQNWTFHGPGASGQAAANWLAGFGRGPTPPTLLGILDEFKMEKRISRMFYIMTFLFLTLWGPYLVACYWRVFAPGGFLTAAVWMSFAQAGINPFVCIFSNRELRRCFSTTL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80" s="5" t="str">
        <f t="shared" si="51"/>
        <v>AFLKLTSLGFIIGVSVVGNLLISILLVKD</v>
      </c>
      <c r="G180" s="4" t="str">
        <f t="shared" si="52"/>
        <v>KTLH</v>
      </c>
      <c r="H180" s="4" t="str">
        <f t="shared" si="53"/>
        <v>RAPYYFLLDLCCSDILRSAICFPFVFNSVKN</v>
      </c>
      <c r="I180" s="4" t="str">
        <f t="shared" si="54"/>
        <v>TWTY</v>
      </c>
      <c r="J180" s="4" t="str">
        <f t="shared" si="55"/>
        <v>GTLTCKVIAFLGVLSCFHTAFMLFCISVTRYLAIAH</v>
      </c>
      <c r="K180" s="4" t="str">
        <f t="shared" si="56"/>
        <v>HRFYTKRL</v>
      </c>
      <c r="L180" s="4" t="str">
        <f t="shared" si="57"/>
        <v>TFWTCLAVICMVWTLSVAMAFPPVLDV</v>
      </c>
      <c r="M180" s="4" t="str">
        <f t="shared" si="58"/>
        <v>CTF</v>
      </c>
      <c r="N180" s="4" t="str">
        <f t="shared" si="59"/>
        <v>VQFVAAVSQNWTFHGPGASGQAAANWLAGFGRGPTPPTLLGI</v>
      </c>
      <c r="O180" s="4" t="str">
        <f t="shared" si="60"/>
        <v>LDEFKMEKRISRMFYIMTFLFLTLWGPYLVACYWRVFA</v>
      </c>
      <c r="P180" s="4" t="str">
        <f t="shared" si="61"/>
        <v>PGGFLTAAVWMSFAQAGINPFVCIFS</v>
      </c>
      <c r="Q180" s="4" t="str">
        <f t="shared" si="62"/>
        <v>NRELRRCFSTTL</v>
      </c>
      <c r="R180" s="5">
        <f>VLOOKUP($A180,'SegEnds_NonXtal_Prot#'!$A:$AL,3,FALSE)</f>
        <v>20</v>
      </c>
      <c r="S180" s="5">
        <f>VLOOKUP($A180,'SegEnds_NonXtal_Prot#'!$A:$AL,6,FALSE)</f>
        <v>49</v>
      </c>
      <c r="T180" s="5">
        <f>VLOOKUP($A180,'SegEnds_NonXtal_Prot#'!$A:$AL,9,FALSE)</f>
        <v>53</v>
      </c>
      <c r="U180" s="5">
        <f>VLOOKUP($A180,'SegEnds_NonXtal_Prot#'!$A:$AL,12,FALSE)</f>
        <v>86</v>
      </c>
      <c r="V180" s="5">
        <f>VLOOKUP($A180,'SegEnds_NonXtal_Prot#'!$A:$AL,15,FALSE)</f>
        <v>90</v>
      </c>
      <c r="W180" s="5">
        <f>VLOOKUP($A180,'SegEnds_NonXtal_Prot#'!$A:$AL,18,FALSE)</f>
        <v>126</v>
      </c>
      <c r="X180" s="5">
        <f>VLOOKUP($A180,'SegEnds_NonXtal_Prot#'!$A:$AL,21,FALSE)</f>
        <v>134</v>
      </c>
      <c r="Y180" s="5">
        <f>VLOOKUP($A180,'SegEnds_NonXtal_Prot#'!$A:$AL,24,FALSE)</f>
        <v>172</v>
      </c>
      <c r="Z180" s="5">
        <f>VLOOKUP($A180,'SegEnds_NonXtal_Prot#'!$A:$AL,27,FALSE)</f>
        <v>218</v>
      </c>
      <c r="AA180" s="5">
        <f>VLOOKUP($A180,'SegEnds_NonXtal_Prot#'!$A:$AL,30,FALSE)</f>
        <v>274</v>
      </c>
      <c r="AB180" s="5">
        <f>VLOOKUP($A180,'SegEnds_NonXtal_Prot#'!$A:$AL,33,FALSE)</f>
        <v>317</v>
      </c>
      <c r="AC180" s="5">
        <f>VLOOKUP($A180,'SegEnds_NonXtal_Prot#'!$A:$AL,36,FALSE)</f>
        <v>343</v>
      </c>
      <c r="AD180" s="5">
        <f>VLOOKUP($A180,'SegEnds_NonXtal_Prot#'!$A:$AL,5,FALSE)</f>
        <v>48</v>
      </c>
      <c r="AE180" s="5">
        <f>VLOOKUP($A180,'SegEnds_NonXtal_Prot#'!$A:$AL,8,FALSE)</f>
        <v>52</v>
      </c>
      <c r="AF180" s="5">
        <f>VLOOKUP($A180,'SegEnds_NonXtal_Prot#'!$A:$AL,11,FALSE)</f>
        <v>83</v>
      </c>
      <c r="AG180" s="5">
        <f>VLOOKUP($A180,'SegEnds_NonXtal_Prot#'!$A:$AL,14,FALSE)</f>
        <v>89</v>
      </c>
      <c r="AH180" s="5">
        <f>VLOOKUP($A180,'SegEnds_NonXtal_Prot#'!$A:$AL,17,FALSE)</f>
        <v>125</v>
      </c>
      <c r="AI180" s="5">
        <f>VLOOKUP($A180,'SegEnds_NonXtal_Prot#'!$A:$AL,20,FALSE)</f>
        <v>133</v>
      </c>
      <c r="AJ180" s="5">
        <f>VLOOKUP($A180,'SegEnds_NonXtal_Prot#'!$A:$AL,23,FALSE)</f>
        <v>160</v>
      </c>
      <c r="AK180" s="5">
        <f>VLOOKUP($A180,'SegEnds_NonXtal_Prot#'!$A:$AL,26,FALSE)</f>
        <v>174</v>
      </c>
      <c r="AL180" s="5">
        <f>VLOOKUP($A180,'SegEnds_NonXtal_Prot#'!$A:$AL,29,FALSE)</f>
        <v>259</v>
      </c>
      <c r="AM180" s="5">
        <f>VLOOKUP($A180,'SegEnds_NonXtal_Prot#'!$A:$AL,32,FALSE)</f>
        <v>311</v>
      </c>
      <c r="AN180" s="5">
        <f>VLOOKUP($A180,'SegEnds_NonXtal_Prot#'!$A:$AL,35,FALSE)</f>
        <v>342</v>
      </c>
      <c r="AO180" s="5">
        <f>VLOOKUP($A180,'SegEnds_NonXtal_Prot#'!$A:$AL,38,FALSE)</f>
        <v>354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>
        <f t="shared" si="66"/>
        <v>3</v>
      </c>
      <c r="AT180" s="4">
        <f t="shared" si="67"/>
        <v>35</v>
      </c>
      <c r="AU180" s="4">
        <f t="shared" si="68"/>
        <v>7</v>
      </c>
      <c r="AV180" s="4">
        <f t="shared" si="69"/>
        <v>26</v>
      </c>
      <c r="AW180" s="4">
        <f t="shared" si="70"/>
        <v>2</v>
      </c>
      <c r="AX180" s="4">
        <f t="shared" si="71"/>
        <v>41</v>
      </c>
      <c r="AY180" s="4">
        <f t="shared" si="72"/>
        <v>37</v>
      </c>
      <c r="AZ180" s="4">
        <f t="shared" si="73"/>
        <v>25</v>
      </c>
      <c r="BA180" s="4">
        <f t="shared" si="74"/>
        <v>11</v>
      </c>
    </row>
    <row r="181" spans="1:53" x14ac:dyDescent="0.2">
      <c r="A181" s="1" t="str">
        <f>'SegEnds_NonXtal_Prot#'!A155</f>
        <v>gpr87_human</v>
      </c>
      <c r="B181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81" s="5" t="str">
        <f t="shared" si="51"/>
        <v>NEFDTIVLPVLYLIIFVASILLNGLAVWIFFHI</v>
      </c>
      <c r="G181" s="4" t="str">
        <f t="shared" si="52"/>
        <v/>
      </c>
      <c r="H181" s="4" t="str">
        <f t="shared" si="53"/>
        <v>TSFIFYLKNIVVADLIMTLTFPFRIVHDAG</v>
      </c>
      <c r="I181" s="4" t="str">
        <f t="shared" si="54"/>
        <v>PWYF</v>
      </c>
      <c r="J181" s="4" t="str">
        <f t="shared" si="55"/>
        <v>KFILCRYTSVLFYANMYTSIVFLGLISIDRYLKVVK</v>
      </c>
      <c r="K181" s="4" t="str">
        <f t="shared" si="56"/>
        <v>PFGDSRMY</v>
      </c>
      <c r="L181" s="4" t="str">
        <f t="shared" si="57"/>
        <v>SITFTKVLSVCVWVIMAVLSLPNIILT</v>
      </c>
      <c r="M181" s="4" t="str">
        <f t="shared" si="58"/>
        <v>CSK</v>
      </c>
      <c r="N181" s="4" t="str">
        <f t="shared" si="59"/>
        <v>PLGVKWHTAVTYVNSCLFVAVLVILIGCYIAISRYIHKS</v>
      </c>
      <c r="O181" s="4" t="str">
        <f t="shared" si="60"/>
        <v>ISQSSRKRKHNQSIRVVVAVFFTCFLPYHLCRIPFTFSHLD</v>
      </c>
      <c r="P181" s="4" t="str">
        <f t="shared" si="61"/>
        <v>DESAQKILYYCKEITLFLSACNVCLDPIIYFFM</v>
      </c>
      <c r="Q181" s="4" t="str">
        <f t="shared" si="62"/>
        <v>CRSFSRRLFKK</v>
      </c>
      <c r="R181" s="5">
        <f>VLOOKUP($A181,'SegEnds_NonXtal_Prot#'!$A:$AL,3,FALSE)</f>
        <v>38</v>
      </c>
      <c r="S181" s="5" t="str">
        <f>VLOOKUP($A181,'SegEnds_NonXtal_Prot#'!$A:$AL,6,FALSE)</f>
        <v>-</v>
      </c>
      <c r="T181" s="5">
        <f>VLOOKUP($A181,'SegEnds_NonXtal_Prot#'!$A:$AL,9,FALSE)</f>
        <v>74</v>
      </c>
      <c r="U181" s="5">
        <f>VLOOKUP($A181,'SegEnds_NonXtal_Prot#'!$A:$AL,12,FALSE)</f>
        <v>106</v>
      </c>
      <c r="V181" s="5">
        <f>VLOOKUP($A181,'SegEnds_NonXtal_Prot#'!$A:$AL,15,FALSE)</f>
        <v>110</v>
      </c>
      <c r="W181" s="5">
        <f>VLOOKUP($A181,'SegEnds_NonXtal_Prot#'!$A:$AL,18,FALSE)</f>
        <v>146</v>
      </c>
      <c r="X181" s="5">
        <f>VLOOKUP($A181,'SegEnds_NonXtal_Prot#'!$A:$AL,21,FALSE)</f>
        <v>154</v>
      </c>
      <c r="Y181" s="5">
        <f>VLOOKUP($A181,'SegEnds_NonXtal_Prot#'!$A:$AL,24,FALSE)</f>
        <v>192</v>
      </c>
      <c r="Z181" s="5">
        <f>VLOOKUP($A181,'SegEnds_NonXtal_Prot#'!$A:$AL,27,FALSE)</f>
        <v>198</v>
      </c>
      <c r="AA181" s="5">
        <f>VLOOKUP($A181,'SegEnds_NonXtal_Prot#'!$A:$AL,30,FALSE)</f>
        <v>241</v>
      </c>
      <c r="AB181" s="5">
        <f>VLOOKUP($A181,'SegEnds_NonXtal_Prot#'!$A:$AL,33,FALSE)</f>
        <v>285</v>
      </c>
      <c r="AC181" s="5">
        <f>VLOOKUP($A181,'SegEnds_NonXtal_Prot#'!$A:$AL,36,FALSE)</f>
        <v>318</v>
      </c>
      <c r="AD181" s="5">
        <f>VLOOKUP($A181,'SegEnds_NonXtal_Prot#'!$A:$AL,5,FALSE)</f>
        <v>70</v>
      </c>
      <c r="AE181" s="5" t="str">
        <f>VLOOKUP($A181,'SegEnds_NonXtal_Prot#'!$A:$AL,8,FALSE)</f>
        <v>-</v>
      </c>
      <c r="AF181" s="5">
        <f>VLOOKUP($A181,'SegEnds_NonXtal_Prot#'!$A:$AL,11,FALSE)</f>
        <v>103</v>
      </c>
      <c r="AG181" s="5">
        <f>VLOOKUP($A181,'SegEnds_NonXtal_Prot#'!$A:$AL,14,FALSE)</f>
        <v>109</v>
      </c>
      <c r="AH181" s="5">
        <f>VLOOKUP($A181,'SegEnds_NonXtal_Prot#'!$A:$AL,17,FALSE)</f>
        <v>145</v>
      </c>
      <c r="AI181" s="5">
        <f>VLOOKUP($A181,'SegEnds_NonXtal_Prot#'!$A:$AL,20,FALSE)</f>
        <v>153</v>
      </c>
      <c r="AJ181" s="5">
        <f>VLOOKUP($A181,'SegEnds_NonXtal_Prot#'!$A:$AL,23,FALSE)</f>
        <v>180</v>
      </c>
      <c r="AK181" s="5">
        <f>VLOOKUP($A181,'SegEnds_NonXtal_Prot#'!$A:$AL,26,FALSE)</f>
        <v>194</v>
      </c>
      <c r="AL181" s="5">
        <f>VLOOKUP($A181,'SegEnds_NonXtal_Prot#'!$A:$AL,29,FALSE)</f>
        <v>236</v>
      </c>
      <c r="AM181" s="5">
        <f>VLOOKUP($A181,'SegEnds_NonXtal_Prot#'!$A:$AL,32,FALSE)</f>
        <v>281</v>
      </c>
      <c r="AN181" s="5">
        <f>VLOOKUP($A181,'SegEnds_NonXtal_Prot#'!$A:$AL,35,FALSE)</f>
        <v>317</v>
      </c>
      <c r="AO181" s="5">
        <f>VLOOKUP($A181,'SegEnds_NonXtal_Prot#'!$A:$AL,38,FALSE)</f>
        <v>328</v>
      </c>
      <c r="AP181" s="5">
        <f t="shared" si="63"/>
        <v>32</v>
      </c>
      <c r="AQ181" s="4" t="str">
        <f t="shared" si="64"/>
        <v>-</v>
      </c>
      <c r="AR181" s="4">
        <f t="shared" si="65"/>
        <v>29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38</v>
      </c>
      <c r="AY181" s="4">
        <f t="shared" si="72"/>
        <v>40</v>
      </c>
      <c r="AZ181" s="4">
        <f t="shared" si="73"/>
        <v>32</v>
      </c>
      <c r="BA181" s="4">
        <f t="shared" si="74"/>
        <v>10</v>
      </c>
    </row>
    <row r="182" spans="1:53" x14ac:dyDescent="0.2">
      <c r="A182" s="1" t="str">
        <f>'SegEnds_NonXtal_Prot#'!A156</f>
        <v>gpr88_human</v>
      </c>
      <c r="B182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2" s="5" t="str">
        <f t="shared" si="51"/>
        <v>RIPVSLLYSGLAIGGTLANGMVIYLVSSF</v>
      </c>
      <c r="G182" s="4" t="str">
        <f t="shared" si="52"/>
        <v>RKLQ</v>
      </c>
      <c r="H182" s="4" t="str">
        <f t="shared" si="53"/>
        <v>TTSNAFIVNGCAADLSVCALWMPQEAVLGLL</v>
      </c>
      <c r="I182" s="4" t="str">
        <f t="shared" si="54"/>
        <v/>
      </c>
      <c r="J182" s="4" t="str">
        <f t="shared" si="55"/>
        <v>DGAGGSYRLLRGGLLGLGLTVSLLSHCLVALNRYLLITR</v>
      </c>
      <c r="K182" s="4" t="str">
        <f t="shared" si="56"/>
        <v>PATYQALY</v>
      </c>
      <c r="L182" s="4" t="str">
        <f t="shared" si="57"/>
        <v>QRRHTAGMLALSWALALGLVLLLPPWA</v>
      </c>
      <c r="M182" s="4" t="str">
        <f t="shared" si="58"/>
        <v/>
      </c>
      <c r="N182" s="4" t="str">
        <f t="shared" si="59"/>
        <v>VKRVSVLNFHLLHQLPGCAAAAAAFPGAQHAPGPGGAAHP</v>
      </c>
      <c r="O182" s="4" t="str">
        <f t="shared" si="60"/>
        <v>PALHPRRAQRRLSGLSVLLLCCVFLLATQPLVWVSLASGFS</v>
      </c>
      <c r="P182" s="4" t="str">
        <f t="shared" si="61"/>
        <v>WGVQAASWLLCCALSALNPLLYTWR</v>
      </c>
      <c r="Q182" s="4" t="str">
        <f t="shared" si="62"/>
        <v>NEEFRRSVRSVL</v>
      </c>
      <c r="R182" s="5">
        <f>VLOOKUP($A182,'SegEnds_NonXtal_Prot#'!$A:$AL,3,FALSE)</f>
        <v>31</v>
      </c>
      <c r="S182" s="5">
        <f>VLOOKUP($A182,'SegEnds_NonXtal_Prot#'!$A:$AL,6,FALSE)</f>
        <v>60</v>
      </c>
      <c r="T182" s="5">
        <f>VLOOKUP($A182,'SegEnds_NonXtal_Prot#'!$A:$AL,9,FALSE)</f>
        <v>64</v>
      </c>
      <c r="U182" s="5" t="str">
        <f>VLOOKUP($A182,'SegEnds_NonXtal_Prot#'!$A:$AL,12,FALSE)</f>
        <v>-</v>
      </c>
      <c r="V182" s="5">
        <f>VLOOKUP($A182,'SegEnds_NonXtal_Prot#'!$A:$AL,15,FALSE)</f>
        <v>106</v>
      </c>
      <c r="W182" s="5">
        <f>VLOOKUP($A182,'SegEnds_NonXtal_Prot#'!$A:$AL,18,FALSE)</f>
        <v>146</v>
      </c>
      <c r="X182" s="5">
        <f>VLOOKUP($A182,'SegEnds_NonXtal_Prot#'!$A:$AL,21,FALSE)</f>
        <v>154</v>
      </c>
      <c r="Y182" s="5" t="str">
        <f>VLOOKUP($A182,'SegEnds_NonXtal_Prot#'!$A:$AL,24,FALSE)</f>
        <v>-</v>
      </c>
      <c r="Z182" s="5">
        <f>VLOOKUP($A182,'SegEnds_NonXtal_Prot#'!$A:$AL,27,FALSE)</f>
        <v>223</v>
      </c>
      <c r="AA182" s="5">
        <f>VLOOKUP($A182,'SegEnds_NonXtal_Prot#'!$A:$AL,30,FALSE)</f>
        <v>270</v>
      </c>
      <c r="AB182" s="5">
        <f>VLOOKUP($A182,'SegEnds_NonXtal_Prot#'!$A:$AL,33,FALSE)</f>
        <v>315</v>
      </c>
      <c r="AC182" s="5">
        <f>VLOOKUP($A182,'SegEnds_NonXtal_Prot#'!$A:$AL,36,FALSE)</f>
        <v>340</v>
      </c>
      <c r="AD182" s="5">
        <f>VLOOKUP($A182,'SegEnds_NonXtal_Prot#'!$A:$AL,5,FALSE)</f>
        <v>59</v>
      </c>
      <c r="AE182" s="5">
        <f>VLOOKUP($A182,'SegEnds_NonXtal_Prot#'!$A:$AL,8,FALSE)</f>
        <v>63</v>
      </c>
      <c r="AF182" s="5">
        <f>VLOOKUP($A182,'SegEnds_NonXtal_Prot#'!$A:$AL,11,FALSE)</f>
        <v>94</v>
      </c>
      <c r="AG182" s="5" t="str">
        <f>VLOOKUP($A182,'SegEnds_NonXtal_Prot#'!$A:$AL,14,FALSE)</f>
        <v>-</v>
      </c>
      <c r="AH182" s="5">
        <f>VLOOKUP($A182,'SegEnds_NonXtal_Prot#'!$A:$AL,17,FALSE)</f>
        <v>144</v>
      </c>
      <c r="AI182" s="5">
        <f>VLOOKUP($A182,'SegEnds_NonXtal_Prot#'!$A:$AL,20,FALSE)</f>
        <v>153</v>
      </c>
      <c r="AJ182" s="5">
        <f>VLOOKUP($A182,'SegEnds_NonXtal_Prot#'!$A:$AL,23,FALSE)</f>
        <v>180</v>
      </c>
      <c r="AK182" s="5" t="str">
        <f>VLOOKUP($A182,'SegEnds_NonXtal_Prot#'!$A:$AL,26,FALSE)</f>
        <v>-</v>
      </c>
      <c r="AL182" s="5">
        <f>VLOOKUP($A182,'SegEnds_NonXtal_Prot#'!$A:$AL,29,FALSE)</f>
        <v>262</v>
      </c>
      <c r="AM182" s="5">
        <f>VLOOKUP($A182,'SegEnds_NonXtal_Prot#'!$A:$AL,32,FALSE)</f>
        <v>310</v>
      </c>
      <c r="AN182" s="5">
        <f>VLOOKUP($A182,'SegEnds_NonXtal_Prot#'!$A:$AL,35,FALSE)</f>
        <v>339</v>
      </c>
      <c r="AO182" s="5">
        <f>VLOOKUP($A182,'SegEnds_NonXtal_Prot#'!$A:$AL,38,FALSE)</f>
        <v>351</v>
      </c>
      <c r="AP182" s="5">
        <f t="shared" si="63"/>
        <v>28</v>
      </c>
      <c r="AQ182" s="4">
        <f t="shared" si="64"/>
        <v>3</v>
      </c>
      <c r="AR182" s="4">
        <f t="shared" si="65"/>
        <v>30</v>
      </c>
      <c r="AS182" s="4" t="str">
        <f t="shared" si="66"/>
        <v>-</v>
      </c>
      <c r="AT182" s="4">
        <f t="shared" si="67"/>
        <v>38</v>
      </c>
      <c r="AU182" s="4">
        <f t="shared" si="68"/>
        <v>7</v>
      </c>
      <c r="AV182" s="4">
        <f t="shared" si="69"/>
        <v>26</v>
      </c>
      <c r="AW182" s="4" t="str">
        <f t="shared" si="70"/>
        <v>-</v>
      </c>
      <c r="AX182" s="4">
        <f t="shared" si="71"/>
        <v>39</v>
      </c>
      <c r="AY182" s="4">
        <f t="shared" si="72"/>
        <v>40</v>
      </c>
      <c r="AZ182" s="4">
        <f t="shared" si="73"/>
        <v>24</v>
      </c>
      <c r="BA182" s="4">
        <f t="shared" si="74"/>
        <v>11</v>
      </c>
    </row>
    <row r="183" spans="1:53" x14ac:dyDescent="0.2">
      <c r="A183" s="1" t="str">
        <f>'SegEnds_NonXtal_Prot#'!A158</f>
        <v>hcar1_human</v>
      </c>
      <c r="B183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3" s="5" t="str">
        <f t="shared" si="51"/>
        <v>TISQVMPPLLIVAFVLGALGNGVALCGFCFH</v>
      </c>
      <c r="G183" s="4" t="str">
        <f t="shared" si="52"/>
        <v/>
      </c>
      <c r="H183" s="4" t="str">
        <f t="shared" si="53"/>
        <v>KPSTVYLFNLAVADFLLMICLPFRTDYYLR</v>
      </c>
      <c r="I183" s="4" t="str">
        <f t="shared" si="54"/>
        <v>HWAF</v>
      </c>
      <c r="J183" s="4" t="str">
        <f t="shared" si="55"/>
        <v>GDIPCRVGLFTLAMNRAGSIVFLTVVAADRYFKVVH</v>
      </c>
      <c r="K183" s="4" t="str">
        <f t="shared" si="56"/>
        <v>PHHAVNTI</v>
      </c>
      <c r="L183" s="4" t="str">
        <f t="shared" si="57"/>
        <v>STRVAAGIVCTLWALVILGTVYLLLEN</v>
      </c>
      <c r="M183" s="4" t="str">
        <f t="shared" si="58"/>
        <v>CES</v>
      </c>
      <c r="N183" s="4" t="str">
        <f t="shared" si="59"/>
        <v>MESANGWHDIMFQLEFFMPLGIILFCSFKIVWSLRR</v>
      </c>
      <c r="O183" s="4" t="str">
        <f t="shared" si="60"/>
        <v>RQARMKKATRFIMVVAIVFITCYLPSVSARLYFLWT</v>
      </c>
      <c r="P183" s="4" t="str">
        <f t="shared" si="61"/>
        <v>DPSVHGALHITLSFTYMNSMLDPLVYYFS</v>
      </c>
      <c r="Q183" s="4" t="str">
        <f t="shared" si="62"/>
        <v>SPSFPKFYNKLKI</v>
      </c>
      <c r="R183" s="5">
        <f>VLOOKUP($A183,'SegEnds_NonXtal_Prot#'!$A:$AL,3,FALSE)</f>
        <v>13</v>
      </c>
      <c r="S183" s="5" t="str">
        <f>VLOOKUP($A183,'SegEnds_NonXtal_Prot#'!$A:$AL,6,FALSE)</f>
        <v>-</v>
      </c>
      <c r="T183" s="5">
        <f>VLOOKUP($A183,'SegEnds_NonXtal_Prot#'!$A:$AL,9,FALSE)</f>
        <v>48</v>
      </c>
      <c r="U183" s="5">
        <f>VLOOKUP($A183,'SegEnds_NonXtal_Prot#'!$A:$AL,12,FALSE)</f>
        <v>80</v>
      </c>
      <c r="V183" s="5">
        <f>VLOOKUP($A183,'SegEnds_NonXtal_Prot#'!$A:$AL,15,FALSE)</f>
        <v>84</v>
      </c>
      <c r="W183" s="5">
        <f>VLOOKUP($A183,'SegEnds_NonXtal_Prot#'!$A:$AL,18,FALSE)</f>
        <v>120</v>
      </c>
      <c r="X183" s="5">
        <f>VLOOKUP($A183,'SegEnds_NonXtal_Prot#'!$A:$AL,21,FALSE)</f>
        <v>128</v>
      </c>
      <c r="Y183" s="5">
        <f>VLOOKUP($A183,'SegEnds_NonXtal_Prot#'!$A:$AL,24,FALSE)</f>
        <v>165</v>
      </c>
      <c r="Z183" s="5">
        <f>VLOOKUP($A183,'SegEnds_NonXtal_Prot#'!$A:$AL,27,FALSE)</f>
        <v>170</v>
      </c>
      <c r="AA183" s="5">
        <f>VLOOKUP($A183,'SegEnds_NonXtal_Prot#'!$A:$AL,30,FALSE)</f>
        <v>211</v>
      </c>
      <c r="AB183" s="5">
        <f>VLOOKUP($A183,'SegEnds_NonXtal_Prot#'!$A:$AL,33,FALSE)</f>
        <v>253</v>
      </c>
      <c r="AC183" s="5">
        <f>VLOOKUP($A183,'SegEnds_NonXtal_Prot#'!$A:$AL,36,FALSE)</f>
        <v>282</v>
      </c>
      <c r="AD183" s="5">
        <f>VLOOKUP($A183,'SegEnds_NonXtal_Prot#'!$A:$AL,5,FALSE)</f>
        <v>43</v>
      </c>
      <c r="AE183" s="5" t="str">
        <f>VLOOKUP($A183,'SegEnds_NonXtal_Prot#'!$A:$AL,8,FALSE)</f>
        <v>-</v>
      </c>
      <c r="AF183" s="5">
        <f>VLOOKUP($A183,'SegEnds_NonXtal_Prot#'!$A:$AL,11,FALSE)</f>
        <v>77</v>
      </c>
      <c r="AG183" s="5">
        <f>VLOOKUP($A183,'SegEnds_NonXtal_Prot#'!$A:$AL,14,FALSE)</f>
        <v>83</v>
      </c>
      <c r="AH183" s="5">
        <f>VLOOKUP($A183,'SegEnds_NonXtal_Prot#'!$A:$AL,17,FALSE)</f>
        <v>119</v>
      </c>
      <c r="AI183" s="5">
        <f>VLOOKUP($A183,'SegEnds_NonXtal_Prot#'!$A:$AL,20,FALSE)</f>
        <v>127</v>
      </c>
      <c r="AJ183" s="5">
        <f>VLOOKUP($A183,'SegEnds_NonXtal_Prot#'!$A:$AL,23,FALSE)</f>
        <v>154</v>
      </c>
      <c r="AK183" s="5">
        <f>VLOOKUP($A183,'SegEnds_NonXtal_Prot#'!$A:$AL,26,FALSE)</f>
        <v>167</v>
      </c>
      <c r="AL183" s="5">
        <f>VLOOKUP($A183,'SegEnds_NonXtal_Prot#'!$A:$AL,29,FALSE)</f>
        <v>205</v>
      </c>
      <c r="AM183" s="5">
        <f>VLOOKUP($A183,'SegEnds_NonXtal_Prot#'!$A:$AL,32,FALSE)</f>
        <v>246</v>
      </c>
      <c r="AN183" s="5">
        <f>VLOOKUP($A183,'SegEnds_NonXtal_Prot#'!$A:$AL,35,FALSE)</f>
        <v>281</v>
      </c>
      <c r="AO183" s="5">
        <f>VLOOKUP($A183,'SegEnds_NonXtal_Prot#'!$A:$AL,38,FALSE)</f>
        <v>294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35</v>
      </c>
      <c r="AZ183" s="4">
        <f t="shared" si="73"/>
        <v>28</v>
      </c>
      <c r="BA183" s="4">
        <f t="shared" si="74"/>
        <v>12</v>
      </c>
    </row>
    <row r="184" spans="1:53" x14ac:dyDescent="0.2">
      <c r="A184" s="1" t="str">
        <f>'SegEnds_NonXtal_Prot#'!A159</f>
        <v>hcar2_human</v>
      </c>
      <c r="B184" s="1" t="str">
        <f t="shared" si="50"/>
        <v>FIVKVLPPVLGLEFIFGLLGNGLALWIFCFHKSSRIFLFNLAVADFLLIICLPFLMDNYVRGDIPCRLMLFMLAMNRQGSIIFLTVVAVDRYFRVVHSNRTAAIISCLLWGITIGLTVHLLKKKSICHTFQWHEAMFLLEFFLPLGIILFCSARIIWSLRQRHAKIKRAITFIMVVAIVFVICFLPSVVVRIRIFWLLHTNCEVYRSVDLAFFITLSFTYMNSMLDPVVYYFSSPSFPNFFSTLIN</v>
      </c>
      <c r="C184" s="29" t="str">
        <f>IF(ISERROR(MATCH(A184,'SegEnds_Xtal_Prot#'!B:B, 0)), "NoXtal", "Xtal")</f>
        <v>NoXtal</v>
      </c>
      <c r="D184" s="4" t="str">
        <f>VLOOKUP(A184,Classification!A:D,2,FALSE)</f>
        <v>A</v>
      </c>
      <c r="E184" s="5" t="str">
        <f>VLOOKUP(A184,Seqs!A:B,2,FALSE)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84" s="5" t="str">
        <f t="shared" si="51"/>
        <v>FIVKVLPPVLGLEFIFGLLGNGLALWIFCFH</v>
      </c>
      <c r="G184" s="4" t="str">
        <f t="shared" si="52"/>
        <v/>
      </c>
      <c r="H184" s="4" t="str">
        <f t="shared" si="53"/>
        <v>KSSRIFLFNLAVADFLLIICLPFLMDNYVR</v>
      </c>
      <c r="I184" s="4" t="str">
        <f t="shared" si="54"/>
        <v>DWKF</v>
      </c>
      <c r="J184" s="4" t="str">
        <f t="shared" si="55"/>
        <v>GDIPCRLMLFMLAMNRQGSIIFLTVVAVDRYFRVVH</v>
      </c>
      <c r="K184" s="4" t="str">
        <f t="shared" si="56"/>
        <v>PHHALNKI</v>
      </c>
      <c r="L184" s="4" t="str">
        <f t="shared" si="57"/>
        <v>SNRTAAIISCLLWGITIGLTVHLLKKK</v>
      </c>
      <c r="M184" s="4" t="str">
        <f t="shared" si="58"/>
        <v>CSS</v>
      </c>
      <c r="N184" s="4" t="str">
        <f t="shared" si="59"/>
        <v>SICHTFQWHEAMFLLEFFLPLGIILFCSARIIWSLRQ</v>
      </c>
      <c r="O184" s="4" t="str">
        <f t="shared" si="60"/>
        <v>RHAKIKRAITFIMVVAIVFVICFLPSVVVRIRIFWLLHT</v>
      </c>
      <c r="P184" s="4" t="str">
        <f t="shared" si="61"/>
        <v>NCEVYRSVDLAFFITLSFTYMNSMLDPVVYYFS</v>
      </c>
      <c r="Q184" s="4" t="str">
        <f t="shared" si="62"/>
        <v>SPSFPNFFSTLIN</v>
      </c>
      <c r="R184" s="5">
        <f>VLOOKUP($A184,'SegEnds_NonXtal_Prot#'!$A:$AL,3,FALSE)</f>
        <v>25</v>
      </c>
      <c r="S184" s="5" t="str">
        <f>VLOOKUP($A184,'SegEnds_NonXtal_Prot#'!$A:$AL,6,FALSE)</f>
        <v>-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177</v>
      </c>
      <c r="Z184" s="5">
        <f>VLOOKUP($A184,'SegEnds_NonXtal_Prot#'!$A:$AL,27,FALSE)</f>
        <v>181</v>
      </c>
      <c r="AA184" s="5">
        <f>VLOOKUP($A184,'SegEnds_NonXtal_Prot#'!$A:$AL,30,FALSE)</f>
        <v>222</v>
      </c>
      <c r="AB184" s="5">
        <f>VLOOKUP($A184,'SegEnds_NonXtal_Prot#'!$A:$AL,33,FALSE)</f>
        <v>265</v>
      </c>
      <c r="AC184" s="5">
        <f>VLOOKUP($A184,'SegEnds_NonXtal_Prot#'!$A:$AL,36,FALSE)</f>
        <v>298</v>
      </c>
      <c r="AD184" s="5">
        <f>VLOOKUP($A184,'SegEnds_NonXtal_Prot#'!$A:$AL,5,FALSE)</f>
        <v>55</v>
      </c>
      <c r="AE184" s="5" t="str">
        <f>VLOOKUP($A184,'SegEnds_NonXtal_Prot#'!$A:$AL,8,FALSE)</f>
        <v>-</v>
      </c>
      <c r="AF184" s="5">
        <f>VLOOKUP($A184,'SegEnds_NonXtal_Prot#'!$A:$AL,11,FALSE)</f>
        <v>89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166</v>
      </c>
      <c r="AK184" s="5">
        <f>VLOOKUP($A184,'SegEnds_NonXtal_Prot#'!$A:$AL,26,FALSE)</f>
        <v>179</v>
      </c>
      <c r="AL184" s="5">
        <f>VLOOKUP($A184,'SegEnds_NonXtal_Prot#'!$A:$AL,29,FALSE)</f>
        <v>217</v>
      </c>
      <c r="AM184" s="5">
        <f>VLOOKUP($A184,'SegEnds_NonXtal_Prot#'!$A:$AL,32,FALSE)</f>
        <v>260</v>
      </c>
      <c r="AN184" s="5">
        <f>VLOOKUP($A184,'SegEnds_NonXtal_Prot#'!$A:$AL,35,FALSE)</f>
        <v>297</v>
      </c>
      <c r="AO184" s="5">
        <f>VLOOKUP($A184,'SegEnds_NonXtal_Prot#'!$A:$AL,38,FALSE)</f>
        <v>310</v>
      </c>
      <c r="AP184" s="5">
        <f t="shared" si="63"/>
        <v>30</v>
      </c>
      <c r="AQ184" s="4" t="str">
        <f t="shared" si="64"/>
        <v>-</v>
      </c>
      <c r="AR184" s="4">
        <f t="shared" si="65"/>
        <v>29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26</v>
      </c>
      <c r="AW184" s="4">
        <f t="shared" si="70"/>
        <v>2</v>
      </c>
      <c r="AX184" s="4">
        <f t="shared" si="71"/>
        <v>36</v>
      </c>
      <c r="AY184" s="4">
        <f t="shared" si="72"/>
        <v>38</v>
      </c>
      <c r="AZ184" s="4">
        <f t="shared" si="73"/>
        <v>32</v>
      </c>
      <c r="BA184" s="4">
        <f t="shared" si="74"/>
        <v>12</v>
      </c>
    </row>
    <row r="185" spans="1:53" x14ac:dyDescent="0.2">
      <c r="A185" s="1" t="str">
        <f>'SegEnds_NonXtal_Prot#'!A160</f>
        <v>hcar3_human</v>
      </c>
      <c r="B185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5" s="5" t="str">
        <f t="shared" si="51"/>
        <v>FIAKVLPPVLGLEFIFGLLGNGLALWIFCFH</v>
      </c>
      <c r="G185" s="4" t="str">
        <f t="shared" si="52"/>
        <v/>
      </c>
      <c r="H185" s="4" t="str">
        <f t="shared" si="53"/>
        <v>KSSRIFLFNLAVADFLLIICLPFVMDYYVR</v>
      </c>
      <c r="I185" s="4" t="str">
        <f t="shared" si="54"/>
        <v>DWKF</v>
      </c>
      <c r="J185" s="4" t="str">
        <f t="shared" si="55"/>
        <v>GDIPCRLVLFMFAMNRQGSIIFLTVVAVDRYFRVVH</v>
      </c>
      <c r="K185" s="4" t="str">
        <f t="shared" si="56"/>
        <v>PHHALNKI</v>
      </c>
      <c r="L185" s="4" t="str">
        <f t="shared" si="57"/>
        <v>SNWTAAIISCLLWGITVGLTVHLLKKK</v>
      </c>
      <c r="M185" s="4" t="str">
        <f t="shared" si="58"/>
        <v>CIS</v>
      </c>
      <c r="N185" s="4" t="str">
        <f t="shared" si="59"/>
        <v>ICHTFRWHEAMFLLEFFLPLGIILFCSARIIWSLRQ</v>
      </c>
      <c r="O185" s="4" t="str">
        <f t="shared" si="60"/>
        <v>RHAKIKRAITFIMVVAIVFVICFLPSVVVRIHIFWLLHT</v>
      </c>
      <c r="P185" s="4" t="str">
        <f t="shared" si="61"/>
        <v>NCEVYRSVDLAFFITLSFTYMNSMLDPVVYYFS</v>
      </c>
      <c r="Q185" s="4" t="str">
        <f t="shared" si="62"/>
        <v>SPSFPNFFSTLIN</v>
      </c>
      <c r="R185" s="5">
        <f>VLOOKUP($A185,'SegEnds_NonXtal_Prot#'!$A:$AL,3,FALSE)</f>
        <v>25</v>
      </c>
      <c r="S185" s="5" t="str">
        <f>VLOOKUP($A185,'SegEnds_NonXtal_Prot#'!$A:$AL,6,FALSE)</f>
        <v>-</v>
      </c>
      <c r="T185" s="5">
        <f>VLOOKUP($A185,'SegEnds_NonXtal_Prot#'!$A:$AL,9,FALSE)</f>
        <v>60</v>
      </c>
      <c r="U185" s="5">
        <f>VLOOKUP($A185,'SegEnds_NonXtal_Prot#'!$A:$AL,12,FALSE)</f>
        <v>92</v>
      </c>
      <c r="V185" s="5">
        <f>VLOOKUP($A185,'SegEnds_NonXtal_Prot#'!$A:$AL,15,FALSE)</f>
        <v>96</v>
      </c>
      <c r="W185" s="5">
        <f>VLOOKUP($A185,'SegEnds_NonXtal_Prot#'!$A:$AL,18,FALSE)</f>
        <v>132</v>
      </c>
      <c r="X185" s="5">
        <f>VLOOKUP($A185,'SegEnds_NonXtal_Prot#'!$A:$AL,21,FALSE)</f>
        <v>140</v>
      </c>
      <c r="Y185" s="5">
        <f>VLOOKUP($A185,'SegEnds_NonXtal_Prot#'!$A:$AL,24,FALSE)</f>
        <v>177</v>
      </c>
      <c r="Z185" s="5">
        <f>VLOOKUP($A185,'SegEnds_NonXtal_Prot#'!$A:$AL,27,FALSE)</f>
        <v>182</v>
      </c>
      <c r="AA185" s="5">
        <f>VLOOKUP($A185,'SegEnds_NonXtal_Prot#'!$A:$AL,30,FALSE)</f>
        <v>222</v>
      </c>
      <c r="AB185" s="5">
        <f>VLOOKUP($A185,'SegEnds_NonXtal_Prot#'!$A:$AL,33,FALSE)</f>
        <v>265</v>
      </c>
      <c r="AC185" s="5">
        <f>VLOOKUP($A185,'SegEnds_NonXtal_Prot#'!$A:$AL,36,FALSE)</f>
        <v>298</v>
      </c>
      <c r="AD185" s="5">
        <f>VLOOKUP($A185,'SegEnds_NonXtal_Prot#'!$A:$AL,5,FALSE)</f>
        <v>55</v>
      </c>
      <c r="AE185" s="5" t="str">
        <f>VLOOKUP($A185,'SegEnds_NonXtal_Prot#'!$A:$AL,8,FALSE)</f>
        <v>-</v>
      </c>
      <c r="AF185" s="5">
        <f>VLOOKUP($A185,'SegEnds_NonXtal_Prot#'!$A:$AL,11,FALSE)</f>
        <v>89</v>
      </c>
      <c r="AG185" s="5">
        <f>VLOOKUP($A185,'SegEnds_NonXtal_Prot#'!$A:$AL,14,FALSE)</f>
        <v>95</v>
      </c>
      <c r="AH185" s="5">
        <f>VLOOKUP($A185,'SegEnds_NonXtal_Prot#'!$A:$AL,17,FALSE)</f>
        <v>131</v>
      </c>
      <c r="AI185" s="5">
        <f>VLOOKUP($A185,'SegEnds_NonXtal_Prot#'!$A:$AL,20,FALSE)</f>
        <v>139</v>
      </c>
      <c r="AJ185" s="5">
        <f>VLOOKUP($A185,'SegEnds_NonXtal_Prot#'!$A:$AL,23,FALSE)</f>
        <v>166</v>
      </c>
      <c r="AK185" s="5">
        <f>VLOOKUP($A185,'SegEnds_NonXtal_Prot#'!$A:$AL,26,FALSE)</f>
        <v>179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297</v>
      </c>
      <c r="AO185" s="5">
        <f>VLOOKUP($A185,'SegEnds_NonXtal_Prot#'!$A:$AL,38,FALSE)</f>
        <v>310</v>
      </c>
      <c r="AP185" s="5">
        <f t="shared" si="63"/>
        <v>30</v>
      </c>
      <c r="AQ185" s="4" t="str">
        <f t="shared" si="64"/>
        <v>-</v>
      </c>
      <c r="AR185" s="4">
        <f t="shared" si="65"/>
        <v>29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35</v>
      </c>
      <c r="AY185" s="4">
        <f t="shared" si="72"/>
        <v>38</v>
      </c>
      <c r="AZ185" s="4">
        <f t="shared" si="73"/>
        <v>32</v>
      </c>
      <c r="BA185" s="4">
        <f t="shared" si="74"/>
        <v>12</v>
      </c>
    </row>
    <row r="186" spans="1:53" x14ac:dyDescent="0.2">
      <c r="A186" s="1" t="str">
        <f>'SegEnds_NonXtal_Prot#'!A161</f>
        <v>hrh1_human</v>
      </c>
      <c r="B186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6" s="29" t="str">
        <f>IF(ISERROR(MATCH(A186,'SegEnds_Xtal_Prot#'!B:B, 0)), "NoXtal", "Xtal")</f>
        <v>Xtal</v>
      </c>
      <c r="D186" s="4" t="str">
        <f>VLOOKUP(A186,Classification!A:D,2,FALSE)</f>
        <v>A</v>
      </c>
      <c r="E186" s="5" t="str">
        <f>VLOOKUP(A186,Seqs!A:B,2,FALSE)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6" s="5" t="str">
        <f t="shared" si="51"/>
        <v>PLVVVLSTICLVTVGLNLLVLYAVRSE</v>
      </c>
      <c r="G186" s="4" t="str">
        <f t="shared" si="52"/>
        <v>RKLH</v>
      </c>
      <c r="H186" s="4" t="str">
        <f t="shared" si="53"/>
        <v>TVGNLYIVSLSVADLIVGAVVMPMNILYLLM</v>
      </c>
      <c r="I186" s="4" t="str">
        <f t="shared" si="54"/>
        <v>KWSL</v>
      </c>
      <c r="J186" s="4" t="str">
        <f t="shared" si="55"/>
        <v>GRPLCLFWLSMDYVASTASIFSVFILCIDRYRSVQQ</v>
      </c>
      <c r="K186" s="4" t="str">
        <f t="shared" si="56"/>
        <v>PLRYLKYR</v>
      </c>
      <c r="L186" s="4" t="str">
        <f t="shared" si="57"/>
        <v>TKTRASATILGAWFLSFLWVIPILG</v>
      </c>
      <c r="M186" s="4" t="str">
        <f t="shared" si="58"/>
        <v>CET</v>
      </c>
      <c r="N186" s="4" t="str">
        <f t="shared" si="59"/>
        <v>VTWFKVMTAIINFYLPTLLMLWFYAKIYKAVRQHCQHRELIN</v>
      </c>
      <c r="O186" s="4" t="str">
        <f t="shared" si="60"/>
        <v>GLHMNRERKAAKQLGFIMAAFILCWIPYFIFFMVIAFC</v>
      </c>
      <c r="P186" s="4" t="str">
        <f t="shared" si="61"/>
        <v>NEHLHMFTIWLGYINSTLNPLIYPLC</v>
      </c>
      <c r="Q186" s="4" t="str">
        <f t="shared" si="62"/>
        <v>NENFKKTFKRILH</v>
      </c>
      <c r="R186" s="5">
        <f>VLOOKUP($A186,'SegEnds_NonXtal_Prot#'!$A:$AL,3,FALSE)</f>
        <v>29</v>
      </c>
      <c r="S186" s="5">
        <f>VLOOKUP($A186,'SegEnds_NonXtal_Prot#'!$A:$AL,6,FALSE)</f>
        <v>56</v>
      </c>
      <c r="T186" s="5">
        <f>VLOOKUP($A186,'SegEnds_NonXtal_Prot#'!$A:$AL,9,FALSE)</f>
        <v>60</v>
      </c>
      <c r="U186" s="5">
        <f>VLOOKUP($A186,'SegEnds_NonXtal_Prot#'!$A:$AL,12,FALSE)</f>
        <v>92</v>
      </c>
      <c r="V186" s="5">
        <f>VLOOKUP($A186,'SegEnds_NonXtal_Prot#'!$A:$AL,15,FALSE)</f>
        <v>96</v>
      </c>
      <c r="W186" s="5">
        <f>VLOOKUP($A186,'SegEnds_NonXtal_Prot#'!$A:$AL,18,FALSE)</f>
        <v>132</v>
      </c>
      <c r="X186" s="5">
        <f>VLOOKUP($A186,'SegEnds_NonXtal_Prot#'!$A:$AL,21,FALSE)</f>
        <v>140</v>
      </c>
      <c r="Y186" s="5">
        <f>VLOOKUP($A186,'SegEnds_NonXtal_Prot#'!$A:$AL,24,FALSE)</f>
        <v>180</v>
      </c>
      <c r="Z186" s="5">
        <f>VLOOKUP($A186,'SegEnds_NonXtal_Prot#'!$A:$AL,27,FALSE)</f>
        <v>187</v>
      </c>
      <c r="AA186" s="5">
        <f>VLOOKUP($A186,'SegEnds_NonXtal_Prot#'!$A:$AL,30,FALSE)</f>
        <v>404</v>
      </c>
      <c r="AB186" s="5">
        <f>VLOOKUP($A186,'SegEnds_NonXtal_Prot#'!$A:$AL,33,FALSE)</f>
        <v>446</v>
      </c>
      <c r="AC186" s="5">
        <f>VLOOKUP($A186,'SegEnds_NonXtal_Prot#'!$A:$AL,36,FALSE)</f>
        <v>472</v>
      </c>
      <c r="AD186" s="5">
        <f>VLOOKUP($A186,'SegEnds_NonXtal_Prot#'!$A:$AL,5,FALSE)</f>
        <v>55</v>
      </c>
      <c r="AE186" s="5">
        <f>VLOOKUP($A186,'SegEnds_NonXtal_Prot#'!$A:$AL,8,FALSE)</f>
        <v>59</v>
      </c>
      <c r="AF186" s="5">
        <f>VLOOKUP($A186,'SegEnds_NonXtal_Prot#'!$A:$AL,11,FALSE)</f>
        <v>90</v>
      </c>
      <c r="AG186" s="5">
        <f>VLOOKUP($A186,'SegEnds_NonXtal_Prot#'!$A:$AL,14,FALSE)</f>
        <v>95</v>
      </c>
      <c r="AH186" s="5">
        <f>VLOOKUP($A186,'SegEnds_NonXtal_Prot#'!$A:$AL,17,FALSE)</f>
        <v>131</v>
      </c>
      <c r="AI186" s="5">
        <f>VLOOKUP($A186,'SegEnds_NonXtal_Prot#'!$A:$AL,20,FALSE)</f>
        <v>139</v>
      </c>
      <c r="AJ186" s="5">
        <f>VLOOKUP($A186,'SegEnds_NonXtal_Prot#'!$A:$AL,23,FALSE)</f>
        <v>164</v>
      </c>
      <c r="AK186" s="5">
        <f>VLOOKUP($A186,'SegEnds_NonXtal_Prot#'!$A:$AL,26,FALSE)</f>
        <v>182</v>
      </c>
      <c r="AL186" s="5">
        <f>VLOOKUP($A186,'SegEnds_NonXtal_Prot#'!$A:$AL,29,FALSE)</f>
        <v>228</v>
      </c>
      <c r="AM186" s="5">
        <f>VLOOKUP($A186,'SegEnds_NonXtal_Prot#'!$A:$AL,32,FALSE)</f>
        <v>441</v>
      </c>
      <c r="AN186" s="5">
        <f>VLOOKUP($A186,'SegEnds_NonXtal_Prot#'!$A:$AL,35,FALSE)</f>
        <v>471</v>
      </c>
      <c r="AO186" s="5">
        <f>VLOOKUP($A186,'SegEnds_NonXtal_Prot#'!$A:$AL,38,FALSE)</f>
        <v>484</v>
      </c>
      <c r="AP186" s="5">
        <f t="shared" si="63"/>
        <v>26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24</v>
      </c>
      <c r="AW186" s="4">
        <f t="shared" si="70"/>
        <v>2</v>
      </c>
      <c r="AX186" s="4">
        <f t="shared" si="71"/>
        <v>41</v>
      </c>
      <c r="AY186" s="4">
        <f t="shared" si="72"/>
        <v>37</v>
      </c>
      <c r="AZ186" s="4">
        <f t="shared" si="73"/>
        <v>25</v>
      </c>
      <c r="BA186" s="4">
        <f t="shared" si="74"/>
        <v>12</v>
      </c>
    </row>
    <row r="187" spans="1:53" x14ac:dyDescent="0.2">
      <c r="A187" s="1" t="str">
        <f>'SegEnds_NonXtal_Prot#'!A162</f>
        <v>hrh2_human</v>
      </c>
      <c r="B187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7" s="5" t="str">
        <f t="shared" si="51"/>
        <v>CLDSTACKITITVVLAVLILITVAGNVVVCLAVGLN</v>
      </c>
      <c r="G187" s="4" t="str">
        <f t="shared" si="52"/>
        <v>RRLR</v>
      </c>
      <c r="H187" s="4" t="str">
        <f t="shared" si="53"/>
        <v>NLTNCFIVSLAITDLLLGLLVLPFSAIYQLS</v>
      </c>
      <c r="I187" s="4" t="str">
        <f t="shared" si="54"/>
        <v>KWSF</v>
      </c>
      <c r="J187" s="4" t="str">
        <f t="shared" si="55"/>
        <v>GKVFCNIYTSLDVMLCTASILNLFMISLDRYCAVMD</v>
      </c>
      <c r="K187" s="4" t="str">
        <f t="shared" si="56"/>
        <v>PLRYPVLV</v>
      </c>
      <c r="L187" s="4" t="str">
        <f t="shared" si="57"/>
        <v>TPVRVAISLVLIWVISITLSFLSIHLG</v>
      </c>
      <c r="M187" s="4" t="str">
        <f t="shared" si="58"/>
        <v>CKV</v>
      </c>
      <c r="N187" s="4" t="str">
        <f t="shared" si="59"/>
        <v>NEVYGLVDGLVTFYLPLLIMCITYYRIFKVARDQAKRIN</v>
      </c>
      <c r="O187" s="4" t="str">
        <f t="shared" si="60"/>
        <v>SWKAATIREHKATVTLAAVMGAFIICWFPYFTAFVYRGLR</v>
      </c>
      <c r="P187" s="4" t="str">
        <f t="shared" si="61"/>
        <v>NEVLEAIVLWLGYANSALNPILYAAL</v>
      </c>
      <c r="Q187" s="4" t="str">
        <f t="shared" si="62"/>
        <v>NRDFRTGYQQLFC</v>
      </c>
      <c r="R187" s="5">
        <f>VLOOKUP($A187,'SegEnds_NonXtal_Prot#'!$A:$AL,3,FALSE)</f>
        <v>11</v>
      </c>
      <c r="S187" s="5">
        <f>VLOOKUP($A187,'SegEnds_NonXtal_Prot#'!$A:$AL,6,FALSE)</f>
        <v>47</v>
      </c>
      <c r="T187" s="5">
        <f>VLOOKUP($A187,'SegEnds_NonXtal_Prot#'!$A:$AL,9,FALSE)</f>
        <v>51</v>
      </c>
      <c r="U187" s="5">
        <f>VLOOKUP($A187,'SegEnds_NonXtal_Prot#'!$A:$AL,12,FALSE)</f>
        <v>83</v>
      </c>
      <c r="V187" s="5">
        <f>VLOOKUP($A187,'SegEnds_NonXtal_Prot#'!$A:$AL,15,FALSE)</f>
        <v>87</v>
      </c>
      <c r="W187" s="5">
        <f>VLOOKUP($A187,'SegEnds_NonXtal_Prot#'!$A:$AL,18,FALSE)</f>
        <v>123</v>
      </c>
      <c r="X187" s="5">
        <f>VLOOKUP($A187,'SegEnds_NonXtal_Prot#'!$A:$AL,21,FALSE)</f>
        <v>131</v>
      </c>
      <c r="Y187" s="5">
        <f>VLOOKUP($A187,'SegEnds_NonXtal_Prot#'!$A:$AL,24,FALSE)</f>
        <v>174</v>
      </c>
      <c r="Z187" s="5">
        <f>VLOOKUP($A187,'SegEnds_NonXtal_Prot#'!$A:$AL,27,FALSE)</f>
        <v>179</v>
      </c>
      <c r="AA187" s="5">
        <f>VLOOKUP($A187,'SegEnds_NonXtal_Prot#'!$A:$AL,30,FALSE)</f>
        <v>221</v>
      </c>
      <c r="AB187" s="5">
        <f>VLOOKUP($A187,'SegEnds_NonXtal_Prot#'!$A:$AL,33,FALSE)</f>
        <v>266</v>
      </c>
      <c r="AC187" s="5">
        <f>VLOOKUP($A187,'SegEnds_NonXtal_Prot#'!$A:$AL,36,FALSE)</f>
        <v>292</v>
      </c>
      <c r="AD187" s="5">
        <f>VLOOKUP($A187,'SegEnds_NonXtal_Prot#'!$A:$AL,5,FALSE)</f>
        <v>46</v>
      </c>
      <c r="AE187" s="5">
        <f>VLOOKUP($A187,'SegEnds_NonXtal_Prot#'!$A:$AL,8,FALSE)</f>
        <v>50</v>
      </c>
      <c r="AF187" s="5">
        <f>VLOOKUP($A187,'SegEnds_NonXtal_Prot#'!$A:$AL,11,FALSE)</f>
        <v>81</v>
      </c>
      <c r="AG187" s="5">
        <f>VLOOKUP($A187,'SegEnds_NonXtal_Prot#'!$A:$AL,14,FALSE)</f>
        <v>86</v>
      </c>
      <c r="AH187" s="5">
        <f>VLOOKUP($A187,'SegEnds_NonXtal_Prot#'!$A:$AL,17,FALSE)</f>
        <v>122</v>
      </c>
      <c r="AI187" s="5">
        <f>VLOOKUP($A187,'SegEnds_NonXtal_Prot#'!$A:$AL,20,FALSE)</f>
        <v>130</v>
      </c>
      <c r="AJ187" s="5">
        <f>VLOOKUP($A187,'SegEnds_NonXtal_Prot#'!$A:$AL,23,FALSE)</f>
        <v>157</v>
      </c>
      <c r="AK187" s="5">
        <f>VLOOKUP($A187,'SegEnds_NonXtal_Prot#'!$A:$AL,26,FALSE)</f>
        <v>176</v>
      </c>
      <c r="AL187" s="5">
        <f>VLOOKUP($A187,'SegEnds_NonXtal_Prot#'!$A:$AL,29,FALSE)</f>
        <v>217</v>
      </c>
      <c r="AM187" s="5">
        <f>VLOOKUP($A187,'SegEnds_NonXtal_Prot#'!$A:$AL,32,FALSE)</f>
        <v>260</v>
      </c>
      <c r="AN187" s="5">
        <f>VLOOKUP($A187,'SegEnds_NonXtal_Prot#'!$A:$AL,35,FALSE)</f>
        <v>291</v>
      </c>
      <c r="AO187" s="5">
        <f>VLOOKUP($A187,'SegEnds_NonXtal_Prot#'!$A:$AL,38,FALSE)</f>
        <v>304</v>
      </c>
      <c r="AP187" s="5">
        <f t="shared" si="63"/>
        <v>35</v>
      </c>
      <c r="AQ187" s="4">
        <f t="shared" si="64"/>
        <v>3</v>
      </c>
      <c r="AR187" s="4">
        <f t="shared" si="65"/>
        <v>30</v>
      </c>
      <c r="AS187" s="4">
        <f t="shared" si="66"/>
        <v>3</v>
      </c>
      <c r="AT187" s="4">
        <f t="shared" si="67"/>
        <v>35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38</v>
      </c>
      <c r="AY187" s="4">
        <f t="shared" si="72"/>
        <v>39</v>
      </c>
      <c r="AZ187" s="4">
        <f t="shared" si="73"/>
        <v>25</v>
      </c>
      <c r="BA187" s="4">
        <f t="shared" si="74"/>
        <v>12</v>
      </c>
    </row>
    <row r="188" spans="1:53" x14ac:dyDescent="0.2">
      <c r="A188" s="1" t="str">
        <f>'SegEnds_NonXtal_Prot#'!A163</f>
        <v>kissr_human</v>
      </c>
      <c r="B188" s="1" t="str">
        <f t="shared" si="50"/>
        <v>VDAWLVPLFFAALMLLGLVGNSLVIYVICRHTVTNFYIANLAATDVTFLLCCVPFTALLYPGDFMCKFVNYIQQVSVQATCATLTAMSVDRWYVTVFTPRLALAVSLSIWVGSAAVSAPVLALHSRALERAFALYNLLALYLLPLLATCACYAAMLRHLGRVAVRPAPVLAERAGAVRAKVSRLVAAVVLLFAACWGPIQLFLVLQALGSYAAYALKTWAHCMSYSNSALNPLLYAFLGSHFRQAFRRVCP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8" s="5" t="str">
        <f t="shared" si="51"/>
        <v>VDAWLVPLFFAALMLLGLVGNSLVIYVICRH</v>
      </c>
      <c r="G188" s="4" t="str">
        <f t="shared" si="52"/>
        <v>KPMR</v>
      </c>
      <c r="H188" s="4" t="str">
        <f t="shared" si="53"/>
        <v>TVTNFYIANLAATDVTFLLCCVPFTALLYP</v>
      </c>
      <c r="I188" s="4" t="str">
        <f t="shared" si="54"/>
        <v>GWVL</v>
      </c>
      <c r="J188" s="4" t="str">
        <f t="shared" si="55"/>
        <v>GDFMCKFVNYIQQVSVQATCATLTAMSVDRWYVTVF</v>
      </c>
      <c r="K188" s="4" t="str">
        <f t="shared" si="56"/>
        <v>PLRALHRR</v>
      </c>
      <c r="L188" s="4" t="str">
        <f t="shared" si="57"/>
        <v>TPRLALAVSLSIWVGSAAVSAPVLALH</v>
      </c>
      <c r="M188" s="4" t="str">
        <f t="shared" si="58"/>
        <v>CSE</v>
      </c>
      <c r="N188" s="4" t="str">
        <f t="shared" si="59"/>
        <v>SRALERAFALYNLLALYLLPLLATCACYAAMLRHLGRVAVRPAP</v>
      </c>
      <c r="O188" s="4" t="str">
        <f t="shared" si="60"/>
        <v>VLAERAGAVRAKVSRLVAAVVLLFAACWGPIQLFLVLQALG</v>
      </c>
      <c r="P188" s="4" t="str">
        <f t="shared" si="61"/>
        <v>SYAAYALKTWAHCMSYSNSALNPLLYAFL</v>
      </c>
      <c r="Q188" s="4" t="str">
        <f t="shared" si="62"/>
        <v>GSHFRQAFRRVCP</v>
      </c>
      <c r="R188" s="5">
        <f>VLOOKUP($A188,'SegEnds_NonXtal_Prot#'!$A:$AL,3,FALSE)</f>
        <v>40</v>
      </c>
      <c r="S188" s="5">
        <f>VLOOKUP($A188,'SegEnds_NonXtal_Prot#'!$A:$AL,6,FALSE)</f>
        <v>71</v>
      </c>
      <c r="T188" s="5">
        <f>VLOOKUP($A188,'SegEnds_NonXtal_Prot#'!$A:$AL,9,FALSE)</f>
        <v>75</v>
      </c>
      <c r="U188" s="5">
        <f>VLOOKUP($A188,'SegEnds_NonXtal_Prot#'!$A:$AL,12,FALSE)</f>
        <v>107</v>
      </c>
      <c r="V188" s="5">
        <f>VLOOKUP($A188,'SegEnds_NonXtal_Prot#'!$A:$AL,15,FALSE)</f>
        <v>111</v>
      </c>
      <c r="W188" s="5">
        <f>VLOOKUP($A188,'SegEnds_NonXtal_Prot#'!$A:$AL,18,FALSE)</f>
        <v>147</v>
      </c>
      <c r="X188" s="5">
        <f>VLOOKUP($A188,'SegEnds_NonXtal_Prot#'!$A:$AL,21,FALSE)</f>
        <v>155</v>
      </c>
      <c r="Y188" s="5">
        <f>VLOOKUP($A188,'SegEnds_NonXtal_Prot#'!$A:$AL,24,FALSE)</f>
        <v>191</v>
      </c>
      <c r="Z188" s="5">
        <f>VLOOKUP($A188,'SegEnds_NonXtal_Prot#'!$A:$AL,27,FALSE)</f>
        <v>197</v>
      </c>
      <c r="AA188" s="5">
        <f>VLOOKUP($A188,'SegEnds_NonXtal_Prot#'!$A:$AL,30,FALSE)</f>
        <v>249</v>
      </c>
      <c r="AB188" s="5">
        <f>VLOOKUP($A188,'SegEnds_NonXtal_Prot#'!$A:$AL,33,FALSE)</f>
        <v>298</v>
      </c>
      <c r="AC188" s="5">
        <f>VLOOKUP($A188,'SegEnds_NonXtal_Prot#'!$A:$AL,36,FALSE)</f>
        <v>327</v>
      </c>
      <c r="AD188" s="5">
        <f>VLOOKUP($A188,'SegEnds_NonXtal_Prot#'!$A:$AL,5,FALSE)</f>
        <v>70</v>
      </c>
      <c r="AE188" s="5">
        <f>VLOOKUP($A188,'SegEnds_NonXtal_Prot#'!$A:$AL,8,FALSE)</f>
        <v>74</v>
      </c>
      <c r="AF188" s="5">
        <f>VLOOKUP($A188,'SegEnds_NonXtal_Prot#'!$A:$AL,11,FALSE)</f>
        <v>104</v>
      </c>
      <c r="AG188" s="5">
        <f>VLOOKUP($A188,'SegEnds_NonXtal_Prot#'!$A:$AL,14,FALSE)</f>
        <v>110</v>
      </c>
      <c r="AH188" s="5">
        <f>VLOOKUP($A188,'SegEnds_NonXtal_Prot#'!$A:$AL,17,FALSE)</f>
        <v>146</v>
      </c>
      <c r="AI188" s="5">
        <f>VLOOKUP($A188,'SegEnds_NonXtal_Prot#'!$A:$AL,20,FALSE)</f>
        <v>154</v>
      </c>
      <c r="AJ188" s="5">
        <f>VLOOKUP($A188,'SegEnds_NonXtal_Prot#'!$A:$AL,23,FALSE)</f>
        <v>181</v>
      </c>
      <c r="AK188" s="5">
        <f>VLOOKUP($A188,'SegEnds_NonXtal_Prot#'!$A:$AL,26,FALSE)</f>
        <v>193</v>
      </c>
      <c r="AL188" s="5">
        <f>VLOOKUP($A188,'SegEnds_NonXtal_Prot#'!$A:$AL,29,FALSE)</f>
        <v>240</v>
      </c>
      <c r="AM188" s="5">
        <f>VLOOKUP($A188,'SegEnds_NonXtal_Prot#'!$A:$AL,32,FALSE)</f>
        <v>289</v>
      </c>
      <c r="AN188" s="5">
        <f>VLOOKUP($A188,'SegEnds_NonXtal_Prot#'!$A:$AL,35,FALSE)</f>
        <v>326</v>
      </c>
      <c r="AO188" s="5">
        <f>VLOOKUP($A188,'SegEnds_NonXtal_Prot#'!$A:$AL,38,FALSE)</f>
        <v>339</v>
      </c>
      <c r="AP188" s="5">
        <f t="shared" si="63"/>
        <v>30</v>
      </c>
      <c r="AQ188" s="4">
        <f t="shared" si="64"/>
        <v>3</v>
      </c>
      <c r="AR188" s="4">
        <f t="shared" si="65"/>
        <v>29</v>
      </c>
      <c r="AS188" s="4">
        <f t="shared" si="66"/>
        <v>3</v>
      </c>
      <c r="AT188" s="4">
        <f t="shared" si="67"/>
        <v>35</v>
      </c>
      <c r="AU188" s="4">
        <f t="shared" si="68"/>
        <v>7</v>
      </c>
      <c r="AV188" s="4">
        <f t="shared" si="69"/>
        <v>26</v>
      </c>
      <c r="AW188" s="4">
        <f t="shared" si="70"/>
        <v>2</v>
      </c>
      <c r="AX188" s="4">
        <f t="shared" si="71"/>
        <v>43</v>
      </c>
      <c r="AY188" s="4">
        <f t="shared" si="72"/>
        <v>40</v>
      </c>
      <c r="AZ188" s="4">
        <f t="shared" si="73"/>
        <v>28</v>
      </c>
      <c r="BA188" s="4">
        <f t="shared" si="74"/>
        <v>12</v>
      </c>
    </row>
    <row r="189" spans="1:53" x14ac:dyDescent="0.2">
      <c r="A189" s="1" t="str">
        <f>'SegEnds_NonXtal_Prot#'!A164</f>
        <v>lgr4_human</v>
      </c>
      <c r="B189" s="1" t="str">
        <f t="shared" si="50"/>
        <v>LGSWMIRLTVWFIFLVALFFNLLVILTTFASPSSKLFIGLISVSNLFMGIYTGILTFLDAVSWWETGSGCKVAGFLAVFSSESAIFLLMLATVERSLSAKDHLKQFRVAALLAFLGATVAGCFPLFHRTPSLGFTVTLVLLNSLAFLLMAVIYTKLYCNLEKNSQSSMIKHVAWLIFTNCIFFCPVAFFSFAPLITPEIMKSVTLIFFPLPACLNPVLYVFFNPKFKEDWKLLKRRV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9" s="5" t="str">
        <f t="shared" si="51"/>
        <v>LGSWMIRLTVWFIFLVALFFNLLVILTTFAS</v>
      </c>
      <c r="G189" s="4" t="str">
        <f t="shared" si="52"/>
        <v/>
      </c>
      <c r="H189" s="4" t="str">
        <f t="shared" si="53"/>
        <v>PSSKLFIGLISVSNLFMGIYTGILTFLDAVS</v>
      </c>
      <c r="I189" s="4" t="str">
        <f t="shared" si="54"/>
        <v/>
      </c>
      <c r="J189" s="4" t="str">
        <f t="shared" si="55"/>
        <v>WWETGSGCKVAGFLAVFSSESAIFLLMLATVERSLSAKD</v>
      </c>
      <c r="K189" s="4" t="str">
        <f t="shared" si="56"/>
        <v>IMKNGKSN</v>
      </c>
      <c r="L189" s="4" t="str">
        <f t="shared" si="57"/>
        <v>HLKQFRVAALLAFLGATVAGCFPLFHR</v>
      </c>
      <c r="M189" s="4" t="str">
        <f t="shared" si="58"/>
        <v>CLP</v>
      </c>
      <c r="N189" s="4" t="str">
        <f t="shared" si="59"/>
        <v>TPSLGFTVTLVLLNSLAFLLMAVIYTKLYCNLEK</v>
      </c>
      <c r="O189" s="4" t="str">
        <f t="shared" si="60"/>
        <v>NSQSSMIKHVAWLIFTNCIFFCPVAFFSFAPLIT</v>
      </c>
      <c r="P189" s="4" t="str">
        <f t="shared" si="61"/>
        <v>PEIMKSVTLIFFPLPACLNPVLYVFF</v>
      </c>
      <c r="Q189" s="4" t="str">
        <f t="shared" si="62"/>
        <v>NPKFKEDWKLLKRRV</v>
      </c>
      <c r="R189" s="5">
        <f>VLOOKUP($A189,'SegEnds_NonXtal_Prot#'!$A:$AL,3,FALSE)</f>
        <v>536</v>
      </c>
      <c r="S189" s="5" t="str">
        <f>VLOOKUP($A189,'SegEnds_NonXtal_Prot#'!$A:$AL,6,FALSE)</f>
        <v>-</v>
      </c>
      <c r="T189" s="5">
        <f>VLOOKUP($A189,'SegEnds_NonXtal_Prot#'!$A:$AL,9,FALSE)</f>
        <v>571</v>
      </c>
      <c r="U189" s="5" t="str">
        <f>VLOOKUP($A189,'SegEnds_NonXtal_Prot#'!$A:$AL,12,FALSE)</f>
        <v>-</v>
      </c>
      <c r="V189" s="5">
        <f>VLOOKUP($A189,'SegEnds_NonXtal_Prot#'!$A:$AL,15,FALSE)</f>
        <v>611</v>
      </c>
      <c r="W189" s="5">
        <f>VLOOKUP($A189,'SegEnds_NonXtal_Prot#'!$A:$AL,18,FALSE)</f>
        <v>650</v>
      </c>
      <c r="X189" s="5">
        <f>VLOOKUP($A189,'SegEnds_NonXtal_Prot#'!$A:$AL,21,FALSE)</f>
        <v>658</v>
      </c>
      <c r="Y189" s="5">
        <f>VLOOKUP($A189,'SegEnds_NonXtal_Prot#'!$A:$AL,24,FALSE)</f>
        <v>693</v>
      </c>
      <c r="Z189" s="5">
        <f>VLOOKUP($A189,'SegEnds_NonXtal_Prot#'!$A:$AL,27,FALSE)</f>
        <v>701</v>
      </c>
      <c r="AA189" s="5">
        <f>VLOOKUP($A189,'SegEnds_NonXtal_Prot#'!$A:$AL,30,FALSE)</f>
        <v>740</v>
      </c>
      <c r="AB189" s="5">
        <f>VLOOKUP($A189,'SegEnds_NonXtal_Prot#'!$A:$AL,33,FALSE)</f>
        <v>779</v>
      </c>
      <c r="AC189" s="5">
        <f>VLOOKUP($A189,'SegEnds_NonXtal_Prot#'!$A:$AL,36,FALSE)</f>
        <v>805</v>
      </c>
      <c r="AD189" s="5">
        <f>VLOOKUP($A189,'SegEnds_NonXtal_Prot#'!$A:$AL,5,FALSE)</f>
        <v>566</v>
      </c>
      <c r="AE189" s="5" t="str">
        <f>VLOOKUP($A189,'SegEnds_NonXtal_Prot#'!$A:$AL,8,FALSE)</f>
        <v>-</v>
      </c>
      <c r="AF189" s="5">
        <f>VLOOKUP($A189,'SegEnds_NonXtal_Prot#'!$A:$AL,11,FALSE)</f>
        <v>601</v>
      </c>
      <c r="AG189" s="5" t="str">
        <f>VLOOKUP($A189,'SegEnds_NonXtal_Prot#'!$A:$AL,14,FALSE)</f>
        <v>-</v>
      </c>
      <c r="AH189" s="5">
        <f>VLOOKUP($A189,'SegEnds_NonXtal_Prot#'!$A:$AL,17,FALSE)</f>
        <v>649</v>
      </c>
      <c r="AI189" s="5">
        <f>VLOOKUP($A189,'SegEnds_NonXtal_Prot#'!$A:$AL,20,FALSE)</f>
        <v>657</v>
      </c>
      <c r="AJ189" s="5">
        <f>VLOOKUP($A189,'SegEnds_NonXtal_Prot#'!$A:$AL,23,FALSE)</f>
        <v>684</v>
      </c>
      <c r="AK189" s="5">
        <f>VLOOKUP($A189,'SegEnds_NonXtal_Prot#'!$A:$AL,26,FALSE)</f>
        <v>695</v>
      </c>
      <c r="AL189" s="5">
        <f>VLOOKUP($A189,'SegEnds_NonXtal_Prot#'!$A:$AL,29,FALSE)</f>
        <v>734</v>
      </c>
      <c r="AM189" s="5">
        <f>VLOOKUP($A189,'SegEnds_NonXtal_Prot#'!$A:$AL,32,FALSE)</f>
        <v>773</v>
      </c>
      <c r="AN189" s="5">
        <f>VLOOKUP($A189,'SegEnds_NonXtal_Prot#'!$A:$AL,35,FALSE)</f>
        <v>804</v>
      </c>
      <c r="AO189" s="5">
        <f>VLOOKUP($A189,'SegEnds_NonXtal_Prot#'!$A:$AL,38,FALSE)</f>
        <v>819</v>
      </c>
      <c r="AP189" s="5">
        <f t="shared" si="63"/>
        <v>30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33</v>
      </c>
      <c r="AY189" s="4">
        <f t="shared" si="72"/>
        <v>33</v>
      </c>
      <c r="AZ189" s="4">
        <f t="shared" si="73"/>
        <v>25</v>
      </c>
      <c r="BA189" s="4">
        <f t="shared" si="74"/>
        <v>14</v>
      </c>
    </row>
    <row r="190" spans="1:53" x14ac:dyDescent="0.2">
      <c r="A190" s="1" t="str">
        <f>'SegEnds_NonXtal_Prot#'!A165</f>
        <v>lgr5_human</v>
      </c>
      <c r="B190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90" s="5" t="str">
        <f t="shared" si="51"/>
        <v>EHLLDGWLIRIGVWTIAVLALTCNALVTSTVFRS</v>
      </c>
      <c r="G190" s="4" t="str">
        <f t="shared" si="52"/>
        <v/>
      </c>
      <c r="H190" s="4" t="str">
        <f t="shared" si="53"/>
        <v>SPIKLLIGVIAAVNMLTGVSSAVLAGVDAFT</v>
      </c>
      <c r="I190" s="4" t="str">
        <f t="shared" si="54"/>
        <v/>
      </c>
      <c r="J190" s="4" t="str">
        <f t="shared" si="55"/>
        <v>WWENGVGCHVIGFLSIFASESSVFLLTLAALERGFSVKY</v>
      </c>
      <c r="K190" s="4" t="str">
        <f t="shared" si="56"/>
        <v>SAKFETKA</v>
      </c>
      <c r="L190" s="4" t="str">
        <f t="shared" si="57"/>
        <v>PFSSLKVIILLCALLALTMAAVPLLG</v>
      </c>
      <c r="M190" s="4" t="str">
        <f t="shared" si="58"/>
        <v>CLP</v>
      </c>
      <c r="N190" s="4" t="str">
        <f t="shared" si="59"/>
        <v>PSTMGYMVALILLNSLCFLMMTIAYTKLYCNLDK</v>
      </c>
      <c r="O190" s="4" t="str">
        <f t="shared" si="60"/>
        <v>IWDCSMVKHIALLLFTNCILNCPVAFLSFSSLIN</v>
      </c>
      <c r="P190" s="4" t="str">
        <f t="shared" si="61"/>
        <v>PEVIKFILLVVVPLPACLNPLLYILF</v>
      </c>
      <c r="Q190" s="4" t="str">
        <f t="shared" si="62"/>
        <v>NPHFKEDLVSLRKQTYVWTRSKH</v>
      </c>
      <c r="R190" s="5">
        <f>VLOOKUP($A190,'SegEnds_NonXtal_Prot#'!$A:$AL,3,FALSE)</f>
        <v>552</v>
      </c>
      <c r="S190" s="5" t="str">
        <f>VLOOKUP($A190,'SegEnds_NonXtal_Prot#'!$A:$AL,6,FALSE)</f>
        <v>-</v>
      </c>
      <c r="T190" s="5">
        <f>VLOOKUP($A190,'SegEnds_NonXtal_Prot#'!$A:$AL,9,FALSE)</f>
        <v>590</v>
      </c>
      <c r="U190" s="5" t="str">
        <f>VLOOKUP($A190,'SegEnds_NonXtal_Prot#'!$A:$AL,12,FALSE)</f>
        <v>-</v>
      </c>
      <c r="V190" s="5">
        <f>VLOOKUP($A190,'SegEnds_NonXtal_Prot#'!$A:$AL,15,FALSE)</f>
        <v>630</v>
      </c>
      <c r="W190" s="5">
        <f>VLOOKUP($A190,'SegEnds_NonXtal_Prot#'!$A:$AL,18,FALSE)</f>
        <v>669</v>
      </c>
      <c r="X190" s="5">
        <f>VLOOKUP($A190,'SegEnds_NonXtal_Prot#'!$A:$AL,21,FALSE)</f>
        <v>677</v>
      </c>
      <c r="Y190" s="5">
        <f>VLOOKUP($A190,'SegEnds_NonXtal_Prot#'!$A:$AL,24,FALSE)</f>
        <v>712</v>
      </c>
      <c r="Z190" s="5">
        <f>VLOOKUP($A190,'SegEnds_NonXtal_Prot#'!$A:$AL,27,FALSE)</f>
        <v>720</v>
      </c>
      <c r="AA190" s="5">
        <f>VLOOKUP($A190,'SegEnds_NonXtal_Prot#'!$A:$AL,30,FALSE)</f>
        <v>759</v>
      </c>
      <c r="AB190" s="5">
        <f>VLOOKUP($A190,'SegEnds_NonXtal_Prot#'!$A:$AL,33,FALSE)</f>
        <v>798</v>
      </c>
      <c r="AC190" s="5">
        <f>VLOOKUP($A190,'SegEnds_NonXtal_Prot#'!$A:$AL,36,FALSE)</f>
        <v>824</v>
      </c>
      <c r="AD190" s="5">
        <f>VLOOKUP($A190,'SegEnds_NonXtal_Prot#'!$A:$AL,5,FALSE)</f>
        <v>585</v>
      </c>
      <c r="AE190" s="5" t="str">
        <f>VLOOKUP($A190,'SegEnds_NonXtal_Prot#'!$A:$AL,8,FALSE)</f>
        <v>-</v>
      </c>
      <c r="AF190" s="5">
        <f>VLOOKUP($A190,'SegEnds_NonXtal_Prot#'!$A:$AL,11,FALSE)</f>
        <v>620</v>
      </c>
      <c r="AG190" s="5" t="str">
        <f>VLOOKUP($A190,'SegEnds_NonXtal_Prot#'!$A:$AL,14,FALSE)</f>
        <v>-</v>
      </c>
      <c r="AH190" s="5">
        <f>VLOOKUP($A190,'SegEnds_NonXtal_Prot#'!$A:$AL,17,FALSE)</f>
        <v>668</v>
      </c>
      <c r="AI190" s="5">
        <f>VLOOKUP($A190,'SegEnds_NonXtal_Prot#'!$A:$AL,20,FALSE)</f>
        <v>676</v>
      </c>
      <c r="AJ190" s="5">
        <f>VLOOKUP($A190,'SegEnds_NonXtal_Prot#'!$A:$AL,23,FALSE)</f>
        <v>702</v>
      </c>
      <c r="AK190" s="5">
        <f>VLOOKUP($A190,'SegEnds_NonXtal_Prot#'!$A:$AL,26,FALSE)</f>
        <v>714</v>
      </c>
      <c r="AL190" s="5">
        <f>VLOOKUP($A190,'SegEnds_NonXtal_Prot#'!$A:$AL,29,FALSE)</f>
        <v>753</v>
      </c>
      <c r="AM190" s="5">
        <f>VLOOKUP($A190,'SegEnds_NonXtal_Prot#'!$A:$AL,32,FALSE)</f>
        <v>792</v>
      </c>
      <c r="AN190" s="5">
        <f>VLOOKUP($A190,'SegEnds_NonXtal_Prot#'!$A:$AL,35,FALSE)</f>
        <v>823</v>
      </c>
      <c r="AO190" s="5">
        <f>VLOOKUP($A190,'SegEnds_NonXtal_Prot#'!$A:$AL,38,FALSE)</f>
        <v>846</v>
      </c>
      <c r="AP190" s="5">
        <f t="shared" si="63"/>
        <v>33</v>
      </c>
      <c r="AQ190" s="4" t="str">
        <f t="shared" si="64"/>
        <v>-</v>
      </c>
      <c r="AR190" s="4">
        <f t="shared" si="65"/>
        <v>30</v>
      </c>
      <c r="AS190" s="4" t="str">
        <f t="shared" si="66"/>
        <v>-</v>
      </c>
      <c r="AT190" s="4">
        <f t="shared" si="67"/>
        <v>38</v>
      </c>
      <c r="AU190" s="4">
        <f t="shared" si="68"/>
        <v>7</v>
      </c>
      <c r="AV190" s="4">
        <f t="shared" si="69"/>
        <v>25</v>
      </c>
      <c r="AW190" s="4">
        <f t="shared" si="70"/>
        <v>2</v>
      </c>
      <c r="AX190" s="4">
        <f t="shared" si="71"/>
        <v>33</v>
      </c>
      <c r="AY190" s="4">
        <f t="shared" si="72"/>
        <v>33</v>
      </c>
      <c r="AZ190" s="4">
        <f t="shared" si="73"/>
        <v>25</v>
      </c>
      <c r="BA190" s="4">
        <f t="shared" si="74"/>
        <v>22</v>
      </c>
    </row>
    <row r="191" spans="1:53" x14ac:dyDescent="0.2">
      <c r="A191" s="1" t="str">
        <f>'SegEnds_NonXtal_Prot#'!A166</f>
        <v>lgr6_human</v>
      </c>
      <c r="B191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PCEYLFESWGIRLAVWAIVLLSVLCNGLVLLTVFAGPPVKFVVGAIAGANTLTGISCGLLASVDALTRWETGLGCRATGFLAVLGSEASVLLLTLAAVQCSVSVSCSLGSVRAGVLGCLALAGLAAALPLASVAALGFTVALVMMNSFCFLVVAGAYIKLYCDLPRVWDCAMVRHVAWLIFADGLLYCPVAFLSFASMLGPEAVKSVLLVVLPLPACLNPLLYLLNPHFRDDLRRLRP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91" s="5" t="str">
        <f t="shared" si="51"/>
        <v>PCEYLFESWGIRLAVWAIVLLSVLCNGLVLLTVFAG</v>
      </c>
      <c r="G191" s="4" t="str">
        <f t="shared" si="52"/>
        <v/>
      </c>
      <c r="H191" s="4" t="str">
        <f t="shared" si="53"/>
        <v>PPVKFVVGAIAGANTLTGISCGLLASVDALT</v>
      </c>
      <c r="I191" s="4" t="str">
        <f t="shared" si="54"/>
        <v/>
      </c>
      <c r="J191" s="4" t="str">
        <f t="shared" si="55"/>
        <v>RWETGLGCRATGFLAVLGSEASVLLLTLAAVQCSVSVSC</v>
      </c>
      <c r="K191" s="4" t="str">
        <f t="shared" si="56"/>
        <v>VRAYGKSP</v>
      </c>
      <c r="L191" s="4" t="str">
        <f t="shared" si="57"/>
        <v>SLGSVRAGVLGCLALAGLAAALPLASV</v>
      </c>
      <c r="M191" s="4" t="str">
        <f t="shared" si="58"/>
        <v>CLP</v>
      </c>
      <c r="N191" s="4" t="str">
        <f t="shared" si="59"/>
        <v>AALGFTVALVMMNSFCFLVVAGAYIKLYCDLPR</v>
      </c>
      <c r="O191" s="4" t="str">
        <f t="shared" si="60"/>
        <v>VWDCAMVRHVAWLIFADGLLYCPVAFLSFASMLG</v>
      </c>
      <c r="P191" s="4" t="str">
        <f t="shared" si="61"/>
        <v>PEAVKSVLLVVLPLPACLNPLLYLL</v>
      </c>
      <c r="Q191" s="4" t="str">
        <f t="shared" si="62"/>
        <v>NPHFRDDLRRLRP</v>
      </c>
      <c r="R191" s="5">
        <f>VLOOKUP($A191,'SegEnds_NonXtal_Prot#'!$A:$AL,3,FALSE)</f>
        <v>554</v>
      </c>
      <c r="S191" s="5" t="str">
        <f>VLOOKUP($A191,'SegEnds_NonXtal_Prot#'!$A:$AL,6,FALSE)</f>
        <v>-</v>
      </c>
      <c r="T191" s="5">
        <f>VLOOKUP($A191,'SegEnds_NonXtal_Prot#'!$A:$AL,9,FALSE)</f>
        <v>595</v>
      </c>
      <c r="U191" s="5" t="str">
        <f>VLOOKUP($A191,'SegEnds_NonXtal_Prot#'!$A:$AL,12,FALSE)</f>
        <v>-</v>
      </c>
      <c r="V191" s="5">
        <f>VLOOKUP($A191,'SegEnds_NonXtal_Prot#'!$A:$AL,15,FALSE)</f>
        <v>635</v>
      </c>
      <c r="W191" s="5">
        <f>VLOOKUP($A191,'SegEnds_NonXtal_Prot#'!$A:$AL,18,FALSE)</f>
        <v>674</v>
      </c>
      <c r="X191" s="5">
        <f>VLOOKUP($A191,'SegEnds_NonXtal_Prot#'!$A:$AL,21,FALSE)</f>
        <v>682</v>
      </c>
      <c r="Y191" s="5">
        <f>VLOOKUP($A191,'SegEnds_NonXtal_Prot#'!$A:$AL,24,FALSE)</f>
        <v>717</v>
      </c>
      <c r="Z191" s="5">
        <f>VLOOKUP($A191,'SegEnds_NonXtal_Prot#'!$A:$AL,27,FALSE)</f>
        <v>728</v>
      </c>
      <c r="AA191" s="5">
        <f>VLOOKUP($A191,'SegEnds_NonXtal_Prot#'!$A:$AL,30,FALSE)</f>
        <v>766</v>
      </c>
      <c r="AB191" s="5">
        <f>VLOOKUP($A191,'SegEnds_NonXtal_Prot#'!$A:$AL,33,FALSE)</f>
        <v>805</v>
      </c>
      <c r="AC191" s="5">
        <f>VLOOKUP($A191,'SegEnds_NonXtal_Prot#'!$A:$AL,36,FALSE)</f>
        <v>831</v>
      </c>
      <c r="AD191" s="5">
        <f>VLOOKUP($A191,'SegEnds_NonXtal_Prot#'!$A:$AL,5,FALSE)</f>
        <v>589</v>
      </c>
      <c r="AE191" s="5" t="str">
        <f>VLOOKUP($A191,'SegEnds_NonXtal_Prot#'!$A:$AL,8,FALSE)</f>
        <v>-</v>
      </c>
      <c r="AF191" s="5">
        <f>VLOOKUP($A191,'SegEnds_NonXtal_Prot#'!$A:$AL,11,FALSE)</f>
        <v>625</v>
      </c>
      <c r="AG191" s="5" t="str">
        <f>VLOOKUP($A191,'SegEnds_NonXtal_Prot#'!$A:$AL,14,FALSE)</f>
        <v>-</v>
      </c>
      <c r="AH191" s="5">
        <f>VLOOKUP($A191,'SegEnds_NonXtal_Prot#'!$A:$AL,17,FALSE)</f>
        <v>673</v>
      </c>
      <c r="AI191" s="5">
        <f>VLOOKUP($A191,'SegEnds_NonXtal_Prot#'!$A:$AL,20,FALSE)</f>
        <v>681</v>
      </c>
      <c r="AJ191" s="5">
        <f>VLOOKUP($A191,'SegEnds_NonXtal_Prot#'!$A:$AL,23,FALSE)</f>
        <v>708</v>
      </c>
      <c r="AK191" s="5">
        <f>VLOOKUP($A191,'SegEnds_NonXtal_Prot#'!$A:$AL,26,FALSE)</f>
        <v>719</v>
      </c>
      <c r="AL191" s="5">
        <f>VLOOKUP($A191,'SegEnds_NonXtal_Prot#'!$A:$AL,29,FALSE)</f>
        <v>760</v>
      </c>
      <c r="AM191" s="5">
        <f>VLOOKUP($A191,'SegEnds_NonXtal_Prot#'!$A:$AL,32,FALSE)</f>
        <v>799</v>
      </c>
      <c r="AN191" s="5">
        <f>VLOOKUP($A191,'SegEnds_NonXtal_Prot#'!$A:$AL,35,FALSE)</f>
        <v>829</v>
      </c>
      <c r="AO191" s="5">
        <f>VLOOKUP($A191,'SegEnds_NonXtal_Prot#'!$A:$AL,38,FALSE)</f>
        <v>843</v>
      </c>
      <c r="AP191" s="5">
        <f t="shared" si="63"/>
        <v>35</v>
      </c>
      <c r="AQ191" s="4" t="str">
        <f t="shared" si="64"/>
        <v>-</v>
      </c>
      <c r="AR191" s="4">
        <f t="shared" si="65"/>
        <v>30</v>
      </c>
      <c r="AS191" s="4" t="str">
        <f t="shared" si="66"/>
        <v>-</v>
      </c>
      <c r="AT191" s="4">
        <f t="shared" si="67"/>
        <v>38</v>
      </c>
      <c r="AU191" s="4">
        <f t="shared" si="68"/>
        <v>7</v>
      </c>
      <c r="AV191" s="4">
        <f t="shared" si="69"/>
        <v>26</v>
      </c>
      <c r="AW191" s="4">
        <f t="shared" si="70"/>
        <v>2</v>
      </c>
      <c r="AX191" s="4">
        <f t="shared" si="71"/>
        <v>32</v>
      </c>
      <c r="AY191" s="4">
        <f t="shared" si="72"/>
        <v>33</v>
      </c>
      <c r="AZ191" s="4">
        <f t="shared" si="73"/>
        <v>24</v>
      </c>
      <c r="BA191" s="4">
        <f t="shared" si="74"/>
        <v>12</v>
      </c>
    </row>
    <row r="192" spans="1:53" x14ac:dyDescent="0.2">
      <c r="A192" s="1" t="str">
        <f>'SegEnds_NonXtal_Prot#'!A167</f>
        <v>lpar4_human</v>
      </c>
      <c r="B192" s="1" t="str">
        <f t="shared" si="50"/>
        <v>FKYNLNGAVYSVVFILGLITNSVSLFVFCFRSETAIFITNLAVSDLLFVCTLPFKIFYNFNGDTLCKISGTAFLTNIYGSMLFLTCISVDRFLAIVYTRRNSAIVCAGVWILVLSGGISASLFSWKTYLSKITIFIEVVGFIIPLILNVSCSSVVLRTLRKPSQIGTNKKKVLKMITVHMAVFVVCFVPYNSVLFLYALVRSQNCFLERFAKIMYPITLCLATLNCCFDPFIYYFTLESFQKSFYINAH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2" s="5" t="str">
        <f t="shared" si="51"/>
        <v>FKYNLNGAVYSVVFILGLITNSVSLFVFCFR</v>
      </c>
      <c r="G192" s="4" t="str">
        <f t="shared" si="52"/>
        <v>MKMR</v>
      </c>
      <c r="H192" s="4" t="str">
        <f t="shared" si="53"/>
        <v>SETAIFITNLAVSDLLFVCTLPFKIFYNFN</v>
      </c>
      <c r="I192" s="4" t="str">
        <f t="shared" si="54"/>
        <v>HWPF</v>
      </c>
      <c r="J192" s="4" t="str">
        <f t="shared" si="55"/>
        <v>GDTLCKISGTAFLTNIYGSMLFLTCISVDRFLAIVY</v>
      </c>
      <c r="K192" s="4" t="str">
        <f t="shared" si="56"/>
        <v>PFRSRTIR</v>
      </c>
      <c r="L192" s="4" t="str">
        <f t="shared" si="57"/>
        <v>TRRNSAIVCAGVWILVLSGGISASLFS</v>
      </c>
      <c r="M192" s="4" t="str">
        <f t="shared" si="58"/>
        <v>CFE</v>
      </c>
      <c r="N192" s="4" t="str">
        <f t="shared" si="59"/>
        <v>WKTYLSKITIFIEVVGFIIPLILNVSCSSVVLRTLRKP</v>
      </c>
      <c r="O192" s="4" t="str">
        <f t="shared" si="60"/>
        <v>SQIGTNKKKVLKMITVHMAVFVVCFVPYNSVLFLYALVRSQ</v>
      </c>
      <c r="P192" s="4" t="str">
        <f t="shared" si="61"/>
        <v>NCFLERFAKIMYPITLCLATLNCCFDPFIYYFT</v>
      </c>
      <c r="Q192" s="4" t="str">
        <f t="shared" si="62"/>
        <v>LESFQKSFYINAH</v>
      </c>
      <c r="R192" s="5">
        <f>VLOOKUP($A192,'SegEnds_NonXtal_Prot#'!$A:$AL,3,FALSE)</f>
        <v>37</v>
      </c>
      <c r="S192" s="5">
        <f>VLOOKUP($A192,'SegEnds_NonXtal_Prot#'!$A:$AL,6,FALSE)</f>
        <v>68</v>
      </c>
      <c r="T192" s="5">
        <f>VLOOKUP($A192,'SegEnds_NonXtal_Prot#'!$A:$AL,9,FALSE)</f>
        <v>72</v>
      </c>
      <c r="U192" s="5">
        <f>VLOOKUP($A192,'SegEnds_NonXtal_Prot#'!$A:$AL,12,FALSE)</f>
        <v>103</v>
      </c>
      <c r="V192" s="5">
        <f>VLOOKUP($A192,'SegEnds_NonXtal_Prot#'!$A:$AL,15,FALSE)</f>
        <v>107</v>
      </c>
      <c r="W192" s="5">
        <f>VLOOKUP($A192,'SegEnds_NonXtal_Prot#'!$A:$AL,18,FALSE)</f>
        <v>143</v>
      </c>
      <c r="X192" s="5">
        <f>VLOOKUP($A192,'SegEnds_NonXtal_Prot#'!$A:$AL,21,FALSE)</f>
        <v>151</v>
      </c>
      <c r="Y192" s="5">
        <f>VLOOKUP($A192,'SegEnds_NonXtal_Prot#'!$A:$AL,24,FALSE)</f>
        <v>188</v>
      </c>
      <c r="Z192" s="5">
        <f>VLOOKUP($A192,'SegEnds_NonXtal_Prot#'!$A:$AL,27,FALSE)</f>
        <v>197</v>
      </c>
      <c r="AA192" s="5">
        <f>VLOOKUP($A192,'SegEnds_NonXtal_Prot#'!$A:$AL,30,FALSE)</f>
        <v>238</v>
      </c>
      <c r="AB192" s="5">
        <f>VLOOKUP($A192,'SegEnds_NonXtal_Prot#'!$A:$AL,33,FALSE)</f>
        <v>282</v>
      </c>
      <c r="AC192" s="5">
        <f>VLOOKUP($A192,'SegEnds_NonXtal_Prot#'!$A:$AL,36,FALSE)</f>
        <v>315</v>
      </c>
      <c r="AD192" s="5">
        <f>VLOOKUP($A192,'SegEnds_NonXtal_Prot#'!$A:$AL,5,FALSE)</f>
        <v>67</v>
      </c>
      <c r="AE192" s="5">
        <f>VLOOKUP($A192,'SegEnds_NonXtal_Prot#'!$A:$AL,8,FALSE)</f>
        <v>71</v>
      </c>
      <c r="AF192" s="5">
        <f>VLOOKUP($A192,'SegEnds_NonXtal_Prot#'!$A:$AL,11,FALSE)</f>
        <v>101</v>
      </c>
      <c r="AG192" s="5">
        <f>VLOOKUP($A192,'SegEnds_NonXtal_Prot#'!$A:$AL,14,FALSE)</f>
        <v>106</v>
      </c>
      <c r="AH192" s="5">
        <f>VLOOKUP($A192,'SegEnds_NonXtal_Prot#'!$A:$AL,17,FALSE)</f>
        <v>142</v>
      </c>
      <c r="AI192" s="5">
        <f>VLOOKUP($A192,'SegEnds_NonXtal_Prot#'!$A:$AL,20,FALSE)</f>
        <v>150</v>
      </c>
      <c r="AJ192" s="5">
        <f>VLOOKUP($A192,'SegEnds_NonXtal_Prot#'!$A:$AL,23,FALSE)</f>
        <v>177</v>
      </c>
      <c r="AK192" s="5">
        <f>VLOOKUP($A192,'SegEnds_NonXtal_Prot#'!$A:$AL,26,FALSE)</f>
        <v>190</v>
      </c>
      <c r="AL192" s="5">
        <f>VLOOKUP($A192,'SegEnds_NonXtal_Prot#'!$A:$AL,29,FALSE)</f>
        <v>234</v>
      </c>
      <c r="AM192" s="5">
        <f>VLOOKUP($A192,'SegEnds_NonXtal_Prot#'!$A:$AL,32,FALSE)</f>
        <v>278</v>
      </c>
      <c r="AN192" s="5">
        <f>VLOOKUP($A192,'SegEnds_NonXtal_Prot#'!$A:$AL,35,FALSE)</f>
        <v>314</v>
      </c>
      <c r="AO192" s="5">
        <f>VLOOKUP($A192,'SegEnds_NonXtal_Prot#'!$A:$AL,38,FALSE)</f>
        <v>327</v>
      </c>
      <c r="AP192" s="5">
        <f t="shared" si="63"/>
        <v>30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26</v>
      </c>
      <c r="AW192" s="4">
        <f t="shared" si="70"/>
        <v>2</v>
      </c>
      <c r="AX192" s="4">
        <f t="shared" si="71"/>
        <v>37</v>
      </c>
      <c r="AY192" s="4">
        <f t="shared" si="72"/>
        <v>40</v>
      </c>
      <c r="AZ192" s="4">
        <f t="shared" si="73"/>
        <v>32</v>
      </c>
      <c r="BA192" s="4">
        <f t="shared" si="74"/>
        <v>12</v>
      </c>
    </row>
    <row r="193" spans="1:53" x14ac:dyDescent="0.2">
      <c r="A193" s="1" t="str">
        <f>'SegEnds_NonXtal_Prot#'!A168</f>
        <v>lpar5_human</v>
      </c>
      <c r="B193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3" s="5" t="str">
        <f t="shared" si="51"/>
        <v>YRPTHRLHLVVYSLVLAAGLPLNALALWVFLRA</v>
      </c>
      <c r="G193" s="4" t="str">
        <f t="shared" si="52"/>
        <v>LRVH</v>
      </c>
      <c r="H193" s="4" t="str">
        <f t="shared" si="53"/>
        <v>SVVSVYMCNLAASDLLFTLSLPVRLSYYAL</v>
      </c>
      <c r="I193" s="4" t="str">
        <f t="shared" si="54"/>
        <v>HWPF</v>
      </c>
      <c r="J193" s="4" t="str">
        <f t="shared" si="55"/>
        <v>PDLLCQTTGAIFQMNMYGSCIFLMLINVDRYAAIVH</v>
      </c>
      <c r="K193" s="4" t="str">
        <f t="shared" si="56"/>
        <v>PLRLRHLR</v>
      </c>
      <c r="L193" s="4" t="str">
        <f t="shared" si="57"/>
        <v>RPRVARLLCLGVWALILVFAVPAAR</v>
      </c>
      <c r="M193" s="4" t="str">
        <f t="shared" si="58"/>
        <v>CFE</v>
      </c>
      <c r="N193" s="4" t="str">
        <f t="shared" si="59"/>
        <v>WKGRLLPLVLLAEALGFLLPLAAVVYSSGRVFWTLAR</v>
      </c>
      <c r="O193" s="4" t="str">
        <f t="shared" si="60"/>
        <v>QSQRRRKTVRLLLANLVIFLLCFVPYNSTLAVYGLLRSK</v>
      </c>
      <c r="P193" s="4" t="str">
        <f t="shared" si="61"/>
        <v>SVPARDRVRGVLMVMVLLAGANCVLDPLVYYFS</v>
      </c>
      <c r="Q193" s="4" t="str">
        <f t="shared" si="62"/>
        <v>AEGFRNTLRGLGTPH</v>
      </c>
      <c r="R193" s="5">
        <f>VLOOKUP($A193,'SegEnds_NonXtal_Prot#'!$A:$AL,3,FALSE)</f>
        <v>18</v>
      </c>
      <c r="S193" s="5">
        <f>VLOOKUP($A193,'SegEnds_NonXtal_Prot#'!$A:$AL,6,FALSE)</f>
        <v>51</v>
      </c>
      <c r="T193" s="5">
        <f>VLOOKUP($A193,'SegEnds_NonXtal_Prot#'!$A:$AL,9,FALSE)</f>
        <v>55</v>
      </c>
      <c r="U193" s="5">
        <f>VLOOKUP($A193,'SegEnds_NonXtal_Prot#'!$A:$AL,12,FALSE)</f>
        <v>86</v>
      </c>
      <c r="V193" s="5">
        <f>VLOOKUP($A193,'SegEnds_NonXtal_Prot#'!$A:$AL,15,FALSE)</f>
        <v>90</v>
      </c>
      <c r="W193" s="5">
        <f>VLOOKUP($A193,'SegEnds_NonXtal_Prot#'!$A:$AL,18,FALSE)</f>
        <v>126</v>
      </c>
      <c r="X193" s="5">
        <f>VLOOKUP($A193,'SegEnds_NonXtal_Prot#'!$A:$AL,21,FALSE)</f>
        <v>134</v>
      </c>
      <c r="Y193" s="5">
        <f>VLOOKUP($A193,'SegEnds_NonXtal_Prot#'!$A:$AL,24,FALSE)</f>
        <v>175</v>
      </c>
      <c r="Z193" s="5">
        <f>VLOOKUP($A193,'SegEnds_NonXtal_Prot#'!$A:$AL,27,FALSE)</f>
        <v>184</v>
      </c>
      <c r="AA193" s="5">
        <f>VLOOKUP($A193,'SegEnds_NonXtal_Prot#'!$A:$AL,30,FALSE)</f>
        <v>225</v>
      </c>
      <c r="AB193" s="5">
        <f>VLOOKUP($A193,'SegEnds_NonXtal_Prot#'!$A:$AL,33,FALSE)</f>
        <v>268</v>
      </c>
      <c r="AC193" s="5">
        <f>VLOOKUP($A193,'SegEnds_NonXtal_Prot#'!$A:$AL,36,FALSE)</f>
        <v>301</v>
      </c>
      <c r="AD193" s="5">
        <f>VLOOKUP($A193,'SegEnds_NonXtal_Prot#'!$A:$AL,5,FALSE)</f>
        <v>50</v>
      </c>
      <c r="AE193" s="5">
        <f>VLOOKUP($A193,'SegEnds_NonXtal_Prot#'!$A:$AL,8,FALSE)</f>
        <v>54</v>
      </c>
      <c r="AF193" s="5">
        <f>VLOOKUP($A193,'SegEnds_NonXtal_Prot#'!$A:$AL,11,FALSE)</f>
        <v>84</v>
      </c>
      <c r="AG193" s="5">
        <f>VLOOKUP($A193,'SegEnds_NonXtal_Prot#'!$A:$AL,14,FALSE)</f>
        <v>89</v>
      </c>
      <c r="AH193" s="5">
        <f>VLOOKUP($A193,'SegEnds_NonXtal_Prot#'!$A:$AL,17,FALSE)</f>
        <v>125</v>
      </c>
      <c r="AI193" s="5">
        <f>VLOOKUP($A193,'SegEnds_NonXtal_Prot#'!$A:$AL,20,FALSE)</f>
        <v>133</v>
      </c>
      <c r="AJ193" s="5">
        <f>VLOOKUP($A193,'SegEnds_NonXtal_Prot#'!$A:$AL,23,FALSE)</f>
        <v>158</v>
      </c>
      <c r="AK193" s="5">
        <f>VLOOKUP($A193,'SegEnds_NonXtal_Prot#'!$A:$AL,26,FALSE)</f>
        <v>177</v>
      </c>
      <c r="AL193" s="5">
        <f>VLOOKUP($A193,'SegEnds_NonXtal_Prot#'!$A:$AL,29,FALSE)</f>
        <v>220</v>
      </c>
      <c r="AM193" s="5">
        <f>VLOOKUP($A193,'SegEnds_NonXtal_Prot#'!$A:$AL,32,FALSE)</f>
        <v>263</v>
      </c>
      <c r="AN193" s="5">
        <f>VLOOKUP($A193,'SegEnds_NonXtal_Prot#'!$A:$AL,35,FALSE)</f>
        <v>300</v>
      </c>
      <c r="AO193" s="5">
        <f>VLOOKUP($A193,'SegEnds_NonXtal_Prot#'!$A:$AL,38,FALSE)</f>
        <v>315</v>
      </c>
      <c r="AP193" s="5">
        <f t="shared" si="63"/>
        <v>32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35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36</v>
      </c>
      <c r="AY193" s="4">
        <f t="shared" si="72"/>
        <v>38</v>
      </c>
      <c r="AZ193" s="4">
        <f t="shared" si="73"/>
        <v>32</v>
      </c>
      <c r="BA193" s="4">
        <f t="shared" si="74"/>
        <v>14</v>
      </c>
    </row>
    <row r="194" spans="1:53" x14ac:dyDescent="0.2">
      <c r="A194" s="1" t="str">
        <f>'SegEnds_NonXtal_Prot#'!A169</f>
        <v>lpar6_human</v>
      </c>
      <c r="B194" s="1" t="str">
        <f t="shared" ref="B194:B257" si="75">F194&amp;H194&amp;J194&amp;L194&amp;N194&amp;O194&amp;P194&amp;Q194</f>
        <v>FKYTLYGCMFSMVFVLGLISNCVAIYIFICVNETTTYMINLAMSDLLFVFTLPFRIFYFTTGDLLCKISVMLFYTNMYGSILFLTCISVDRFLAIVYTKRNAKIVCTGVWLTVIGGSAPAVFVQYLSRIVIFIEIVGFFIPLILNVTCSSMVLKTLTKPSRSKINKTKVLKMIFVHLIIFCFCFVPYNINLILYSLVRTQNCSVVAAVRTMYPITLCIAVSNCCFDPIVYYFTSDTIQNSIKMKNWSV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4" s="5" t="str">
        <f t="shared" ref="F194:F257" si="76">IFERROR(MID($E194,R194,(AP194+1)),"")</f>
        <v>FKYTLYGCMFSMVFVLGLISNCVAIYIFICV</v>
      </c>
      <c r="G194" s="4" t="str">
        <f t="shared" ref="G194:G257" si="77">IFERROR(MID($E194,S194,(AQ194+1)),"")</f>
        <v>LKVR</v>
      </c>
      <c r="H194" s="4" t="str">
        <f t="shared" ref="H194:H257" si="78">IFERROR(MID($E194,T194,(AR194+1)),"")</f>
        <v>NETTTYMINLAMSDLLFVFTLPFRIFYFTT</v>
      </c>
      <c r="I194" s="4" t="str">
        <f t="shared" ref="I194:I257" si="79">IFERROR(MID($E194,U194,(AS194+1)),"")</f>
        <v>NWPF</v>
      </c>
      <c r="J194" s="4" t="str">
        <f t="shared" ref="J194:J257" si="80">IFERROR(MID($E194,V194,(AT194+1)),"")</f>
        <v>GDLLCKISVMLFYTNMYGSILFLTCISVDRFLAIVY</v>
      </c>
      <c r="K194" s="4" t="str">
        <f t="shared" ref="K194:K257" si="81">IFERROR(MID($E194,W194,(AU194+1)),"")</f>
        <v>PFKSKTLR</v>
      </c>
      <c r="L194" s="4" t="str">
        <f t="shared" ref="L194:L257" si="82">IFERROR(MID($E194,X194,(AV194+1)),"")</f>
        <v>TKRNAKIVCTGVWLTVIGGSAPAVFVQ</v>
      </c>
      <c r="M194" s="4" t="str">
        <f t="shared" ref="M194:M257" si="83">IFERROR(MID($E194,Y194,(AW194+1)),"")</f>
        <v>CFE</v>
      </c>
      <c r="N194" s="4" t="str">
        <f t="shared" ref="N194:N257" si="84">IFERROR(MID($E194,Z194,(AX194+1)),"")</f>
        <v>YLSRIVIFIEIVGFFIPLILNVTCSSMVLKTLTKP</v>
      </c>
      <c r="O194" s="4" t="str">
        <f t="shared" ref="O194:O257" si="85">IFERROR(MID($E194,AA194,(AY194+1)),"")</f>
        <v>SRSKINKTKVLKMIFVHLIIFCFCFVPYNINLILYSLVRTQ</v>
      </c>
      <c r="P194" s="4" t="str">
        <f t="shared" ref="P194:P257" si="86">IFERROR(MID($E194,AB194,(AZ194+1)),"")</f>
        <v>NCSVVAAVRTMYPITLCIAVSNCCFDPIVYYFT</v>
      </c>
      <c r="Q194" s="4" t="str">
        <f t="shared" ref="Q194:Q257" si="87">IFERROR(MID($E194,AC194,(BA194+1)),"")</f>
        <v>SDTIQNSIKMKNWSV</v>
      </c>
      <c r="R194" s="5">
        <f>VLOOKUP($A194,'SegEnds_NonXtal_Prot#'!$A:$AL,3,FALSE)</f>
        <v>15</v>
      </c>
      <c r="S194" s="5">
        <f>VLOOKUP($A194,'SegEnds_NonXtal_Prot#'!$A:$AL,6,FALSE)</f>
        <v>46</v>
      </c>
      <c r="T194" s="5">
        <f>VLOOKUP($A194,'SegEnds_NonXtal_Prot#'!$A:$AL,9,FALSE)</f>
        <v>50</v>
      </c>
      <c r="U194" s="5">
        <f>VLOOKUP($A194,'SegEnds_NonXtal_Prot#'!$A:$AL,12,FALSE)</f>
        <v>81</v>
      </c>
      <c r="V194" s="5">
        <f>VLOOKUP($A194,'SegEnds_NonXtal_Prot#'!$A:$AL,15,FALSE)</f>
        <v>85</v>
      </c>
      <c r="W194" s="5">
        <f>VLOOKUP($A194,'SegEnds_NonXtal_Prot#'!$A:$AL,18,FALSE)</f>
        <v>121</v>
      </c>
      <c r="X194" s="5">
        <f>VLOOKUP($A194,'SegEnds_NonXtal_Prot#'!$A:$AL,21,FALSE)</f>
        <v>129</v>
      </c>
      <c r="Y194" s="5">
        <f>VLOOKUP($A194,'SegEnds_NonXtal_Prot#'!$A:$AL,24,FALSE)</f>
        <v>168</v>
      </c>
      <c r="Z194" s="5">
        <f>VLOOKUP($A194,'SegEnds_NonXtal_Prot#'!$A:$AL,27,FALSE)</f>
        <v>180</v>
      </c>
      <c r="AA194" s="5">
        <f>VLOOKUP($A194,'SegEnds_NonXtal_Prot#'!$A:$AL,30,FALSE)</f>
        <v>218</v>
      </c>
      <c r="AB194" s="5">
        <f>VLOOKUP($A194,'SegEnds_NonXtal_Prot#'!$A:$AL,33,FALSE)</f>
        <v>262</v>
      </c>
      <c r="AC194" s="5">
        <f>VLOOKUP($A194,'SegEnds_NonXtal_Prot#'!$A:$AL,36,FALSE)</f>
        <v>295</v>
      </c>
      <c r="AD194" s="5">
        <f>VLOOKUP($A194,'SegEnds_NonXtal_Prot#'!$A:$AL,5,FALSE)</f>
        <v>45</v>
      </c>
      <c r="AE194" s="5">
        <f>VLOOKUP($A194,'SegEnds_NonXtal_Prot#'!$A:$AL,8,FALSE)</f>
        <v>49</v>
      </c>
      <c r="AF194" s="5">
        <f>VLOOKUP($A194,'SegEnds_NonXtal_Prot#'!$A:$AL,11,FALSE)</f>
        <v>79</v>
      </c>
      <c r="AG194" s="5">
        <f>VLOOKUP($A194,'SegEnds_NonXtal_Prot#'!$A:$AL,14,FALSE)</f>
        <v>84</v>
      </c>
      <c r="AH194" s="5">
        <f>VLOOKUP($A194,'SegEnds_NonXtal_Prot#'!$A:$AL,17,FALSE)</f>
        <v>120</v>
      </c>
      <c r="AI194" s="5">
        <f>VLOOKUP($A194,'SegEnds_NonXtal_Prot#'!$A:$AL,20,FALSE)</f>
        <v>128</v>
      </c>
      <c r="AJ194" s="5">
        <f>VLOOKUP($A194,'SegEnds_NonXtal_Prot#'!$A:$AL,23,FALSE)</f>
        <v>155</v>
      </c>
      <c r="AK194" s="5">
        <f>VLOOKUP($A194,'SegEnds_NonXtal_Prot#'!$A:$AL,26,FALSE)</f>
        <v>170</v>
      </c>
      <c r="AL194" s="5">
        <f>VLOOKUP($A194,'SegEnds_NonXtal_Prot#'!$A:$AL,29,FALSE)</f>
        <v>214</v>
      </c>
      <c r="AM194" s="5">
        <f>VLOOKUP($A194,'SegEnds_NonXtal_Prot#'!$A:$AL,32,FALSE)</f>
        <v>258</v>
      </c>
      <c r="AN194" s="5">
        <f>VLOOKUP($A194,'SegEnds_NonXtal_Prot#'!$A:$AL,35,FALSE)</f>
        <v>294</v>
      </c>
      <c r="AO194" s="5">
        <f>VLOOKUP($A194,'SegEnds_NonXtal_Prot#'!$A:$AL,38,FALSE)</f>
        <v>309</v>
      </c>
      <c r="AP194" s="5">
        <f t="shared" ref="AP194:AP257" si="88">IFERROR(AD194-R194,"-")</f>
        <v>30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34</v>
      </c>
      <c r="AY194" s="4">
        <f t="shared" ref="AY194:AY257" si="97">IFERROR(AM194-AA194,"-")</f>
        <v>40</v>
      </c>
      <c r="AZ194" s="4">
        <f t="shared" ref="AZ194:AZ257" si="98">IFERROR(AN194-AB194,"-")</f>
        <v>32</v>
      </c>
      <c r="BA194" s="4">
        <f t="shared" ref="BA194:BA257" si="99">IFERROR(AO194-AC194,"-")</f>
        <v>14</v>
      </c>
    </row>
    <row r="195" spans="1:53" x14ac:dyDescent="0.2">
      <c r="A195" s="1" t="str">
        <f>'SegEnds_NonXtal_Prot#'!A171</f>
        <v>lt4r1_human</v>
      </c>
      <c r="B195" s="1" t="str">
        <f t="shared" si="75"/>
        <v>FISLLAIILLSVALAVGLPGNSFVVWSILKRSVTALMVLNLALADLAVLLTAPFFLHFLAQGLAGCRLCHYVCGVSMYASVLLITAMSLDRSLAVARTKAMARRVLAGIWVLSFLLATPVLAYRHRAFHLIFEAVTGFLLPFLAVVASYSDIGRRLQARSRRTGRLVVLIILTFAAFWLPYHVVNLAEAGRALALGLVGKRLSLARNVLIALAFLSSSVNPVLYACAGGGLLRSAGVGFVAK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5" s="5" t="str">
        <f t="shared" si="76"/>
        <v>FISLLAIILLSVALAVGLPGNSFVVWSILKR</v>
      </c>
      <c r="G195" s="4" t="str">
        <f t="shared" si="77"/>
        <v>MQKR</v>
      </c>
      <c r="H195" s="4" t="str">
        <f t="shared" si="78"/>
        <v>SVTALMVLNLALADLAVLLTAPFFLHFLAQ</v>
      </c>
      <c r="I195" s="4" t="str">
        <f t="shared" si="79"/>
        <v>TWSF</v>
      </c>
      <c r="J195" s="4" t="str">
        <f t="shared" si="80"/>
        <v>GLAGCRLCHYVCGVSMYASVLLITAMSLDRSLAVAR</v>
      </c>
      <c r="K195" s="4" t="str">
        <f t="shared" si="81"/>
        <v>PFVSQKLR</v>
      </c>
      <c r="L195" s="4" t="str">
        <f t="shared" si="82"/>
        <v>TKAMARRVLAGIWVLSFLLATPVLAYR</v>
      </c>
      <c r="M195" s="4" t="str">
        <f t="shared" si="83"/>
        <v>CFP</v>
      </c>
      <c r="N195" s="4" t="str">
        <f t="shared" si="84"/>
        <v>HRAFHLIFEAVTGFLLPFLAVVASYSDIGRRLQAR</v>
      </c>
      <c r="O195" s="4" t="str">
        <f t="shared" si="85"/>
        <v>SRRTGRLVVLIILTFAAFWLPYHVVNLAEAGRALA</v>
      </c>
      <c r="P195" s="4" t="str">
        <f t="shared" si="86"/>
        <v>LGLVGKRLSLARNVLIALAFLSSSVNPVLYACA</v>
      </c>
      <c r="Q195" s="4" t="str">
        <f t="shared" si="87"/>
        <v>GGGLLRSAGVGFVAK</v>
      </c>
      <c r="R195" s="5">
        <f>VLOOKUP($A195,'SegEnds_NonXtal_Prot#'!$A:$AL,3,FALSE)</f>
        <v>16</v>
      </c>
      <c r="S195" s="5">
        <f>VLOOKUP($A195,'SegEnds_NonXtal_Prot#'!$A:$AL,6,FALSE)</f>
        <v>47</v>
      </c>
      <c r="T195" s="5">
        <f>VLOOKUP($A195,'SegEnds_NonXtal_Prot#'!$A:$AL,9,FALSE)</f>
        <v>51</v>
      </c>
      <c r="U195" s="5">
        <f>VLOOKUP($A195,'SegEnds_NonXtal_Prot#'!$A:$AL,12,FALSE)</f>
        <v>82</v>
      </c>
      <c r="V195" s="5">
        <f>VLOOKUP($A195,'SegEnds_NonXtal_Prot#'!$A:$AL,15,FALSE)</f>
        <v>86</v>
      </c>
      <c r="W195" s="5">
        <f>VLOOKUP($A195,'SegEnds_NonXtal_Prot#'!$A:$AL,18,FALSE)</f>
        <v>122</v>
      </c>
      <c r="X195" s="5">
        <f>VLOOKUP($A195,'SegEnds_NonXtal_Prot#'!$A:$AL,21,FALSE)</f>
        <v>130</v>
      </c>
      <c r="Y195" s="5">
        <f>VLOOKUP($A195,'SegEnds_NonXtal_Prot#'!$A:$AL,24,FALSE)</f>
        <v>168</v>
      </c>
      <c r="Z195" s="5">
        <f>VLOOKUP($A195,'SegEnds_NonXtal_Prot#'!$A:$AL,27,FALSE)</f>
        <v>177</v>
      </c>
      <c r="AA195" s="5">
        <f>VLOOKUP($A195,'SegEnds_NonXtal_Prot#'!$A:$AL,30,FALSE)</f>
        <v>216</v>
      </c>
      <c r="AB195" s="5">
        <f>VLOOKUP($A195,'SegEnds_NonXtal_Prot#'!$A:$AL,33,FALSE)</f>
        <v>256</v>
      </c>
      <c r="AC195" s="5">
        <f>VLOOKUP($A195,'SegEnds_NonXtal_Prot#'!$A:$AL,36,FALSE)</f>
        <v>289</v>
      </c>
      <c r="AD195" s="5">
        <f>VLOOKUP($A195,'SegEnds_NonXtal_Prot#'!$A:$AL,5,FALSE)</f>
        <v>46</v>
      </c>
      <c r="AE195" s="5">
        <f>VLOOKUP($A195,'SegEnds_NonXtal_Prot#'!$A:$AL,8,FALSE)</f>
        <v>50</v>
      </c>
      <c r="AF195" s="5">
        <f>VLOOKUP($A195,'SegEnds_NonXtal_Prot#'!$A:$AL,11,FALSE)</f>
        <v>80</v>
      </c>
      <c r="AG195" s="5">
        <f>VLOOKUP($A195,'SegEnds_NonXtal_Prot#'!$A:$AL,14,FALSE)</f>
        <v>85</v>
      </c>
      <c r="AH195" s="5">
        <f>VLOOKUP($A195,'SegEnds_NonXtal_Prot#'!$A:$AL,17,FALSE)</f>
        <v>121</v>
      </c>
      <c r="AI195" s="5">
        <f>VLOOKUP($A195,'SegEnds_NonXtal_Prot#'!$A:$AL,20,FALSE)</f>
        <v>129</v>
      </c>
      <c r="AJ195" s="5">
        <f>VLOOKUP($A195,'SegEnds_NonXtal_Prot#'!$A:$AL,23,FALSE)</f>
        <v>156</v>
      </c>
      <c r="AK195" s="5">
        <f>VLOOKUP($A195,'SegEnds_NonXtal_Prot#'!$A:$AL,26,FALSE)</f>
        <v>170</v>
      </c>
      <c r="AL195" s="5">
        <f>VLOOKUP($A195,'SegEnds_NonXtal_Prot#'!$A:$AL,29,FALSE)</f>
        <v>211</v>
      </c>
      <c r="AM195" s="5">
        <f>VLOOKUP($A195,'SegEnds_NonXtal_Prot#'!$A:$AL,32,FALSE)</f>
        <v>250</v>
      </c>
      <c r="AN195" s="5">
        <f>VLOOKUP($A195,'SegEnds_NonXtal_Prot#'!$A:$AL,35,FALSE)</f>
        <v>288</v>
      </c>
      <c r="AO195" s="5">
        <f>VLOOKUP($A195,'SegEnds_NonXtal_Prot#'!$A:$AL,38,FALSE)</f>
        <v>303</v>
      </c>
      <c r="AP195" s="5">
        <f t="shared" si="88"/>
        <v>30</v>
      </c>
      <c r="AQ195" s="4">
        <f t="shared" si="89"/>
        <v>3</v>
      </c>
      <c r="AR195" s="4">
        <f t="shared" si="90"/>
        <v>29</v>
      </c>
      <c r="AS195" s="4">
        <f t="shared" si="91"/>
        <v>3</v>
      </c>
      <c r="AT195" s="4">
        <f t="shared" si="92"/>
        <v>35</v>
      </c>
      <c r="AU195" s="4">
        <f t="shared" si="93"/>
        <v>7</v>
      </c>
      <c r="AV195" s="4">
        <f t="shared" si="94"/>
        <v>26</v>
      </c>
      <c r="AW195" s="4">
        <f t="shared" si="95"/>
        <v>2</v>
      </c>
      <c r="AX195" s="4">
        <f t="shared" si="96"/>
        <v>34</v>
      </c>
      <c r="AY195" s="4">
        <f t="shared" si="97"/>
        <v>34</v>
      </c>
      <c r="AZ195" s="4">
        <f t="shared" si="98"/>
        <v>32</v>
      </c>
      <c r="BA195" s="4">
        <f t="shared" si="99"/>
        <v>14</v>
      </c>
    </row>
    <row r="196" spans="1:53" x14ac:dyDescent="0.2">
      <c r="A196" s="1" t="str">
        <f>'SegEnds_NonXtal_Prot#'!A172</f>
        <v>lt4r2_human</v>
      </c>
      <c r="B196" s="1" t="str">
        <f t="shared" si="75"/>
        <v>KTSRATGTAFLLLAALLGLPGNGFVVWSLAGWGRPLAATLVLHLALADGAVLLLTPLFVAFLTRGQAGCKAVYYVCALSMYASVLLTGLLSLQRCLAVTRSPALARRLLLAVWLAALLLAVPAAVYRAAAHLSLETLTAFVLPFGLMLGCYSVTLARLRGSGRHGARVGRLVSAIVLAFGLLWAPYHAVNLLQAVAALALAKLGGAGQAARAGTTALAFFSSSVNPVLYVFTAGDLLPRAGPRF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96" s="5" t="str">
        <f t="shared" si="76"/>
        <v>KTSRATGTAFLLLAALLGLPGNGFVVWSLAGW</v>
      </c>
      <c r="G196" s="4" t="str">
        <f t="shared" si="77"/>
        <v>RPAR</v>
      </c>
      <c r="H196" s="4" t="str">
        <f t="shared" si="78"/>
        <v>GRPLAATLVLHLALADGAVLLLTPLFVAFLTR</v>
      </c>
      <c r="I196" s="4" t="str">
        <f t="shared" si="79"/>
        <v>AWPL</v>
      </c>
      <c r="J196" s="4" t="str">
        <f t="shared" si="80"/>
        <v>GQAGCKAVYYVCALSMYASVLLTGLLSLQRCLAVTR</v>
      </c>
      <c r="K196" s="4" t="str">
        <f t="shared" si="81"/>
        <v>PFLAPRLR</v>
      </c>
      <c r="L196" s="4" t="str">
        <f t="shared" si="82"/>
        <v>SPALARRLLLAVWLAALLLAVPAAVYR</v>
      </c>
      <c r="M196" s="4" t="str">
        <f t="shared" si="83"/>
        <v>CHP</v>
      </c>
      <c r="N196" s="4" t="str">
        <f t="shared" si="84"/>
        <v>AAAHLSLETLTAFVLPFGLMLGCYSVTLARLRG</v>
      </c>
      <c r="O196" s="4" t="str">
        <f t="shared" si="85"/>
        <v>SGRHGARVGRLVSAIVLAFGLLWAPYHAVNLLQAVAALA</v>
      </c>
      <c r="P196" s="4" t="str">
        <f t="shared" si="86"/>
        <v>LAKLGGAGQAARAGTTALAFFSSSVNPVLYVFT</v>
      </c>
      <c r="Q196" s="4" t="str">
        <f t="shared" si="87"/>
        <v>AGDLLPRAGPRF</v>
      </c>
      <c r="R196" s="5">
        <f>VLOOKUP($A196,'SegEnds_NonXtal_Prot#'!$A:$AL,3,FALSE)</f>
        <v>48</v>
      </c>
      <c r="S196" s="5">
        <f>VLOOKUP($A196,'SegEnds_NonXtal_Prot#'!$A:$AL,6,FALSE)</f>
        <v>80</v>
      </c>
      <c r="T196" s="5">
        <f>VLOOKUP($A196,'SegEnds_NonXtal_Prot#'!$A:$AL,9,FALSE)</f>
        <v>84</v>
      </c>
      <c r="U196" s="5">
        <f>VLOOKUP($A196,'SegEnds_NonXtal_Prot#'!$A:$AL,12,FALSE)</f>
        <v>117</v>
      </c>
      <c r="V196" s="5">
        <f>VLOOKUP($A196,'SegEnds_NonXtal_Prot#'!$A:$AL,15,FALSE)</f>
        <v>121</v>
      </c>
      <c r="W196" s="5">
        <f>VLOOKUP($A196,'SegEnds_NonXtal_Prot#'!$A:$AL,18,FALSE)</f>
        <v>157</v>
      </c>
      <c r="X196" s="5">
        <f>VLOOKUP($A196,'SegEnds_NonXtal_Prot#'!$A:$AL,21,FALSE)</f>
        <v>165</v>
      </c>
      <c r="Y196" s="5">
        <f>VLOOKUP($A196,'SegEnds_NonXtal_Prot#'!$A:$AL,24,FALSE)</f>
        <v>202</v>
      </c>
      <c r="Z196" s="5">
        <f>VLOOKUP($A196,'SegEnds_NonXtal_Prot#'!$A:$AL,27,FALSE)</f>
        <v>209</v>
      </c>
      <c r="AA196" s="5">
        <f>VLOOKUP($A196,'SegEnds_NonXtal_Prot#'!$A:$AL,30,FALSE)</f>
        <v>246</v>
      </c>
      <c r="AB196" s="5">
        <f>VLOOKUP($A196,'SegEnds_NonXtal_Prot#'!$A:$AL,33,FALSE)</f>
        <v>290</v>
      </c>
      <c r="AC196" s="5">
        <f>VLOOKUP($A196,'SegEnds_NonXtal_Prot#'!$A:$AL,36,FALSE)</f>
        <v>323</v>
      </c>
      <c r="AD196" s="5">
        <f>VLOOKUP($A196,'SegEnds_NonXtal_Prot#'!$A:$AL,5,FALSE)</f>
        <v>79</v>
      </c>
      <c r="AE196" s="5">
        <f>VLOOKUP($A196,'SegEnds_NonXtal_Prot#'!$A:$AL,8,FALSE)</f>
        <v>83</v>
      </c>
      <c r="AF196" s="5">
        <f>VLOOKUP($A196,'SegEnds_NonXtal_Prot#'!$A:$AL,11,FALSE)</f>
        <v>115</v>
      </c>
      <c r="AG196" s="5">
        <f>VLOOKUP($A196,'SegEnds_NonXtal_Prot#'!$A:$AL,14,FALSE)</f>
        <v>120</v>
      </c>
      <c r="AH196" s="5">
        <f>VLOOKUP($A196,'SegEnds_NonXtal_Prot#'!$A:$AL,17,FALSE)</f>
        <v>156</v>
      </c>
      <c r="AI196" s="5">
        <f>VLOOKUP($A196,'SegEnds_NonXtal_Prot#'!$A:$AL,20,FALSE)</f>
        <v>164</v>
      </c>
      <c r="AJ196" s="5">
        <f>VLOOKUP($A196,'SegEnds_NonXtal_Prot#'!$A:$AL,23,FALSE)</f>
        <v>191</v>
      </c>
      <c r="AK196" s="5">
        <f>VLOOKUP($A196,'SegEnds_NonXtal_Prot#'!$A:$AL,26,FALSE)</f>
        <v>204</v>
      </c>
      <c r="AL196" s="5">
        <f>VLOOKUP($A196,'SegEnds_NonXtal_Prot#'!$A:$AL,29,FALSE)</f>
        <v>241</v>
      </c>
      <c r="AM196" s="5">
        <f>VLOOKUP($A196,'SegEnds_NonXtal_Prot#'!$A:$AL,32,FALSE)</f>
        <v>284</v>
      </c>
      <c r="AN196" s="5">
        <f>VLOOKUP($A196,'SegEnds_NonXtal_Prot#'!$A:$AL,35,FALSE)</f>
        <v>322</v>
      </c>
      <c r="AO196" s="5">
        <f>VLOOKUP($A196,'SegEnds_NonXtal_Prot#'!$A:$AL,38,FALSE)</f>
        <v>334</v>
      </c>
      <c r="AP196" s="5">
        <f t="shared" si="88"/>
        <v>31</v>
      </c>
      <c r="AQ196" s="4">
        <f t="shared" si="89"/>
        <v>3</v>
      </c>
      <c r="AR196" s="4">
        <f t="shared" si="90"/>
        <v>31</v>
      </c>
      <c r="AS196" s="4">
        <f t="shared" si="91"/>
        <v>3</v>
      </c>
      <c r="AT196" s="4">
        <f t="shared" si="92"/>
        <v>35</v>
      </c>
      <c r="AU196" s="4">
        <f t="shared" si="93"/>
        <v>7</v>
      </c>
      <c r="AV196" s="4">
        <f t="shared" si="94"/>
        <v>26</v>
      </c>
      <c r="AW196" s="4">
        <f t="shared" si="95"/>
        <v>2</v>
      </c>
      <c r="AX196" s="4">
        <f t="shared" si="96"/>
        <v>32</v>
      </c>
      <c r="AY196" s="4">
        <f t="shared" si="97"/>
        <v>38</v>
      </c>
      <c r="AZ196" s="4">
        <f t="shared" si="98"/>
        <v>32</v>
      </c>
      <c r="BA196" s="4">
        <f t="shared" si="99"/>
        <v>11</v>
      </c>
    </row>
    <row r="197" spans="1:53" x14ac:dyDescent="0.2">
      <c r="A197" s="1" t="str">
        <f>'SegEnds_NonXtal_Prot#'!A173</f>
        <v>mas_human</v>
      </c>
      <c r="B197" s="1" t="str">
        <f t="shared" si="75"/>
        <v>RQIPIVHWVIMSISPVGFVENGILLWFLCFRNPFTVYITHLSIADISLLFCIFILSIDYALDSSGHYYTIVTLSVTFLFGYNTGLYLLTAISVERCLSVLYPKYQSALVCALLWALSCLVTTMEYVMCRAVIIFIAILSFLVFTPLMLVSSTILVVKIRKNTWSSKLYIVIMVTIIIFLIFAMPMRLLYLLYYEYGNLHHISLLFSTINSSANPFIYFFVGSSKKKRFKESLKVV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7" s="5" t="str">
        <f t="shared" si="76"/>
        <v>RQIPIVHWVIMSISPVGFVENGILLWFLCFR</v>
      </c>
      <c r="G197" s="4" t="str">
        <f t="shared" si="77"/>
        <v/>
      </c>
      <c r="H197" s="4" t="str">
        <f t="shared" si="78"/>
        <v>NPFTVYITHLSIADISLLFCIFILSIDYALD</v>
      </c>
      <c r="I197" s="4" t="str">
        <f t="shared" si="79"/>
        <v/>
      </c>
      <c r="J197" s="4" t="str">
        <f t="shared" si="80"/>
        <v>SSGHYYTIVTLSVTFLFGYNTGLYLLTAISVERCLSVLY</v>
      </c>
      <c r="K197" s="4" t="str">
        <f t="shared" si="81"/>
        <v>PIWYRCHR</v>
      </c>
      <c r="L197" s="4" t="str">
        <f t="shared" si="82"/>
        <v>PKYQSALVCALLWALSCLVTTMEYVMC</v>
      </c>
      <c r="M197" s="4" t="str">
        <f t="shared" si="83"/>
        <v/>
      </c>
      <c r="N197" s="4" t="str">
        <f t="shared" si="84"/>
        <v>RAVIIFIAILSFLVFTPLMLVSSTILVVKIRKNTW</v>
      </c>
      <c r="O197" s="4" t="str">
        <f t="shared" si="85"/>
        <v>SSKLYIVIMVTIIIFLIFAMPMRLLYLLYYEY</v>
      </c>
      <c r="P197" s="4" t="str">
        <f t="shared" si="86"/>
        <v>GNLHHISLLFSTINSSANPFIYFFV</v>
      </c>
      <c r="Q197" s="4" t="str">
        <f t="shared" si="87"/>
        <v>GSSKKKRFKESLKVV</v>
      </c>
      <c r="R197" s="5">
        <f>VLOOKUP($A197,'SegEnds_NonXtal_Prot#'!$A:$AL,3,FALSE)</f>
        <v>30</v>
      </c>
      <c r="S197" s="5" t="str">
        <f>VLOOKUP($A197,'SegEnds_NonXtal_Prot#'!$A:$AL,6,FALSE)</f>
        <v>-</v>
      </c>
      <c r="T197" s="5">
        <f>VLOOKUP($A197,'SegEnds_NonXtal_Prot#'!$A:$AL,9,FALSE)</f>
        <v>64</v>
      </c>
      <c r="U197" s="5" t="str">
        <f>VLOOKUP($A197,'SegEnds_NonXtal_Prot#'!$A:$AL,12,FALSE)</f>
        <v>-</v>
      </c>
      <c r="V197" s="5">
        <f>VLOOKUP($A197,'SegEnds_NonXtal_Prot#'!$A:$AL,15,FALSE)</f>
        <v>98</v>
      </c>
      <c r="W197" s="5">
        <f>VLOOKUP($A197,'SegEnds_NonXtal_Prot#'!$A:$AL,18,FALSE)</f>
        <v>137</v>
      </c>
      <c r="X197" s="5">
        <f>VLOOKUP($A197,'SegEnds_NonXtal_Prot#'!$A:$AL,21,FALSE)</f>
        <v>145</v>
      </c>
      <c r="Y197" s="5" t="str">
        <f>VLOOKUP($A197,'SegEnds_NonXtal_Prot#'!$A:$AL,24,FALSE)</f>
        <v>-</v>
      </c>
      <c r="Z197" s="5">
        <f>VLOOKUP($A197,'SegEnds_NonXtal_Prot#'!$A:$AL,27,FALSE)</f>
        <v>185</v>
      </c>
      <c r="AA197" s="5">
        <f>VLOOKUP($A197,'SegEnds_NonXtal_Prot#'!$A:$AL,30,FALSE)</f>
        <v>223</v>
      </c>
      <c r="AB197" s="5">
        <f>VLOOKUP($A197,'SegEnds_NonXtal_Prot#'!$A:$AL,33,FALSE)</f>
        <v>259</v>
      </c>
      <c r="AC197" s="5">
        <f>VLOOKUP($A197,'SegEnds_NonXtal_Prot#'!$A:$AL,36,FALSE)</f>
        <v>284</v>
      </c>
      <c r="AD197" s="5">
        <f>VLOOKUP($A197,'SegEnds_NonXtal_Prot#'!$A:$AL,5,FALSE)</f>
        <v>60</v>
      </c>
      <c r="AE197" s="5" t="str">
        <f>VLOOKUP($A197,'SegEnds_NonXtal_Prot#'!$A:$AL,8,FALSE)</f>
        <v>-</v>
      </c>
      <c r="AF197" s="5">
        <f>VLOOKUP($A197,'SegEnds_NonXtal_Prot#'!$A:$AL,11,FALSE)</f>
        <v>94</v>
      </c>
      <c r="AG197" s="5" t="str">
        <f>VLOOKUP($A197,'SegEnds_NonXtal_Prot#'!$A:$AL,14,FALSE)</f>
        <v>-</v>
      </c>
      <c r="AH197" s="5">
        <f>VLOOKUP($A197,'SegEnds_NonXtal_Prot#'!$A:$AL,17,FALSE)</f>
        <v>136</v>
      </c>
      <c r="AI197" s="5">
        <f>VLOOKUP($A197,'SegEnds_NonXtal_Prot#'!$A:$AL,20,FALSE)</f>
        <v>144</v>
      </c>
      <c r="AJ197" s="5">
        <f>VLOOKUP($A197,'SegEnds_NonXtal_Prot#'!$A:$AL,23,FALSE)</f>
        <v>171</v>
      </c>
      <c r="AK197" s="5" t="str">
        <f>VLOOKUP($A197,'SegEnds_NonXtal_Prot#'!$A:$AL,26,FALSE)</f>
        <v>-</v>
      </c>
      <c r="AL197" s="5">
        <f>VLOOKUP($A197,'SegEnds_NonXtal_Prot#'!$A:$AL,29,FALSE)</f>
        <v>219</v>
      </c>
      <c r="AM197" s="5">
        <f>VLOOKUP($A197,'SegEnds_NonXtal_Prot#'!$A:$AL,32,FALSE)</f>
        <v>254</v>
      </c>
      <c r="AN197" s="5">
        <f>VLOOKUP($A197,'SegEnds_NonXtal_Prot#'!$A:$AL,35,FALSE)</f>
        <v>283</v>
      </c>
      <c r="AO197" s="5">
        <f>VLOOKUP($A197,'SegEnds_NonXtal_Prot#'!$A:$AL,38,FALSE)</f>
        <v>298</v>
      </c>
      <c r="AP197" s="5">
        <f t="shared" si="88"/>
        <v>30</v>
      </c>
      <c r="AQ197" s="4" t="str">
        <f t="shared" si="89"/>
        <v>-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26</v>
      </c>
      <c r="AW197" s="4" t="str">
        <f t="shared" si="95"/>
        <v>-</v>
      </c>
      <c r="AX197" s="4">
        <f t="shared" si="96"/>
        <v>34</v>
      </c>
      <c r="AY197" s="4">
        <f t="shared" si="97"/>
        <v>31</v>
      </c>
      <c r="AZ197" s="4">
        <f t="shared" si="98"/>
        <v>24</v>
      </c>
      <c r="BA197" s="4">
        <f t="shared" si="99"/>
        <v>14</v>
      </c>
    </row>
    <row r="198" spans="1:53" x14ac:dyDescent="0.2">
      <c r="A198" s="1" t="str">
        <f>'SegEnds_NonXtal_Prot#'!A174</f>
        <v>mas1l_human</v>
      </c>
      <c r="B198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8" s="5" t="str">
        <f t="shared" si="76"/>
        <v>QQALPLNIIAPKAVLVSLCGVLLNGTVFWLLCCG</v>
      </c>
      <c r="G198" s="4" t="str">
        <f t="shared" si="77"/>
        <v/>
      </c>
      <c r="H198" s="4" t="str">
        <f t="shared" si="78"/>
        <v>NPYMVYILHLVAADVIYLCCSAVGFLQVTL</v>
      </c>
      <c r="I198" s="4" t="str">
        <f t="shared" si="79"/>
        <v/>
      </c>
      <c r="J198" s="4" t="str">
        <f t="shared" si="80"/>
        <v>HGVVFFIPDFLAILSPFSFEVCLCLLVAISTERCVCVLF</v>
      </c>
      <c r="K198" s="4" t="str">
        <f t="shared" si="81"/>
        <v>PIWYRCHR</v>
      </c>
      <c r="L198" s="4" t="str">
        <f t="shared" si="82"/>
        <v>PKYTSNVVCTLIWGLPFCINIVKSLFL</v>
      </c>
      <c r="M198" s="4" t="str">
        <f t="shared" si="83"/>
        <v/>
      </c>
      <c r="N198" s="4" t="str">
        <f t="shared" si="84"/>
        <v>ACVIFLKLSGLFHAILSLVMCVSSLTLLIRFLCCSQ</v>
      </c>
      <c r="O198" s="4" t="str">
        <f t="shared" si="85"/>
        <v>ATRVYAVVQISAPMFLLWALPLSVAPLITDFK</v>
      </c>
      <c r="P198" s="4" t="str">
        <f t="shared" si="86"/>
        <v>TSYLISLFLIINSSANPIIYFFV</v>
      </c>
      <c r="Q198" s="4" t="str">
        <f t="shared" si="87"/>
        <v>GSLRKKRLKESLRVILQRALA</v>
      </c>
      <c r="R198" s="5">
        <f>VLOOKUP($A198,'SegEnds_NonXtal_Prot#'!$A:$AL,3,FALSE)</f>
        <v>70</v>
      </c>
      <c r="S198" s="5" t="str">
        <f>VLOOKUP($A198,'SegEnds_NonXtal_Prot#'!$A:$AL,6,FALSE)</f>
        <v>-</v>
      </c>
      <c r="T198" s="5">
        <f>VLOOKUP($A198,'SegEnds_NonXtal_Prot#'!$A:$AL,9,FALSE)</f>
        <v>106</v>
      </c>
      <c r="U198" s="5" t="str">
        <f>VLOOKUP($A198,'SegEnds_NonXtal_Prot#'!$A:$AL,12,FALSE)</f>
        <v>-</v>
      </c>
      <c r="V198" s="5">
        <f>VLOOKUP($A198,'SegEnds_NonXtal_Prot#'!$A:$AL,15,FALSE)</f>
        <v>139</v>
      </c>
      <c r="W198" s="5">
        <f>VLOOKUP($A198,'SegEnds_NonXtal_Prot#'!$A:$AL,18,FALSE)</f>
        <v>178</v>
      </c>
      <c r="X198" s="5">
        <f>VLOOKUP($A198,'SegEnds_NonXtal_Prot#'!$A:$AL,21,FALSE)</f>
        <v>186</v>
      </c>
      <c r="Y198" s="5" t="str">
        <f>VLOOKUP($A198,'SegEnds_NonXtal_Prot#'!$A:$AL,24,FALSE)</f>
        <v>-</v>
      </c>
      <c r="Z198" s="5">
        <f>VLOOKUP($A198,'SegEnds_NonXtal_Prot#'!$A:$AL,27,FALSE)</f>
        <v>220</v>
      </c>
      <c r="AA198" s="5">
        <f>VLOOKUP($A198,'SegEnds_NonXtal_Prot#'!$A:$AL,30,FALSE)</f>
        <v>259</v>
      </c>
      <c r="AB198" s="5">
        <f>VLOOKUP($A198,'SegEnds_NonXtal_Prot#'!$A:$AL,33,FALSE)</f>
        <v>295</v>
      </c>
      <c r="AC198" s="5">
        <f>VLOOKUP($A198,'SegEnds_NonXtal_Prot#'!$A:$AL,36,FALSE)</f>
        <v>318</v>
      </c>
      <c r="AD198" s="5">
        <f>VLOOKUP($A198,'SegEnds_NonXtal_Prot#'!$A:$AL,5,FALSE)</f>
        <v>103</v>
      </c>
      <c r="AE198" s="5" t="str">
        <f>VLOOKUP($A198,'SegEnds_NonXtal_Prot#'!$A:$AL,8,FALSE)</f>
        <v>-</v>
      </c>
      <c r="AF198" s="5">
        <f>VLOOKUP($A198,'SegEnds_NonXtal_Prot#'!$A:$AL,11,FALSE)</f>
        <v>135</v>
      </c>
      <c r="AG198" s="5" t="str">
        <f>VLOOKUP($A198,'SegEnds_NonXtal_Prot#'!$A:$AL,14,FALSE)</f>
        <v>-</v>
      </c>
      <c r="AH198" s="5">
        <f>VLOOKUP($A198,'SegEnds_NonXtal_Prot#'!$A:$AL,17,FALSE)</f>
        <v>177</v>
      </c>
      <c r="AI198" s="5">
        <f>VLOOKUP($A198,'SegEnds_NonXtal_Prot#'!$A:$AL,20,FALSE)</f>
        <v>185</v>
      </c>
      <c r="AJ198" s="5">
        <f>VLOOKUP($A198,'SegEnds_NonXtal_Prot#'!$A:$AL,23,FALSE)</f>
        <v>212</v>
      </c>
      <c r="AK198" s="5" t="str">
        <f>VLOOKUP($A198,'SegEnds_NonXtal_Prot#'!$A:$AL,26,FALSE)</f>
        <v>-</v>
      </c>
      <c r="AL198" s="5">
        <f>VLOOKUP($A198,'SegEnds_NonXtal_Prot#'!$A:$AL,29,FALSE)</f>
        <v>255</v>
      </c>
      <c r="AM198" s="5">
        <f>VLOOKUP($A198,'SegEnds_NonXtal_Prot#'!$A:$AL,32,FALSE)</f>
        <v>290</v>
      </c>
      <c r="AN198" s="5">
        <f>VLOOKUP($A198,'SegEnds_NonXtal_Prot#'!$A:$AL,35,FALSE)</f>
        <v>317</v>
      </c>
      <c r="AO198" s="5">
        <f>VLOOKUP($A198,'SegEnds_NonXtal_Prot#'!$A:$AL,38,FALSE)</f>
        <v>338</v>
      </c>
      <c r="AP198" s="5">
        <f t="shared" si="88"/>
        <v>33</v>
      </c>
      <c r="AQ198" s="4" t="str">
        <f t="shared" si="89"/>
        <v>-</v>
      </c>
      <c r="AR198" s="4">
        <f t="shared" si="90"/>
        <v>29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26</v>
      </c>
      <c r="AW198" s="4" t="str">
        <f t="shared" si="95"/>
        <v>-</v>
      </c>
      <c r="AX198" s="4">
        <f t="shared" si="96"/>
        <v>35</v>
      </c>
      <c r="AY198" s="4">
        <f t="shared" si="97"/>
        <v>31</v>
      </c>
      <c r="AZ198" s="4">
        <f t="shared" si="98"/>
        <v>22</v>
      </c>
      <c r="BA198" s="4">
        <f t="shared" si="99"/>
        <v>20</v>
      </c>
    </row>
    <row r="199" spans="1:53" x14ac:dyDescent="0.2">
      <c r="A199" s="1" t="str">
        <f>'SegEnds_NonXtal_Prot#'!A175</f>
        <v>mc3r_human</v>
      </c>
      <c r="B199" s="1" t="str">
        <f t="shared" si="75"/>
        <v>EQVFIKPEVFLSLGIVSLLENILVILAVVRNSPMYFFLCSLAVADMLVSVSNALETIMIAIVDQFIQHMDNIFDSMICISLVASICNLLAIAVDRYVTIFYTVRKALTLIVAIWVCCGVCGVVFIVYLITMFFAMMLLMGTLYVHMFLFARLHVKRIAALPPAQHSCMKGAVTITILLGVFIFCWAPFFLHLVLIITCCICYTAHFNTYLVLIMCNSVIDPLIYAFRSLELRNTFREILC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9" s="5" t="str">
        <f t="shared" si="76"/>
        <v>EQVFIKPEVFLSLGIVSLLENILVILAVVRN</v>
      </c>
      <c r="G199" s="4" t="str">
        <f t="shared" si="77"/>
        <v>GNLH</v>
      </c>
      <c r="H199" s="4" t="str">
        <f t="shared" si="78"/>
        <v>SPMYFFLCSLAVADMLVSVSNALETIMIAIV</v>
      </c>
      <c r="I199" s="4" t="str">
        <f t="shared" si="79"/>
        <v/>
      </c>
      <c r="J199" s="4" t="str">
        <f t="shared" si="80"/>
        <v>DQFIQHMDNIFDSMICISLVASICNLLAIAVDRYVTIFY</v>
      </c>
      <c r="K199" s="4" t="str">
        <f t="shared" si="81"/>
        <v>ALRYHSIM</v>
      </c>
      <c r="L199" s="4" t="str">
        <f t="shared" si="82"/>
        <v>TVRKALTLIVAIWVCCGVCGVVFIVY</v>
      </c>
      <c r="M199" s="4" t="str">
        <f t="shared" si="83"/>
        <v/>
      </c>
      <c r="N199" s="4" t="str">
        <f t="shared" si="84"/>
        <v>LITMFFAMMLLMGTLYVHMFLFARLHVKRIAALPPA</v>
      </c>
      <c r="O199" s="4" t="str">
        <f t="shared" si="85"/>
        <v>QHSCMKGAVTITILLGVFIFCWAPFFLHLVLIITC</v>
      </c>
      <c r="P199" s="4" t="str">
        <f t="shared" si="86"/>
        <v>CICYTAHFNTYLVLIMCNSVIDPLIYAFR</v>
      </c>
      <c r="Q199" s="4" t="str">
        <f t="shared" si="87"/>
        <v>SLELRNTFREILC</v>
      </c>
      <c r="R199" s="5">
        <f>VLOOKUP($A199,'SegEnds_NonXtal_Prot#'!$A:$AL,3,FALSE)</f>
        <v>36</v>
      </c>
      <c r="S199" s="5">
        <f>VLOOKUP($A199,'SegEnds_NonXtal_Prot#'!$A:$AL,6,FALSE)</f>
        <v>67</v>
      </c>
      <c r="T199" s="5">
        <f>VLOOKUP($A199,'SegEnds_NonXtal_Prot#'!$A:$AL,9,FALSE)</f>
        <v>71</v>
      </c>
      <c r="U199" s="5" t="str">
        <f>VLOOKUP($A199,'SegEnds_NonXtal_Prot#'!$A:$AL,12,FALSE)</f>
        <v>-</v>
      </c>
      <c r="V199" s="5">
        <f>VLOOKUP($A199,'SegEnds_NonXtal_Prot#'!$A:$AL,15,FALSE)</f>
        <v>110</v>
      </c>
      <c r="W199" s="5">
        <f>VLOOKUP($A199,'SegEnds_NonXtal_Prot#'!$A:$AL,18,FALSE)</f>
        <v>149</v>
      </c>
      <c r="X199" s="5">
        <f>VLOOKUP($A199,'SegEnds_NonXtal_Prot#'!$A:$AL,21,FALSE)</f>
        <v>157</v>
      </c>
      <c r="Y199" s="5" t="str">
        <f>VLOOKUP($A199,'SegEnds_NonXtal_Prot#'!$A:$AL,24,FALSE)</f>
        <v>-</v>
      </c>
      <c r="Z199" s="5">
        <f>VLOOKUP($A199,'SegEnds_NonXtal_Prot#'!$A:$AL,27,FALSE)</f>
        <v>192</v>
      </c>
      <c r="AA199" s="5">
        <f>VLOOKUP($A199,'SegEnds_NonXtal_Prot#'!$A:$AL,30,FALSE)</f>
        <v>234</v>
      </c>
      <c r="AB199" s="5">
        <f>VLOOKUP($A199,'SegEnds_NonXtal_Prot#'!$A:$AL,33,FALSE)</f>
        <v>274</v>
      </c>
      <c r="AC199" s="5">
        <f>VLOOKUP($A199,'SegEnds_NonXtal_Prot#'!$A:$AL,36,FALSE)</f>
        <v>303</v>
      </c>
      <c r="AD199" s="5">
        <f>VLOOKUP($A199,'SegEnds_NonXtal_Prot#'!$A:$AL,5,FALSE)</f>
        <v>66</v>
      </c>
      <c r="AE199" s="5">
        <f>VLOOKUP($A199,'SegEnds_NonXtal_Prot#'!$A:$AL,8,FALSE)</f>
        <v>70</v>
      </c>
      <c r="AF199" s="5">
        <f>VLOOKUP($A199,'SegEnds_NonXtal_Prot#'!$A:$AL,11,FALSE)</f>
        <v>101</v>
      </c>
      <c r="AG199" s="5" t="str">
        <f>VLOOKUP($A199,'SegEnds_NonXtal_Prot#'!$A:$AL,14,FALSE)</f>
        <v>-</v>
      </c>
      <c r="AH199" s="5">
        <f>VLOOKUP($A199,'SegEnds_NonXtal_Prot#'!$A:$AL,17,FALSE)</f>
        <v>148</v>
      </c>
      <c r="AI199" s="5">
        <f>VLOOKUP($A199,'SegEnds_NonXtal_Prot#'!$A:$AL,20,FALSE)</f>
        <v>156</v>
      </c>
      <c r="AJ199" s="5">
        <f>VLOOKUP($A199,'SegEnds_NonXtal_Prot#'!$A:$AL,23,FALSE)</f>
        <v>182</v>
      </c>
      <c r="AK199" s="5" t="str">
        <f>VLOOKUP($A199,'SegEnds_NonXtal_Prot#'!$A:$AL,26,FALSE)</f>
        <v>-</v>
      </c>
      <c r="AL199" s="5">
        <f>VLOOKUP($A199,'SegEnds_NonXtal_Prot#'!$A:$AL,29,FALSE)</f>
        <v>227</v>
      </c>
      <c r="AM199" s="5">
        <f>VLOOKUP($A199,'SegEnds_NonXtal_Prot#'!$A:$AL,32,FALSE)</f>
        <v>268</v>
      </c>
      <c r="AN199" s="5">
        <f>VLOOKUP($A199,'SegEnds_NonXtal_Prot#'!$A:$AL,35,FALSE)</f>
        <v>302</v>
      </c>
      <c r="AO199" s="5">
        <f>VLOOKUP($A199,'SegEnds_NonXtal_Prot#'!$A:$AL,38,FALSE)</f>
        <v>315</v>
      </c>
      <c r="AP199" s="5">
        <f t="shared" si="88"/>
        <v>30</v>
      </c>
      <c r="AQ199" s="4">
        <f t="shared" si="89"/>
        <v>3</v>
      </c>
      <c r="AR199" s="4">
        <f t="shared" si="90"/>
        <v>30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35</v>
      </c>
      <c r="AY199" s="4">
        <f t="shared" si="97"/>
        <v>34</v>
      </c>
      <c r="AZ199" s="4">
        <f t="shared" si="98"/>
        <v>28</v>
      </c>
      <c r="BA199" s="4">
        <f t="shared" si="99"/>
        <v>12</v>
      </c>
    </row>
    <row r="200" spans="1:53" x14ac:dyDescent="0.2">
      <c r="A200" s="1" t="str">
        <f>'SegEnds_NonXtal_Prot#'!A176</f>
        <v>mc4r_human</v>
      </c>
      <c r="B200" s="1" t="str">
        <f t="shared" si="75"/>
        <v>YEQLFVSPEVFVTLGVISLLENILVIVAIAKNSPMYFFICSLAVADMLVSVSNGSETIVITLLQSFTVNIDNVIDSVICSSLLASICSLLSIAVDRYFTIFYTVKRVGIIISCIWAACTVSGILFIIYLITMFFTMLALMASLYVHMFLMARLHIKRIAVLPGQGANMKGAITLTILIGVFVVCWAPFFLHLIFYISCCVCFMSHFNLYLILIMCNSIIDPLIYALRSQELRKTFKEIIC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200" s="5" t="str">
        <f t="shared" si="76"/>
        <v>YEQLFVSPEVFVTLGVISLLENILVIVAIAKN</v>
      </c>
      <c r="G200" s="4" t="str">
        <f t="shared" si="77"/>
        <v>KNLH</v>
      </c>
      <c r="H200" s="4" t="str">
        <f t="shared" si="78"/>
        <v>SPMYFFICSLAVADMLVSVSNGSETIVITLL</v>
      </c>
      <c r="I200" s="4" t="str">
        <f t="shared" si="79"/>
        <v/>
      </c>
      <c r="J200" s="4" t="str">
        <f t="shared" si="80"/>
        <v>QSFTVNIDNVIDSVICSSLLASICSLLSIAVDRYFTIFY</v>
      </c>
      <c r="K200" s="4" t="str">
        <f t="shared" si="81"/>
        <v>ALQYHNIM</v>
      </c>
      <c r="L200" s="4" t="str">
        <f t="shared" si="82"/>
        <v>TVKRVGIIISCIWAACTVSGILFIIY</v>
      </c>
      <c r="M200" s="4" t="str">
        <f t="shared" si="83"/>
        <v/>
      </c>
      <c r="N200" s="4" t="str">
        <f t="shared" si="84"/>
        <v>LITMFFTMLALMASLYVHMFLMARLHIKRIAVLPG</v>
      </c>
      <c r="O200" s="4" t="str">
        <f t="shared" si="85"/>
        <v>QGANMKGAITLTILIGVFVVCWAPFFLHLIFYISC</v>
      </c>
      <c r="P200" s="4" t="str">
        <f t="shared" si="86"/>
        <v>CVCFMSHFNLYLILIMCNSIIDPLIYALR</v>
      </c>
      <c r="Q200" s="4" t="str">
        <f t="shared" si="87"/>
        <v>SQELRKTFKEIIC</v>
      </c>
      <c r="R200" s="5">
        <f>VLOOKUP($A200,'SegEnds_NonXtal_Prot#'!$A:$AL,3,FALSE)</f>
        <v>41</v>
      </c>
      <c r="S200" s="5">
        <f>VLOOKUP($A200,'SegEnds_NonXtal_Prot#'!$A:$AL,6,FALSE)</f>
        <v>73</v>
      </c>
      <c r="T200" s="5">
        <f>VLOOKUP($A200,'SegEnds_NonXtal_Prot#'!$A:$AL,9,FALSE)</f>
        <v>77</v>
      </c>
      <c r="U200" s="5" t="str">
        <f>VLOOKUP($A200,'SegEnds_NonXtal_Prot#'!$A:$AL,12,FALSE)</f>
        <v>-</v>
      </c>
      <c r="V200" s="5">
        <f>VLOOKUP($A200,'SegEnds_NonXtal_Prot#'!$A:$AL,15,FALSE)</f>
        <v>115</v>
      </c>
      <c r="W200" s="5">
        <f>VLOOKUP($A200,'SegEnds_NonXtal_Prot#'!$A:$AL,18,FALSE)</f>
        <v>154</v>
      </c>
      <c r="X200" s="5">
        <f>VLOOKUP($A200,'SegEnds_NonXtal_Prot#'!$A:$AL,21,FALSE)</f>
        <v>162</v>
      </c>
      <c r="Y200" s="5" t="str">
        <f>VLOOKUP($A200,'SegEnds_NonXtal_Prot#'!$A:$AL,24,FALSE)</f>
        <v>-</v>
      </c>
      <c r="Z200" s="5">
        <f>VLOOKUP($A200,'SegEnds_NonXtal_Prot#'!$A:$AL,27,FALSE)</f>
        <v>197</v>
      </c>
      <c r="AA200" s="5">
        <f>VLOOKUP($A200,'SegEnds_NonXtal_Prot#'!$A:$AL,30,FALSE)</f>
        <v>237</v>
      </c>
      <c r="AB200" s="5">
        <f>VLOOKUP($A200,'SegEnds_NonXtal_Prot#'!$A:$AL,33,FALSE)</f>
        <v>277</v>
      </c>
      <c r="AC200" s="5">
        <f>VLOOKUP($A200,'SegEnds_NonXtal_Prot#'!$A:$AL,36,FALSE)</f>
        <v>306</v>
      </c>
      <c r="AD200" s="5">
        <f>VLOOKUP($A200,'SegEnds_NonXtal_Prot#'!$A:$AL,5,FALSE)</f>
        <v>72</v>
      </c>
      <c r="AE200" s="5">
        <f>VLOOKUP($A200,'SegEnds_NonXtal_Prot#'!$A:$AL,8,FALSE)</f>
        <v>76</v>
      </c>
      <c r="AF200" s="5">
        <f>VLOOKUP($A200,'SegEnds_NonXtal_Prot#'!$A:$AL,11,FALSE)</f>
        <v>107</v>
      </c>
      <c r="AG200" s="5" t="str">
        <f>VLOOKUP($A200,'SegEnds_NonXtal_Prot#'!$A:$AL,14,FALSE)</f>
        <v>-</v>
      </c>
      <c r="AH200" s="5">
        <f>VLOOKUP($A200,'SegEnds_NonXtal_Prot#'!$A:$AL,17,FALSE)</f>
        <v>153</v>
      </c>
      <c r="AI200" s="5">
        <f>VLOOKUP($A200,'SegEnds_NonXtal_Prot#'!$A:$AL,20,FALSE)</f>
        <v>161</v>
      </c>
      <c r="AJ200" s="5">
        <f>VLOOKUP($A200,'SegEnds_NonXtal_Prot#'!$A:$AL,23,FALSE)</f>
        <v>187</v>
      </c>
      <c r="AK200" s="5" t="str">
        <f>VLOOKUP($A200,'SegEnds_NonXtal_Prot#'!$A:$AL,26,FALSE)</f>
        <v>-</v>
      </c>
      <c r="AL200" s="5">
        <f>VLOOKUP($A200,'SegEnds_NonXtal_Prot#'!$A:$AL,29,FALSE)</f>
        <v>231</v>
      </c>
      <c r="AM200" s="5">
        <f>VLOOKUP($A200,'SegEnds_NonXtal_Prot#'!$A:$AL,32,FALSE)</f>
        <v>271</v>
      </c>
      <c r="AN200" s="5">
        <f>VLOOKUP($A200,'SegEnds_NonXtal_Prot#'!$A:$AL,35,FALSE)</f>
        <v>305</v>
      </c>
      <c r="AO200" s="5">
        <f>VLOOKUP($A200,'SegEnds_NonXtal_Prot#'!$A:$AL,38,FALSE)</f>
        <v>318</v>
      </c>
      <c r="AP200" s="5">
        <f t="shared" si="88"/>
        <v>31</v>
      </c>
      <c r="AQ200" s="4">
        <f t="shared" si="89"/>
        <v>3</v>
      </c>
      <c r="AR200" s="4">
        <f t="shared" si="90"/>
        <v>30</v>
      </c>
      <c r="AS200" s="4" t="str">
        <f t="shared" si="91"/>
        <v>-</v>
      </c>
      <c r="AT200" s="4">
        <f t="shared" si="92"/>
        <v>38</v>
      </c>
      <c r="AU200" s="4">
        <f t="shared" si="93"/>
        <v>7</v>
      </c>
      <c r="AV200" s="4">
        <f t="shared" si="94"/>
        <v>25</v>
      </c>
      <c r="AW200" s="4" t="str">
        <f t="shared" si="95"/>
        <v>-</v>
      </c>
      <c r="AX200" s="4">
        <f t="shared" si="96"/>
        <v>34</v>
      </c>
      <c r="AY200" s="4">
        <f t="shared" si="97"/>
        <v>34</v>
      </c>
      <c r="AZ200" s="4">
        <f t="shared" si="98"/>
        <v>28</v>
      </c>
      <c r="BA200" s="4">
        <f t="shared" si="99"/>
        <v>12</v>
      </c>
    </row>
    <row r="201" spans="1:53" x14ac:dyDescent="0.2">
      <c r="A201" s="1" t="str">
        <f>'SegEnds_NonXtal_Prot#'!A177</f>
        <v>mc5r_human</v>
      </c>
      <c r="B201" s="1" t="str">
        <f t="shared" si="75"/>
        <v>EDMGIAVEVFLTLGVISLLENILVIGAIVKNSPMYFFVCSLAVADMLVSMSSAWETITDAFVRHIDNVFDSMICISVVASMCSLLAIAVDRYVTIFYTARRSGAIIAGIWAFCTGCGIVFILYLISMFFAMLFLLVSLYIHMFLLARTHVKRIAALPGQRTSMQGAVTVTMLLGVFTVCWAPFFLHLTLMLSCCSRFMSHFNMYLILIMCNSVMDPLIYAFRSQEMRKTFKEIIC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201" s="5" t="str">
        <f t="shared" si="76"/>
        <v>EDMGIAVEVFLTLGVISLLENILVIGAIVKN</v>
      </c>
      <c r="G201" s="4" t="str">
        <f t="shared" si="77"/>
        <v>KNLH</v>
      </c>
      <c r="H201" s="4" t="str">
        <f t="shared" si="78"/>
        <v>SPMYFFVCSLAVADMLVSMSSAWETIT</v>
      </c>
      <c r="I201" s="4" t="str">
        <f t="shared" si="79"/>
        <v/>
      </c>
      <c r="J201" s="4" t="str">
        <f t="shared" si="80"/>
        <v>DAFVRHIDNVFDSMICISVVASMCSLLAIAVDRYVTIFY</v>
      </c>
      <c r="K201" s="4" t="str">
        <f t="shared" si="81"/>
        <v>ALRYHHIM</v>
      </c>
      <c r="L201" s="4" t="str">
        <f t="shared" si="82"/>
        <v>TARRSGAIIAGIWAFCTGCGIVFILY</v>
      </c>
      <c r="M201" s="4" t="str">
        <f t="shared" si="83"/>
        <v/>
      </c>
      <c r="N201" s="4" t="str">
        <f t="shared" si="84"/>
        <v>LISMFFAMLFLLVSLYIHMFLLARTHVKRIAALPG</v>
      </c>
      <c r="O201" s="4" t="str">
        <f t="shared" si="85"/>
        <v>QRTSMQGAVTVTMLLGVFTVCWAPFFLHLTLMLSC</v>
      </c>
      <c r="P201" s="4" t="str">
        <f t="shared" si="86"/>
        <v>CSRFMSHFNMYLILIMCNSVMDPLIYAFR</v>
      </c>
      <c r="Q201" s="4" t="str">
        <f t="shared" si="87"/>
        <v>SQEMRKTFKEIIC</v>
      </c>
      <c r="R201" s="5">
        <f>VLOOKUP($A201,'SegEnds_NonXtal_Prot#'!$A:$AL,3,FALSE)</f>
        <v>34</v>
      </c>
      <c r="S201" s="5">
        <f>VLOOKUP($A201,'SegEnds_NonXtal_Prot#'!$A:$AL,6,FALSE)</f>
        <v>65</v>
      </c>
      <c r="T201" s="5">
        <f>VLOOKUP($A201,'SegEnds_NonXtal_Prot#'!$A:$AL,9,FALSE)</f>
        <v>69</v>
      </c>
      <c r="U201" s="5" t="str">
        <f>VLOOKUP($A201,'SegEnds_NonXtal_Prot#'!$A:$AL,12,FALSE)</f>
        <v>-</v>
      </c>
      <c r="V201" s="5">
        <f>VLOOKUP($A201,'SegEnds_NonXtal_Prot#'!$A:$AL,15,FALSE)</f>
        <v>108</v>
      </c>
      <c r="W201" s="5">
        <f>VLOOKUP($A201,'SegEnds_NonXtal_Prot#'!$A:$AL,18,FALSE)</f>
        <v>147</v>
      </c>
      <c r="X201" s="5">
        <f>VLOOKUP($A201,'SegEnds_NonXtal_Prot#'!$A:$AL,21,FALSE)</f>
        <v>155</v>
      </c>
      <c r="Y201" s="5" t="str">
        <f>VLOOKUP($A201,'SegEnds_NonXtal_Prot#'!$A:$AL,24,FALSE)</f>
        <v>-</v>
      </c>
      <c r="Z201" s="5">
        <f>VLOOKUP($A201,'SegEnds_NonXtal_Prot#'!$A:$AL,27,FALSE)</f>
        <v>190</v>
      </c>
      <c r="AA201" s="5">
        <f>VLOOKUP($A201,'SegEnds_NonXtal_Prot#'!$A:$AL,30,FALSE)</f>
        <v>230</v>
      </c>
      <c r="AB201" s="5">
        <f>VLOOKUP($A201,'SegEnds_NonXtal_Prot#'!$A:$AL,33,FALSE)</f>
        <v>270</v>
      </c>
      <c r="AC201" s="5">
        <f>VLOOKUP($A201,'SegEnds_NonXtal_Prot#'!$A:$AL,36,FALSE)</f>
        <v>299</v>
      </c>
      <c r="AD201" s="5">
        <f>VLOOKUP($A201,'SegEnds_NonXtal_Prot#'!$A:$AL,5,FALSE)</f>
        <v>64</v>
      </c>
      <c r="AE201" s="5">
        <f>VLOOKUP($A201,'SegEnds_NonXtal_Prot#'!$A:$AL,8,FALSE)</f>
        <v>68</v>
      </c>
      <c r="AF201" s="5">
        <f>VLOOKUP($A201,'SegEnds_NonXtal_Prot#'!$A:$AL,11,FALSE)</f>
        <v>95</v>
      </c>
      <c r="AG201" s="5" t="str">
        <f>VLOOKUP($A201,'SegEnds_NonXtal_Prot#'!$A:$AL,14,FALSE)</f>
        <v>-</v>
      </c>
      <c r="AH201" s="5">
        <f>VLOOKUP($A201,'SegEnds_NonXtal_Prot#'!$A:$AL,17,FALSE)</f>
        <v>146</v>
      </c>
      <c r="AI201" s="5">
        <f>VLOOKUP($A201,'SegEnds_NonXtal_Prot#'!$A:$AL,20,FALSE)</f>
        <v>154</v>
      </c>
      <c r="AJ201" s="5">
        <f>VLOOKUP($A201,'SegEnds_NonXtal_Prot#'!$A:$AL,23,FALSE)</f>
        <v>180</v>
      </c>
      <c r="AK201" s="5" t="str">
        <f>VLOOKUP($A201,'SegEnds_NonXtal_Prot#'!$A:$AL,26,FALSE)</f>
        <v>-</v>
      </c>
      <c r="AL201" s="5">
        <f>VLOOKUP($A201,'SegEnds_NonXtal_Prot#'!$A:$AL,29,FALSE)</f>
        <v>224</v>
      </c>
      <c r="AM201" s="5">
        <f>VLOOKUP($A201,'SegEnds_NonXtal_Prot#'!$A:$AL,32,FALSE)</f>
        <v>264</v>
      </c>
      <c r="AN201" s="5">
        <f>VLOOKUP($A201,'SegEnds_NonXtal_Prot#'!$A:$AL,35,FALSE)</f>
        <v>298</v>
      </c>
      <c r="AO201" s="5">
        <f>VLOOKUP($A201,'SegEnds_NonXtal_Prot#'!$A:$AL,38,FALSE)</f>
        <v>311</v>
      </c>
      <c r="AP201" s="5">
        <f t="shared" si="88"/>
        <v>30</v>
      </c>
      <c r="AQ201" s="4">
        <f t="shared" si="89"/>
        <v>3</v>
      </c>
      <c r="AR201" s="4">
        <f t="shared" si="90"/>
        <v>26</v>
      </c>
      <c r="AS201" s="4" t="str">
        <f t="shared" si="91"/>
        <v>-</v>
      </c>
      <c r="AT201" s="4">
        <f t="shared" si="92"/>
        <v>38</v>
      </c>
      <c r="AU201" s="4">
        <f t="shared" si="93"/>
        <v>7</v>
      </c>
      <c r="AV201" s="4">
        <f t="shared" si="94"/>
        <v>25</v>
      </c>
      <c r="AW201" s="4" t="str">
        <f t="shared" si="95"/>
        <v>-</v>
      </c>
      <c r="AX201" s="4">
        <f t="shared" si="96"/>
        <v>34</v>
      </c>
      <c r="AY201" s="4">
        <f t="shared" si="97"/>
        <v>34</v>
      </c>
      <c r="AZ201" s="4">
        <f t="shared" si="98"/>
        <v>28</v>
      </c>
      <c r="BA201" s="4">
        <f t="shared" si="99"/>
        <v>12</v>
      </c>
    </row>
    <row r="202" spans="1:53" x14ac:dyDescent="0.2">
      <c r="A202" s="1" t="str">
        <f>'SegEnds_NonXtal_Prot#'!A179</f>
        <v>mchr2_human</v>
      </c>
      <c r="B202" s="1" t="str">
        <f t="shared" si="75"/>
        <v>FAYQTASVVDTVILPSMIGIICSTGLVGNILIVFTIIRSTVPDIYICNLAVADLVHIVGMPFLIHQWARGGPLCTIITSLDTCNQFACSAIMTVMSVDRYFALVQTRYKTIRINLGLWAASFILALPVWVYSSPDDVLWYTLYLTITTFFFPLPLILVCYILILCYTWEMYQQNSVPKQRVMKLTKMVLVLVVVFILSAAPYHVIQLVNLQMFYVGYYLSICLSYASSSINPFLYILLSGNFQKRLPQIQRR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2" s="5" t="str">
        <f t="shared" si="76"/>
        <v>FAYQTASVVDTVILPSMIGIICSTGLVGNILIVFTIIRS</v>
      </c>
      <c r="G202" s="4" t="str">
        <f t="shared" si="77"/>
        <v/>
      </c>
      <c r="H202" s="4" t="str">
        <f t="shared" si="78"/>
        <v>TVPDIYICNLAVADLVHIVGMPFLIHQWAR</v>
      </c>
      <c r="I202" s="4" t="str">
        <f t="shared" si="79"/>
        <v>EWVF</v>
      </c>
      <c r="J202" s="4" t="str">
        <f t="shared" si="80"/>
        <v>GGPLCTIITSLDTCNQFACSAIMTVMSVDRYFALVQ</v>
      </c>
      <c r="K202" s="4" t="str">
        <f t="shared" si="81"/>
        <v>PFRLTRWR</v>
      </c>
      <c r="L202" s="4" t="str">
        <f t="shared" si="82"/>
        <v>TRYKTIRINLGLWAASFILALPVWVYS</v>
      </c>
      <c r="M202" s="4" t="str">
        <f t="shared" si="83"/>
        <v>CAF</v>
      </c>
      <c r="N202" s="4" t="str">
        <f t="shared" si="84"/>
        <v>SPDDVLWYTLYLTITTFFFPLPLILVCYILILCYTWEMYQQN</v>
      </c>
      <c r="O202" s="4" t="str">
        <f t="shared" si="85"/>
        <v>SVPKQRVMKLTKMVLVLVVVFILSAAPYHVIQLVNLQM</v>
      </c>
      <c r="P202" s="4" t="str">
        <f t="shared" si="86"/>
        <v>FYVGYYLSICLSYASSSINPFLYILL</v>
      </c>
      <c r="Q202" s="4" t="str">
        <f t="shared" si="87"/>
        <v>SGNFQKRLPQIQRR</v>
      </c>
      <c r="R202" s="5">
        <f>VLOOKUP($A202,'SegEnds_NonXtal_Prot#'!$A:$AL,3,FALSE)</f>
        <v>24</v>
      </c>
      <c r="S202" s="5" t="str">
        <f>VLOOKUP($A202,'SegEnds_NonXtal_Prot#'!$A:$AL,6,FALSE)</f>
        <v>-</v>
      </c>
      <c r="T202" s="5">
        <f>VLOOKUP($A202,'SegEnds_NonXtal_Prot#'!$A:$AL,9,FALSE)</f>
        <v>66</v>
      </c>
      <c r="U202" s="5">
        <f>VLOOKUP($A202,'SegEnds_NonXtal_Prot#'!$A:$AL,12,FALSE)</f>
        <v>98</v>
      </c>
      <c r="V202" s="5">
        <f>VLOOKUP($A202,'SegEnds_NonXtal_Prot#'!$A:$AL,15,FALSE)</f>
        <v>102</v>
      </c>
      <c r="W202" s="5">
        <f>VLOOKUP($A202,'SegEnds_NonXtal_Prot#'!$A:$AL,18,FALSE)</f>
        <v>138</v>
      </c>
      <c r="X202" s="5">
        <f>VLOOKUP($A202,'SegEnds_NonXtal_Prot#'!$A:$AL,21,FALSE)</f>
        <v>146</v>
      </c>
      <c r="Y202" s="5">
        <f>VLOOKUP($A202,'SegEnds_NonXtal_Prot#'!$A:$AL,24,FALSE)</f>
        <v>184</v>
      </c>
      <c r="Z202" s="5">
        <f>VLOOKUP($A202,'SegEnds_NonXtal_Prot#'!$A:$AL,27,FALSE)</f>
        <v>190</v>
      </c>
      <c r="AA202" s="5">
        <f>VLOOKUP($A202,'SegEnds_NonXtal_Prot#'!$A:$AL,30,FALSE)</f>
        <v>240</v>
      </c>
      <c r="AB202" s="5">
        <f>VLOOKUP($A202,'SegEnds_NonXtal_Prot#'!$A:$AL,33,FALSE)</f>
        <v>284</v>
      </c>
      <c r="AC202" s="5">
        <f>VLOOKUP($A202,'SegEnds_NonXtal_Prot#'!$A:$AL,36,FALSE)</f>
        <v>310</v>
      </c>
      <c r="AD202" s="5">
        <f>VLOOKUP($A202,'SegEnds_NonXtal_Prot#'!$A:$AL,5,FALSE)</f>
        <v>62</v>
      </c>
      <c r="AE202" s="5" t="str">
        <f>VLOOKUP($A202,'SegEnds_NonXtal_Prot#'!$A:$AL,8,FALSE)</f>
        <v>-</v>
      </c>
      <c r="AF202" s="5">
        <f>VLOOKUP($A202,'SegEnds_NonXtal_Prot#'!$A:$AL,11,FALSE)</f>
        <v>95</v>
      </c>
      <c r="AG202" s="5">
        <f>VLOOKUP($A202,'SegEnds_NonXtal_Prot#'!$A:$AL,14,FALSE)</f>
        <v>101</v>
      </c>
      <c r="AH202" s="5">
        <f>VLOOKUP($A202,'SegEnds_NonXtal_Prot#'!$A:$AL,17,FALSE)</f>
        <v>137</v>
      </c>
      <c r="AI202" s="5">
        <f>VLOOKUP($A202,'SegEnds_NonXtal_Prot#'!$A:$AL,20,FALSE)</f>
        <v>145</v>
      </c>
      <c r="AJ202" s="5">
        <f>VLOOKUP($A202,'SegEnds_NonXtal_Prot#'!$A:$AL,23,FALSE)</f>
        <v>172</v>
      </c>
      <c r="AK202" s="5">
        <f>VLOOKUP($A202,'SegEnds_NonXtal_Prot#'!$A:$AL,26,FALSE)</f>
        <v>186</v>
      </c>
      <c r="AL202" s="5">
        <f>VLOOKUP($A202,'SegEnds_NonXtal_Prot#'!$A:$AL,29,FALSE)</f>
        <v>231</v>
      </c>
      <c r="AM202" s="5">
        <f>VLOOKUP($A202,'SegEnds_NonXtal_Prot#'!$A:$AL,32,FALSE)</f>
        <v>277</v>
      </c>
      <c r="AN202" s="5">
        <f>VLOOKUP($A202,'SegEnds_NonXtal_Prot#'!$A:$AL,35,FALSE)</f>
        <v>309</v>
      </c>
      <c r="AO202" s="5">
        <f>VLOOKUP($A202,'SegEnds_NonXtal_Prot#'!$A:$AL,38,FALSE)</f>
        <v>323</v>
      </c>
      <c r="AP202" s="5">
        <f t="shared" si="88"/>
        <v>38</v>
      </c>
      <c r="AQ202" s="4" t="str">
        <f t="shared" si="89"/>
        <v>-</v>
      </c>
      <c r="AR202" s="4">
        <f t="shared" si="90"/>
        <v>29</v>
      </c>
      <c r="AS202" s="4">
        <f t="shared" si="91"/>
        <v>3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>
        <f t="shared" si="95"/>
        <v>2</v>
      </c>
      <c r="AX202" s="4">
        <f t="shared" si="96"/>
        <v>41</v>
      </c>
      <c r="AY202" s="4">
        <f t="shared" si="97"/>
        <v>37</v>
      </c>
      <c r="AZ202" s="4">
        <f t="shared" si="98"/>
        <v>25</v>
      </c>
      <c r="BA202" s="4">
        <f t="shared" si="99"/>
        <v>13</v>
      </c>
    </row>
    <row r="203" spans="1:53" x14ac:dyDescent="0.2">
      <c r="A203" s="1" t="str">
        <f>'SegEnds_NonXtal_Prot#'!A180</f>
        <v>mrgrd_human</v>
      </c>
      <c r="B203" s="1" t="str">
        <f t="shared" si="75"/>
        <v>TAYLVLSSLAMFTCLCGMAGNSMVIWLLGFRNPFCIYILNLAAADLLFLFSMASTLSLETQTDKVHELMKRLMYFAYTVGLSLLTAISTQRCLSVLFPRHLSAWVCGLLWTLCLLMNGLTSSFCFRVDMVQAALIMGVLTPVMTLSSLTLFVWVRRSSQRQPTRLFVVVLASVLVFLICSLPLSIYWFVLYWLQVLCFSLSRLSSSVSSSANPVIYFLVGSRRSHRLPTRSLGT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203" s="5" t="str">
        <f t="shared" si="76"/>
        <v>TAYLVLSSLAMFTCLCGMAGNSMVIWLLGFR</v>
      </c>
      <c r="G203" s="4" t="str">
        <f t="shared" si="77"/>
        <v/>
      </c>
      <c r="H203" s="4" t="str">
        <f t="shared" si="78"/>
        <v>NPFCIYILNLAAADLLFLFSMASTLSLETQ</v>
      </c>
      <c r="I203" s="4" t="str">
        <f t="shared" si="79"/>
        <v/>
      </c>
      <c r="J203" s="4" t="str">
        <f t="shared" si="80"/>
        <v>TDKVHELMKRLMYFAYTVGLSLLTAISTQRCLSVLF</v>
      </c>
      <c r="K203" s="4" t="str">
        <f t="shared" si="81"/>
        <v>PIWFKCHR</v>
      </c>
      <c r="L203" s="4" t="str">
        <f t="shared" si="82"/>
        <v>PRHLSAWVCGLLWTLCLLMNGLTSSFC</v>
      </c>
      <c r="M203" s="4" t="str">
        <f t="shared" si="83"/>
        <v/>
      </c>
      <c r="N203" s="4" t="str">
        <f t="shared" si="84"/>
        <v>FRVDMVQAALIMGVLTPVMTLSSLTLFVWVRRSSQ</v>
      </c>
      <c r="O203" s="4" t="str">
        <f t="shared" si="85"/>
        <v>RQPTRLFVVVLASVLVFLICSLPLSIYWFVLYWL</v>
      </c>
      <c r="P203" s="4" t="str">
        <f t="shared" si="86"/>
        <v>QVLCFSLSRLSSSVSSSANPVIYFLV</v>
      </c>
      <c r="Q203" s="4" t="str">
        <f t="shared" si="87"/>
        <v>GSRRSHRLPTRSLGT</v>
      </c>
      <c r="R203" s="5">
        <f>VLOOKUP($A203,'SegEnds_NonXtal_Prot#'!$A:$AL,3,FALSE)</f>
        <v>25</v>
      </c>
      <c r="S203" s="5" t="str">
        <f>VLOOKUP($A203,'SegEnds_NonXtal_Prot#'!$A:$AL,6,FALSE)</f>
        <v>-</v>
      </c>
      <c r="T203" s="5">
        <f>VLOOKUP($A203,'SegEnds_NonXtal_Prot#'!$A:$AL,9,FALSE)</f>
        <v>59</v>
      </c>
      <c r="U203" s="5" t="str">
        <f>VLOOKUP($A203,'SegEnds_NonXtal_Prot#'!$A:$AL,12,FALSE)</f>
        <v>-</v>
      </c>
      <c r="V203" s="5">
        <f>VLOOKUP($A203,'SegEnds_NonXtal_Prot#'!$A:$AL,15,FALSE)</f>
        <v>94</v>
      </c>
      <c r="W203" s="5">
        <f>VLOOKUP($A203,'SegEnds_NonXtal_Prot#'!$A:$AL,18,FALSE)</f>
        <v>130</v>
      </c>
      <c r="X203" s="5">
        <f>VLOOKUP($A203,'SegEnds_NonXtal_Prot#'!$A:$AL,21,FALSE)</f>
        <v>138</v>
      </c>
      <c r="Y203" s="5" t="str">
        <f>VLOOKUP($A203,'SegEnds_NonXtal_Prot#'!$A:$AL,24,FALSE)</f>
        <v>-</v>
      </c>
      <c r="Z203" s="5">
        <f>VLOOKUP($A203,'SegEnds_NonXtal_Prot#'!$A:$AL,27,FALSE)</f>
        <v>176</v>
      </c>
      <c r="AA203" s="5">
        <f>VLOOKUP($A203,'SegEnds_NonXtal_Prot#'!$A:$AL,30,FALSE)</f>
        <v>214</v>
      </c>
      <c r="AB203" s="5">
        <f>VLOOKUP($A203,'SegEnds_NonXtal_Prot#'!$A:$AL,33,FALSE)</f>
        <v>254</v>
      </c>
      <c r="AC203" s="5">
        <f>VLOOKUP($A203,'SegEnds_NonXtal_Prot#'!$A:$AL,36,FALSE)</f>
        <v>280</v>
      </c>
      <c r="AD203" s="5">
        <f>VLOOKUP($A203,'SegEnds_NonXtal_Prot#'!$A:$AL,5,FALSE)</f>
        <v>55</v>
      </c>
      <c r="AE203" s="5" t="str">
        <f>VLOOKUP($A203,'SegEnds_NonXtal_Prot#'!$A:$AL,8,FALSE)</f>
        <v>-</v>
      </c>
      <c r="AF203" s="5">
        <f>VLOOKUP($A203,'SegEnds_NonXtal_Prot#'!$A:$AL,11,FALSE)</f>
        <v>88</v>
      </c>
      <c r="AG203" s="5" t="str">
        <f>VLOOKUP($A203,'SegEnds_NonXtal_Prot#'!$A:$AL,14,FALSE)</f>
        <v>-</v>
      </c>
      <c r="AH203" s="5">
        <f>VLOOKUP($A203,'SegEnds_NonXtal_Prot#'!$A:$AL,17,FALSE)</f>
        <v>129</v>
      </c>
      <c r="AI203" s="5">
        <f>VLOOKUP($A203,'SegEnds_NonXtal_Prot#'!$A:$AL,20,FALSE)</f>
        <v>137</v>
      </c>
      <c r="AJ203" s="5">
        <f>VLOOKUP($A203,'SegEnds_NonXtal_Prot#'!$A:$AL,23,FALSE)</f>
        <v>164</v>
      </c>
      <c r="AK203" s="5" t="str">
        <f>VLOOKUP($A203,'SegEnds_NonXtal_Prot#'!$A:$AL,26,FALSE)</f>
        <v>-</v>
      </c>
      <c r="AL203" s="5">
        <f>VLOOKUP($A203,'SegEnds_NonXtal_Prot#'!$A:$AL,29,FALSE)</f>
        <v>210</v>
      </c>
      <c r="AM203" s="5">
        <f>VLOOKUP($A203,'SegEnds_NonXtal_Prot#'!$A:$AL,32,FALSE)</f>
        <v>247</v>
      </c>
      <c r="AN203" s="5">
        <f>VLOOKUP($A203,'SegEnds_NonXtal_Prot#'!$A:$AL,35,FALSE)</f>
        <v>279</v>
      </c>
      <c r="AO203" s="5">
        <f>VLOOKUP($A203,'SegEnds_NonXtal_Prot#'!$A:$AL,38,FALSE)</f>
        <v>294</v>
      </c>
      <c r="AP203" s="5">
        <f t="shared" si="88"/>
        <v>30</v>
      </c>
      <c r="AQ203" s="4" t="str">
        <f t="shared" si="89"/>
        <v>-</v>
      </c>
      <c r="AR203" s="4">
        <f t="shared" si="90"/>
        <v>29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34</v>
      </c>
      <c r="AY203" s="4">
        <f t="shared" si="97"/>
        <v>33</v>
      </c>
      <c r="AZ203" s="4">
        <f t="shared" si="98"/>
        <v>25</v>
      </c>
      <c r="BA203" s="4">
        <f t="shared" si="99"/>
        <v>14</v>
      </c>
    </row>
    <row r="204" spans="1:53" x14ac:dyDescent="0.2">
      <c r="A204" s="1" t="str">
        <f>'SegEnds_NonXtal_Prot#'!A182</f>
        <v>mrgrf_human</v>
      </c>
      <c r="B204" s="1" t="str">
        <f t="shared" si="75"/>
        <v>PPPAVMNYIFLLLCLCGLVGNGLVLWFFGFSNPFSIYFLHLASADVGYLFSKAVFSILNTGADYIRSVCRVLGLCMFLTGVSLLPAVSAERCASVIFPKRLSAVVCALLWVLSLLVTCLHNYFCRHMDIFLGILLFLLCCPLMVLPCLALILHVECRARSAKLNHVILAMVSVFLVSSIYLGIDWFLFWVFPFPEYVTDLCICINSSAKPIVYFLAGRDKSQRLWEPLRVV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4" s="5" t="str">
        <f t="shared" si="76"/>
        <v>PPPAVMNYIFLLLCLCGLVGNGLVLWFFGFS</v>
      </c>
      <c r="G204" s="4" t="str">
        <f t="shared" si="77"/>
        <v/>
      </c>
      <c r="H204" s="4" t="str">
        <f t="shared" si="78"/>
        <v>NPFSIYFLHLASADVGYLFSKAVFSILNTG</v>
      </c>
      <c r="I204" s="4" t="str">
        <f t="shared" si="79"/>
        <v/>
      </c>
      <c r="J204" s="4" t="str">
        <f t="shared" si="80"/>
        <v>ADYIRSVCRVLGLCMFLTGVSLLPAVSAERCASVIF</v>
      </c>
      <c r="K204" s="4" t="str">
        <f t="shared" si="81"/>
        <v>PAWYWRRR</v>
      </c>
      <c r="L204" s="4" t="str">
        <f t="shared" si="82"/>
        <v>PKRLSAVVCALLWVLSLLVTCLHNYFC</v>
      </c>
      <c r="M204" s="4" t="str">
        <f t="shared" si="83"/>
        <v/>
      </c>
      <c r="N204" s="4" t="str">
        <f t="shared" si="84"/>
        <v>RHMDIFLGILLFLLCCPLMVLPCLALILHVECRAR</v>
      </c>
      <c r="O204" s="4" t="str">
        <f t="shared" si="85"/>
        <v>SAKLNHVILAMVSVFLVSSIYLGIDWFLFWVF</v>
      </c>
      <c r="P204" s="4" t="str">
        <f t="shared" si="86"/>
        <v>PFPEYVTDLCICINSSAKPIVYFLA</v>
      </c>
      <c r="Q204" s="4" t="str">
        <f t="shared" si="87"/>
        <v>GRDKSQRLWEPLRVV</v>
      </c>
      <c r="R204" s="5">
        <f>VLOOKUP($A204,'SegEnds_NonXtal_Prot#'!$A:$AL,3,FALSE)</f>
        <v>42</v>
      </c>
      <c r="S204" s="5" t="str">
        <f>VLOOKUP($A204,'SegEnds_NonXtal_Prot#'!$A:$AL,6,FALSE)</f>
        <v>-</v>
      </c>
      <c r="T204" s="5">
        <f>VLOOKUP($A204,'SegEnds_NonXtal_Prot#'!$A:$AL,9,FALSE)</f>
        <v>76</v>
      </c>
      <c r="U204" s="5" t="str">
        <f>VLOOKUP($A204,'SegEnds_NonXtal_Prot#'!$A:$AL,12,FALSE)</f>
        <v>-</v>
      </c>
      <c r="V204" s="5">
        <f>VLOOKUP($A204,'SegEnds_NonXtal_Prot#'!$A:$AL,15,FALSE)</f>
        <v>112</v>
      </c>
      <c r="W204" s="5">
        <f>VLOOKUP($A204,'SegEnds_NonXtal_Prot#'!$A:$AL,18,FALSE)</f>
        <v>148</v>
      </c>
      <c r="X204" s="5">
        <f>VLOOKUP($A204,'SegEnds_NonXtal_Prot#'!$A:$AL,21,FALSE)</f>
        <v>156</v>
      </c>
      <c r="Y204" s="5" t="str">
        <f>VLOOKUP($A204,'SegEnds_NonXtal_Prot#'!$A:$AL,24,FALSE)</f>
        <v>-</v>
      </c>
      <c r="Z204" s="5">
        <f>VLOOKUP($A204,'SegEnds_NonXtal_Prot#'!$A:$AL,27,FALSE)</f>
        <v>195</v>
      </c>
      <c r="AA204" s="5">
        <f>VLOOKUP($A204,'SegEnds_NonXtal_Prot#'!$A:$AL,30,FALSE)</f>
        <v>234</v>
      </c>
      <c r="AB204" s="5">
        <f>VLOOKUP($A204,'SegEnds_NonXtal_Prot#'!$A:$AL,33,FALSE)</f>
        <v>270</v>
      </c>
      <c r="AC204" s="5">
        <f>VLOOKUP($A204,'SegEnds_NonXtal_Prot#'!$A:$AL,36,FALSE)</f>
        <v>295</v>
      </c>
      <c r="AD204" s="5">
        <f>VLOOKUP($A204,'SegEnds_NonXtal_Prot#'!$A:$AL,5,FALSE)</f>
        <v>72</v>
      </c>
      <c r="AE204" s="5" t="str">
        <f>VLOOKUP($A204,'SegEnds_NonXtal_Prot#'!$A:$AL,8,FALSE)</f>
        <v>-</v>
      </c>
      <c r="AF204" s="5">
        <f>VLOOKUP($A204,'SegEnds_NonXtal_Prot#'!$A:$AL,11,FALSE)</f>
        <v>105</v>
      </c>
      <c r="AG204" s="5" t="str">
        <f>VLOOKUP($A204,'SegEnds_NonXtal_Prot#'!$A:$AL,14,FALSE)</f>
        <v>-</v>
      </c>
      <c r="AH204" s="5">
        <f>VLOOKUP($A204,'SegEnds_NonXtal_Prot#'!$A:$AL,17,FALSE)</f>
        <v>147</v>
      </c>
      <c r="AI204" s="5">
        <f>VLOOKUP($A204,'SegEnds_NonXtal_Prot#'!$A:$AL,20,FALSE)</f>
        <v>155</v>
      </c>
      <c r="AJ204" s="5">
        <f>VLOOKUP($A204,'SegEnds_NonXtal_Prot#'!$A:$AL,23,FALSE)</f>
        <v>182</v>
      </c>
      <c r="AK204" s="5" t="str">
        <f>VLOOKUP($A204,'SegEnds_NonXtal_Prot#'!$A:$AL,26,FALSE)</f>
        <v>-</v>
      </c>
      <c r="AL204" s="5">
        <f>VLOOKUP($A204,'SegEnds_NonXtal_Prot#'!$A:$AL,29,FALSE)</f>
        <v>229</v>
      </c>
      <c r="AM204" s="5">
        <f>VLOOKUP($A204,'SegEnds_NonXtal_Prot#'!$A:$AL,32,FALSE)</f>
        <v>265</v>
      </c>
      <c r="AN204" s="5">
        <f>VLOOKUP($A204,'SegEnds_NonXtal_Prot#'!$A:$AL,35,FALSE)</f>
        <v>294</v>
      </c>
      <c r="AO204" s="5">
        <f>VLOOKUP($A204,'SegEnds_NonXtal_Prot#'!$A:$AL,38,FALSE)</f>
        <v>309</v>
      </c>
      <c r="AP204" s="5">
        <f t="shared" si="88"/>
        <v>30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35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24</v>
      </c>
      <c r="BA204" s="4">
        <f t="shared" si="99"/>
        <v>14</v>
      </c>
    </row>
    <row r="205" spans="1:53" x14ac:dyDescent="0.2">
      <c r="A205" s="1" t="str">
        <f>'SegEnds_NonXtal_Prot#'!A183</f>
        <v>mrgrg_human</v>
      </c>
      <c r="B205" s="1" t="str">
        <f t="shared" si="75"/>
        <v>TFDSVVFYLTLIVGLGGPVGNGLVLWNLGFRGPFSIYLLHLAAADFLFLSCRVGFSVATLYFVLTFLWFAVGLWLLAAFSVERCLSDLFPRHASAVLCALVWTPTLPAVPLPANACCPRYHVASVTWFLVLARVAWTAGVVLFVWVTCCSRPRLYGIVLGALLLLFFCGLPSVFYWSLQPLLPVFSPLATLLACVNSSSKPLIYSGLGRQPGKREPLRSVLR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205" s="5" t="str">
        <f t="shared" si="76"/>
        <v>TFDSVVFYLTLIVGLGGPVGNGLVLWNLGFR</v>
      </c>
      <c r="G205" s="4" t="str">
        <f t="shared" si="77"/>
        <v/>
      </c>
      <c r="H205" s="4" t="str">
        <f t="shared" si="78"/>
        <v>GPFSIYLLHLAAADFLFLSCRVGFSVA</v>
      </c>
      <c r="I205" s="4" t="str">
        <f t="shared" si="79"/>
        <v/>
      </c>
      <c r="J205" s="4" t="str">
        <f t="shared" si="80"/>
        <v>TLYFVLTFLWFAVGLWLLAAFSVERCLSDLF</v>
      </c>
      <c r="K205" s="4" t="str">
        <f t="shared" si="81"/>
        <v>PACYQGCR</v>
      </c>
      <c r="L205" s="4" t="str">
        <f t="shared" si="82"/>
        <v>PRHASAVLCALVWTPTLPAVPLPANAC</v>
      </c>
      <c r="M205" s="4" t="str">
        <f t="shared" si="83"/>
        <v/>
      </c>
      <c r="N205" s="4" t="str">
        <f t="shared" si="84"/>
        <v>CPRYHVASVTWFLVLARVAWTAGVVLFVWVTCCS</v>
      </c>
      <c r="O205" s="4" t="str">
        <f t="shared" si="85"/>
        <v>RPRLYGIVLGALLLLFFCGLPSVFYWSLQPLL</v>
      </c>
      <c r="P205" s="4" t="str">
        <f t="shared" si="86"/>
        <v>PVFSPLATLLACVNSSSKPLIYSGL</v>
      </c>
      <c r="Q205" s="4" t="str">
        <f t="shared" si="87"/>
        <v>GRQPGKREPLRSVLR</v>
      </c>
      <c r="R205" s="5">
        <f>VLOOKUP($A205,'SegEnds_NonXtal_Prot#'!$A:$AL,3,FALSE)</f>
        <v>10</v>
      </c>
      <c r="S205" s="5" t="str">
        <f>VLOOKUP($A205,'SegEnds_NonXtal_Prot#'!$A:$AL,6,FALSE)</f>
        <v>-</v>
      </c>
      <c r="T205" s="5">
        <f>VLOOKUP($A205,'SegEnds_NonXtal_Prot#'!$A:$AL,9,FALSE)</f>
        <v>44</v>
      </c>
      <c r="U205" s="5" t="str">
        <f>VLOOKUP($A205,'SegEnds_NonXtal_Prot#'!$A:$AL,12,FALSE)</f>
        <v>-</v>
      </c>
      <c r="V205" s="5">
        <f>VLOOKUP($A205,'SegEnds_NonXtal_Prot#'!$A:$AL,15,FALSE)</f>
        <v>79</v>
      </c>
      <c r="W205" s="5">
        <f>VLOOKUP($A205,'SegEnds_NonXtal_Prot#'!$A:$AL,18,FALSE)</f>
        <v>110</v>
      </c>
      <c r="X205" s="5">
        <f>VLOOKUP($A205,'SegEnds_NonXtal_Prot#'!$A:$AL,21,FALSE)</f>
        <v>118</v>
      </c>
      <c r="Y205" s="5" t="str">
        <f>VLOOKUP($A205,'SegEnds_NonXtal_Prot#'!$A:$AL,24,FALSE)</f>
        <v>-</v>
      </c>
      <c r="Z205" s="5">
        <f>VLOOKUP($A205,'SegEnds_NonXtal_Prot#'!$A:$AL,27,FALSE)</f>
        <v>156</v>
      </c>
      <c r="AA205" s="5">
        <f>VLOOKUP($A205,'SegEnds_NonXtal_Prot#'!$A:$AL,30,FALSE)</f>
        <v>193</v>
      </c>
      <c r="AB205" s="5">
        <f>VLOOKUP($A205,'SegEnds_NonXtal_Prot#'!$A:$AL,33,FALSE)</f>
        <v>229</v>
      </c>
      <c r="AC205" s="5">
        <f>VLOOKUP($A205,'SegEnds_NonXtal_Prot#'!$A:$AL,36,FALSE)</f>
        <v>254</v>
      </c>
      <c r="AD205" s="5">
        <f>VLOOKUP($A205,'SegEnds_NonXtal_Prot#'!$A:$AL,5,FALSE)</f>
        <v>40</v>
      </c>
      <c r="AE205" s="5" t="str">
        <f>VLOOKUP($A205,'SegEnds_NonXtal_Prot#'!$A:$AL,8,FALSE)</f>
        <v>-</v>
      </c>
      <c r="AF205" s="5">
        <f>VLOOKUP($A205,'SegEnds_NonXtal_Prot#'!$A:$AL,11,FALSE)</f>
        <v>70</v>
      </c>
      <c r="AG205" s="5" t="str">
        <f>VLOOKUP($A205,'SegEnds_NonXtal_Prot#'!$A:$AL,14,FALSE)</f>
        <v>-</v>
      </c>
      <c r="AH205" s="5">
        <f>VLOOKUP($A205,'SegEnds_NonXtal_Prot#'!$A:$AL,17,FALSE)</f>
        <v>109</v>
      </c>
      <c r="AI205" s="5">
        <f>VLOOKUP($A205,'SegEnds_NonXtal_Prot#'!$A:$AL,20,FALSE)</f>
        <v>117</v>
      </c>
      <c r="AJ205" s="5">
        <f>VLOOKUP($A205,'SegEnds_NonXtal_Prot#'!$A:$AL,23,FALSE)</f>
        <v>144</v>
      </c>
      <c r="AK205" s="5" t="str">
        <f>VLOOKUP($A205,'SegEnds_NonXtal_Prot#'!$A:$AL,26,FALSE)</f>
        <v>-</v>
      </c>
      <c r="AL205" s="5">
        <f>VLOOKUP($A205,'SegEnds_NonXtal_Prot#'!$A:$AL,29,FALSE)</f>
        <v>189</v>
      </c>
      <c r="AM205" s="5">
        <f>VLOOKUP($A205,'SegEnds_NonXtal_Prot#'!$A:$AL,32,FALSE)</f>
        <v>224</v>
      </c>
      <c r="AN205" s="5">
        <f>VLOOKUP($A205,'SegEnds_NonXtal_Prot#'!$A:$AL,35,FALSE)</f>
        <v>253</v>
      </c>
      <c r="AO205" s="5">
        <f>VLOOKUP($A205,'SegEnds_NonXtal_Prot#'!$A:$AL,38,FALSE)</f>
        <v>268</v>
      </c>
      <c r="AP205" s="5">
        <f t="shared" si="88"/>
        <v>30</v>
      </c>
      <c r="AQ205" s="4" t="str">
        <f t="shared" si="89"/>
        <v>-</v>
      </c>
      <c r="AR205" s="4">
        <f t="shared" si="90"/>
        <v>26</v>
      </c>
      <c r="AS205" s="4" t="str">
        <f t="shared" si="91"/>
        <v>-</v>
      </c>
      <c r="AT205" s="4">
        <f t="shared" si="92"/>
        <v>30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33</v>
      </c>
      <c r="AY205" s="4">
        <f t="shared" si="97"/>
        <v>31</v>
      </c>
      <c r="AZ205" s="4">
        <f t="shared" si="98"/>
        <v>24</v>
      </c>
      <c r="BA205" s="4">
        <f t="shared" si="99"/>
        <v>14</v>
      </c>
    </row>
    <row r="206" spans="1:53" x14ac:dyDescent="0.2">
      <c r="A206" s="1" t="str">
        <f>'SegEnds_NonXtal_Prot#'!A184</f>
        <v>mrgx1_human</v>
      </c>
      <c r="B206" s="1" t="str">
        <f t="shared" si="75"/>
        <v>KQTLSLTVLTCIVSLVGLTGNAVVLWLLGCRNAFSIYILNLAAADFLFLSGRLIYSLLSFIISKILYPVMMFSYFAGLSFLSAVSTERCLSVLWPTHLSAVVCVLLWALSLLRSILEWMLCCQTSDFITVAWLIFLCVVLCGSSLVLLIRILCGSRLTRLYVTILLTVLVFLLCGLPFGIQFFLFLWIEVLFCHVHLVSIFLSALNSSANPIIYFFVGSFRQRQNRQNLKLV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6" s="5" t="str">
        <f t="shared" si="76"/>
        <v>KQTLSLTVLTCIVSLVGLTGNAVVLWLLGCR</v>
      </c>
      <c r="G206" s="4" t="str">
        <f t="shared" si="77"/>
        <v/>
      </c>
      <c r="H206" s="4" t="str">
        <f t="shared" si="78"/>
        <v>NAFSIYILNLAAADFLFLSGRLIYSLLSFI</v>
      </c>
      <c r="I206" s="4" t="str">
        <f t="shared" si="79"/>
        <v/>
      </c>
      <c r="J206" s="4" t="str">
        <f t="shared" si="80"/>
        <v>ISKILYPVMMFSYFAGLSFLSAVSTERCLSVLW</v>
      </c>
      <c r="K206" s="4" t="str">
        <f t="shared" si="81"/>
        <v>PIWYRCHR</v>
      </c>
      <c r="L206" s="4" t="str">
        <f t="shared" si="82"/>
        <v>PTHLSAVVCVLLWALSLLRSILEWMLC</v>
      </c>
      <c r="M206" s="4" t="str">
        <f t="shared" si="83"/>
        <v/>
      </c>
      <c r="N206" s="4" t="str">
        <f t="shared" si="84"/>
        <v>CQTSDFITVAWLIFLCVVLCGSSLVLLIRILCGSR</v>
      </c>
      <c r="O206" s="4" t="str">
        <f t="shared" si="85"/>
        <v>LTRLYVTILLTVLVFLLCGLPFGIQFFLFLWI</v>
      </c>
      <c r="P206" s="4" t="str">
        <f t="shared" si="86"/>
        <v>EVLFCHVHLVSIFLSALNSSANPIIYFFV</v>
      </c>
      <c r="Q206" s="4" t="str">
        <f t="shared" si="87"/>
        <v>GSFRQRQNRQNLKLV</v>
      </c>
      <c r="R206" s="5">
        <f>VLOOKUP($A206,'SegEnds_NonXtal_Prot#'!$A:$AL,3,FALSE)</f>
        <v>25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173</v>
      </c>
      <c r="AA206" s="5">
        <f>VLOOKUP($A206,'SegEnds_NonXtal_Prot#'!$A:$AL,30,FALSE)</f>
        <v>211</v>
      </c>
      <c r="AB206" s="5">
        <f>VLOOKUP($A206,'SegEnds_NonXtal_Prot#'!$A:$AL,33,FALSE)</f>
        <v>247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290</v>
      </c>
      <c r="AP206" s="5">
        <f t="shared" si="88"/>
        <v>30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34</v>
      </c>
      <c r="AY206" s="4">
        <f t="shared" si="97"/>
        <v>31</v>
      </c>
      <c r="AZ206" s="4">
        <f t="shared" si="98"/>
        <v>28</v>
      </c>
      <c r="BA206" s="4">
        <f t="shared" si="99"/>
        <v>14</v>
      </c>
    </row>
    <row r="207" spans="1:53" x14ac:dyDescent="0.2">
      <c r="A207" s="1" t="str">
        <f>'SegEnds_NonXtal_Prot#'!A185</f>
        <v>mrgx2_human</v>
      </c>
      <c r="B207" s="1" t="str">
        <f t="shared" si="75"/>
        <v>KETLIPVFLILFIALVGLVGNGFVLWLLGFRNAFSVYVLSLAGADFLFLCFQIINCLVYLSSINFPSFFTTVMTCAYLAGLSMLSTVSTERCLSVLWPRHLSAVVCVLLWALSLLLSILEGKFCCQTFDFITAAWLIFLFMVLCGSSLALLVRILCGSRLTRLYLTILLTVLVFLLCGLPFGIQWFLILWIDVLFCHIHPVSVVLSSLNSSANPIIYFFVGSFRKQWRLQQPILK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7" s="5" t="str">
        <f t="shared" si="76"/>
        <v>KETLIPVFLILFIALVGLVGNGFVLWLLGFR</v>
      </c>
      <c r="G207" s="4" t="str">
        <f t="shared" si="77"/>
        <v/>
      </c>
      <c r="H207" s="4" t="str">
        <f t="shared" si="78"/>
        <v>NAFSVYVLSLAGADFLFLCFQIINCLVYLS</v>
      </c>
      <c r="I207" s="4" t="str">
        <f t="shared" si="79"/>
        <v/>
      </c>
      <c r="J207" s="4" t="str">
        <f t="shared" si="80"/>
        <v>SINFPSFFTTVMTCAYLAGLSMLSTVSTERCLSVLW</v>
      </c>
      <c r="K207" s="4" t="str">
        <f t="shared" si="81"/>
        <v>PIWYRCRR</v>
      </c>
      <c r="L207" s="4" t="str">
        <f t="shared" si="82"/>
        <v>PRHLSAVVCVLLWALSLLLSILEGKFC</v>
      </c>
      <c r="M207" s="4" t="str">
        <f t="shared" si="83"/>
        <v/>
      </c>
      <c r="N207" s="4" t="str">
        <f t="shared" si="84"/>
        <v>CQTFDFITAAWLIFLFMVLCGSSLALLVRILCGSR</v>
      </c>
      <c r="O207" s="4" t="str">
        <f t="shared" si="85"/>
        <v>LTRLYLTILLTVLVFLLCGLPFGIQWFLILWI</v>
      </c>
      <c r="P207" s="4" t="str">
        <f t="shared" si="86"/>
        <v>DVLFCHIHPVSVVLSSLNSSANPIIYFFV</v>
      </c>
      <c r="Q207" s="4" t="str">
        <f t="shared" si="87"/>
        <v>GSFRKQWRLQQPILK</v>
      </c>
      <c r="R207" s="5">
        <f>VLOOKUP($A207,'SegEnds_NonXtal_Prot#'!$A:$AL,3,FALSE)</f>
        <v>28</v>
      </c>
      <c r="S207" s="5" t="str">
        <f>VLOOKUP($A207,'SegEnds_NonXtal_Prot#'!$A:$AL,6,FALSE)</f>
        <v>-</v>
      </c>
      <c r="T207" s="5">
        <f>VLOOKUP($A207,'SegEnds_NonXtal_Prot#'!$A:$AL,9,FALSE)</f>
        <v>62</v>
      </c>
      <c r="U207" s="5" t="str">
        <f>VLOOKUP($A207,'SegEnds_NonXtal_Prot#'!$A:$AL,12,FALSE)</f>
        <v>-</v>
      </c>
      <c r="V207" s="5">
        <f>VLOOKUP($A207,'SegEnds_NonXtal_Prot#'!$A:$AL,15,FALSE)</f>
        <v>98</v>
      </c>
      <c r="W207" s="5">
        <f>VLOOKUP($A207,'SegEnds_NonXtal_Prot#'!$A:$AL,18,FALSE)</f>
        <v>134</v>
      </c>
      <c r="X207" s="5">
        <f>VLOOKUP($A207,'SegEnds_NonXtal_Prot#'!$A:$AL,21,FALSE)</f>
        <v>142</v>
      </c>
      <c r="Y207" s="5" t="str">
        <f>VLOOKUP($A207,'SegEnds_NonXtal_Prot#'!$A:$AL,24,FALSE)</f>
        <v>-</v>
      </c>
      <c r="Z207" s="5">
        <f>VLOOKUP($A207,'SegEnds_NonXtal_Prot#'!$A:$AL,27,FALSE)</f>
        <v>180</v>
      </c>
      <c r="AA207" s="5">
        <f>VLOOKUP($A207,'SegEnds_NonXtal_Prot#'!$A:$AL,30,FALSE)</f>
        <v>218</v>
      </c>
      <c r="AB207" s="5">
        <f>VLOOKUP($A207,'SegEnds_NonXtal_Prot#'!$A:$AL,33,FALSE)</f>
        <v>254</v>
      </c>
      <c r="AC207" s="5">
        <f>VLOOKUP($A207,'SegEnds_NonXtal_Prot#'!$A:$AL,36,FALSE)</f>
        <v>283</v>
      </c>
      <c r="AD207" s="5">
        <f>VLOOKUP($A207,'SegEnds_NonXtal_Prot#'!$A:$AL,5,FALSE)</f>
        <v>58</v>
      </c>
      <c r="AE207" s="5" t="str">
        <f>VLOOKUP($A207,'SegEnds_NonXtal_Prot#'!$A:$AL,8,FALSE)</f>
        <v>-</v>
      </c>
      <c r="AF207" s="5">
        <f>VLOOKUP($A207,'SegEnds_NonXtal_Prot#'!$A:$AL,11,FALSE)</f>
        <v>91</v>
      </c>
      <c r="AG207" s="5" t="str">
        <f>VLOOKUP($A207,'SegEnds_NonXtal_Prot#'!$A:$AL,14,FALSE)</f>
        <v>-</v>
      </c>
      <c r="AH207" s="5">
        <f>VLOOKUP($A207,'SegEnds_NonXtal_Prot#'!$A:$AL,17,FALSE)</f>
        <v>133</v>
      </c>
      <c r="AI207" s="5">
        <f>VLOOKUP($A207,'SegEnds_NonXtal_Prot#'!$A:$AL,20,FALSE)</f>
        <v>141</v>
      </c>
      <c r="AJ207" s="5">
        <f>VLOOKUP($A207,'SegEnds_NonXtal_Prot#'!$A:$AL,23,FALSE)</f>
        <v>168</v>
      </c>
      <c r="AK207" s="5" t="str">
        <f>VLOOKUP($A207,'SegEnds_NonXtal_Prot#'!$A:$AL,26,FALSE)</f>
        <v>-</v>
      </c>
      <c r="AL207" s="5">
        <f>VLOOKUP($A207,'SegEnds_NonXtal_Prot#'!$A:$AL,29,FALSE)</f>
        <v>214</v>
      </c>
      <c r="AM207" s="5">
        <f>VLOOKUP($A207,'SegEnds_NonXtal_Prot#'!$A:$AL,32,FALSE)</f>
        <v>249</v>
      </c>
      <c r="AN207" s="5">
        <f>VLOOKUP($A207,'SegEnds_NonXtal_Prot#'!$A:$AL,35,FALSE)</f>
        <v>282</v>
      </c>
      <c r="AO207" s="5">
        <f>VLOOKUP($A207,'SegEnds_NonXtal_Prot#'!$A:$AL,38,FALSE)</f>
        <v>297</v>
      </c>
      <c r="AP207" s="5">
        <f t="shared" si="88"/>
        <v>30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35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34</v>
      </c>
      <c r="AY207" s="4">
        <f t="shared" si="97"/>
        <v>31</v>
      </c>
      <c r="AZ207" s="4">
        <f t="shared" si="98"/>
        <v>28</v>
      </c>
      <c r="BA207" s="4">
        <f t="shared" si="99"/>
        <v>14</v>
      </c>
    </row>
    <row r="208" spans="1:53" x14ac:dyDescent="0.2">
      <c r="A208" s="1" t="str">
        <f>'SegEnds_NonXtal_Prot#'!A186</f>
        <v>mrgx3_human</v>
      </c>
      <c r="B208" s="1" t="str">
        <f t="shared" si="75"/>
        <v>KQTLSFTGLTCIVSLVALTGNAVVLWLLGCRNAVSIYILNLVAADFLFLSGHIICSPLRLIISKILSPVMTFPYFIGLSMLSAISTERCLSILWPRYLSSVMCVLLWALSLLRSILEWMFCCETSDFITIAWLVFLCVVLCGSSLVLLVRILCGSRLTRLYVTILLTVLVFLLCGLPFGIQWALFSRIKVLFCHVHLVSIFLSALNSSANPIIYFFVGSFRQRQNRQNLKLV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8" s="5" t="str">
        <f t="shared" si="76"/>
        <v>KQTLSFTGLTCIVSLVALTGNAVVLWLLGCR</v>
      </c>
      <c r="G208" s="4" t="str">
        <f t="shared" si="77"/>
        <v/>
      </c>
      <c r="H208" s="4" t="str">
        <f t="shared" si="78"/>
        <v>NAVSIYILNLVAADFLFLSGHIICSPLRLI</v>
      </c>
      <c r="I208" s="4" t="str">
        <f t="shared" si="79"/>
        <v/>
      </c>
      <c r="J208" s="4" t="str">
        <f t="shared" si="80"/>
        <v>ISKILSPVMTFPYFIGLSMLSAISTERCLSILW</v>
      </c>
      <c r="K208" s="4" t="str">
        <f t="shared" si="81"/>
        <v>PIWYHCRR</v>
      </c>
      <c r="L208" s="4" t="str">
        <f t="shared" si="82"/>
        <v>PRYLSSVMCVLLWALSLLRSILEWMFC</v>
      </c>
      <c r="M208" s="4" t="str">
        <f t="shared" si="83"/>
        <v/>
      </c>
      <c r="N208" s="4" t="str">
        <f t="shared" si="84"/>
        <v>CETSDFITIAWLVFLCVVLCGSSLVLLVRILCGSR</v>
      </c>
      <c r="O208" s="4" t="str">
        <f t="shared" si="85"/>
        <v>LTRLYVTILLTVLVFLLCGLPFGIQWALFSRI</v>
      </c>
      <c r="P208" s="4" t="str">
        <f t="shared" si="86"/>
        <v>KVLFCHVHLVSIFLSALNSSANPIIYFFV</v>
      </c>
      <c r="Q208" s="4" t="str">
        <f t="shared" si="87"/>
        <v>GSFRQRQNRQNLKLV</v>
      </c>
      <c r="R208" s="5">
        <f>VLOOKUP($A208,'SegEnds_NonXtal_Prot#'!$A:$AL,3,FALSE)</f>
        <v>25</v>
      </c>
      <c r="S208" s="5" t="str">
        <f>VLOOKUP($A208,'SegEnds_NonXtal_Prot#'!$A:$AL,6,FALSE)</f>
        <v>-</v>
      </c>
      <c r="T208" s="5">
        <f>VLOOKUP($A208,'SegEnds_NonXtal_Prot#'!$A:$AL,9,FALSE)</f>
        <v>59</v>
      </c>
      <c r="U208" s="5" t="str">
        <f>VLOOKUP($A208,'SegEnds_NonXtal_Prot#'!$A:$AL,12,FALSE)</f>
        <v>-</v>
      </c>
      <c r="V208" s="5">
        <f>VLOOKUP($A208,'SegEnds_NonXtal_Prot#'!$A:$AL,15,FALSE)</f>
        <v>94</v>
      </c>
      <c r="W208" s="5">
        <f>VLOOKUP($A208,'SegEnds_NonXtal_Prot#'!$A:$AL,18,FALSE)</f>
        <v>127</v>
      </c>
      <c r="X208" s="5">
        <f>VLOOKUP($A208,'SegEnds_NonXtal_Prot#'!$A:$AL,21,FALSE)</f>
        <v>135</v>
      </c>
      <c r="Y208" s="5" t="str">
        <f>VLOOKUP($A208,'SegEnds_NonXtal_Prot#'!$A:$AL,24,FALSE)</f>
        <v>-</v>
      </c>
      <c r="Z208" s="5">
        <f>VLOOKUP($A208,'SegEnds_NonXtal_Prot#'!$A:$AL,27,FALSE)</f>
        <v>173</v>
      </c>
      <c r="AA208" s="5">
        <f>VLOOKUP($A208,'SegEnds_NonXtal_Prot#'!$A:$AL,30,FALSE)</f>
        <v>211</v>
      </c>
      <c r="AB208" s="5">
        <f>VLOOKUP($A208,'SegEnds_NonXtal_Prot#'!$A:$AL,33,FALSE)</f>
        <v>247</v>
      </c>
      <c r="AC208" s="5">
        <f>VLOOKUP($A208,'SegEnds_NonXtal_Prot#'!$A:$AL,36,FALSE)</f>
        <v>276</v>
      </c>
      <c r="AD208" s="5">
        <f>VLOOKUP($A208,'SegEnds_NonXtal_Prot#'!$A:$AL,5,FALSE)</f>
        <v>55</v>
      </c>
      <c r="AE208" s="5" t="str">
        <f>VLOOKUP($A208,'SegEnds_NonXtal_Prot#'!$A:$AL,8,FALSE)</f>
        <v>-</v>
      </c>
      <c r="AF208" s="5">
        <f>VLOOKUP($A208,'SegEnds_NonXtal_Prot#'!$A:$AL,11,FALSE)</f>
        <v>88</v>
      </c>
      <c r="AG208" s="5" t="str">
        <f>VLOOKUP($A208,'SegEnds_NonXtal_Prot#'!$A:$AL,14,FALSE)</f>
        <v>-</v>
      </c>
      <c r="AH208" s="5">
        <f>VLOOKUP($A208,'SegEnds_NonXtal_Prot#'!$A:$AL,17,FALSE)</f>
        <v>126</v>
      </c>
      <c r="AI208" s="5">
        <f>VLOOKUP($A208,'SegEnds_NonXtal_Prot#'!$A:$AL,20,FALSE)</f>
        <v>134</v>
      </c>
      <c r="AJ208" s="5">
        <f>VLOOKUP($A208,'SegEnds_NonXtal_Prot#'!$A:$AL,23,FALSE)</f>
        <v>161</v>
      </c>
      <c r="AK208" s="5" t="str">
        <f>VLOOKUP($A208,'SegEnds_NonXtal_Prot#'!$A:$AL,26,FALSE)</f>
        <v>-</v>
      </c>
      <c r="AL208" s="5">
        <f>VLOOKUP($A208,'SegEnds_NonXtal_Prot#'!$A:$AL,29,FALSE)</f>
        <v>207</v>
      </c>
      <c r="AM208" s="5">
        <f>VLOOKUP($A208,'SegEnds_NonXtal_Prot#'!$A:$AL,32,FALSE)</f>
        <v>242</v>
      </c>
      <c r="AN208" s="5">
        <f>VLOOKUP($A208,'SegEnds_NonXtal_Prot#'!$A:$AL,35,FALSE)</f>
        <v>275</v>
      </c>
      <c r="AO208" s="5">
        <f>VLOOKUP($A208,'SegEnds_NonXtal_Prot#'!$A:$AL,38,FALSE)</f>
        <v>290</v>
      </c>
      <c r="AP208" s="5">
        <f t="shared" si="88"/>
        <v>30</v>
      </c>
      <c r="AQ208" s="4" t="str">
        <f t="shared" si="89"/>
        <v>-</v>
      </c>
      <c r="AR208" s="4">
        <f t="shared" si="90"/>
        <v>29</v>
      </c>
      <c r="AS208" s="4" t="str">
        <f t="shared" si="91"/>
        <v>-</v>
      </c>
      <c r="AT208" s="4">
        <f t="shared" si="92"/>
        <v>32</v>
      </c>
      <c r="AU208" s="4">
        <f t="shared" si="93"/>
        <v>7</v>
      </c>
      <c r="AV208" s="4">
        <f t="shared" si="94"/>
        <v>26</v>
      </c>
      <c r="AW208" s="4" t="str">
        <f t="shared" si="95"/>
        <v>-</v>
      </c>
      <c r="AX208" s="4">
        <f t="shared" si="96"/>
        <v>34</v>
      </c>
      <c r="AY208" s="4">
        <f t="shared" si="97"/>
        <v>31</v>
      </c>
      <c r="AZ208" s="4">
        <f t="shared" si="98"/>
        <v>28</v>
      </c>
      <c r="BA208" s="4">
        <f t="shared" si="99"/>
        <v>14</v>
      </c>
    </row>
    <row r="209" spans="1:53" x14ac:dyDescent="0.2">
      <c r="A209" s="1" t="str">
        <f>'SegEnds_NonXtal_Prot#'!A187</f>
        <v>mrgx4_human</v>
      </c>
      <c r="B209" s="1" t="str">
        <f t="shared" si="75"/>
        <v>YNQTLSFTVLTCIISLVGLTGNAVVLWLLGYRNAVSIYILNLAAADFLFLSFQIIRLPLRLIIRKILVSVMTFPYFTGLSMLSAISTERCLSVLWPTHLSAVVCVLLWGLSLLFSMLEWRFCSSWCETSDFIPVAWLIFLCVVLCVSSLVLLVRILCGSRLTRLYVTILLTVLVFLLCGLPFGILGALIYRMEVLYCHVYLVCMSLSSLNSSANPIIYFFVGSFRQRQNRQNLK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9" s="5" t="str">
        <f t="shared" si="76"/>
        <v>YNQTLSFTVLTCIISLVGLTGNAVVLWLLGYR</v>
      </c>
      <c r="G209" s="4" t="str">
        <f t="shared" si="77"/>
        <v/>
      </c>
      <c r="H209" s="4" t="str">
        <f t="shared" si="78"/>
        <v>NAVSIYILNLAAADFLFLSFQIIRLPLRLI</v>
      </c>
      <c r="I209" s="4" t="str">
        <f t="shared" si="79"/>
        <v/>
      </c>
      <c r="J209" s="4" t="str">
        <f t="shared" si="80"/>
        <v>IRKILVSVMTFPYFTGLSMLSAISTERCLSVLW</v>
      </c>
      <c r="K209" s="4" t="str">
        <f t="shared" si="81"/>
        <v>PIWYRCRR</v>
      </c>
      <c r="L209" s="4" t="str">
        <f t="shared" si="82"/>
        <v>PTHLSAVVCVLLWGLSLLFSMLEWRFC</v>
      </c>
      <c r="M209" s="4" t="str">
        <f t="shared" si="83"/>
        <v/>
      </c>
      <c r="N209" s="4" t="str">
        <f t="shared" si="84"/>
        <v>SSWCETSDFIPVAWLIFLCVVLCVSSLVLLVRILCGSR</v>
      </c>
      <c r="O209" s="4" t="str">
        <f t="shared" si="85"/>
        <v>LTRLYVTILLTVLVFLLCGLPFGILGALIYRM</v>
      </c>
      <c r="P209" s="4" t="str">
        <f t="shared" si="86"/>
        <v>EVLYCHVYLVCMSLSSLNSSANPIIYFFV</v>
      </c>
      <c r="Q209" s="4" t="str">
        <f t="shared" si="87"/>
        <v>GSFRQRQNRQNLK</v>
      </c>
      <c r="R209" s="5">
        <f>VLOOKUP($A209,'SegEnds_NonXtal_Prot#'!$A:$AL,3,FALSE)</f>
        <v>24</v>
      </c>
      <c r="S209" s="5" t="str">
        <f>VLOOKUP($A209,'SegEnds_NonXtal_Prot#'!$A:$AL,6,FALSE)</f>
        <v>-</v>
      </c>
      <c r="T209" s="5">
        <f>VLOOKUP($A209,'SegEnds_NonXtal_Prot#'!$A:$AL,9,FALSE)</f>
        <v>59</v>
      </c>
      <c r="U209" s="5" t="str">
        <f>VLOOKUP($A209,'SegEnds_NonXtal_Prot#'!$A:$AL,12,FALSE)</f>
        <v>-</v>
      </c>
      <c r="V209" s="5">
        <f>VLOOKUP($A209,'SegEnds_NonXtal_Prot#'!$A:$AL,15,FALSE)</f>
        <v>94</v>
      </c>
      <c r="W209" s="5">
        <f>VLOOKUP($A209,'SegEnds_NonXtal_Prot#'!$A:$AL,18,FALSE)</f>
        <v>127</v>
      </c>
      <c r="X209" s="5">
        <f>VLOOKUP($A209,'SegEnds_NonXtal_Prot#'!$A:$AL,21,FALSE)</f>
        <v>135</v>
      </c>
      <c r="Y209" s="5" t="str">
        <f>VLOOKUP($A209,'SegEnds_NonXtal_Prot#'!$A:$AL,24,FALSE)</f>
        <v>-</v>
      </c>
      <c r="Z209" s="5">
        <f>VLOOKUP($A209,'SegEnds_NonXtal_Prot#'!$A:$AL,27,FALSE)</f>
        <v>170</v>
      </c>
      <c r="AA209" s="5">
        <f>VLOOKUP($A209,'SegEnds_NonXtal_Prot#'!$A:$AL,30,FALSE)</f>
        <v>211</v>
      </c>
      <c r="AB209" s="5">
        <f>VLOOKUP($A209,'SegEnds_NonXtal_Prot#'!$A:$AL,33,FALSE)</f>
        <v>247</v>
      </c>
      <c r="AC209" s="5">
        <f>VLOOKUP($A209,'SegEnds_NonXtal_Prot#'!$A:$AL,36,FALSE)</f>
        <v>276</v>
      </c>
      <c r="AD209" s="5">
        <f>VLOOKUP($A209,'SegEnds_NonXtal_Prot#'!$A:$AL,5,FALSE)</f>
        <v>55</v>
      </c>
      <c r="AE209" s="5" t="str">
        <f>VLOOKUP($A209,'SegEnds_NonXtal_Prot#'!$A:$AL,8,FALSE)</f>
        <v>-</v>
      </c>
      <c r="AF209" s="5">
        <f>VLOOKUP($A209,'SegEnds_NonXtal_Prot#'!$A:$AL,11,FALSE)</f>
        <v>88</v>
      </c>
      <c r="AG209" s="5" t="str">
        <f>VLOOKUP($A209,'SegEnds_NonXtal_Prot#'!$A:$AL,14,FALSE)</f>
        <v>-</v>
      </c>
      <c r="AH209" s="5">
        <f>VLOOKUP($A209,'SegEnds_NonXtal_Prot#'!$A:$AL,17,FALSE)</f>
        <v>126</v>
      </c>
      <c r="AI209" s="5">
        <f>VLOOKUP($A209,'SegEnds_NonXtal_Prot#'!$A:$AL,20,FALSE)</f>
        <v>134</v>
      </c>
      <c r="AJ209" s="5">
        <f>VLOOKUP($A209,'SegEnds_NonXtal_Prot#'!$A:$AL,23,FALSE)</f>
        <v>161</v>
      </c>
      <c r="AK209" s="5" t="str">
        <f>VLOOKUP($A209,'SegEnds_NonXtal_Prot#'!$A:$AL,26,FALSE)</f>
        <v>-</v>
      </c>
      <c r="AL209" s="5">
        <f>VLOOKUP($A209,'SegEnds_NonXtal_Prot#'!$A:$AL,29,FALSE)</f>
        <v>207</v>
      </c>
      <c r="AM209" s="5">
        <f>VLOOKUP($A209,'SegEnds_NonXtal_Prot#'!$A:$AL,32,FALSE)</f>
        <v>242</v>
      </c>
      <c r="AN209" s="5">
        <f>VLOOKUP($A209,'SegEnds_NonXtal_Prot#'!$A:$AL,35,FALSE)</f>
        <v>275</v>
      </c>
      <c r="AO209" s="5">
        <f>VLOOKUP($A209,'SegEnds_NonXtal_Prot#'!$A:$AL,38,FALSE)</f>
        <v>288</v>
      </c>
      <c r="AP209" s="5">
        <f t="shared" si="88"/>
        <v>31</v>
      </c>
      <c r="AQ209" s="4" t="str">
        <f t="shared" si="89"/>
        <v>-</v>
      </c>
      <c r="AR209" s="4">
        <f t="shared" si="90"/>
        <v>29</v>
      </c>
      <c r="AS209" s="4" t="str">
        <f t="shared" si="91"/>
        <v>-</v>
      </c>
      <c r="AT209" s="4">
        <f t="shared" si="92"/>
        <v>32</v>
      </c>
      <c r="AU209" s="4">
        <f t="shared" si="93"/>
        <v>7</v>
      </c>
      <c r="AV209" s="4">
        <f t="shared" si="94"/>
        <v>26</v>
      </c>
      <c r="AW209" s="4" t="str">
        <f t="shared" si="95"/>
        <v>-</v>
      </c>
      <c r="AX209" s="4">
        <f t="shared" si="96"/>
        <v>37</v>
      </c>
      <c r="AY209" s="4">
        <f t="shared" si="97"/>
        <v>31</v>
      </c>
      <c r="AZ209" s="4">
        <f t="shared" si="98"/>
        <v>28</v>
      </c>
      <c r="BA209" s="4">
        <f t="shared" si="99"/>
        <v>12</v>
      </c>
    </row>
    <row r="210" spans="1:53" x14ac:dyDescent="0.2">
      <c r="A210" s="1" t="str">
        <f>'SegEnds_NonXtal_Prot#'!A189</f>
        <v>mtlr_human</v>
      </c>
      <c r="B210" s="1" t="str">
        <f t="shared" si="75"/>
        <v>LGALVPVTAVCLCLFVVGVSGNVVTVMLIGRYTTTNLYLGSMAVSDLLILLGLPFDLYRLWRSGPLLCRLSLYVGEGCTYATLLHMTALSVERYLAICRTRRRVRALIAVLWAVALLSAGPFLFLVQLGALRVMLWVTTAYFFLPFLCLSILYGLIGRELWSSRRPLSGRERGHRQTVRVLLVVVLAFIICWLPFHVGRIIYINTMYFSQYFNIVALQLFYLSASINPILYNLISKKYRAAAFKLL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10" s="5" t="str">
        <f t="shared" si="76"/>
        <v>LGALVPVTAVCLCLFVVGVSGNVVTVMLIGRY</v>
      </c>
      <c r="G210" s="4" t="str">
        <f t="shared" si="77"/>
        <v>RDMR</v>
      </c>
      <c r="H210" s="4" t="str">
        <f t="shared" si="78"/>
        <v>TTTNLYLGSMAVSDLLILLGLPFDLYRLWRS</v>
      </c>
      <c r="I210" s="4" t="str">
        <f t="shared" si="79"/>
        <v>PWVF</v>
      </c>
      <c r="J210" s="4" t="str">
        <f t="shared" si="80"/>
        <v>GPLLCRLSLYVGEGCTYATLLHMTALSVERYLAICR</v>
      </c>
      <c r="K210" s="4" t="str">
        <f t="shared" si="81"/>
        <v>PLRARVLV</v>
      </c>
      <c r="L210" s="4" t="str">
        <f t="shared" si="82"/>
        <v>TRRRVRALIAVLWAVALLSAGPFLFLV</v>
      </c>
      <c r="M210" s="4" t="str">
        <f t="shared" si="83"/>
        <v>CRP</v>
      </c>
      <c r="N210" s="4" t="str">
        <f t="shared" si="84"/>
        <v>QLGALRVMLWVTTAYFFLPFLCLSILYGLIGRELWSSRRPL</v>
      </c>
      <c r="O210" s="4" t="str">
        <f t="shared" si="85"/>
        <v>SGRERGHRQTVRVLLVVVLAFIICWLPFHVGRIIYINT</v>
      </c>
      <c r="P210" s="4" t="str">
        <f t="shared" si="86"/>
        <v>MYFSQYFNIVALQLFYLSASINPILYNLI</v>
      </c>
      <c r="Q210" s="4" t="str">
        <f t="shared" si="87"/>
        <v>SKKYRAAAFKLL</v>
      </c>
      <c r="R210" s="5">
        <f>VLOOKUP($A210,'SegEnds_NonXtal_Prot#'!$A:$AL,3,FALSE)</f>
        <v>35</v>
      </c>
      <c r="S210" s="5">
        <f>VLOOKUP($A210,'SegEnds_NonXtal_Prot#'!$A:$AL,6,FALSE)</f>
        <v>67</v>
      </c>
      <c r="T210" s="5">
        <f>VLOOKUP($A210,'SegEnds_NonXtal_Prot#'!$A:$AL,9,FALSE)</f>
        <v>71</v>
      </c>
      <c r="U210" s="5">
        <f>VLOOKUP($A210,'SegEnds_NonXtal_Prot#'!$A:$AL,12,FALSE)</f>
        <v>103</v>
      </c>
      <c r="V210" s="5">
        <f>VLOOKUP($A210,'SegEnds_NonXtal_Prot#'!$A:$AL,15,FALSE)</f>
        <v>107</v>
      </c>
      <c r="W210" s="5">
        <f>VLOOKUP($A210,'SegEnds_NonXtal_Prot#'!$A:$AL,18,FALSE)</f>
        <v>143</v>
      </c>
      <c r="X210" s="5">
        <f>VLOOKUP($A210,'SegEnds_NonXtal_Prot#'!$A:$AL,21,FALSE)</f>
        <v>151</v>
      </c>
      <c r="Y210" s="5">
        <f>VLOOKUP($A210,'SegEnds_NonXtal_Prot#'!$A:$AL,24,FALSE)</f>
        <v>235</v>
      </c>
      <c r="Z210" s="5">
        <f>VLOOKUP($A210,'SegEnds_NonXtal_Prot#'!$A:$AL,27,FALSE)</f>
        <v>241</v>
      </c>
      <c r="AA210" s="5">
        <f>VLOOKUP($A210,'SegEnds_NonXtal_Prot#'!$A:$AL,30,FALSE)</f>
        <v>287</v>
      </c>
      <c r="AB210" s="5">
        <f>VLOOKUP($A210,'SegEnds_NonXtal_Prot#'!$A:$AL,33,FALSE)</f>
        <v>330</v>
      </c>
      <c r="AC210" s="5">
        <f>VLOOKUP($A210,'SegEnds_NonXtal_Prot#'!$A:$AL,36,FALSE)</f>
        <v>359</v>
      </c>
      <c r="AD210" s="5">
        <f>VLOOKUP($A210,'SegEnds_NonXtal_Prot#'!$A:$AL,5,FALSE)</f>
        <v>66</v>
      </c>
      <c r="AE210" s="5">
        <f>VLOOKUP($A210,'SegEnds_NonXtal_Prot#'!$A:$AL,8,FALSE)</f>
        <v>70</v>
      </c>
      <c r="AF210" s="5">
        <f>VLOOKUP($A210,'SegEnds_NonXtal_Prot#'!$A:$AL,11,FALSE)</f>
        <v>101</v>
      </c>
      <c r="AG210" s="5">
        <f>VLOOKUP($A210,'SegEnds_NonXtal_Prot#'!$A:$AL,14,FALSE)</f>
        <v>106</v>
      </c>
      <c r="AH210" s="5">
        <f>VLOOKUP($A210,'SegEnds_NonXtal_Prot#'!$A:$AL,17,FALSE)</f>
        <v>142</v>
      </c>
      <c r="AI210" s="5">
        <f>VLOOKUP($A210,'SegEnds_NonXtal_Prot#'!$A:$AL,20,FALSE)</f>
        <v>150</v>
      </c>
      <c r="AJ210" s="5">
        <f>VLOOKUP($A210,'SegEnds_NonXtal_Prot#'!$A:$AL,23,FALSE)</f>
        <v>177</v>
      </c>
      <c r="AK210" s="5">
        <f>VLOOKUP($A210,'SegEnds_NonXtal_Prot#'!$A:$AL,26,FALSE)</f>
        <v>237</v>
      </c>
      <c r="AL210" s="5">
        <f>VLOOKUP($A210,'SegEnds_NonXtal_Prot#'!$A:$AL,29,FALSE)</f>
        <v>281</v>
      </c>
      <c r="AM210" s="5">
        <f>VLOOKUP($A210,'SegEnds_NonXtal_Prot#'!$A:$AL,32,FALSE)</f>
        <v>324</v>
      </c>
      <c r="AN210" s="5">
        <f>VLOOKUP($A210,'SegEnds_NonXtal_Prot#'!$A:$AL,35,FALSE)</f>
        <v>358</v>
      </c>
      <c r="AO210" s="5">
        <f>VLOOKUP($A210,'SegEnds_NonXtal_Prot#'!$A:$AL,38,FALSE)</f>
        <v>370</v>
      </c>
      <c r="AP210" s="5">
        <f t="shared" si="88"/>
        <v>31</v>
      </c>
      <c r="AQ210" s="4">
        <f t="shared" si="89"/>
        <v>3</v>
      </c>
      <c r="AR210" s="4">
        <f t="shared" si="90"/>
        <v>30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40</v>
      </c>
      <c r="AY210" s="4">
        <f t="shared" si="97"/>
        <v>37</v>
      </c>
      <c r="AZ210" s="4">
        <f t="shared" si="98"/>
        <v>28</v>
      </c>
      <c r="BA210" s="4">
        <f t="shared" si="99"/>
        <v>11</v>
      </c>
    </row>
    <row r="211" spans="1:53" x14ac:dyDescent="0.2">
      <c r="A211" s="1" t="str">
        <f>'SegEnds_NonXtal_Prot#'!A190</f>
        <v>mtr1a_human</v>
      </c>
      <c r="B211" s="1" t="str">
        <f t="shared" si="75"/>
        <v>LASALACVLIFTIVVDILGNLLVILSVYRNNAGNIFVVSLAVADLVVAIYPYPLVLMSIFNGYLHCQVSGFLMGLSVIGSIFNITGIAINRYCYICHSSKNSLCYVLLIWLLTLAAVLPNLRAGSSAYTIAVVVFHFLVPMIIVIFCYLRIWILVLQVRQRVPKLKPQDFRNFVTMFVVFVLFAICWAPLNFIGLAVASDPRIPEWLFVASYYMAYFNSCLNAIIYGLLNQNFRKEYRRII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211" s="5" t="str">
        <f t="shared" si="76"/>
        <v>LASALACVLIFTIVVDILGNLLVILSVYRN</v>
      </c>
      <c r="G211" s="4" t="str">
        <f t="shared" si="77"/>
        <v>KKLR</v>
      </c>
      <c r="H211" s="4" t="str">
        <f t="shared" si="78"/>
        <v>NAGNIFVVSLAVADLVVAIYPYPLVLMSIFN</v>
      </c>
      <c r="I211" s="4" t="str">
        <f t="shared" si="79"/>
        <v>GWNL</v>
      </c>
      <c r="J211" s="4" t="str">
        <f t="shared" si="80"/>
        <v>GYLHCQVSGFLMGLSVIGSIFNITGIAINRYCYICH</v>
      </c>
      <c r="K211" s="4" t="str">
        <f t="shared" si="81"/>
        <v>SLKYDKLY</v>
      </c>
      <c r="L211" s="4" t="str">
        <f t="shared" si="82"/>
        <v>SSKNSLCYVLLIWLLTLAAVLPNLRAG</v>
      </c>
      <c r="M211" s="4" t="str">
        <f t="shared" si="83"/>
        <v>CTF</v>
      </c>
      <c r="N211" s="4" t="str">
        <f t="shared" si="84"/>
        <v>SSAYTIAVVVFHFLVPMIIVIFCYLRIWILVLQVRQRV</v>
      </c>
      <c r="O211" s="4" t="str">
        <f t="shared" si="85"/>
        <v>PKLKPQDFRNFVTMFVVFVLFAICWAPLNFIGLAVASD</v>
      </c>
      <c r="P211" s="4" t="str">
        <f t="shared" si="86"/>
        <v>PRIPEWLFVASYYMAYFNSCLNAIIYGLL</v>
      </c>
      <c r="Q211" s="4" t="str">
        <f t="shared" si="87"/>
        <v>NQNFRKEYRRII</v>
      </c>
      <c r="R211" s="5">
        <f>VLOOKUP($A211,'SegEnds_NonXtal_Prot#'!$A:$AL,3,FALSE)</f>
        <v>26</v>
      </c>
      <c r="S211" s="5">
        <f>VLOOKUP($A211,'SegEnds_NonXtal_Prot#'!$A:$AL,6,FALSE)</f>
        <v>56</v>
      </c>
      <c r="T211" s="5">
        <f>VLOOKUP($A211,'SegEnds_NonXtal_Prot#'!$A:$AL,9,FALSE)</f>
        <v>60</v>
      </c>
      <c r="U211" s="5">
        <f>VLOOKUP($A211,'SegEnds_NonXtal_Prot#'!$A:$AL,12,FALSE)</f>
        <v>92</v>
      </c>
      <c r="V211" s="5">
        <f>VLOOKUP($A211,'SegEnds_NonXtal_Prot#'!$A:$AL,15,FALSE)</f>
        <v>96</v>
      </c>
      <c r="W211" s="5">
        <f>VLOOKUP($A211,'SegEnds_NonXtal_Prot#'!$A:$AL,18,FALSE)</f>
        <v>132</v>
      </c>
      <c r="X211" s="5">
        <f>VLOOKUP($A211,'SegEnds_NonXtal_Prot#'!$A:$AL,21,FALSE)</f>
        <v>140</v>
      </c>
      <c r="Y211" s="5">
        <f>VLOOKUP($A211,'SegEnds_NonXtal_Prot#'!$A:$AL,24,FALSE)</f>
        <v>177</v>
      </c>
      <c r="Z211" s="5">
        <f>VLOOKUP($A211,'SegEnds_NonXtal_Prot#'!$A:$AL,27,FALSE)</f>
        <v>184</v>
      </c>
      <c r="AA211" s="5">
        <f>VLOOKUP($A211,'SegEnds_NonXtal_Prot#'!$A:$AL,30,FALSE)</f>
        <v>227</v>
      </c>
      <c r="AB211" s="5">
        <f>VLOOKUP($A211,'SegEnds_NonXtal_Prot#'!$A:$AL,33,FALSE)</f>
        <v>270</v>
      </c>
      <c r="AC211" s="5">
        <f>VLOOKUP($A211,'SegEnds_NonXtal_Prot#'!$A:$AL,36,FALSE)</f>
        <v>299</v>
      </c>
      <c r="AD211" s="5">
        <f>VLOOKUP($A211,'SegEnds_NonXtal_Prot#'!$A:$AL,5,FALSE)</f>
        <v>55</v>
      </c>
      <c r="AE211" s="5">
        <f>VLOOKUP($A211,'SegEnds_NonXtal_Prot#'!$A:$AL,8,FALSE)</f>
        <v>59</v>
      </c>
      <c r="AF211" s="5">
        <f>VLOOKUP($A211,'SegEnds_NonXtal_Prot#'!$A:$AL,11,FALSE)</f>
        <v>90</v>
      </c>
      <c r="AG211" s="5">
        <f>VLOOKUP($A211,'SegEnds_NonXtal_Prot#'!$A:$AL,14,FALSE)</f>
        <v>95</v>
      </c>
      <c r="AH211" s="5">
        <f>VLOOKUP($A211,'SegEnds_NonXtal_Prot#'!$A:$AL,17,FALSE)</f>
        <v>131</v>
      </c>
      <c r="AI211" s="5">
        <f>VLOOKUP($A211,'SegEnds_NonXtal_Prot#'!$A:$AL,20,FALSE)</f>
        <v>139</v>
      </c>
      <c r="AJ211" s="5">
        <f>VLOOKUP($A211,'SegEnds_NonXtal_Prot#'!$A:$AL,23,FALSE)</f>
        <v>166</v>
      </c>
      <c r="AK211" s="5">
        <f>VLOOKUP($A211,'SegEnds_NonXtal_Prot#'!$A:$AL,26,FALSE)</f>
        <v>179</v>
      </c>
      <c r="AL211" s="5">
        <f>VLOOKUP($A211,'SegEnds_NonXtal_Prot#'!$A:$AL,29,FALSE)</f>
        <v>221</v>
      </c>
      <c r="AM211" s="5">
        <f>VLOOKUP($A211,'SegEnds_NonXtal_Prot#'!$A:$AL,32,FALSE)</f>
        <v>264</v>
      </c>
      <c r="AN211" s="5">
        <f>VLOOKUP($A211,'SegEnds_NonXtal_Prot#'!$A:$AL,35,FALSE)</f>
        <v>298</v>
      </c>
      <c r="AO211" s="5">
        <f>VLOOKUP($A211,'SegEnds_NonXtal_Prot#'!$A:$AL,38,FALSE)</f>
        <v>310</v>
      </c>
      <c r="AP211" s="5">
        <f t="shared" si="88"/>
        <v>29</v>
      </c>
      <c r="AQ211" s="4">
        <f t="shared" si="89"/>
        <v>3</v>
      </c>
      <c r="AR211" s="4">
        <f t="shared" si="90"/>
        <v>30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28</v>
      </c>
      <c r="BA211" s="4">
        <f t="shared" si="99"/>
        <v>11</v>
      </c>
    </row>
    <row r="212" spans="1:53" x14ac:dyDescent="0.2">
      <c r="A212" s="1" t="str">
        <f>'SegEnds_NonXtal_Prot#'!A191</f>
        <v>mtr1b_human</v>
      </c>
      <c r="B212" s="1" t="str">
        <f t="shared" si="75"/>
        <v>VAPALSAVLIVTTAVDVVGNLLVILSVLRNNAGNLFLVSLALADLVVAFYPYPLILVAIFYGEEHCKASAFVMGLSVIGSVFNITAIAINRYCYICHRRWHTPLHICLIWLLTVVALLPNFFVGSTQYTAAVVVIHFLLPIAVVSFCYLRIWVLVLQARRKALCLKPSDLRSFLTMFVVFVIFAICWAPLNCIGLAVAINPQIPEGLFVTSYLLAYFNSCLNAIVYGLLNQNFRREYKRIL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2" s="5" t="str">
        <f t="shared" si="76"/>
        <v>VAPALSAVLIVTTAVDVVGNLLVILSVLRN</v>
      </c>
      <c r="G212" s="4" t="str">
        <f t="shared" si="77"/>
        <v>RKLR</v>
      </c>
      <c r="H212" s="4" t="str">
        <f t="shared" si="78"/>
        <v>NAGNLFLVSLALADLVVAFYPYPLILVAIFY</v>
      </c>
      <c r="I212" s="4" t="str">
        <f t="shared" si="79"/>
        <v>GWAL</v>
      </c>
      <c r="J212" s="4" t="str">
        <f t="shared" si="80"/>
        <v>GEEHCKASAFVMGLSVIGSVFNITAIAINRYCYICH</v>
      </c>
      <c r="K212" s="4" t="str">
        <f t="shared" si="81"/>
        <v>SMAYHRIY</v>
      </c>
      <c r="L212" s="4" t="str">
        <f t="shared" si="82"/>
        <v>RRWHTPLHICLIWLLTVVALLPNFFVG</v>
      </c>
      <c r="M212" s="4" t="str">
        <f t="shared" si="83"/>
        <v>CTF</v>
      </c>
      <c r="N212" s="4" t="str">
        <f t="shared" si="84"/>
        <v>STQYTAAVVVIHFLLPIAVVSFCYLRIWVLVLQARRKA</v>
      </c>
      <c r="O212" s="4" t="str">
        <f t="shared" si="85"/>
        <v>LCLKPSDLRSFLTMFVVFVIFAICWAPLNCIGLAVAIN</v>
      </c>
      <c r="P212" s="4" t="str">
        <f t="shared" si="86"/>
        <v>PQIPEGLFVTSYLLAYFNSCLNAIVYGLL</v>
      </c>
      <c r="Q212" s="4" t="str">
        <f t="shared" si="87"/>
        <v>NQNFRREYKRIL</v>
      </c>
      <c r="R212" s="5">
        <f>VLOOKUP($A212,'SegEnds_NonXtal_Prot#'!$A:$AL,3,FALSE)</f>
        <v>39</v>
      </c>
      <c r="S212" s="5">
        <f>VLOOKUP($A212,'SegEnds_NonXtal_Prot#'!$A:$AL,6,FALSE)</f>
        <v>69</v>
      </c>
      <c r="T212" s="5">
        <f>VLOOKUP($A212,'SegEnds_NonXtal_Prot#'!$A:$AL,9,FALSE)</f>
        <v>73</v>
      </c>
      <c r="U212" s="5">
        <f>VLOOKUP($A212,'SegEnds_NonXtal_Prot#'!$A:$AL,12,FALSE)</f>
        <v>105</v>
      </c>
      <c r="V212" s="5">
        <f>VLOOKUP($A212,'SegEnds_NonXtal_Prot#'!$A:$AL,15,FALSE)</f>
        <v>109</v>
      </c>
      <c r="W212" s="5">
        <f>VLOOKUP($A212,'SegEnds_NonXtal_Prot#'!$A:$AL,18,FALSE)</f>
        <v>145</v>
      </c>
      <c r="X212" s="5">
        <f>VLOOKUP($A212,'SegEnds_NonXtal_Prot#'!$A:$AL,21,FALSE)</f>
        <v>153</v>
      </c>
      <c r="Y212" s="5">
        <f>VLOOKUP($A212,'SegEnds_NonXtal_Prot#'!$A:$AL,24,FALSE)</f>
        <v>190</v>
      </c>
      <c r="Z212" s="5">
        <f>VLOOKUP($A212,'SegEnds_NonXtal_Prot#'!$A:$AL,27,FALSE)</f>
        <v>197</v>
      </c>
      <c r="AA212" s="5">
        <f>VLOOKUP($A212,'SegEnds_NonXtal_Prot#'!$A:$AL,30,FALSE)</f>
        <v>240</v>
      </c>
      <c r="AB212" s="5">
        <f>VLOOKUP($A212,'SegEnds_NonXtal_Prot#'!$A:$AL,33,FALSE)</f>
        <v>283</v>
      </c>
      <c r="AC212" s="5">
        <f>VLOOKUP($A212,'SegEnds_NonXtal_Prot#'!$A:$AL,36,FALSE)</f>
        <v>312</v>
      </c>
      <c r="AD212" s="5">
        <f>VLOOKUP($A212,'SegEnds_NonXtal_Prot#'!$A:$AL,5,FALSE)</f>
        <v>68</v>
      </c>
      <c r="AE212" s="5">
        <f>VLOOKUP($A212,'SegEnds_NonXtal_Prot#'!$A:$AL,8,FALSE)</f>
        <v>72</v>
      </c>
      <c r="AF212" s="5">
        <f>VLOOKUP($A212,'SegEnds_NonXtal_Prot#'!$A:$AL,11,FALSE)</f>
        <v>103</v>
      </c>
      <c r="AG212" s="5">
        <f>VLOOKUP($A212,'SegEnds_NonXtal_Prot#'!$A:$AL,14,FALSE)</f>
        <v>108</v>
      </c>
      <c r="AH212" s="5">
        <f>VLOOKUP($A212,'SegEnds_NonXtal_Prot#'!$A:$AL,17,FALSE)</f>
        <v>144</v>
      </c>
      <c r="AI212" s="5">
        <f>VLOOKUP($A212,'SegEnds_NonXtal_Prot#'!$A:$AL,20,FALSE)</f>
        <v>152</v>
      </c>
      <c r="AJ212" s="5">
        <f>VLOOKUP($A212,'SegEnds_NonXtal_Prot#'!$A:$AL,23,FALSE)</f>
        <v>179</v>
      </c>
      <c r="AK212" s="5">
        <f>VLOOKUP($A212,'SegEnds_NonXtal_Prot#'!$A:$AL,26,FALSE)</f>
        <v>192</v>
      </c>
      <c r="AL212" s="5">
        <f>VLOOKUP($A212,'SegEnds_NonXtal_Prot#'!$A:$AL,29,FALSE)</f>
        <v>234</v>
      </c>
      <c r="AM212" s="5">
        <f>VLOOKUP($A212,'SegEnds_NonXtal_Prot#'!$A:$AL,32,FALSE)</f>
        <v>277</v>
      </c>
      <c r="AN212" s="5">
        <f>VLOOKUP($A212,'SegEnds_NonXtal_Prot#'!$A:$AL,35,FALSE)</f>
        <v>311</v>
      </c>
      <c r="AO212" s="5">
        <f>VLOOKUP($A212,'SegEnds_NonXtal_Prot#'!$A:$AL,38,FALSE)</f>
        <v>323</v>
      </c>
      <c r="AP212" s="5">
        <f t="shared" si="88"/>
        <v>29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37</v>
      </c>
      <c r="AY212" s="4">
        <f t="shared" si="97"/>
        <v>37</v>
      </c>
      <c r="AZ212" s="4">
        <f t="shared" si="98"/>
        <v>28</v>
      </c>
      <c r="BA212" s="4">
        <f t="shared" si="99"/>
        <v>11</v>
      </c>
    </row>
    <row r="213" spans="1:53" x14ac:dyDescent="0.2">
      <c r="A213" s="1" t="str">
        <f>'SegEnds_NonXtal_Prot#'!A192</f>
        <v>mtr1l_human</v>
      </c>
      <c r="B213" s="1" t="str">
        <f t="shared" si="75"/>
        <v>LIIFMFCAMVITIVVDLIGNSMVILAVTKNNSGNIFVVSLSVADMLVAIYPYPLMLHAMSISQLQCQMVGFITGLSVVGSIFNIVAIAINRYCYICHSVRNTCIYLVITWIMTVLAVLPNMYIGNPVFTVTIVCIHFVLPLLIVGFCYVRIWTKVLAARDPAPDNQLAEVRNFLTMFVIFLLFAVCWCPINVLTVLVAVSGKIPNWLYLAAYFIAYFNSCLNAVIYGLLNENFRREYWTIF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3" s="5" t="str">
        <f t="shared" si="76"/>
        <v>LIIFMFCAMVITIVVDLIGNSMVILAVTKN</v>
      </c>
      <c r="G213" s="4" t="str">
        <f t="shared" si="77"/>
        <v>KKLR</v>
      </c>
      <c r="H213" s="4" t="str">
        <f t="shared" si="78"/>
        <v>NSGNIFVVSLSVADMLVAIYPYPLMLHAMSI</v>
      </c>
      <c r="I213" s="4" t="str">
        <f t="shared" si="79"/>
        <v>GWDL</v>
      </c>
      <c r="J213" s="4" t="str">
        <f t="shared" si="80"/>
        <v>SQLQCQMVGFITGLSVVGSIFNIVAIAINRYCYICH</v>
      </c>
      <c r="K213" s="4" t="str">
        <f t="shared" si="81"/>
        <v>SLQYERIF</v>
      </c>
      <c r="L213" s="4" t="str">
        <f t="shared" si="82"/>
        <v>SVRNTCIYLVITWIMTVLAVLPNMYIG</v>
      </c>
      <c r="M213" s="4" t="str">
        <f t="shared" si="83"/>
        <v>CIF</v>
      </c>
      <c r="N213" s="4" t="str">
        <f t="shared" si="84"/>
        <v>NPVFTVTIVCIHFVLPLLIVGFCYVRIWTKVLAARDPA</v>
      </c>
      <c r="O213" s="4" t="str">
        <f t="shared" si="85"/>
        <v>PDNQLAEVRNFLTMFVIFLLFAVCWCPINVLTVLVAVS</v>
      </c>
      <c r="P213" s="4" t="str">
        <f t="shared" si="86"/>
        <v>GKIPNWLYLAAYFIAYFNSCLNAVIYGLL</v>
      </c>
      <c r="Q213" s="4" t="str">
        <f t="shared" si="87"/>
        <v>NENFRREYWTIF</v>
      </c>
      <c r="R213" s="5">
        <f>VLOOKUP($A213,'SegEnds_NonXtal_Prot#'!$A:$AL,3,FALSE)</f>
        <v>27</v>
      </c>
      <c r="S213" s="5">
        <f>VLOOKUP($A213,'SegEnds_NonXtal_Prot#'!$A:$AL,6,FALSE)</f>
        <v>57</v>
      </c>
      <c r="T213" s="5">
        <f>VLOOKUP($A213,'SegEnds_NonXtal_Prot#'!$A:$AL,9,FALSE)</f>
        <v>61</v>
      </c>
      <c r="U213" s="5">
        <f>VLOOKUP($A213,'SegEnds_NonXtal_Prot#'!$A:$AL,12,FALSE)</f>
        <v>93</v>
      </c>
      <c r="V213" s="5">
        <f>VLOOKUP($A213,'SegEnds_NonXtal_Prot#'!$A:$AL,15,FALSE)</f>
        <v>97</v>
      </c>
      <c r="W213" s="5">
        <f>VLOOKUP($A213,'SegEnds_NonXtal_Prot#'!$A:$AL,18,FALSE)</f>
        <v>133</v>
      </c>
      <c r="X213" s="5">
        <f>VLOOKUP($A213,'SegEnds_NonXtal_Prot#'!$A:$AL,21,FALSE)</f>
        <v>141</v>
      </c>
      <c r="Y213" s="5">
        <f>VLOOKUP($A213,'SegEnds_NonXtal_Prot#'!$A:$AL,24,FALSE)</f>
        <v>178</v>
      </c>
      <c r="Z213" s="5">
        <f>VLOOKUP($A213,'SegEnds_NonXtal_Prot#'!$A:$AL,27,FALSE)</f>
        <v>185</v>
      </c>
      <c r="AA213" s="5">
        <f>VLOOKUP($A213,'SegEnds_NonXtal_Prot#'!$A:$AL,30,FALSE)</f>
        <v>226</v>
      </c>
      <c r="AB213" s="5">
        <f>VLOOKUP($A213,'SegEnds_NonXtal_Prot#'!$A:$AL,33,FALSE)</f>
        <v>269</v>
      </c>
      <c r="AC213" s="5">
        <f>VLOOKUP($A213,'SegEnds_NonXtal_Prot#'!$A:$AL,36,FALSE)</f>
        <v>298</v>
      </c>
      <c r="AD213" s="5">
        <f>VLOOKUP($A213,'SegEnds_NonXtal_Prot#'!$A:$AL,5,FALSE)</f>
        <v>56</v>
      </c>
      <c r="AE213" s="5">
        <f>VLOOKUP($A213,'SegEnds_NonXtal_Prot#'!$A:$AL,8,FALSE)</f>
        <v>60</v>
      </c>
      <c r="AF213" s="5">
        <f>VLOOKUP($A213,'SegEnds_NonXtal_Prot#'!$A:$AL,11,FALSE)</f>
        <v>91</v>
      </c>
      <c r="AG213" s="5">
        <f>VLOOKUP($A213,'SegEnds_NonXtal_Prot#'!$A:$AL,14,FALSE)</f>
        <v>96</v>
      </c>
      <c r="AH213" s="5">
        <f>VLOOKUP($A213,'SegEnds_NonXtal_Prot#'!$A:$AL,17,FALSE)</f>
        <v>132</v>
      </c>
      <c r="AI213" s="5">
        <f>VLOOKUP($A213,'SegEnds_NonXtal_Prot#'!$A:$AL,20,FALSE)</f>
        <v>140</v>
      </c>
      <c r="AJ213" s="5">
        <f>VLOOKUP($A213,'SegEnds_NonXtal_Prot#'!$A:$AL,23,FALSE)</f>
        <v>167</v>
      </c>
      <c r="AK213" s="5">
        <f>VLOOKUP($A213,'SegEnds_NonXtal_Prot#'!$A:$AL,26,FALSE)</f>
        <v>180</v>
      </c>
      <c r="AL213" s="5">
        <f>VLOOKUP($A213,'SegEnds_NonXtal_Prot#'!$A:$AL,29,FALSE)</f>
        <v>222</v>
      </c>
      <c r="AM213" s="5">
        <f>VLOOKUP($A213,'SegEnds_NonXtal_Prot#'!$A:$AL,32,FALSE)</f>
        <v>263</v>
      </c>
      <c r="AN213" s="5">
        <f>VLOOKUP($A213,'SegEnds_NonXtal_Prot#'!$A:$AL,35,FALSE)</f>
        <v>297</v>
      </c>
      <c r="AO213" s="5">
        <f>VLOOKUP($A213,'SegEnds_NonXtal_Prot#'!$A:$AL,38,FALSE)</f>
        <v>309</v>
      </c>
      <c r="AP213" s="5">
        <f t="shared" si="88"/>
        <v>29</v>
      </c>
      <c r="AQ213" s="4">
        <f t="shared" si="89"/>
        <v>3</v>
      </c>
      <c r="AR213" s="4">
        <f t="shared" si="90"/>
        <v>30</v>
      </c>
      <c r="AS213" s="4">
        <f t="shared" si="91"/>
        <v>3</v>
      </c>
      <c r="AT213" s="4">
        <f t="shared" si="92"/>
        <v>35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37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'SegEnds_NonXtal_Prot#'!A193</f>
        <v>nmbr_human</v>
      </c>
      <c r="B214" s="1" t="str">
        <f t="shared" si="75"/>
        <v>SDGTTTELVIRCVIPSLYLLIITVGLLGNIMLVKIFITNSVPNIFISNLAAGDLLLLLTCVPVDASRYFFGKVGCKLIPVIQLTSVGVSVFTLTALSADRYRAIVNALLRTCVKAMGIWVVSVLLAVPEAVFSQTDELHPKIHSVLIFLVYFLIPLAIISIYYYHIAKTLIKSAHNLKKQMETRKRLAKIVLVFVGCFIFCWFPNHILYMYRSFNSLGHMIVTLVARVLSFGNSCVNPFALYLLSESFRRHFNSQLCC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4" s="5" t="str">
        <f t="shared" si="76"/>
        <v>SDGTTTELVIRCVIPSLYLLIITVGLLGNIMLVKIFITN</v>
      </c>
      <c r="G214" s="4" t="str">
        <f t="shared" si="77"/>
        <v>SAMR</v>
      </c>
      <c r="H214" s="4" t="str">
        <f t="shared" si="78"/>
        <v>SVPNIFISNLAAGDLLLLLTCVPVDASRYFF</v>
      </c>
      <c r="I214" s="4" t="str">
        <f t="shared" si="79"/>
        <v>EWMF</v>
      </c>
      <c r="J214" s="4" t="str">
        <f t="shared" si="80"/>
        <v>GKVGCKLIPVIQLTSVGVSVFTLTALSADRYRAIVN</v>
      </c>
      <c r="K214" s="4" t="str">
        <f t="shared" si="81"/>
        <v>PMDMQTSG</v>
      </c>
      <c r="L214" s="4" t="str">
        <f t="shared" si="82"/>
        <v>ALLRTCVKAMGIWVVSVLLAVPEAVFS</v>
      </c>
      <c r="M214" s="4" t="str">
        <f t="shared" si="83"/>
        <v>CIP</v>
      </c>
      <c r="N214" s="4" t="str">
        <f t="shared" si="84"/>
        <v>QTDELHPKIHSVLIFLVYFLIPLAIISIYYYHIAKTLIKSAHNL</v>
      </c>
      <c r="O214" s="4" t="str">
        <f t="shared" si="85"/>
        <v>KKQMETRKRLAKIVLVFVGCFIFCWFPNHILYMYRSFN</v>
      </c>
      <c r="P214" s="4" t="str">
        <f t="shared" si="86"/>
        <v>SLGHMIVTLVARVLSFGNSCVNPFALYLL</v>
      </c>
      <c r="Q214" s="4" t="str">
        <f t="shared" si="87"/>
        <v>SESFRRHFNSQLCC</v>
      </c>
      <c r="R214" s="5">
        <f>VLOOKUP($A214,'SegEnds_NonXtal_Prot#'!$A:$AL,3,FALSE)</f>
        <v>33</v>
      </c>
      <c r="S214" s="5">
        <f>VLOOKUP($A214,'SegEnds_NonXtal_Prot#'!$A:$AL,6,FALSE)</f>
        <v>72</v>
      </c>
      <c r="T214" s="5">
        <f>VLOOKUP($A214,'SegEnds_NonXtal_Prot#'!$A:$AL,9,FALSE)</f>
        <v>76</v>
      </c>
      <c r="U214" s="5">
        <f>VLOOKUP($A214,'SegEnds_NonXtal_Prot#'!$A:$AL,12,FALSE)</f>
        <v>108</v>
      </c>
      <c r="V214" s="5">
        <f>VLOOKUP($A214,'SegEnds_NonXtal_Prot#'!$A:$AL,15,FALSE)</f>
        <v>112</v>
      </c>
      <c r="W214" s="5">
        <f>VLOOKUP($A214,'SegEnds_NonXtal_Prot#'!$A:$AL,18,FALSE)</f>
        <v>148</v>
      </c>
      <c r="X214" s="5">
        <f>VLOOKUP($A214,'SegEnds_NonXtal_Prot#'!$A:$AL,21,FALSE)</f>
        <v>156</v>
      </c>
      <c r="Y214" s="5">
        <f>VLOOKUP($A214,'SegEnds_NonXtal_Prot#'!$A:$AL,24,FALSE)</f>
        <v>198</v>
      </c>
      <c r="Z214" s="5">
        <f>VLOOKUP($A214,'SegEnds_NonXtal_Prot#'!$A:$AL,27,FALSE)</f>
        <v>203</v>
      </c>
      <c r="AA214" s="5">
        <f>VLOOKUP($A214,'SegEnds_NonXtal_Prot#'!$A:$AL,30,FALSE)</f>
        <v>255</v>
      </c>
      <c r="AB214" s="5">
        <f>VLOOKUP($A214,'SegEnds_NonXtal_Prot#'!$A:$AL,33,FALSE)</f>
        <v>299</v>
      </c>
      <c r="AC214" s="5">
        <f>VLOOKUP($A214,'SegEnds_NonXtal_Prot#'!$A:$AL,36,FALSE)</f>
        <v>328</v>
      </c>
      <c r="AD214" s="5">
        <f>VLOOKUP($A214,'SegEnds_NonXtal_Prot#'!$A:$AL,5,FALSE)</f>
        <v>71</v>
      </c>
      <c r="AE214" s="5">
        <f>VLOOKUP($A214,'SegEnds_NonXtal_Prot#'!$A:$AL,8,FALSE)</f>
        <v>75</v>
      </c>
      <c r="AF214" s="5">
        <f>VLOOKUP($A214,'SegEnds_NonXtal_Prot#'!$A:$AL,11,FALSE)</f>
        <v>106</v>
      </c>
      <c r="AG214" s="5">
        <f>VLOOKUP($A214,'SegEnds_NonXtal_Prot#'!$A:$AL,14,FALSE)</f>
        <v>111</v>
      </c>
      <c r="AH214" s="5">
        <f>VLOOKUP($A214,'SegEnds_NonXtal_Prot#'!$A:$AL,17,FALSE)</f>
        <v>147</v>
      </c>
      <c r="AI214" s="5">
        <f>VLOOKUP($A214,'SegEnds_NonXtal_Prot#'!$A:$AL,20,FALSE)</f>
        <v>155</v>
      </c>
      <c r="AJ214" s="5">
        <f>VLOOKUP($A214,'SegEnds_NonXtal_Prot#'!$A:$AL,23,FALSE)</f>
        <v>182</v>
      </c>
      <c r="AK214" s="5">
        <f>VLOOKUP($A214,'SegEnds_NonXtal_Prot#'!$A:$AL,26,FALSE)</f>
        <v>200</v>
      </c>
      <c r="AL214" s="5">
        <f>VLOOKUP($A214,'SegEnds_NonXtal_Prot#'!$A:$AL,29,FALSE)</f>
        <v>246</v>
      </c>
      <c r="AM214" s="5">
        <f>VLOOKUP($A214,'SegEnds_NonXtal_Prot#'!$A:$AL,32,FALSE)</f>
        <v>292</v>
      </c>
      <c r="AN214" s="5">
        <f>VLOOKUP($A214,'SegEnds_NonXtal_Prot#'!$A:$AL,35,FALSE)</f>
        <v>327</v>
      </c>
      <c r="AO214" s="5">
        <f>VLOOKUP($A214,'SegEnds_NonXtal_Prot#'!$A:$AL,38,FALSE)</f>
        <v>341</v>
      </c>
      <c r="AP214" s="5">
        <f t="shared" si="88"/>
        <v>38</v>
      </c>
      <c r="AQ214" s="4">
        <f t="shared" si="89"/>
        <v>3</v>
      </c>
      <c r="AR214" s="4">
        <f t="shared" si="90"/>
        <v>30</v>
      </c>
      <c r="AS214" s="4">
        <f t="shared" si="91"/>
        <v>3</v>
      </c>
      <c r="AT214" s="4">
        <f t="shared" si="92"/>
        <v>35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43</v>
      </c>
      <c r="AY214" s="4">
        <f t="shared" si="97"/>
        <v>37</v>
      </c>
      <c r="AZ214" s="4">
        <f t="shared" si="98"/>
        <v>28</v>
      </c>
      <c r="BA214" s="4">
        <f t="shared" si="99"/>
        <v>13</v>
      </c>
    </row>
    <row r="215" spans="1:53" x14ac:dyDescent="0.2">
      <c r="A215" s="1" t="str">
        <f>'SegEnds_NonXtal_Prot#'!A194</f>
        <v>nmur1_human</v>
      </c>
      <c r="B215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5" s="5" t="str">
        <f t="shared" si="76"/>
        <v>TELFMPICATYLLIFVVGAVGNGLTCLVILRH</v>
      </c>
      <c r="G215" s="4" t="str">
        <f t="shared" si="77"/>
        <v>KAMR</v>
      </c>
      <c r="H215" s="4" t="str">
        <f t="shared" si="78"/>
        <v>TPTNYYLFSLAVSDLLVLLVGLPLELYEMW</v>
      </c>
      <c r="I215" s="4" t="str">
        <f t="shared" si="79"/>
        <v>NYPF</v>
      </c>
      <c r="J215" s="4" t="str">
        <f t="shared" si="80"/>
        <v>LLGVGGCYFRTLLFEMVCLASVLNVTALSVERYVAVVH</v>
      </c>
      <c r="K215" s="4" t="str">
        <f t="shared" si="81"/>
        <v>PLQARSMV</v>
      </c>
      <c r="L215" s="4" t="str">
        <f t="shared" si="82"/>
        <v>TRAHVRRVLGAVWGLAMLCSLPNTSLH</v>
      </c>
      <c r="M215" s="4" t="str">
        <f t="shared" si="83"/>
        <v>CML</v>
      </c>
      <c r="N215" s="4" t="str">
        <f t="shared" si="84"/>
        <v>RALYNMVVQTTALLFFCLPMAIMSVLYLLIGLRLRRERLLLMQEA</v>
      </c>
      <c r="O215" s="4" t="str">
        <f t="shared" si="85"/>
        <v>QQHDRGRRQVTKMLFVLVVVFGICWAPFHADRVMWSVV</v>
      </c>
      <c r="P215" s="4" t="str">
        <f t="shared" si="86"/>
        <v>HLAFQHVHVISGIFFYLGSAANPVLYSLM</v>
      </c>
      <c r="Q215" s="4" t="str">
        <f t="shared" si="87"/>
        <v>SSRFRETFQEAL</v>
      </c>
      <c r="R215" s="5">
        <f>VLOOKUP($A215,'SegEnds_NonXtal_Prot#'!$A:$AL,3,FALSE)</f>
        <v>57</v>
      </c>
      <c r="S215" s="5">
        <f>VLOOKUP($A215,'SegEnds_NonXtal_Prot#'!$A:$AL,6,FALSE)</f>
        <v>89</v>
      </c>
      <c r="T215" s="5">
        <f>VLOOKUP($A215,'SegEnds_NonXtal_Prot#'!$A:$AL,9,FALSE)</f>
        <v>93</v>
      </c>
      <c r="U215" s="5">
        <f>VLOOKUP($A215,'SegEnds_NonXtal_Prot#'!$A:$AL,12,FALSE)</f>
        <v>124</v>
      </c>
      <c r="V215" s="5">
        <f>VLOOKUP($A215,'SegEnds_NonXtal_Prot#'!$A:$AL,15,FALSE)</f>
        <v>128</v>
      </c>
      <c r="W215" s="5">
        <f>VLOOKUP($A215,'SegEnds_NonXtal_Prot#'!$A:$AL,18,FALSE)</f>
        <v>166</v>
      </c>
      <c r="X215" s="5">
        <f>VLOOKUP($A215,'SegEnds_NonXtal_Prot#'!$A:$AL,21,FALSE)</f>
        <v>174</v>
      </c>
      <c r="Y215" s="5">
        <f>VLOOKUP($A215,'SegEnds_NonXtal_Prot#'!$A:$AL,24,FALSE)</f>
        <v>219</v>
      </c>
      <c r="Z215" s="5">
        <f>VLOOKUP($A215,'SegEnds_NonXtal_Prot#'!$A:$AL,27,FALSE)</f>
        <v>225</v>
      </c>
      <c r="AA215" s="5">
        <f>VLOOKUP($A215,'SegEnds_NonXtal_Prot#'!$A:$AL,30,FALSE)</f>
        <v>286</v>
      </c>
      <c r="AB215" s="5">
        <f>VLOOKUP($A215,'SegEnds_NonXtal_Prot#'!$A:$AL,33,FALSE)</f>
        <v>331</v>
      </c>
      <c r="AC215" s="5">
        <f>VLOOKUP($A215,'SegEnds_NonXtal_Prot#'!$A:$AL,36,FALSE)</f>
        <v>360</v>
      </c>
      <c r="AD215" s="5">
        <f>VLOOKUP($A215,'SegEnds_NonXtal_Prot#'!$A:$AL,5,FALSE)</f>
        <v>88</v>
      </c>
      <c r="AE215" s="5">
        <f>VLOOKUP($A215,'SegEnds_NonXtal_Prot#'!$A:$AL,8,FALSE)</f>
        <v>92</v>
      </c>
      <c r="AF215" s="5">
        <f>VLOOKUP($A215,'SegEnds_NonXtal_Prot#'!$A:$AL,11,FALSE)</f>
        <v>122</v>
      </c>
      <c r="AG215" s="5">
        <f>VLOOKUP($A215,'SegEnds_NonXtal_Prot#'!$A:$AL,14,FALSE)</f>
        <v>127</v>
      </c>
      <c r="AH215" s="5">
        <f>VLOOKUP($A215,'SegEnds_NonXtal_Prot#'!$A:$AL,17,FALSE)</f>
        <v>165</v>
      </c>
      <c r="AI215" s="5">
        <f>VLOOKUP($A215,'SegEnds_NonXtal_Prot#'!$A:$AL,20,FALSE)</f>
        <v>173</v>
      </c>
      <c r="AJ215" s="5">
        <f>VLOOKUP($A215,'SegEnds_NonXtal_Prot#'!$A:$AL,23,FALSE)</f>
        <v>200</v>
      </c>
      <c r="AK215" s="5">
        <f>VLOOKUP($A215,'SegEnds_NonXtal_Prot#'!$A:$AL,26,FALSE)</f>
        <v>221</v>
      </c>
      <c r="AL215" s="5">
        <f>VLOOKUP($A215,'SegEnds_NonXtal_Prot#'!$A:$AL,29,FALSE)</f>
        <v>269</v>
      </c>
      <c r="AM215" s="5">
        <f>VLOOKUP($A215,'SegEnds_NonXtal_Prot#'!$A:$AL,32,FALSE)</f>
        <v>323</v>
      </c>
      <c r="AN215" s="5">
        <f>VLOOKUP($A215,'SegEnds_NonXtal_Prot#'!$A:$AL,35,FALSE)</f>
        <v>359</v>
      </c>
      <c r="AO215" s="5">
        <f>VLOOKUP($A215,'SegEnds_NonXtal_Prot#'!$A:$AL,38,FALSE)</f>
        <v>371</v>
      </c>
      <c r="AP215" s="5">
        <f t="shared" si="88"/>
        <v>31</v>
      </c>
      <c r="AQ215" s="4">
        <f t="shared" si="89"/>
        <v>3</v>
      </c>
      <c r="AR215" s="4">
        <f t="shared" si="90"/>
        <v>29</v>
      </c>
      <c r="AS215" s="4">
        <f t="shared" si="91"/>
        <v>3</v>
      </c>
      <c r="AT215" s="4">
        <f t="shared" si="92"/>
        <v>37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28</v>
      </c>
      <c r="BA215" s="4">
        <f t="shared" si="99"/>
        <v>11</v>
      </c>
    </row>
    <row r="216" spans="1:53" x14ac:dyDescent="0.2">
      <c r="A216" s="1" t="str">
        <f>'SegEnds_NonXtal_Prot#'!A195</f>
        <v>nmur2_human</v>
      </c>
      <c r="B216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6" s="29" t="str">
        <f>IF(ISERROR(MATCH(A216,'SegEnds_Xtal_Prot#'!B:B, 0)), "NoXtal", "Xtal")</f>
        <v>NoXtal</v>
      </c>
      <c r="D216" s="4" t="str">
        <f>VLOOKUP(A216,Classification!A:D,2,FALSE)</f>
        <v>A</v>
      </c>
      <c r="E216" s="5" t="str">
        <f>VLOOKUP(A216,Seqs!A:B,2,FALSE)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6" s="5" t="str">
        <f t="shared" si="76"/>
        <v>SHFFLPVSVVYVPIFVVGVIGNVLVCLVILQH</v>
      </c>
      <c r="G216" s="4" t="str">
        <f t="shared" si="77"/>
        <v>QAMK</v>
      </c>
      <c r="H216" s="4" t="str">
        <f t="shared" si="78"/>
        <v>TPTNYYLFSLAVSDLLVLLLGMPLEVYEMW</v>
      </c>
      <c r="I216" s="4" t="str">
        <f t="shared" si="79"/>
        <v>NYPF</v>
      </c>
      <c r="J216" s="4" t="str">
        <f t="shared" si="80"/>
        <v>LFGPVGCYFKTALFETVCFASILSITTVSVERYVAILH</v>
      </c>
      <c r="K216" s="4" t="str">
        <f t="shared" si="81"/>
        <v>PFRAKLQS</v>
      </c>
      <c r="L216" s="4" t="str">
        <f t="shared" si="82"/>
        <v>TRRRALRILGIVWGFSVLFSLPNTSIH</v>
      </c>
      <c r="M216" s="4" t="str">
        <f t="shared" si="83"/>
        <v>CTV</v>
      </c>
      <c r="N216" s="4" t="str">
        <f t="shared" si="84"/>
        <v>MWIYNFIIQVTSFLFYLLPMTVISVLYYLMALRLKKDKSLEA</v>
      </c>
      <c r="O216" s="4" t="str">
        <f t="shared" si="85"/>
        <v>NANIQRPCRKSVNKMLFVLVLVFAICWAPFHIDRLFFSFV</v>
      </c>
      <c r="P216" s="4" t="str">
        <f t="shared" si="86"/>
        <v>AAVFNLVHVVSGVFFYLSSAVNPIIYNLL</v>
      </c>
      <c r="Q216" s="4" t="str">
        <f t="shared" si="87"/>
        <v>SRRFQAAFQNVI</v>
      </c>
      <c r="R216" s="5">
        <f>VLOOKUP($A216,'SegEnds_NonXtal_Prot#'!$A:$AL,3,FALSE)</f>
        <v>42</v>
      </c>
      <c r="S216" s="5">
        <f>VLOOKUP($A216,'SegEnds_NonXtal_Prot#'!$A:$AL,6,FALSE)</f>
        <v>74</v>
      </c>
      <c r="T216" s="5">
        <f>VLOOKUP($A216,'SegEnds_NonXtal_Prot#'!$A:$AL,9,FALSE)</f>
        <v>78</v>
      </c>
      <c r="U216" s="5">
        <f>VLOOKUP($A216,'SegEnds_NonXtal_Prot#'!$A:$AL,12,FALSE)</f>
        <v>109</v>
      </c>
      <c r="V216" s="5">
        <f>VLOOKUP($A216,'SegEnds_NonXtal_Prot#'!$A:$AL,15,FALSE)</f>
        <v>113</v>
      </c>
      <c r="W216" s="5">
        <f>VLOOKUP($A216,'SegEnds_NonXtal_Prot#'!$A:$AL,18,FALSE)</f>
        <v>151</v>
      </c>
      <c r="X216" s="5">
        <f>VLOOKUP($A216,'SegEnds_NonXtal_Prot#'!$A:$AL,21,FALSE)</f>
        <v>159</v>
      </c>
      <c r="Y216" s="5">
        <f>VLOOKUP($A216,'SegEnds_NonXtal_Prot#'!$A:$AL,24,FALSE)</f>
        <v>204</v>
      </c>
      <c r="Z216" s="5">
        <f>VLOOKUP($A216,'SegEnds_NonXtal_Prot#'!$A:$AL,27,FALSE)</f>
        <v>210</v>
      </c>
      <c r="AA216" s="5">
        <f>VLOOKUP($A216,'SegEnds_NonXtal_Prot#'!$A:$AL,30,FALSE)</f>
        <v>255</v>
      </c>
      <c r="AB216" s="5">
        <f>VLOOKUP($A216,'SegEnds_NonXtal_Prot#'!$A:$AL,33,FALSE)</f>
        <v>302</v>
      </c>
      <c r="AC216" s="5">
        <f>VLOOKUP($A216,'SegEnds_NonXtal_Prot#'!$A:$AL,36,FALSE)</f>
        <v>331</v>
      </c>
      <c r="AD216" s="5">
        <f>VLOOKUP($A216,'SegEnds_NonXtal_Prot#'!$A:$AL,5,FALSE)</f>
        <v>73</v>
      </c>
      <c r="AE216" s="5">
        <f>VLOOKUP($A216,'SegEnds_NonXtal_Prot#'!$A:$AL,8,FALSE)</f>
        <v>77</v>
      </c>
      <c r="AF216" s="5">
        <f>VLOOKUP($A216,'SegEnds_NonXtal_Prot#'!$A:$AL,11,FALSE)</f>
        <v>107</v>
      </c>
      <c r="AG216" s="5">
        <f>VLOOKUP($A216,'SegEnds_NonXtal_Prot#'!$A:$AL,14,FALSE)</f>
        <v>112</v>
      </c>
      <c r="AH216" s="5">
        <f>VLOOKUP($A216,'SegEnds_NonXtal_Prot#'!$A:$AL,17,FALSE)</f>
        <v>150</v>
      </c>
      <c r="AI216" s="5">
        <f>VLOOKUP($A216,'SegEnds_NonXtal_Prot#'!$A:$AL,20,FALSE)</f>
        <v>158</v>
      </c>
      <c r="AJ216" s="5">
        <f>VLOOKUP($A216,'SegEnds_NonXtal_Prot#'!$A:$AL,23,FALSE)</f>
        <v>185</v>
      </c>
      <c r="AK216" s="5">
        <f>VLOOKUP($A216,'SegEnds_NonXtal_Prot#'!$A:$AL,26,FALSE)</f>
        <v>206</v>
      </c>
      <c r="AL216" s="5">
        <f>VLOOKUP($A216,'SegEnds_NonXtal_Prot#'!$A:$AL,29,FALSE)</f>
        <v>251</v>
      </c>
      <c r="AM216" s="5">
        <f>VLOOKUP($A216,'SegEnds_NonXtal_Prot#'!$A:$AL,32,FALSE)</f>
        <v>294</v>
      </c>
      <c r="AN216" s="5">
        <f>VLOOKUP($A216,'SegEnds_NonXtal_Prot#'!$A:$AL,35,FALSE)</f>
        <v>330</v>
      </c>
      <c r="AO216" s="5">
        <f>VLOOKUP($A216,'SegEnds_NonXtal_Prot#'!$A:$AL,38,FALSE)</f>
        <v>342</v>
      </c>
      <c r="AP216" s="5">
        <f t="shared" si="88"/>
        <v>31</v>
      </c>
      <c r="AQ216" s="4">
        <f t="shared" si="89"/>
        <v>3</v>
      </c>
      <c r="AR216" s="4">
        <f t="shared" si="90"/>
        <v>29</v>
      </c>
      <c r="AS216" s="4">
        <f t="shared" si="91"/>
        <v>3</v>
      </c>
      <c r="AT216" s="4">
        <f t="shared" si="92"/>
        <v>37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41</v>
      </c>
      <c r="AY216" s="4">
        <f t="shared" si="97"/>
        <v>39</v>
      </c>
      <c r="AZ216" s="4">
        <f t="shared" si="98"/>
        <v>28</v>
      </c>
      <c r="BA216" s="4">
        <f t="shared" si="99"/>
        <v>11</v>
      </c>
    </row>
    <row r="217" spans="1:53" x14ac:dyDescent="0.2">
      <c r="A217" s="1" t="str">
        <f>'SegEnds_NonXtal_Prot#'!A196</f>
        <v>ntr1_human</v>
      </c>
      <c r="B217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7" s="5" t="str">
        <f t="shared" si="76"/>
        <v>IYSKVLVTAVYLALFVVGTVGNTVTAFTLARK</v>
      </c>
      <c r="G217" s="4" t="str">
        <f t="shared" si="77"/>
        <v>KSLQ</v>
      </c>
      <c r="H217" s="4" t="str">
        <f t="shared" si="78"/>
        <v>SLQSTVHYHLGSLALSDLLTLLLAMPVELYNFIWV</v>
      </c>
      <c r="I217" s="4" t="str">
        <f t="shared" si="79"/>
        <v>PWAF</v>
      </c>
      <c r="J217" s="4" t="str">
        <f t="shared" si="80"/>
        <v>GDAGCRGYYFLRDACTYATALNVASLSVERYLAICH</v>
      </c>
      <c r="K217" s="4" t="str">
        <f t="shared" si="81"/>
        <v>PFKAKTLM</v>
      </c>
      <c r="L217" s="4" t="str">
        <f t="shared" si="82"/>
        <v>SRSRTKKFISAIWLASALLAVPMLFTM</v>
      </c>
      <c r="M217" s="4" t="str">
        <f t="shared" si="83"/>
        <v>CTP</v>
      </c>
      <c r="N217" s="4" t="str">
        <f t="shared" si="84"/>
        <v>TATVKVVIQVNTFMSFIFPMVVISVLNTIIANKLTVMVRQAAEQG</v>
      </c>
      <c r="O217" s="4" t="str">
        <f t="shared" si="85"/>
        <v>PGRVQALRHGVRVLRAVVIAFVVCWLPYHVRRLMFCYI</v>
      </c>
      <c r="P217" s="4" t="str">
        <f t="shared" si="86"/>
        <v>TPFLYDFYHYFYMVTNALFYVSSTINPILYNLV</v>
      </c>
      <c r="Q217" s="4" t="str">
        <f t="shared" si="87"/>
        <v>SANFRHIFLATL</v>
      </c>
      <c r="R217" s="5">
        <f>VLOOKUP($A217,'SegEnds_NonXtal_Prot#'!$A:$AL,3,FALSE)</f>
        <v>60</v>
      </c>
      <c r="S217" s="5">
        <f>VLOOKUP($A217,'SegEnds_NonXtal_Prot#'!$A:$AL,6,FALSE)</f>
        <v>92</v>
      </c>
      <c r="T217" s="5">
        <f>VLOOKUP($A217,'SegEnds_NonXtal_Prot#'!$A:$AL,9,FALSE)</f>
        <v>96</v>
      </c>
      <c r="U217" s="5">
        <f>VLOOKUP($A217,'SegEnds_NonXtal_Prot#'!$A:$AL,12,FALSE)</f>
        <v>133</v>
      </c>
      <c r="V217" s="5">
        <f>VLOOKUP($A217,'SegEnds_NonXtal_Prot#'!$A:$AL,15,FALSE)</f>
        <v>137</v>
      </c>
      <c r="W217" s="5">
        <f>VLOOKUP($A217,'SegEnds_NonXtal_Prot#'!$A:$AL,18,FALSE)</f>
        <v>173</v>
      </c>
      <c r="X217" s="5">
        <f>VLOOKUP($A217,'SegEnds_NonXtal_Prot#'!$A:$AL,21,FALSE)</f>
        <v>181</v>
      </c>
      <c r="Y217" s="5">
        <f>VLOOKUP($A217,'SegEnds_NonXtal_Prot#'!$A:$AL,24,FALSE)</f>
        <v>224</v>
      </c>
      <c r="Z217" s="5">
        <f>VLOOKUP($A217,'SegEnds_NonXtal_Prot#'!$A:$AL,27,FALSE)</f>
        <v>230</v>
      </c>
      <c r="AA217" s="5">
        <f>VLOOKUP($A217,'SegEnds_NonXtal_Prot#'!$A:$AL,30,FALSE)</f>
        <v>292</v>
      </c>
      <c r="AB217" s="5">
        <f>VLOOKUP($A217,'SegEnds_NonXtal_Prot#'!$A:$AL,33,FALSE)</f>
        <v>335</v>
      </c>
      <c r="AC217" s="5">
        <f>VLOOKUP($A217,'SegEnds_NonXtal_Prot#'!$A:$AL,36,FALSE)</f>
        <v>368</v>
      </c>
      <c r="AD217" s="5">
        <f>VLOOKUP($A217,'SegEnds_NonXtal_Prot#'!$A:$AL,5,FALSE)</f>
        <v>91</v>
      </c>
      <c r="AE217" s="5">
        <f>VLOOKUP($A217,'SegEnds_NonXtal_Prot#'!$A:$AL,8,FALSE)</f>
        <v>95</v>
      </c>
      <c r="AF217" s="5">
        <f>VLOOKUP($A217,'SegEnds_NonXtal_Prot#'!$A:$AL,11,FALSE)</f>
        <v>130</v>
      </c>
      <c r="AG217" s="5">
        <f>VLOOKUP($A217,'SegEnds_NonXtal_Prot#'!$A:$AL,14,FALSE)</f>
        <v>136</v>
      </c>
      <c r="AH217" s="5">
        <f>VLOOKUP($A217,'SegEnds_NonXtal_Prot#'!$A:$AL,17,FALSE)</f>
        <v>172</v>
      </c>
      <c r="AI217" s="5">
        <f>VLOOKUP($A217,'SegEnds_NonXtal_Prot#'!$A:$AL,20,FALSE)</f>
        <v>180</v>
      </c>
      <c r="AJ217" s="5">
        <f>VLOOKUP($A217,'SegEnds_NonXtal_Prot#'!$A:$AL,23,FALSE)</f>
        <v>207</v>
      </c>
      <c r="AK217" s="5">
        <f>VLOOKUP($A217,'SegEnds_NonXtal_Prot#'!$A:$AL,26,FALSE)</f>
        <v>226</v>
      </c>
      <c r="AL217" s="5">
        <f>VLOOKUP($A217,'SegEnds_NonXtal_Prot#'!$A:$AL,29,FALSE)</f>
        <v>274</v>
      </c>
      <c r="AM217" s="5">
        <f>VLOOKUP($A217,'SegEnds_NonXtal_Prot#'!$A:$AL,32,FALSE)</f>
        <v>329</v>
      </c>
      <c r="AN217" s="5">
        <f>VLOOKUP($A217,'SegEnds_NonXtal_Prot#'!$A:$AL,35,FALSE)</f>
        <v>367</v>
      </c>
      <c r="AO217" s="5">
        <f>VLOOKUP($A217,'SegEnds_NonXtal_Prot#'!$A:$AL,38,FALSE)</f>
        <v>379</v>
      </c>
      <c r="AP217" s="5">
        <f t="shared" si="88"/>
        <v>31</v>
      </c>
      <c r="AQ217" s="4">
        <f t="shared" si="89"/>
        <v>3</v>
      </c>
      <c r="AR217" s="4">
        <f t="shared" si="90"/>
        <v>34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44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'SegEnds_NonXtal_Prot#'!A197</f>
        <v>ntr1_rat</v>
      </c>
      <c r="B218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8" s="29" t="str">
        <f>IF(ISERROR(MATCH(A218,'SegEnds_Xtal_Prot#'!B:B, 0)), "NoXtal", "Xtal")</f>
        <v>Xtal</v>
      </c>
      <c r="D218" s="4" t="str">
        <f>VLOOKUP(A218,Classification!A:D,2,FALSE)</f>
        <v>A</v>
      </c>
      <c r="E218" s="5" t="str">
        <f>VLOOKUP(A218,Seqs!A:B,2,FALSE)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8" s="5" t="str">
        <f t="shared" si="76"/>
        <v>IYSKVLVTAIYLALFVVGTVGNSVTAFTLARK</v>
      </c>
      <c r="G218" s="4" t="str">
        <f t="shared" si="77"/>
        <v>KSLQ</v>
      </c>
      <c r="H218" s="4" t="str">
        <f t="shared" si="78"/>
        <v>SLQSTVHYHLGSLALSDLLILLLAMPVELYNFIWV</v>
      </c>
      <c r="I218" s="4" t="str">
        <f t="shared" si="79"/>
        <v>PWAF</v>
      </c>
      <c r="J218" s="4" t="str">
        <f t="shared" si="80"/>
        <v>GDAGCRGYYFLRDACTYATALNVASLSVERYLAICH</v>
      </c>
      <c r="K218" s="4" t="str">
        <f t="shared" si="81"/>
        <v>PFKAKTLM</v>
      </c>
      <c r="L218" s="4" t="str">
        <f t="shared" si="82"/>
        <v>SRSRTKKFISAIWLASALLAIPMLFTM</v>
      </c>
      <c r="M218" s="4" t="str">
        <f t="shared" si="83"/>
        <v>CTP</v>
      </c>
      <c r="N218" s="4" t="str">
        <f t="shared" si="84"/>
        <v>TATVKVVIQVNTFMSFLFPMLVISILNTVIANKLTVMVHQAAEQG</v>
      </c>
      <c r="O218" s="4" t="str">
        <f t="shared" si="85"/>
        <v>PGRVQALRHGVLVLRAVVIAFVVCWLPYHVRRLMFCYI</v>
      </c>
      <c r="P218" s="4" t="str">
        <f t="shared" si="86"/>
        <v>TTFLFDFYHYFYMLTNALFYVSSAINPILYNLV</v>
      </c>
      <c r="Q218" s="4" t="str">
        <f t="shared" si="87"/>
        <v>SANFRQVFLSTL</v>
      </c>
      <c r="R218" s="5">
        <f>VLOOKUP($A218,'SegEnds_NonXtal_Prot#'!$A:$AL,3,FALSE)</f>
        <v>61</v>
      </c>
      <c r="S218" s="5">
        <f>VLOOKUP($A218,'SegEnds_NonXtal_Prot#'!$A:$AL,6,FALSE)</f>
        <v>93</v>
      </c>
      <c r="T218" s="5">
        <f>VLOOKUP($A218,'SegEnds_NonXtal_Prot#'!$A:$AL,9,FALSE)</f>
        <v>97</v>
      </c>
      <c r="U218" s="5">
        <f>VLOOKUP($A218,'SegEnds_NonXtal_Prot#'!$A:$AL,12,FALSE)</f>
        <v>134</v>
      </c>
      <c r="V218" s="5">
        <f>VLOOKUP($A218,'SegEnds_NonXtal_Prot#'!$A:$AL,15,FALSE)</f>
        <v>138</v>
      </c>
      <c r="W218" s="5">
        <f>VLOOKUP($A218,'SegEnds_NonXtal_Prot#'!$A:$AL,18,FALSE)</f>
        <v>174</v>
      </c>
      <c r="X218" s="5">
        <f>VLOOKUP($A218,'SegEnds_NonXtal_Prot#'!$A:$AL,21,FALSE)</f>
        <v>182</v>
      </c>
      <c r="Y218" s="5">
        <f>VLOOKUP($A218,'SegEnds_NonXtal_Prot#'!$A:$AL,24,FALSE)</f>
        <v>225</v>
      </c>
      <c r="Z218" s="5">
        <f>VLOOKUP($A218,'SegEnds_NonXtal_Prot#'!$A:$AL,27,FALSE)</f>
        <v>231</v>
      </c>
      <c r="AA218" s="5">
        <f>VLOOKUP($A218,'SegEnds_NonXtal_Prot#'!$A:$AL,30,FALSE)</f>
        <v>297</v>
      </c>
      <c r="AB218" s="5">
        <f>VLOOKUP($A218,'SegEnds_NonXtal_Prot#'!$A:$AL,33,FALSE)</f>
        <v>340</v>
      </c>
      <c r="AC218" s="5">
        <f>VLOOKUP($A218,'SegEnds_NonXtal_Prot#'!$A:$AL,36,FALSE)</f>
        <v>373</v>
      </c>
      <c r="AD218" s="5">
        <f>VLOOKUP($A218,'SegEnds_NonXtal_Prot#'!$A:$AL,5,FALSE)</f>
        <v>92</v>
      </c>
      <c r="AE218" s="5">
        <f>VLOOKUP($A218,'SegEnds_NonXtal_Prot#'!$A:$AL,8,FALSE)</f>
        <v>96</v>
      </c>
      <c r="AF218" s="5">
        <f>VLOOKUP($A218,'SegEnds_NonXtal_Prot#'!$A:$AL,11,FALSE)</f>
        <v>131</v>
      </c>
      <c r="AG218" s="5">
        <f>VLOOKUP($A218,'SegEnds_NonXtal_Prot#'!$A:$AL,14,FALSE)</f>
        <v>137</v>
      </c>
      <c r="AH218" s="5">
        <f>VLOOKUP($A218,'SegEnds_NonXtal_Prot#'!$A:$AL,17,FALSE)</f>
        <v>173</v>
      </c>
      <c r="AI218" s="5">
        <f>VLOOKUP($A218,'SegEnds_NonXtal_Prot#'!$A:$AL,20,FALSE)</f>
        <v>181</v>
      </c>
      <c r="AJ218" s="5">
        <f>VLOOKUP($A218,'SegEnds_NonXtal_Prot#'!$A:$AL,23,FALSE)</f>
        <v>208</v>
      </c>
      <c r="AK218" s="5">
        <f>VLOOKUP($A218,'SegEnds_NonXtal_Prot#'!$A:$AL,26,FALSE)</f>
        <v>227</v>
      </c>
      <c r="AL218" s="5">
        <f>VLOOKUP($A218,'SegEnds_NonXtal_Prot#'!$A:$AL,29,FALSE)</f>
        <v>275</v>
      </c>
      <c r="AM218" s="5">
        <f>VLOOKUP($A218,'SegEnds_NonXtal_Prot#'!$A:$AL,32,FALSE)</f>
        <v>334</v>
      </c>
      <c r="AN218" s="5">
        <f>VLOOKUP($A218,'SegEnds_NonXtal_Prot#'!$A:$AL,35,FALSE)</f>
        <v>372</v>
      </c>
      <c r="AO218" s="5">
        <f>VLOOKUP($A218,'SegEnds_NonXtal_Prot#'!$A:$AL,38,FALSE)</f>
        <v>384</v>
      </c>
      <c r="AP218" s="5">
        <f t="shared" si="88"/>
        <v>31</v>
      </c>
      <c r="AQ218" s="4">
        <f t="shared" si="89"/>
        <v>3</v>
      </c>
      <c r="AR218" s="4">
        <f t="shared" si="90"/>
        <v>34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44</v>
      </c>
      <c r="AY218" s="4">
        <f t="shared" si="97"/>
        <v>37</v>
      </c>
      <c r="AZ218" s="4">
        <f t="shared" si="98"/>
        <v>32</v>
      </c>
      <c r="BA218" s="4">
        <f t="shared" si="99"/>
        <v>11</v>
      </c>
    </row>
    <row r="219" spans="1:53" x14ac:dyDescent="0.2">
      <c r="A219" s="1" t="str">
        <f>'SegEnds_NonXtal_Prot#'!A199</f>
        <v>ogr1_human</v>
      </c>
      <c r="B219" s="1" t="str">
        <f t="shared" si="75"/>
        <v>IHQTLAPVVYVTVLVVGFPANCLSLYFGYLQNELGVYLCNLTVADLFYICSLPFWLQYVLQGDLSCQVCGILLYENIYISVGFLCCISVDRYLAVAHTLKAAVGVSVVIWAKELLTSIYFLMHEWQRAINYYRFLVGFLFPICLLLASYQGILRAVRRQKSRKDQIQRLVLSTVVIFLACFLPYHVLLLVRSVWAKGVFNAYHFSLLLTSFNCVADPVLYCFVSETTHRDLARLRGAC</v>
      </c>
      <c r="C219" s="29" t="str">
        <f>IF(ISERROR(MATCH(A219,'SegEnds_Xtal_Prot#'!B:B, 0)), "NoXtal", "Xtal")</f>
        <v>NoXtal</v>
      </c>
      <c r="D219" s="4" t="str">
        <f>VLOOKUP(A219,Classification!A:D,2,FALSE)</f>
        <v>A</v>
      </c>
      <c r="E219" s="5" t="str">
        <f>VLOOKUP(A219,Seqs!A:B,2,FALSE)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9" s="5" t="str">
        <f t="shared" si="76"/>
        <v>IHQTLAPVVYVTVLVVGFPANCLSLYFGYLQ</v>
      </c>
      <c r="G219" s="4" t="str">
        <f t="shared" si="77"/>
        <v>IKAR</v>
      </c>
      <c r="H219" s="4" t="str">
        <f t="shared" si="78"/>
        <v>NELGVYLCNLTVADLFYICSLPFWLQYVLQ</v>
      </c>
      <c r="I219" s="4" t="str">
        <f t="shared" si="79"/>
        <v>NWSH</v>
      </c>
      <c r="J219" s="4" t="str">
        <f t="shared" si="80"/>
        <v>GDLSCQVCGILLYENIYISVGFLCCISVDRYLAVAH</v>
      </c>
      <c r="K219" s="4" t="str">
        <f t="shared" si="81"/>
        <v>PFRFHQFR</v>
      </c>
      <c r="L219" s="4" t="str">
        <f t="shared" si="82"/>
        <v>TLKAAVGVSVVIWAKELLTSIYFLMHE</v>
      </c>
      <c r="M219" s="4" t="str">
        <f t="shared" si="83"/>
        <v>CFE</v>
      </c>
      <c r="N219" s="4" t="str">
        <f t="shared" si="84"/>
        <v>WQRAINYYRFLVGFLFPICLLLASYQGILRAVRR</v>
      </c>
      <c r="O219" s="4" t="str">
        <f t="shared" si="85"/>
        <v>QKSRKDQIQRLVLSTVVIFLACFLPYHVLLLVRSVW</v>
      </c>
      <c r="P219" s="4" t="str">
        <f t="shared" si="86"/>
        <v>AKGVFNAYHFSLLLTSFNCVADPVLYCFV</v>
      </c>
      <c r="Q219" s="4" t="str">
        <f t="shared" si="87"/>
        <v>SETTHRDLARLRGAC</v>
      </c>
      <c r="R219" s="5">
        <f>VLOOKUP($A219,'SegEnds_NonXtal_Prot#'!$A:$AL,3,FALSE)</f>
        <v>19</v>
      </c>
      <c r="S219" s="5">
        <f>VLOOKUP($A219,'SegEnds_NonXtal_Prot#'!$A:$AL,6,FALSE)</f>
        <v>50</v>
      </c>
      <c r="T219" s="5">
        <f>VLOOKUP($A219,'SegEnds_NonXtal_Prot#'!$A:$AL,9,FALSE)</f>
        <v>54</v>
      </c>
      <c r="U219" s="5">
        <f>VLOOKUP($A219,'SegEnds_NonXtal_Prot#'!$A:$AL,12,FALSE)</f>
        <v>86</v>
      </c>
      <c r="V219" s="5">
        <f>VLOOKUP($A219,'SegEnds_NonXtal_Prot#'!$A:$AL,15,FALSE)</f>
        <v>90</v>
      </c>
      <c r="W219" s="5">
        <f>VLOOKUP($A219,'SegEnds_NonXtal_Prot#'!$A:$AL,18,FALSE)</f>
        <v>126</v>
      </c>
      <c r="X219" s="5">
        <f>VLOOKUP($A219,'SegEnds_NonXtal_Prot#'!$A:$AL,21,FALSE)</f>
        <v>134</v>
      </c>
      <c r="Y219" s="5">
        <f>VLOOKUP($A219,'SegEnds_NonXtal_Prot#'!$A:$AL,24,FALSE)</f>
        <v>172</v>
      </c>
      <c r="Z219" s="5">
        <f>VLOOKUP($A219,'SegEnds_NonXtal_Prot#'!$A:$AL,27,FALSE)</f>
        <v>181</v>
      </c>
      <c r="AA219" s="5">
        <f>VLOOKUP($A219,'SegEnds_NonXtal_Prot#'!$A:$AL,30,FALSE)</f>
        <v>219</v>
      </c>
      <c r="AB219" s="5">
        <f>VLOOKUP($A219,'SegEnds_NonXtal_Prot#'!$A:$AL,33,FALSE)</f>
        <v>261</v>
      </c>
      <c r="AC219" s="5">
        <f>VLOOKUP($A219,'SegEnds_NonXtal_Prot#'!$A:$AL,36,FALSE)</f>
        <v>290</v>
      </c>
      <c r="AD219" s="5">
        <f>VLOOKUP($A219,'SegEnds_NonXtal_Prot#'!$A:$AL,5,FALSE)</f>
        <v>49</v>
      </c>
      <c r="AE219" s="5">
        <f>VLOOKUP($A219,'SegEnds_NonXtal_Prot#'!$A:$AL,8,FALSE)</f>
        <v>53</v>
      </c>
      <c r="AF219" s="5">
        <f>VLOOKUP($A219,'SegEnds_NonXtal_Prot#'!$A:$AL,11,FALSE)</f>
        <v>83</v>
      </c>
      <c r="AG219" s="5">
        <f>VLOOKUP($A219,'SegEnds_NonXtal_Prot#'!$A:$AL,14,FALSE)</f>
        <v>89</v>
      </c>
      <c r="AH219" s="5">
        <f>VLOOKUP($A219,'SegEnds_NonXtal_Prot#'!$A:$AL,17,FALSE)</f>
        <v>125</v>
      </c>
      <c r="AI219" s="5">
        <f>VLOOKUP($A219,'SegEnds_NonXtal_Prot#'!$A:$AL,20,FALSE)</f>
        <v>133</v>
      </c>
      <c r="AJ219" s="5">
        <f>VLOOKUP($A219,'SegEnds_NonXtal_Prot#'!$A:$AL,23,FALSE)</f>
        <v>160</v>
      </c>
      <c r="AK219" s="5">
        <f>VLOOKUP($A219,'SegEnds_NonXtal_Prot#'!$A:$AL,26,FALSE)</f>
        <v>174</v>
      </c>
      <c r="AL219" s="5">
        <f>VLOOKUP($A219,'SegEnds_NonXtal_Prot#'!$A:$AL,29,FALSE)</f>
        <v>214</v>
      </c>
      <c r="AM219" s="5">
        <f>VLOOKUP($A219,'SegEnds_NonXtal_Prot#'!$A:$AL,32,FALSE)</f>
        <v>254</v>
      </c>
      <c r="AN219" s="5">
        <f>VLOOKUP($A219,'SegEnds_NonXtal_Prot#'!$A:$AL,35,FALSE)</f>
        <v>289</v>
      </c>
      <c r="AO219" s="5">
        <f>VLOOKUP($A219,'SegEnds_NonXtal_Prot#'!$A:$AL,38,FALSE)</f>
        <v>304</v>
      </c>
      <c r="AP219" s="5">
        <f t="shared" si="88"/>
        <v>30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33</v>
      </c>
      <c r="AY219" s="4">
        <f t="shared" si="97"/>
        <v>35</v>
      </c>
      <c r="AZ219" s="4">
        <f t="shared" si="98"/>
        <v>28</v>
      </c>
      <c r="BA219" s="4">
        <f t="shared" si="99"/>
        <v>14</v>
      </c>
    </row>
    <row r="220" spans="1:53" x14ac:dyDescent="0.2">
      <c r="A220" s="1" t="str">
        <f>'SegEnds_NonXtal_Prot#'!A200</f>
        <v>opn4_human</v>
      </c>
      <c r="B220" s="1" t="str">
        <f t="shared" si="75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220" s="29" t="str">
        <f>IF(ISERROR(MATCH(A220,'SegEnds_Xtal_Prot#'!B:B, 0)), "NoXtal", "Xtal")</f>
        <v>NoXtal</v>
      </c>
      <c r="D220" s="4" t="str">
        <f>VLOOKUP(A220,Classification!A:D,2,FALSE)</f>
        <v>A</v>
      </c>
      <c r="E220" s="5" t="str">
        <f>VLOOKUP(A220,Seqs!A:B,2,FALSE)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220" s="5" t="str">
        <f t="shared" si="76"/>
        <v>DHAHYTLGTVILLVGLTGMLGNLTVIYTFCRS</v>
      </c>
      <c r="G220" s="4" t="str">
        <f t="shared" si="77"/>
        <v>RSLR</v>
      </c>
      <c r="H220" s="4" t="str">
        <f t="shared" si="78"/>
        <v>TPANMFIINLAVSDFLMSFTQAPVFFTSSLYK</v>
      </c>
      <c r="I220" s="4" t="str">
        <f t="shared" si="79"/>
        <v>QWLF</v>
      </c>
      <c r="J220" s="4" t="str">
        <f t="shared" si="80"/>
        <v>GETGCEFYAFCGALFGISSMITLTAIALDRYLVITR</v>
      </c>
      <c r="K220" s="4" t="str">
        <f t="shared" si="81"/>
        <v>PLATFGVA</v>
      </c>
      <c r="L220" s="4" t="str">
        <f t="shared" si="82"/>
        <v>SKRRAAFVLLGVWLYALAWSLPPFF</v>
      </c>
      <c r="M220" s="4" t="str">
        <f t="shared" si="83"/>
        <v>CSW</v>
      </c>
      <c r="N220" s="4" t="str">
        <f t="shared" si="84"/>
        <v>AVRAYTMLLCCFVFFLPLLIIIYCYIFIFRAIRETGRALQT</v>
      </c>
      <c r="O220" s="4" t="str">
        <f t="shared" si="85"/>
        <v>LWQRQRLQSECKMAKIMLLVILLFVLSWAPYSAVALVAFAG</v>
      </c>
      <c r="P220" s="4" t="str">
        <f t="shared" si="86"/>
        <v>TPYMSSVPAVIAKASAIHNPIIYAIT</v>
      </c>
      <c r="Q220" s="4" t="str">
        <f t="shared" si="87"/>
        <v>HPKYRVAIAQHLP</v>
      </c>
      <c r="R220" s="5">
        <f>VLOOKUP($A220,'SegEnds_NonXtal_Prot#'!$A:$AL,3,FALSE)</f>
        <v>67</v>
      </c>
      <c r="S220" s="5">
        <f>VLOOKUP($A220,'SegEnds_NonXtal_Prot#'!$A:$AL,6,FALSE)</f>
        <v>99</v>
      </c>
      <c r="T220" s="5">
        <f>VLOOKUP($A220,'SegEnds_NonXtal_Prot#'!$A:$AL,9,FALSE)</f>
        <v>103</v>
      </c>
      <c r="U220" s="5">
        <f>VLOOKUP($A220,'SegEnds_NonXtal_Prot#'!$A:$AL,12,FALSE)</f>
        <v>135</v>
      </c>
      <c r="V220" s="5">
        <f>VLOOKUP($A220,'SegEnds_NonXtal_Prot#'!$A:$AL,15,FALSE)</f>
        <v>139</v>
      </c>
      <c r="W220" s="5">
        <f>VLOOKUP($A220,'SegEnds_NonXtal_Prot#'!$A:$AL,18,FALSE)</f>
        <v>175</v>
      </c>
      <c r="X220" s="5">
        <f>VLOOKUP($A220,'SegEnds_NonXtal_Prot#'!$A:$AL,21,FALSE)</f>
        <v>183</v>
      </c>
      <c r="Y220" s="5">
        <f>VLOOKUP($A220,'SegEnds_NonXtal_Prot#'!$A:$AL,24,FALSE)</f>
        <v>221</v>
      </c>
      <c r="Z220" s="5">
        <f>VLOOKUP($A220,'SegEnds_NonXtal_Prot#'!$A:$AL,27,FALSE)</f>
        <v>231</v>
      </c>
      <c r="AA220" s="5">
        <f>VLOOKUP($A220,'SegEnds_NonXtal_Prot#'!$A:$AL,30,FALSE)</f>
        <v>282</v>
      </c>
      <c r="AB220" s="5">
        <f>VLOOKUP($A220,'SegEnds_NonXtal_Prot#'!$A:$AL,33,FALSE)</f>
        <v>328</v>
      </c>
      <c r="AC220" s="5">
        <f>VLOOKUP($A220,'SegEnds_NonXtal_Prot#'!$A:$AL,36,FALSE)</f>
        <v>354</v>
      </c>
      <c r="AD220" s="5">
        <f>VLOOKUP($A220,'SegEnds_NonXtal_Prot#'!$A:$AL,5,FALSE)</f>
        <v>98</v>
      </c>
      <c r="AE220" s="5">
        <f>VLOOKUP($A220,'SegEnds_NonXtal_Prot#'!$A:$AL,8,FALSE)</f>
        <v>102</v>
      </c>
      <c r="AF220" s="5">
        <f>VLOOKUP($A220,'SegEnds_NonXtal_Prot#'!$A:$AL,11,FALSE)</f>
        <v>134</v>
      </c>
      <c r="AG220" s="5">
        <f>VLOOKUP($A220,'SegEnds_NonXtal_Prot#'!$A:$AL,14,FALSE)</f>
        <v>138</v>
      </c>
      <c r="AH220" s="5">
        <f>VLOOKUP($A220,'SegEnds_NonXtal_Prot#'!$A:$AL,17,FALSE)</f>
        <v>174</v>
      </c>
      <c r="AI220" s="5">
        <f>VLOOKUP($A220,'SegEnds_NonXtal_Prot#'!$A:$AL,20,FALSE)</f>
        <v>182</v>
      </c>
      <c r="AJ220" s="5">
        <f>VLOOKUP($A220,'SegEnds_NonXtal_Prot#'!$A:$AL,23,FALSE)</f>
        <v>207</v>
      </c>
      <c r="AK220" s="5">
        <f>VLOOKUP($A220,'SegEnds_NonXtal_Prot#'!$A:$AL,26,FALSE)</f>
        <v>223</v>
      </c>
      <c r="AL220" s="5">
        <f>VLOOKUP($A220,'SegEnds_NonXtal_Prot#'!$A:$AL,29,FALSE)</f>
        <v>271</v>
      </c>
      <c r="AM220" s="5">
        <f>VLOOKUP($A220,'SegEnds_NonXtal_Prot#'!$A:$AL,32,FALSE)</f>
        <v>322</v>
      </c>
      <c r="AN220" s="5">
        <f>VLOOKUP($A220,'SegEnds_NonXtal_Prot#'!$A:$AL,35,FALSE)</f>
        <v>353</v>
      </c>
      <c r="AO220" s="5">
        <f>VLOOKUP($A220,'SegEnds_NonXtal_Prot#'!$A:$AL,38,FALSE)</f>
        <v>366</v>
      </c>
      <c r="AP220" s="5">
        <f t="shared" si="88"/>
        <v>31</v>
      </c>
      <c r="AQ220" s="4">
        <f t="shared" si="89"/>
        <v>3</v>
      </c>
      <c r="AR220" s="4">
        <f t="shared" si="90"/>
        <v>31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24</v>
      </c>
      <c r="AW220" s="4">
        <f t="shared" si="95"/>
        <v>2</v>
      </c>
      <c r="AX220" s="4">
        <f t="shared" si="96"/>
        <v>40</v>
      </c>
      <c r="AY220" s="4">
        <f t="shared" si="97"/>
        <v>40</v>
      </c>
      <c r="AZ220" s="4">
        <f t="shared" si="98"/>
        <v>25</v>
      </c>
      <c r="BA220" s="4">
        <f t="shared" si="99"/>
        <v>12</v>
      </c>
    </row>
    <row r="221" spans="1:53" x14ac:dyDescent="0.2">
      <c r="A221" s="1" t="str">
        <f>'SegEnds_NonXtal_Prot#'!A204</f>
        <v>oprm_human</v>
      </c>
      <c r="B221" s="1" t="str">
        <f t="shared" si="75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21" s="29" t="str">
        <f>IF(ISERROR(MATCH(A221,'SegEnds_Xtal_Prot#'!B:B, 0)), "NoXtal", "Xtal")</f>
        <v>NoXtal</v>
      </c>
      <c r="D221" s="4" t="str">
        <f>VLOOKUP(A221,Classification!A:D,2,FALSE)</f>
        <v>A</v>
      </c>
      <c r="E221" s="5" t="str">
        <f>VLOOKUP(A221,Seqs!A:B,2,FALSE)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21" s="5" t="str">
        <f t="shared" si="76"/>
        <v>MITAITIMALYSIVCVVGLFGNFLVMYVIVRY</v>
      </c>
      <c r="G221" s="4" t="str">
        <f t="shared" si="77"/>
        <v>TKMK</v>
      </c>
      <c r="H221" s="4" t="str">
        <f t="shared" si="78"/>
        <v>TATNIYIFNLALADALATSTLPFQSVNYLM</v>
      </c>
      <c r="I221" s="4" t="str">
        <f t="shared" si="79"/>
        <v>TWPF</v>
      </c>
      <c r="J221" s="4" t="str">
        <f t="shared" si="80"/>
        <v>GTILCKIVISIDYYNMFTSIFTLCTMSVDRYIAVCH</v>
      </c>
      <c r="K221" s="4" t="str">
        <f t="shared" si="81"/>
        <v>PVKALDFR</v>
      </c>
      <c r="L221" s="4" t="str">
        <f t="shared" si="82"/>
        <v>TPRNAKIINVCNWILSSAIGLPVMFMA</v>
      </c>
      <c r="M221" s="4" t="str">
        <f t="shared" si="83"/>
        <v>CTL</v>
      </c>
      <c r="N221" s="4" t="str">
        <f t="shared" si="84"/>
        <v>TWYWENLLKICVFIFAFIMPVLIITVCYGLMILRLKSV</v>
      </c>
      <c r="O221" s="4" t="str">
        <f t="shared" si="85"/>
        <v>SKEKDRNLRRITRMVLVVVAVFIVCWTPIHIYVIIKALV</v>
      </c>
      <c r="P221" s="4" t="str">
        <f t="shared" si="86"/>
        <v>TTFQTVSWHFCIALGYTNSCLNPVLYAFL</v>
      </c>
      <c r="Q221" s="4" t="str">
        <f t="shared" si="87"/>
        <v>DENFKRCFREFCI</v>
      </c>
      <c r="R221" s="5">
        <f>VLOOKUP($A221,'SegEnds_NonXtal_Prot#'!$A:$AL,3,FALSE)</f>
        <v>67</v>
      </c>
      <c r="S221" s="5">
        <f>VLOOKUP($A221,'SegEnds_NonXtal_Prot#'!$A:$AL,6,FALSE)</f>
        <v>99</v>
      </c>
      <c r="T221" s="5">
        <f>VLOOKUP($A221,'SegEnds_NonXtal_Prot#'!$A:$AL,9,FALSE)</f>
        <v>103</v>
      </c>
      <c r="U221" s="5">
        <f>VLOOKUP($A221,'SegEnds_NonXtal_Prot#'!$A:$AL,12,FALSE)</f>
        <v>134</v>
      </c>
      <c r="V221" s="5">
        <f>VLOOKUP($A221,'SegEnds_NonXtal_Prot#'!$A:$AL,15,FALSE)</f>
        <v>138</v>
      </c>
      <c r="W221" s="5">
        <f>VLOOKUP($A221,'SegEnds_NonXtal_Prot#'!$A:$AL,18,FALSE)</f>
        <v>174</v>
      </c>
      <c r="X221" s="5">
        <f>VLOOKUP($A221,'SegEnds_NonXtal_Prot#'!$A:$AL,21,FALSE)</f>
        <v>182</v>
      </c>
      <c r="Y221" s="5">
        <f>VLOOKUP($A221,'SegEnds_NonXtal_Prot#'!$A:$AL,24,FALSE)</f>
        <v>219</v>
      </c>
      <c r="Z221" s="5">
        <f>VLOOKUP($A221,'SegEnds_NonXtal_Prot#'!$A:$AL,27,FALSE)</f>
        <v>227</v>
      </c>
      <c r="AA221" s="5">
        <f>VLOOKUP($A221,'SegEnds_NonXtal_Prot#'!$A:$AL,30,FALSE)</f>
        <v>270</v>
      </c>
      <c r="AB221" s="5">
        <f>VLOOKUP($A221,'SegEnds_NonXtal_Prot#'!$A:$AL,33,FALSE)</f>
        <v>313</v>
      </c>
      <c r="AC221" s="5">
        <f>VLOOKUP($A221,'SegEnds_NonXtal_Prot#'!$A:$AL,36,FALSE)</f>
        <v>342</v>
      </c>
      <c r="AD221" s="5">
        <f>VLOOKUP($A221,'SegEnds_NonXtal_Prot#'!$A:$AL,5,FALSE)</f>
        <v>98</v>
      </c>
      <c r="AE221" s="5">
        <f>VLOOKUP($A221,'SegEnds_NonXtal_Prot#'!$A:$AL,8,FALSE)</f>
        <v>102</v>
      </c>
      <c r="AF221" s="5">
        <f>VLOOKUP($A221,'SegEnds_NonXtal_Prot#'!$A:$AL,11,FALSE)</f>
        <v>132</v>
      </c>
      <c r="AG221" s="5">
        <f>VLOOKUP($A221,'SegEnds_NonXtal_Prot#'!$A:$AL,14,FALSE)</f>
        <v>137</v>
      </c>
      <c r="AH221" s="5">
        <f>VLOOKUP($A221,'SegEnds_NonXtal_Prot#'!$A:$AL,17,FALSE)</f>
        <v>173</v>
      </c>
      <c r="AI221" s="5">
        <f>VLOOKUP($A221,'SegEnds_NonXtal_Prot#'!$A:$AL,20,FALSE)</f>
        <v>181</v>
      </c>
      <c r="AJ221" s="5">
        <f>VLOOKUP($A221,'SegEnds_NonXtal_Prot#'!$A:$AL,23,FALSE)</f>
        <v>208</v>
      </c>
      <c r="AK221" s="5">
        <f>VLOOKUP($A221,'SegEnds_NonXtal_Prot#'!$A:$AL,26,FALSE)</f>
        <v>221</v>
      </c>
      <c r="AL221" s="5">
        <f>VLOOKUP($A221,'SegEnds_NonXtal_Prot#'!$A:$AL,29,FALSE)</f>
        <v>264</v>
      </c>
      <c r="AM221" s="5">
        <f>VLOOKUP($A221,'SegEnds_NonXtal_Prot#'!$A:$AL,32,FALSE)</f>
        <v>308</v>
      </c>
      <c r="AN221" s="5">
        <f>VLOOKUP($A221,'SegEnds_NonXtal_Prot#'!$A:$AL,35,FALSE)</f>
        <v>341</v>
      </c>
      <c r="AO221" s="5">
        <f>VLOOKUP($A221,'SegEnds_NonXtal_Prot#'!$A:$AL,38,FALSE)</f>
        <v>354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'SegEnds_NonXtal_Prot#'!A205</f>
        <v>oprm_mouse</v>
      </c>
      <c r="B222" s="1" t="str">
        <f t="shared" si="75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22" s="5" t="str">
        <f t="shared" si="76"/>
        <v>MVTAITIMALYSIVCVVGLFGNFLVMYVIVRY</v>
      </c>
      <c r="G222" s="4" t="str">
        <f t="shared" si="77"/>
        <v>TKMK</v>
      </c>
      <c r="H222" s="4" t="str">
        <f t="shared" si="78"/>
        <v>TATNIYIFNLALADALATSTLPFQSVNYLM</v>
      </c>
      <c r="I222" s="4" t="str">
        <f t="shared" si="79"/>
        <v>TWPF</v>
      </c>
      <c r="J222" s="4" t="str">
        <f t="shared" si="80"/>
        <v>GNILCKIVISIDYYNMFTSIFTLCTMSVDRYIAVCH</v>
      </c>
      <c r="K222" s="4" t="str">
        <f t="shared" si="81"/>
        <v>PVKALDFR</v>
      </c>
      <c r="L222" s="4" t="str">
        <f t="shared" si="82"/>
        <v>TPRNAKIVNVCNWILSSAIGLPVMFMA</v>
      </c>
      <c r="M222" s="4" t="str">
        <f t="shared" si="83"/>
        <v>CTL</v>
      </c>
      <c r="N222" s="4" t="str">
        <f t="shared" si="84"/>
        <v>TWYWENLLKICVFIFAFIMPVLIITVCYGLMILRLKSV</v>
      </c>
      <c r="O222" s="4" t="str">
        <f t="shared" si="85"/>
        <v>SKEKDRNLRRITRMVLVVVAVFIVCWTPIHIYVIIKALI</v>
      </c>
      <c r="P222" s="4" t="str">
        <f t="shared" si="86"/>
        <v>TTFQTVSWHFCIALGYTNSCLNPVLYAFL</v>
      </c>
      <c r="Q222" s="4" t="str">
        <f t="shared" si="87"/>
        <v>DENFKRCFREFCI</v>
      </c>
      <c r="R222" s="5">
        <f>VLOOKUP($A222,'SegEnds_NonXtal_Prot#'!$A:$AL,3,FALSE)</f>
        <v>65</v>
      </c>
      <c r="S222" s="5">
        <f>VLOOKUP($A222,'SegEnds_NonXtal_Prot#'!$A:$AL,6,FALSE)</f>
        <v>97</v>
      </c>
      <c r="T222" s="5">
        <f>VLOOKUP($A222,'SegEnds_NonXtal_Prot#'!$A:$AL,9,FALSE)</f>
        <v>101</v>
      </c>
      <c r="U222" s="5">
        <f>VLOOKUP($A222,'SegEnds_NonXtal_Prot#'!$A:$AL,12,FALSE)</f>
        <v>132</v>
      </c>
      <c r="V222" s="5">
        <f>VLOOKUP($A222,'SegEnds_NonXtal_Prot#'!$A:$AL,15,FALSE)</f>
        <v>136</v>
      </c>
      <c r="W222" s="5">
        <f>VLOOKUP($A222,'SegEnds_NonXtal_Prot#'!$A:$AL,18,FALSE)</f>
        <v>172</v>
      </c>
      <c r="X222" s="5">
        <f>VLOOKUP($A222,'SegEnds_NonXtal_Prot#'!$A:$AL,21,FALSE)</f>
        <v>180</v>
      </c>
      <c r="Y222" s="5">
        <f>VLOOKUP($A222,'SegEnds_NonXtal_Prot#'!$A:$AL,24,FALSE)</f>
        <v>217</v>
      </c>
      <c r="Z222" s="5">
        <f>VLOOKUP($A222,'SegEnds_NonXtal_Prot#'!$A:$AL,27,FALSE)</f>
        <v>225</v>
      </c>
      <c r="AA222" s="5">
        <f>VLOOKUP($A222,'SegEnds_NonXtal_Prot#'!$A:$AL,30,FALSE)</f>
        <v>268</v>
      </c>
      <c r="AB222" s="5">
        <f>VLOOKUP($A222,'SegEnds_NonXtal_Prot#'!$A:$AL,33,FALSE)</f>
        <v>311</v>
      </c>
      <c r="AC222" s="5">
        <f>VLOOKUP($A222,'SegEnds_NonXtal_Prot#'!$A:$AL,36,FALSE)</f>
        <v>340</v>
      </c>
      <c r="AD222" s="5">
        <f>VLOOKUP($A222,'SegEnds_NonXtal_Prot#'!$A:$AL,5,FALSE)</f>
        <v>96</v>
      </c>
      <c r="AE222" s="5">
        <f>VLOOKUP($A222,'SegEnds_NonXtal_Prot#'!$A:$AL,8,FALSE)</f>
        <v>100</v>
      </c>
      <c r="AF222" s="5">
        <f>VLOOKUP($A222,'SegEnds_NonXtal_Prot#'!$A:$AL,11,FALSE)</f>
        <v>130</v>
      </c>
      <c r="AG222" s="5">
        <f>VLOOKUP($A222,'SegEnds_NonXtal_Prot#'!$A:$AL,14,FALSE)</f>
        <v>135</v>
      </c>
      <c r="AH222" s="5">
        <f>VLOOKUP($A222,'SegEnds_NonXtal_Prot#'!$A:$AL,17,FALSE)</f>
        <v>171</v>
      </c>
      <c r="AI222" s="5">
        <f>VLOOKUP($A222,'SegEnds_NonXtal_Prot#'!$A:$AL,20,FALSE)</f>
        <v>179</v>
      </c>
      <c r="AJ222" s="5">
        <f>VLOOKUP($A222,'SegEnds_NonXtal_Prot#'!$A:$AL,23,FALSE)</f>
        <v>206</v>
      </c>
      <c r="AK222" s="5">
        <f>VLOOKUP($A222,'SegEnds_NonXtal_Prot#'!$A:$AL,26,FALSE)</f>
        <v>219</v>
      </c>
      <c r="AL222" s="5">
        <f>VLOOKUP($A222,'SegEnds_NonXtal_Prot#'!$A:$AL,29,FALSE)</f>
        <v>262</v>
      </c>
      <c r="AM222" s="5">
        <f>VLOOKUP($A222,'SegEnds_NonXtal_Prot#'!$A:$AL,32,FALSE)</f>
        <v>306</v>
      </c>
      <c r="AN222" s="5">
        <f>VLOOKUP($A222,'SegEnds_NonXtal_Prot#'!$A:$AL,35,FALSE)</f>
        <v>339</v>
      </c>
      <c r="AO222" s="5">
        <f>VLOOKUP($A222,'SegEnds_NonXtal_Prot#'!$A:$AL,38,FALSE)</f>
        <v>352</v>
      </c>
      <c r="AP222" s="5">
        <f t="shared" si="88"/>
        <v>31</v>
      </c>
      <c r="AQ222" s="4">
        <f t="shared" si="89"/>
        <v>3</v>
      </c>
      <c r="AR222" s="4">
        <f t="shared" si="90"/>
        <v>29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26</v>
      </c>
      <c r="AW222" s="4">
        <f t="shared" si="95"/>
        <v>2</v>
      </c>
      <c r="AX222" s="4">
        <f t="shared" si="96"/>
        <v>37</v>
      </c>
      <c r="AY222" s="4">
        <f t="shared" si="97"/>
        <v>38</v>
      </c>
      <c r="AZ222" s="4">
        <f t="shared" si="98"/>
        <v>28</v>
      </c>
      <c r="BA222" s="4">
        <f t="shared" si="99"/>
        <v>12</v>
      </c>
    </row>
    <row r="223" spans="1:53" x14ac:dyDescent="0.2">
      <c r="A223" s="1" t="str">
        <f>'SegEnds_NonXtal_Prot#'!A206</f>
        <v>oprx_human</v>
      </c>
      <c r="B223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3" s="29" t="str">
        <f>IF(ISERROR(MATCH(A223,'SegEnds_Xtal_Prot#'!B:B, 0)), "NoXtal", "Xtal")</f>
        <v>Xtal</v>
      </c>
      <c r="D223" s="4" t="str">
        <f>VLOOKUP(A223,Classification!A:D,2,FALSE)</f>
        <v>A</v>
      </c>
      <c r="E223" s="5" t="str">
        <f>VLOOKUP(A223,Seqs!A:B,2,FALSE)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3" s="5" t="str">
        <f t="shared" si="76"/>
        <v>LGLKVTIVGLYLAVCVGGLLGNCLVMYVILRH</v>
      </c>
      <c r="G223" s="4" t="str">
        <f t="shared" si="77"/>
        <v>TKMK</v>
      </c>
      <c r="H223" s="4" t="str">
        <f t="shared" si="78"/>
        <v>TATNIYIFNLALADTLVLLTLPFQGTDILL</v>
      </c>
      <c r="I223" s="4" t="str">
        <f t="shared" si="79"/>
        <v>FWPF</v>
      </c>
      <c r="J223" s="4" t="str">
        <f t="shared" si="80"/>
        <v>GNALCKTVIAIDYYNMFTSTFTLTAMSVDRYVAICH</v>
      </c>
      <c r="K223" s="4" t="str">
        <f t="shared" si="81"/>
        <v>PIRALDVR</v>
      </c>
      <c r="L223" s="4" t="str">
        <f t="shared" si="82"/>
        <v>TSSKAQAVNVAIWALASVVGVPVAIMG</v>
      </c>
      <c r="M223" s="4" t="str">
        <f t="shared" si="83"/>
        <v>CLV</v>
      </c>
      <c r="N223" s="4" t="str">
        <f t="shared" si="84"/>
        <v>QDYWGPVFAICIFLFSFIVPVLVISVCYSLMIRRLRGV</v>
      </c>
      <c r="O223" s="4" t="str">
        <f t="shared" si="85"/>
        <v>SREKDRNLRRITRLVLVVVAVFVGCWTPVQVFVLAQGLG</v>
      </c>
      <c r="P223" s="4" t="str">
        <f t="shared" si="86"/>
        <v>SETAVAILRFCTALGYVNSCLNPILYAFL</v>
      </c>
      <c r="Q223" s="4" t="str">
        <f t="shared" si="87"/>
        <v>DENFKACFRKFCC</v>
      </c>
      <c r="R223" s="5">
        <f>VLOOKUP($A223,'SegEnds_NonXtal_Prot#'!$A:$AL,3,FALSE)</f>
        <v>48</v>
      </c>
      <c r="S223" s="5">
        <f>VLOOKUP($A223,'SegEnds_NonXtal_Prot#'!$A:$AL,6,FALSE)</f>
        <v>80</v>
      </c>
      <c r="T223" s="5">
        <f>VLOOKUP($A223,'SegEnds_NonXtal_Prot#'!$A:$AL,9,FALSE)</f>
        <v>84</v>
      </c>
      <c r="U223" s="5">
        <f>VLOOKUP($A223,'SegEnds_NonXtal_Prot#'!$A:$AL,12,FALSE)</f>
        <v>115</v>
      </c>
      <c r="V223" s="5">
        <f>VLOOKUP($A223,'SegEnds_NonXtal_Prot#'!$A:$AL,15,FALSE)</f>
        <v>119</v>
      </c>
      <c r="W223" s="5">
        <f>VLOOKUP($A223,'SegEnds_NonXtal_Prot#'!$A:$AL,18,FALSE)</f>
        <v>155</v>
      </c>
      <c r="X223" s="5">
        <f>VLOOKUP($A223,'SegEnds_NonXtal_Prot#'!$A:$AL,21,FALSE)</f>
        <v>163</v>
      </c>
      <c r="Y223" s="5">
        <f>VLOOKUP($A223,'SegEnds_NonXtal_Prot#'!$A:$AL,24,FALSE)</f>
        <v>200</v>
      </c>
      <c r="Z223" s="5">
        <f>VLOOKUP($A223,'SegEnds_NonXtal_Prot#'!$A:$AL,27,FALSE)</f>
        <v>208</v>
      </c>
      <c r="AA223" s="5">
        <f>VLOOKUP($A223,'SegEnds_NonXtal_Prot#'!$A:$AL,30,FALSE)</f>
        <v>251</v>
      </c>
      <c r="AB223" s="5">
        <f>VLOOKUP($A223,'SegEnds_NonXtal_Prot#'!$A:$AL,33,FALSE)</f>
        <v>294</v>
      </c>
      <c r="AC223" s="5">
        <f>VLOOKUP($A223,'SegEnds_NonXtal_Prot#'!$A:$AL,36,FALSE)</f>
        <v>323</v>
      </c>
      <c r="AD223" s="5">
        <f>VLOOKUP($A223,'SegEnds_NonXtal_Prot#'!$A:$AL,5,FALSE)</f>
        <v>79</v>
      </c>
      <c r="AE223" s="5">
        <f>VLOOKUP($A223,'SegEnds_NonXtal_Prot#'!$A:$AL,8,FALSE)</f>
        <v>83</v>
      </c>
      <c r="AF223" s="5">
        <f>VLOOKUP($A223,'SegEnds_NonXtal_Prot#'!$A:$AL,11,FALSE)</f>
        <v>113</v>
      </c>
      <c r="AG223" s="5">
        <f>VLOOKUP($A223,'SegEnds_NonXtal_Prot#'!$A:$AL,14,FALSE)</f>
        <v>118</v>
      </c>
      <c r="AH223" s="5">
        <f>VLOOKUP($A223,'SegEnds_NonXtal_Prot#'!$A:$AL,17,FALSE)</f>
        <v>154</v>
      </c>
      <c r="AI223" s="5">
        <f>VLOOKUP($A223,'SegEnds_NonXtal_Prot#'!$A:$AL,20,FALSE)</f>
        <v>162</v>
      </c>
      <c r="AJ223" s="5">
        <f>VLOOKUP($A223,'SegEnds_NonXtal_Prot#'!$A:$AL,23,FALSE)</f>
        <v>189</v>
      </c>
      <c r="AK223" s="5">
        <f>VLOOKUP($A223,'SegEnds_NonXtal_Prot#'!$A:$AL,26,FALSE)</f>
        <v>202</v>
      </c>
      <c r="AL223" s="5">
        <f>VLOOKUP($A223,'SegEnds_NonXtal_Prot#'!$A:$AL,29,FALSE)</f>
        <v>245</v>
      </c>
      <c r="AM223" s="5">
        <f>VLOOKUP($A223,'SegEnds_NonXtal_Prot#'!$A:$AL,32,FALSE)</f>
        <v>289</v>
      </c>
      <c r="AN223" s="5">
        <f>VLOOKUP($A223,'SegEnds_NonXtal_Prot#'!$A:$AL,35,FALSE)</f>
        <v>322</v>
      </c>
      <c r="AO223" s="5">
        <f>VLOOKUP($A223,'SegEnds_NonXtal_Prot#'!$A:$AL,38,FALSE)</f>
        <v>335</v>
      </c>
      <c r="AP223" s="5">
        <f t="shared" si="88"/>
        <v>31</v>
      </c>
      <c r="AQ223" s="4">
        <f t="shared" si="89"/>
        <v>3</v>
      </c>
      <c r="AR223" s="4">
        <f t="shared" si="90"/>
        <v>29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37</v>
      </c>
      <c r="AY223" s="4">
        <f t="shared" si="97"/>
        <v>38</v>
      </c>
      <c r="AZ223" s="4">
        <f t="shared" si="98"/>
        <v>28</v>
      </c>
      <c r="BA223" s="4">
        <f t="shared" si="99"/>
        <v>12</v>
      </c>
    </row>
    <row r="224" spans="1:53" x14ac:dyDescent="0.2">
      <c r="A224" s="1" t="str">
        <f>'SegEnds_NonXtal_Prot#'!A207</f>
        <v>opsd_todpa</v>
      </c>
      <c r="B224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4" s="29" t="str">
        <f>IF(ISERROR(MATCH(A224,'SegEnds_Xtal_Prot#'!B:B, 0)), "NoXtal", "Xtal")</f>
        <v>Xtal</v>
      </c>
      <c r="D224" s="4" t="str">
        <f>VLOOKUP(A224,Classification!A:D,2,FALSE)</f>
        <v>A</v>
      </c>
      <c r="E224" s="5" t="str">
        <f>VLOOKUP(A224,Seqs!A:B,2,FALSE)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4" s="5" t="str">
        <f t="shared" si="76"/>
        <v>DAVYYSLGIFIGICGIIGCGGNGIVIYLFTKT</v>
      </c>
      <c r="G224" s="4" t="str">
        <f t="shared" si="77"/>
        <v>KSLQ</v>
      </c>
      <c r="H224" s="4" t="str">
        <f t="shared" si="78"/>
        <v>TPANMFIINLAFSDFTFSLVNGFPLMTISCFLK</v>
      </c>
      <c r="I224" s="4" t="str">
        <f t="shared" si="79"/>
        <v>KWIF</v>
      </c>
      <c r="J224" s="4" t="str">
        <f t="shared" si="80"/>
        <v>GFAACKVYGFIGGIFGFMSIMTMAMISIDRYNVIGR</v>
      </c>
      <c r="K224" s="4" t="str">
        <f t="shared" si="81"/>
        <v>PMAASKKM</v>
      </c>
      <c r="L224" s="4" t="str">
        <f t="shared" si="82"/>
        <v>SHRRAFIMIIFVWLWSVLWAIGPIF</v>
      </c>
      <c r="M224" s="4" t="str">
        <f t="shared" si="83"/>
        <v>CSF</v>
      </c>
      <c r="N224" s="4" t="str">
        <f t="shared" si="84"/>
        <v>DSTTRSNILCMFILGFFGPILIIFFCYFNIVMSVSNHEKEMAAMAK</v>
      </c>
      <c r="O224" s="4" t="str">
        <f t="shared" si="85"/>
        <v>KELRKAQAGANAEMRLAKISIVIVSQFLLSWSPYAVVALLAQFG</v>
      </c>
      <c r="P224" s="4" t="str">
        <f t="shared" si="86"/>
        <v>TPYAAQLPVMFAKASAIHNPMIYSVS</v>
      </c>
      <c r="Q224" s="4" t="str">
        <f t="shared" si="87"/>
        <v>HPKFREAISQTF</v>
      </c>
      <c r="R224" s="5">
        <f>VLOOKUP($A224,'SegEnds_NonXtal_Prot#'!$A:$AL,3,FALSE)</f>
        <v>31</v>
      </c>
      <c r="S224" s="5">
        <f>VLOOKUP($A224,'SegEnds_NonXtal_Prot#'!$A:$AL,6,FALSE)</f>
        <v>63</v>
      </c>
      <c r="T224" s="5">
        <f>VLOOKUP($A224,'SegEnds_NonXtal_Prot#'!$A:$AL,9,FALSE)</f>
        <v>67</v>
      </c>
      <c r="U224" s="5">
        <f>VLOOKUP($A224,'SegEnds_NonXtal_Prot#'!$A:$AL,12,FALSE)</f>
        <v>100</v>
      </c>
      <c r="V224" s="5">
        <f>VLOOKUP($A224,'SegEnds_NonXtal_Prot#'!$A:$AL,15,FALSE)</f>
        <v>104</v>
      </c>
      <c r="W224" s="5">
        <f>VLOOKUP($A224,'SegEnds_NonXtal_Prot#'!$A:$AL,18,FALSE)</f>
        <v>140</v>
      </c>
      <c r="X224" s="5">
        <f>VLOOKUP($A224,'SegEnds_NonXtal_Prot#'!$A:$AL,21,FALSE)</f>
        <v>148</v>
      </c>
      <c r="Y224" s="5">
        <f>VLOOKUP($A224,'SegEnds_NonXtal_Prot#'!$A:$AL,24,FALSE)</f>
        <v>186</v>
      </c>
      <c r="Z224" s="5">
        <f>VLOOKUP($A224,'SegEnds_NonXtal_Prot#'!$A:$AL,27,FALSE)</f>
        <v>194</v>
      </c>
      <c r="AA224" s="5">
        <f>VLOOKUP($A224,'SegEnds_NonXtal_Prot#'!$A:$AL,30,FALSE)</f>
        <v>244</v>
      </c>
      <c r="AB224" s="5">
        <f>VLOOKUP($A224,'SegEnds_NonXtal_Prot#'!$A:$AL,33,FALSE)</f>
        <v>293</v>
      </c>
      <c r="AC224" s="5">
        <f>VLOOKUP($A224,'SegEnds_NonXtal_Prot#'!$A:$AL,36,FALSE)</f>
        <v>319</v>
      </c>
      <c r="AD224" s="5">
        <f>VLOOKUP($A224,'SegEnds_NonXtal_Prot#'!$A:$AL,5,FALSE)</f>
        <v>62</v>
      </c>
      <c r="AE224" s="5">
        <f>VLOOKUP($A224,'SegEnds_NonXtal_Prot#'!$A:$AL,8,FALSE)</f>
        <v>66</v>
      </c>
      <c r="AF224" s="5">
        <f>VLOOKUP($A224,'SegEnds_NonXtal_Prot#'!$A:$AL,11,FALSE)</f>
        <v>99</v>
      </c>
      <c r="AG224" s="5">
        <f>VLOOKUP($A224,'SegEnds_NonXtal_Prot#'!$A:$AL,14,FALSE)</f>
        <v>103</v>
      </c>
      <c r="AH224" s="5">
        <f>VLOOKUP($A224,'SegEnds_NonXtal_Prot#'!$A:$AL,17,FALSE)</f>
        <v>139</v>
      </c>
      <c r="AI224" s="5">
        <f>VLOOKUP($A224,'SegEnds_NonXtal_Prot#'!$A:$AL,20,FALSE)</f>
        <v>147</v>
      </c>
      <c r="AJ224" s="5">
        <f>VLOOKUP($A224,'SegEnds_NonXtal_Prot#'!$A:$AL,23,FALSE)</f>
        <v>172</v>
      </c>
      <c r="AK224" s="5">
        <f>VLOOKUP($A224,'SegEnds_NonXtal_Prot#'!$A:$AL,26,FALSE)</f>
        <v>188</v>
      </c>
      <c r="AL224" s="5">
        <f>VLOOKUP($A224,'SegEnds_NonXtal_Prot#'!$A:$AL,29,FALSE)</f>
        <v>239</v>
      </c>
      <c r="AM224" s="5">
        <f>VLOOKUP($A224,'SegEnds_NonXtal_Prot#'!$A:$AL,32,FALSE)</f>
        <v>287</v>
      </c>
      <c r="AN224" s="5">
        <f>VLOOKUP($A224,'SegEnds_NonXtal_Prot#'!$A:$AL,35,FALSE)</f>
        <v>318</v>
      </c>
      <c r="AO224" s="5">
        <f>VLOOKUP($A224,'SegEnds_NonXtal_Prot#'!$A:$AL,38,FALSE)</f>
        <v>330</v>
      </c>
      <c r="AP224" s="5">
        <f t="shared" si="88"/>
        <v>31</v>
      </c>
      <c r="AQ224" s="4">
        <f t="shared" si="89"/>
        <v>3</v>
      </c>
      <c r="AR224" s="4">
        <f t="shared" si="90"/>
        <v>32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24</v>
      </c>
      <c r="AW224" s="4">
        <f t="shared" si="95"/>
        <v>2</v>
      </c>
      <c r="AX224" s="4">
        <f t="shared" si="96"/>
        <v>45</v>
      </c>
      <c r="AY224" s="4">
        <f t="shared" si="97"/>
        <v>43</v>
      </c>
      <c r="AZ224" s="4">
        <f t="shared" si="98"/>
        <v>25</v>
      </c>
      <c r="BA224" s="4">
        <f t="shared" si="99"/>
        <v>11</v>
      </c>
    </row>
    <row r="225" spans="1:53" x14ac:dyDescent="0.2">
      <c r="A225" s="1" t="str">
        <f>'SegEnds_NonXtal_Prot#'!A208</f>
        <v>oxer1_human</v>
      </c>
      <c r="B225" s="1" t="str">
        <f t="shared" si="75"/>
        <v>LVSAFLAPILALEFVLGLVGNSLALFIFCIHTSNTVFLVSLVAADFLLISNLPLRVDYYLLGAAACKVNLFMLSTNRTASVVFLTAIALNRYLKVVQSVGAAARVAGGLWVGILLLNGHLLLSTKPSASLRWHQALYLLEFFLPLALILFAIVSIGLTIRNGQAGPQRAMRVLAMVVAVYTICFLPSIIFGMASMVALDLCTQLFHGSLAFTYLNSVLDPVLYCFSSPNFLHQSRALLG</v>
      </c>
      <c r="C225" s="29" t="str">
        <f>IF(ISERROR(MATCH(A225,'SegEnds_Xtal_Prot#'!B:B, 0)), "NoXtal", "Xtal")</f>
        <v>NoXtal</v>
      </c>
      <c r="D225" s="4" t="str">
        <f>VLOOKUP(A225,Classification!A:D,2,FALSE)</f>
        <v>A</v>
      </c>
      <c r="E225" s="5" t="str">
        <f>VLOOKUP(A225,Seqs!A:B,2,FALSE)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5" s="5" t="str">
        <f t="shared" si="76"/>
        <v>LVSAFLAPILALEFVLGLVGNSLALFIFCIH</v>
      </c>
      <c r="G225" s="4" t="str">
        <f t="shared" si="77"/>
        <v>TRPW</v>
      </c>
      <c r="H225" s="4" t="str">
        <f t="shared" si="78"/>
        <v>TSNTVFLVSLVAADFLLISNLPLRVDYYLL</v>
      </c>
      <c r="I225" s="4" t="str">
        <f t="shared" si="79"/>
        <v>TWRF</v>
      </c>
      <c r="J225" s="4" t="str">
        <f t="shared" si="80"/>
        <v>GAAACKVNLFMLSTNRTASVVFLTAIALNRYLKVVQ</v>
      </c>
      <c r="K225" s="4" t="str">
        <f t="shared" si="81"/>
        <v>PHHVLSRA</v>
      </c>
      <c r="L225" s="4" t="str">
        <f t="shared" si="82"/>
        <v>SVGAAARVAGGLWVGILLLNGHLLLST</v>
      </c>
      <c r="M225" s="4" t="str">
        <f t="shared" si="83"/>
        <v>CLS</v>
      </c>
      <c r="N225" s="4" t="str">
        <f t="shared" si="84"/>
        <v>KPSASLRWHQALYLLEFFLPLALILFAIVSIGLTIRN</v>
      </c>
      <c r="O225" s="4" t="str">
        <f t="shared" si="85"/>
        <v>GQAGPQRAMRVLAMVVAVYTICFLPSIIFGMASMVA</v>
      </c>
      <c r="P225" s="4" t="str">
        <f t="shared" si="86"/>
        <v>LDLCTQLFHGSLAFTYLNSVLDPVLYCFS</v>
      </c>
      <c r="Q225" s="4" t="str">
        <f t="shared" si="87"/>
        <v>SPNFLHQSRALLG</v>
      </c>
      <c r="R225" s="5">
        <f>VLOOKUP($A225,'SegEnds_NonXtal_Prot#'!$A:$AL,3,FALSE)</f>
        <v>90</v>
      </c>
      <c r="S225" s="5">
        <f>VLOOKUP($A225,'SegEnds_NonXtal_Prot#'!$A:$AL,6,FALSE)</f>
        <v>121</v>
      </c>
      <c r="T225" s="5">
        <f>VLOOKUP($A225,'SegEnds_NonXtal_Prot#'!$A:$AL,9,FALSE)</f>
        <v>125</v>
      </c>
      <c r="U225" s="5">
        <f>VLOOKUP($A225,'SegEnds_NonXtal_Prot#'!$A:$AL,12,FALSE)</f>
        <v>157</v>
      </c>
      <c r="V225" s="5">
        <f>VLOOKUP($A225,'SegEnds_NonXtal_Prot#'!$A:$AL,15,FALSE)</f>
        <v>161</v>
      </c>
      <c r="W225" s="5">
        <f>VLOOKUP($A225,'SegEnds_NonXtal_Prot#'!$A:$AL,18,FALSE)</f>
        <v>197</v>
      </c>
      <c r="X225" s="5">
        <f>VLOOKUP($A225,'SegEnds_NonXtal_Prot#'!$A:$AL,21,FALSE)</f>
        <v>205</v>
      </c>
      <c r="Y225" s="5">
        <f>VLOOKUP($A225,'SegEnds_NonXtal_Prot#'!$A:$AL,24,FALSE)</f>
        <v>237</v>
      </c>
      <c r="Z225" s="5">
        <f>VLOOKUP($A225,'SegEnds_NonXtal_Prot#'!$A:$AL,27,FALSE)</f>
        <v>245</v>
      </c>
      <c r="AA225" s="5">
        <f>VLOOKUP($A225,'SegEnds_NonXtal_Prot#'!$A:$AL,30,FALSE)</f>
        <v>286</v>
      </c>
      <c r="AB225" s="5">
        <f>VLOOKUP($A225,'SegEnds_NonXtal_Prot#'!$A:$AL,33,FALSE)</f>
        <v>330</v>
      </c>
      <c r="AC225" s="5">
        <f>VLOOKUP($A225,'SegEnds_NonXtal_Prot#'!$A:$AL,36,FALSE)</f>
        <v>359</v>
      </c>
      <c r="AD225" s="5">
        <f>VLOOKUP($A225,'SegEnds_NonXtal_Prot#'!$A:$AL,5,FALSE)</f>
        <v>120</v>
      </c>
      <c r="AE225" s="5">
        <f>VLOOKUP($A225,'SegEnds_NonXtal_Prot#'!$A:$AL,8,FALSE)</f>
        <v>124</v>
      </c>
      <c r="AF225" s="5">
        <f>VLOOKUP($A225,'SegEnds_NonXtal_Prot#'!$A:$AL,11,FALSE)</f>
        <v>154</v>
      </c>
      <c r="AG225" s="5">
        <f>VLOOKUP($A225,'SegEnds_NonXtal_Prot#'!$A:$AL,14,FALSE)</f>
        <v>160</v>
      </c>
      <c r="AH225" s="5">
        <f>VLOOKUP($A225,'SegEnds_NonXtal_Prot#'!$A:$AL,17,FALSE)</f>
        <v>196</v>
      </c>
      <c r="AI225" s="5">
        <f>VLOOKUP($A225,'SegEnds_NonXtal_Prot#'!$A:$AL,20,FALSE)</f>
        <v>204</v>
      </c>
      <c r="AJ225" s="5">
        <f>VLOOKUP($A225,'SegEnds_NonXtal_Prot#'!$A:$AL,23,FALSE)</f>
        <v>231</v>
      </c>
      <c r="AK225" s="5">
        <f>VLOOKUP($A225,'SegEnds_NonXtal_Prot#'!$A:$AL,26,FALSE)</f>
        <v>239</v>
      </c>
      <c r="AL225" s="5">
        <f>VLOOKUP($A225,'SegEnds_NonXtal_Prot#'!$A:$AL,29,FALSE)</f>
        <v>281</v>
      </c>
      <c r="AM225" s="5">
        <f>VLOOKUP($A225,'SegEnds_NonXtal_Prot#'!$A:$AL,32,FALSE)</f>
        <v>321</v>
      </c>
      <c r="AN225" s="5">
        <f>VLOOKUP($A225,'SegEnds_NonXtal_Prot#'!$A:$AL,35,FALSE)</f>
        <v>358</v>
      </c>
      <c r="AO225" s="5">
        <f>VLOOKUP($A225,'SegEnds_NonXtal_Prot#'!$A:$AL,38,FALSE)</f>
        <v>371</v>
      </c>
      <c r="AP225" s="5">
        <f t="shared" si="88"/>
        <v>30</v>
      </c>
      <c r="AQ225" s="4">
        <f t="shared" si="89"/>
        <v>3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35</v>
      </c>
      <c r="AZ225" s="4">
        <f t="shared" si="98"/>
        <v>28</v>
      </c>
      <c r="BA225" s="4">
        <f t="shared" si="99"/>
        <v>12</v>
      </c>
    </row>
    <row r="226" spans="1:53" x14ac:dyDescent="0.2">
      <c r="A226" s="1" t="str">
        <f>'SegEnds_NonXtal_Prot#'!A209</f>
        <v>oxgr1_human</v>
      </c>
      <c r="B226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6" s="5" t="str">
        <f t="shared" si="76"/>
        <v>LKMHYLPVIYGIIFLVGFPGNAVVISTYIFK</v>
      </c>
      <c r="G226" s="4" t="str">
        <f t="shared" si="77"/>
        <v/>
      </c>
      <c r="H226" s="4" t="str">
        <f t="shared" si="78"/>
        <v>KSSTIIMLNLACTDLLYLTSLPFLIHYYAS</v>
      </c>
      <c r="I226" s="4" t="str">
        <f t="shared" si="79"/>
        <v>NWIF</v>
      </c>
      <c r="J226" s="4" t="str">
        <f t="shared" si="80"/>
        <v>GDFMCKFIRFSFHFNLYSSILFLTCFSIFRYCVIIH</v>
      </c>
      <c r="K226" s="4" t="str">
        <f t="shared" si="81"/>
        <v>PMSCFSIH</v>
      </c>
      <c r="L226" s="4" t="str">
        <f t="shared" si="82"/>
        <v>KTRCAVVACAVVWIISLVAVIPMTFLI</v>
      </c>
      <c r="M226" s="4" t="str">
        <f t="shared" si="83"/>
        <v>CLD</v>
      </c>
      <c r="N226" s="4" t="str">
        <f t="shared" si="84"/>
        <v>LNTIKWYNLILTATTFCLPLVIVTLCYTTIIHTLTH</v>
      </c>
      <c r="O226" s="4" t="str">
        <f t="shared" si="85"/>
        <v>DSCLKQKARRLTILLLLAFYVCFLPFHILRVIRIES</v>
      </c>
      <c r="P226" s="4" t="str">
        <f t="shared" si="86"/>
        <v>SCSIENQIHEAYIVSRPLAALNTFGNLLLYVVV</v>
      </c>
      <c r="Q226" s="4" t="str">
        <f t="shared" si="87"/>
        <v>SDNFQQAVCSTVR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232</v>
      </c>
      <c r="AB226" s="5">
        <f>VLOOKUP($A226,'SegEnds_NonXtal_Prot#'!$A:$AL,33,FALSE)</f>
        <v>273</v>
      </c>
      <c r="AC226" s="5">
        <f>VLOOKUP($A226,'SegEnds_NonXtal_Prot#'!$A:$AL,36,FALSE)</f>
        <v>306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227</v>
      </c>
      <c r="AM226" s="5">
        <f>VLOOKUP($A226,'SegEnds_NonXtal_Prot#'!$A:$AL,32,FALSE)</f>
        <v>267</v>
      </c>
      <c r="AN226" s="5">
        <f>VLOOKUP($A226,'SegEnds_NonXtal_Prot#'!$A:$AL,35,FALSE)</f>
        <v>305</v>
      </c>
      <c r="AO226" s="5">
        <f>VLOOKUP($A226,'SegEnds_NonXtal_Prot#'!$A:$AL,38,FALSE)</f>
        <v>318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35</v>
      </c>
      <c r="AY226" s="4">
        <f t="shared" si="97"/>
        <v>35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'SegEnds_NonXtal_Prot#'!A210</f>
        <v>p2ry1_human</v>
      </c>
      <c r="B227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7" s="29" t="str">
        <f>IF(ISERROR(MATCH(A227,'SegEnds_Xtal_Prot#'!B:B, 0)), "NoXtal", "Xtal")</f>
        <v>Xtal</v>
      </c>
      <c r="D227" s="4" t="str">
        <f>VLOOKUP(A227,Classification!A:D,2,FALSE)</f>
        <v>A</v>
      </c>
      <c r="E227" s="5" t="str">
        <f>VLOOKUP(A227,Seqs!A:B,2,FALSE)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7" s="5" t="str">
        <f t="shared" si="76"/>
        <v>FQFYYLPAVYILVFIIGFLGNSVAIWMFVFH</v>
      </c>
      <c r="G227" s="4" t="str">
        <f t="shared" si="77"/>
        <v/>
      </c>
      <c r="H227" s="4" t="str">
        <f t="shared" si="78"/>
        <v>SGISVYMFNLALADFLYVLTLPALIFYYFN</v>
      </c>
      <c r="I227" s="4" t="str">
        <f t="shared" si="79"/>
        <v>DWIF</v>
      </c>
      <c r="J227" s="4" t="str">
        <f t="shared" si="80"/>
        <v>GDAMCKLQRFIFHVNLYGSILFLTCISAHRYSGVVY</v>
      </c>
      <c r="K227" s="4" t="str">
        <f t="shared" si="81"/>
        <v>PLKSLGRL</v>
      </c>
      <c r="L227" s="4" t="str">
        <f t="shared" si="82"/>
        <v>KKKNAICISVLVWLIVVVAISPILFYS</v>
      </c>
      <c r="M227" s="4" t="str">
        <f t="shared" si="83"/>
        <v>CYD</v>
      </c>
      <c r="N227" s="4" t="str">
        <f t="shared" si="84"/>
        <v>LRSYFIYSMCTTVAMFCVPLVLILGCYGLIVRALIYK</v>
      </c>
      <c r="O227" s="4" t="str">
        <f t="shared" si="85"/>
        <v>PLRRKSIYLVIIVLTVFAVSYIPFHVMKTMNLRARLD</v>
      </c>
      <c r="P227" s="4" t="str">
        <f t="shared" si="86"/>
        <v>MCAFNDRVYATYQVTRGLASLNSCVDPILYFLA</v>
      </c>
      <c r="Q227" s="4" t="str">
        <f t="shared" si="87"/>
        <v>GDTFRRRLSRATR</v>
      </c>
      <c r="R227" s="5">
        <f>VLOOKUP($A227,'SegEnds_NonXtal_Prot#'!$A:$AL,3,FALSE)</f>
        <v>49</v>
      </c>
      <c r="S227" s="5" t="str">
        <f>VLOOKUP($A227,'SegEnds_NonXtal_Prot#'!$A:$AL,6,FALSE)</f>
        <v>-</v>
      </c>
      <c r="T227" s="5">
        <f>VLOOKUP($A227,'SegEnds_NonXtal_Prot#'!$A:$AL,9,FALSE)</f>
        <v>84</v>
      </c>
      <c r="U227" s="5">
        <f>VLOOKUP($A227,'SegEnds_NonXtal_Prot#'!$A:$AL,12,FALSE)</f>
        <v>116</v>
      </c>
      <c r="V227" s="5">
        <f>VLOOKUP($A227,'SegEnds_NonXtal_Prot#'!$A:$AL,15,FALSE)</f>
        <v>120</v>
      </c>
      <c r="W227" s="5">
        <f>VLOOKUP($A227,'SegEnds_NonXtal_Prot#'!$A:$AL,18,FALSE)</f>
        <v>156</v>
      </c>
      <c r="X227" s="5">
        <f>VLOOKUP($A227,'SegEnds_NonXtal_Prot#'!$A:$AL,21,FALSE)</f>
        <v>164</v>
      </c>
      <c r="Y227" s="5">
        <f>VLOOKUP($A227,'SegEnds_NonXtal_Prot#'!$A:$AL,24,FALSE)</f>
        <v>202</v>
      </c>
      <c r="Z227" s="5">
        <f>VLOOKUP($A227,'SegEnds_NonXtal_Prot#'!$A:$AL,27,FALSE)</f>
        <v>211</v>
      </c>
      <c r="AA227" s="5">
        <f>VLOOKUP($A227,'SegEnds_NonXtal_Prot#'!$A:$AL,30,FALSE)</f>
        <v>253</v>
      </c>
      <c r="AB227" s="5">
        <f>VLOOKUP($A227,'SegEnds_NonXtal_Prot#'!$A:$AL,33,FALSE)</f>
        <v>295</v>
      </c>
      <c r="AC227" s="5">
        <f>VLOOKUP($A227,'SegEnds_NonXtal_Prot#'!$A:$AL,36,FALSE)</f>
        <v>328</v>
      </c>
      <c r="AD227" s="5">
        <f>VLOOKUP($A227,'SegEnds_NonXtal_Prot#'!$A:$AL,5,FALSE)</f>
        <v>79</v>
      </c>
      <c r="AE227" s="5" t="str">
        <f>VLOOKUP($A227,'SegEnds_NonXtal_Prot#'!$A:$AL,8,FALSE)</f>
        <v>-</v>
      </c>
      <c r="AF227" s="5">
        <f>VLOOKUP($A227,'SegEnds_NonXtal_Prot#'!$A:$AL,11,FALSE)</f>
        <v>113</v>
      </c>
      <c r="AG227" s="5">
        <f>VLOOKUP($A227,'SegEnds_NonXtal_Prot#'!$A:$AL,14,FALSE)</f>
        <v>119</v>
      </c>
      <c r="AH227" s="5">
        <f>VLOOKUP($A227,'SegEnds_NonXtal_Prot#'!$A:$AL,17,FALSE)</f>
        <v>155</v>
      </c>
      <c r="AI227" s="5">
        <f>VLOOKUP($A227,'SegEnds_NonXtal_Prot#'!$A:$AL,20,FALSE)</f>
        <v>163</v>
      </c>
      <c r="AJ227" s="5">
        <f>VLOOKUP($A227,'SegEnds_NonXtal_Prot#'!$A:$AL,23,FALSE)</f>
        <v>190</v>
      </c>
      <c r="AK227" s="5">
        <f>VLOOKUP($A227,'SegEnds_NonXtal_Prot#'!$A:$AL,26,FALSE)</f>
        <v>204</v>
      </c>
      <c r="AL227" s="5">
        <f>VLOOKUP($A227,'SegEnds_NonXtal_Prot#'!$A:$AL,29,FALSE)</f>
        <v>247</v>
      </c>
      <c r="AM227" s="5">
        <f>VLOOKUP($A227,'SegEnds_NonXtal_Prot#'!$A:$AL,32,FALSE)</f>
        <v>289</v>
      </c>
      <c r="AN227" s="5">
        <f>VLOOKUP($A227,'SegEnds_NonXtal_Prot#'!$A:$AL,35,FALSE)</f>
        <v>327</v>
      </c>
      <c r="AO227" s="5">
        <f>VLOOKUP($A227,'SegEnds_NonXtal_Prot#'!$A:$AL,38,FALSE)</f>
        <v>340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36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'SegEnds_NonXtal_Prot#'!A211</f>
        <v>p2ry2_human</v>
      </c>
      <c r="B228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8" s="5" t="str">
        <f t="shared" si="76"/>
        <v>FKYVLLPVSYGVVCVPGLCLNAVALYIFLCR</v>
      </c>
      <c r="G228" s="4" t="str">
        <f t="shared" si="77"/>
        <v/>
      </c>
      <c r="H228" s="4" t="str">
        <f t="shared" si="78"/>
        <v>NASTTYMFHLAVSDALYAASLPLLVYYYAR</v>
      </c>
      <c r="I228" s="4" t="str">
        <f t="shared" si="79"/>
        <v>HWPF</v>
      </c>
      <c r="J228" s="4" t="str">
        <f t="shared" si="80"/>
        <v>STVLCKLVRFLFYTNLYCSILFLTCISVHRCLGVLR</v>
      </c>
      <c r="K228" s="4" t="str">
        <f t="shared" si="81"/>
        <v>PLRSLRWG</v>
      </c>
      <c r="L228" s="4" t="str">
        <f t="shared" si="82"/>
        <v>RARYARRVAGAVWVLVLACQAPVLYFV</v>
      </c>
      <c r="M228" s="4" t="str">
        <f t="shared" si="83"/>
        <v>CHD</v>
      </c>
      <c r="N228" s="4" t="str">
        <f t="shared" si="84"/>
        <v>FSRFVAYSSVMLGLLFAVPFAVILVCYVLMARRLLKPAYGT</v>
      </c>
      <c r="O228" s="4" t="str">
        <f t="shared" si="85"/>
        <v>AKRKSVRTIAVVLAVFALCFLPFHVTRTLYYSF</v>
      </c>
      <c r="P228" s="4" t="str">
        <f t="shared" si="86"/>
        <v>SCHTLNAINMAYKVTRPLASANSCLDPVLYFLA</v>
      </c>
      <c r="Q228" s="4" t="str">
        <f t="shared" si="87"/>
        <v>GQRLVRFARDAKP</v>
      </c>
      <c r="R228" s="5">
        <f>VLOOKUP($A228,'SegEnds_NonXtal_Prot#'!$A:$AL,3,FALSE)</f>
        <v>31</v>
      </c>
      <c r="S228" s="5" t="str">
        <f>VLOOKUP($A228,'SegEnds_NonXtal_Prot#'!$A:$AL,6,FALSE)</f>
        <v>-</v>
      </c>
      <c r="T228" s="5">
        <f>VLOOKUP($A228,'SegEnds_NonXtal_Prot#'!$A:$AL,9,FALSE)</f>
        <v>66</v>
      </c>
      <c r="U228" s="5">
        <f>VLOOKUP($A228,'SegEnds_NonXtal_Prot#'!$A:$AL,12,FALSE)</f>
        <v>98</v>
      </c>
      <c r="V228" s="5">
        <f>VLOOKUP($A228,'SegEnds_NonXtal_Prot#'!$A:$AL,15,FALSE)</f>
        <v>102</v>
      </c>
      <c r="W228" s="5">
        <f>VLOOKUP($A228,'SegEnds_NonXtal_Prot#'!$A:$AL,18,FALSE)</f>
        <v>138</v>
      </c>
      <c r="X228" s="5">
        <f>VLOOKUP($A228,'SegEnds_NonXtal_Prot#'!$A:$AL,21,FALSE)</f>
        <v>146</v>
      </c>
      <c r="Y228" s="5">
        <f>VLOOKUP($A228,'SegEnds_NonXtal_Prot#'!$A:$AL,24,FALSE)</f>
        <v>183</v>
      </c>
      <c r="Z228" s="5">
        <f>VLOOKUP($A228,'SegEnds_NonXtal_Prot#'!$A:$AL,27,FALSE)</f>
        <v>192</v>
      </c>
      <c r="AA228" s="5">
        <f>VLOOKUP($A228,'SegEnds_NonXtal_Prot#'!$A:$AL,30,FALSE)</f>
        <v>239</v>
      </c>
      <c r="AB228" s="5">
        <f>VLOOKUP($A228,'SegEnds_NonXtal_Prot#'!$A:$AL,33,FALSE)</f>
        <v>277</v>
      </c>
      <c r="AC228" s="5">
        <f>VLOOKUP($A228,'SegEnds_NonXtal_Prot#'!$A:$AL,36,FALSE)</f>
        <v>310</v>
      </c>
      <c r="AD228" s="5">
        <f>VLOOKUP($A228,'SegEnds_NonXtal_Prot#'!$A:$AL,5,FALSE)</f>
        <v>61</v>
      </c>
      <c r="AE228" s="5" t="str">
        <f>VLOOKUP($A228,'SegEnds_NonXtal_Prot#'!$A:$AL,8,FALSE)</f>
        <v>-</v>
      </c>
      <c r="AF228" s="5">
        <f>VLOOKUP($A228,'SegEnds_NonXtal_Prot#'!$A:$AL,11,FALSE)</f>
        <v>95</v>
      </c>
      <c r="AG228" s="5">
        <f>VLOOKUP($A228,'SegEnds_NonXtal_Prot#'!$A:$AL,14,FALSE)</f>
        <v>101</v>
      </c>
      <c r="AH228" s="5">
        <f>VLOOKUP($A228,'SegEnds_NonXtal_Prot#'!$A:$AL,17,FALSE)</f>
        <v>137</v>
      </c>
      <c r="AI228" s="5">
        <f>VLOOKUP($A228,'SegEnds_NonXtal_Prot#'!$A:$AL,20,FALSE)</f>
        <v>145</v>
      </c>
      <c r="AJ228" s="5">
        <f>VLOOKUP($A228,'SegEnds_NonXtal_Prot#'!$A:$AL,23,FALSE)</f>
        <v>172</v>
      </c>
      <c r="AK228" s="5">
        <f>VLOOKUP($A228,'SegEnds_NonXtal_Prot#'!$A:$AL,26,FALSE)</f>
        <v>185</v>
      </c>
      <c r="AL228" s="5">
        <f>VLOOKUP($A228,'SegEnds_NonXtal_Prot#'!$A:$AL,29,FALSE)</f>
        <v>232</v>
      </c>
      <c r="AM228" s="5">
        <f>VLOOKUP($A228,'SegEnds_NonXtal_Prot#'!$A:$AL,32,FALSE)</f>
        <v>271</v>
      </c>
      <c r="AN228" s="5">
        <f>VLOOKUP($A228,'SegEnds_NonXtal_Prot#'!$A:$AL,35,FALSE)</f>
        <v>309</v>
      </c>
      <c r="AO228" s="5">
        <f>VLOOKUP($A228,'SegEnds_NonXtal_Prot#'!$A:$AL,38,FALSE)</f>
        <v>322</v>
      </c>
      <c r="AP228" s="5">
        <f t="shared" si="88"/>
        <v>30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26</v>
      </c>
      <c r="AW228" s="4">
        <f t="shared" si="95"/>
        <v>2</v>
      </c>
      <c r="AX228" s="4">
        <f t="shared" si="96"/>
        <v>40</v>
      </c>
      <c r="AY228" s="4">
        <f t="shared" si="97"/>
        <v>32</v>
      </c>
      <c r="AZ228" s="4">
        <f t="shared" si="98"/>
        <v>32</v>
      </c>
      <c r="BA228" s="4">
        <f t="shared" si="99"/>
        <v>12</v>
      </c>
    </row>
    <row r="229" spans="1:53" x14ac:dyDescent="0.2">
      <c r="A229" s="1" t="str">
        <f>'SegEnds_NonXtal_Prot#'!A214</f>
        <v>p2y11_human</v>
      </c>
      <c r="B229" s="1" t="str">
        <f t="shared" si="75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9" s="5" t="str">
        <f t="shared" si="76"/>
        <v>FQGDFLWPILVVEFLVAVASNGLALYRFSIR</v>
      </c>
      <c r="G229" s="4" t="str">
        <f t="shared" si="77"/>
        <v/>
      </c>
      <c r="H229" s="4" t="str">
        <f t="shared" si="78"/>
        <v>HPAVVFSVQLAVSDLLCALTLPPLAAYLYP</v>
      </c>
      <c r="I229" s="4" t="str">
        <f t="shared" si="79"/>
        <v>HWRY</v>
      </c>
      <c r="J229" s="4" t="str">
        <f t="shared" si="80"/>
        <v>GEAACRLERFLFTCNLLGSVIFITCISLNRYLGIVH</v>
      </c>
      <c r="K229" s="4" t="str">
        <f t="shared" si="81"/>
        <v>PFFARSHL</v>
      </c>
      <c r="L229" s="4" t="str">
        <f t="shared" si="82"/>
        <v>RPKHAWAVSAAGWVLAALLAMPTLSFS</v>
      </c>
      <c r="M229" s="4" t="str">
        <f t="shared" si="83"/>
        <v>CLG</v>
      </c>
      <c r="N229" s="4" t="str">
        <f t="shared" si="84"/>
        <v>LAAYRAYSLVLAGLGCGLPLLLTLAAYGALGRAVLR</v>
      </c>
      <c r="O229" s="4" t="str">
        <f t="shared" si="85"/>
        <v>TVAEKLRVAALVASGVALYASSYVPYHIMRVLNVDARRR</v>
      </c>
      <c r="P229" s="4" t="str">
        <f t="shared" si="86"/>
        <v>TAALELGPYVGYQVMRGLMPLAFCVHPLLYMAA</v>
      </c>
      <c r="Q229" s="4" t="str">
        <f t="shared" si="87"/>
        <v>VPSLGCCCRHCPG</v>
      </c>
      <c r="R229" s="5">
        <f>VLOOKUP($A229,'SegEnds_NonXtal_Prot#'!$A:$AL,3,FALSE)</f>
        <v>26</v>
      </c>
      <c r="S229" s="5" t="str">
        <f>VLOOKUP($A229,'SegEnds_NonXtal_Prot#'!$A:$AL,6,FALSE)</f>
        <v>-</v>
      </c>
      <c r="T229" s="5">
        <f>VLOOKUP($A229,'SegEnds_NonXtal_Prot#'!$A:$AL,9,FALSE)</f>
        <v>62</v>
      </c>
      <c r="U229" s="5">
        <f>VLOOKUP($A229,'SegEnds_NonXtal_Prot#'!$A:$AL,12,FALSE)</f>
        <v>94</v>
      </c>
      <c r="V229" s="5">
        <f>VLOOKUP($A229,'SegEnds_NonXtal_Prot#'!$A:$AL,15,FALSE)</f>
        <v>98</v>
      </c>
      <c r="W229" s="5">
        <f>VLOOKUP($A229,'SegEnds_NonXtal_Prot#'!$A:$AL,18,FALSE)</f>
        <v>134</v>
      </c>
      <c r="X229" s="5">
        <f>VLOOKUP($A229,'SegEnds_NonXtal_Prot#'!$A:$AL,21,FALSE)</f>
        <v>142</v>
      </c>
      <c r="Y229" s="5">
        <f>VLOOKUP($A229,'SegEnds_NonXtal_Prot#'!$A:$AL,24,FALSE)</f>
        <v>191</v>
      </c>
      <c r="Z229" s="5">
        <f>VLOOKUP($A229,'SegEnds_NonXtal_Prot#'!$A:$AL,27,FALSE)</f>
        <v>199</v>
      </c>
      <c r="AA229" s="5">
        <f>VLOOKUP($A229,'SegEnds_NonXtal_Prot#'!$A:$AL,30,FALSE)</f>
        <v>239</v>
      </c>
      <c r="AB229" s="5">
        <f>VLOOKUP($A229,'SegEnds_NonXtal_Prot#'!$A:$AL,33,FALSE)</f>
        <v>292</v>
      </c>
      <c r="AC229" s="5">
        <f>VLOOKUP($A229,'SegEnds_NonXtal_Prot#'!$A:$AL,36,FALSE)</f>
        <v>325</v>
      </c>
      <c r="AD229" s="5">
        <f>VLOOKUP($A229,'SegEnds_NonXtal_Prot#'!$A:$AL,5,FALSE)</f>
        <v>56</v>
      </c>
      <c r="AE229" s="5" t="str">
        <f>VLOOKUP($A229,'SegEnds_NonXtal_Prot#'!$A:$AL,8,FALSE)</f>
        <v>-</v>
      </c>
      <c r="AF229" s="5">
        <f>VLOOKUP($A229,'SegEnds_NonXtal_Prot#'!$A:$AL,11,FALSE)</f>
        <v>91</v>
      </c>
      <c r="AG229" s="5">
        <f>VLOOKUP($A229,'SegEnds_NonXtal_Prot#'!$A:$AL,14,FALSE)</f>
        <v>97</v>
      </c>
      <c r="AH229" s="5">
        <f>VLOOKUP($A229,'SegEnds_NonXtal_Prot#'!$A:$AL,17,FALSE)</f>
        <v>133</v>
      </c>
      <c r="AI229" s="5">
        <f>VLOOKUP($A229,'SegEnds_NonXtal_Prot#'!$A:$AL,20,FALSE)</f>
        <v>141</v>
      </c>
      <c r="AJ229" s="5">
        <f>VLOOKUP($A229,'SegEnds_NonXtal_Prot#'!$A:$AL,23,FALSE)</f>
        <v>168</v>
      </c>
      <c r="AK229" s="5">
        <f>VLOOKUP($A229,'SegEnds_NonXtal_Prot#'!$A:$AL,26,FALSE)</f>
        <v>193</v>
      </c>
      <c r="AL229" s="5">
        <f>VLOOKUP($A229,'SegEnds_NonXtal_Prot#'!$A:$AL,29,FALSE)</f>
        <v>234</v>
      </c>
      <c r="AM229" s="5">
        <f>VLOOKUP($A229,'SegEnds_NonXtal_Prot#'!$A:$AL,32,FALSE)</f>
        <v>277</v>
      </c>
      <c r="AN229" s="5">
        <f>VLOOKUP($A229,'SegEnds_NonXtal_Prot#'!$A:$AL,35,FALSE)</f>
        <v>324</v>
      </c>
      <c r="AO229" s="5">
        <f>VLOOKUP($A229,'SegEnds_NonXtal_Prot#'!$A:$AL,38,FALSE)</f>
        <v>337</v>
      </c>
      <c r="AP229" s="5">
        <f t="shared" si="88"/>
        <v>30</v>
      </c>
      <c r="AQ229" s="4" t="str">
        <f t="shared" si="89"/>
        <v>-</v>
      </c>
      <c r="AR229" s="4">
        <f t="shared" si="90"/>
        <v>29</v>
      </c>
      <c r="AS229" s="4">
        <f t="shared" si="91"/>
        <v>3</v>
      </c>
      <c r="AT229" s="4">
        <f t="shared" si="92"/>
        <v>35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35</v>
      </c>
      <c r="AY229" s="4">
        <f t="shared" si="97"/>
        <v>38</v>
      </c>
      <c r="AZ229" s="4">
        <f t="shared" si="98"/>
        <v>32</v>
      </c>
      <c r="BA229" s="4">
        <f t="shared" si="99"/>
        <v>12</v>
      </c>
    </row>
    <row r="230" spans="1:53" x14ac:dyDescent="0.2">
      <c r="A230" s="1" t="str">
        <f>'SegEnds_NonXtal_Prot#'!A215</f>
        <v>p2y12_human</v>
      </c>
      <c r="B230" s="1" t="str">
        <f t="shared" si="75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0" s="29" t="str">
        <f>IF(ISERROR(MATCH(A230,'SegEnds_Xtal_Prot#'!B:B, 0)), "NoXtal", "Xtal")</f>
        <v>Xtal</v>
      </c>
      <c r="D230" s="4" t="str">
        <f>VLOOKUP(A230,Classification!A:D,2,FALSE)</f>
        <v>A</v>
      </c>
      <c r="E230" s="5" t="str">
        <f>VLOOKUP(A230,Seqs!A:B,2,FALSE)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0" s="5" t="str">
        <f t="shared" si="76"/>
        <v>YKITQVLFPLLYTVLFFVGLITNGLAMRIFFQI</v>
      </c>
      <c r="G230" s="4" t="str">
        <f t="shared" si="77"/>
        <v/>
      </c>
      <c r="H230" s="4" t="str">
        <f t="shared" si="78"/>
        <v>SNFIIFLKNTVISDLLMILTFPFKILSDAK</v>
      </c>
      <c r="I230" s="4" t="str">
        <f t="shared" si="79"/>
        <v/>
      </c>
      <c r="J230" s="4" t="str">
        <f t="shared" si="80"/>
        <v>GPLRTFVCQVTSVIFYFTMYISISFLGLITIDRYQKTTR</v>
      </c>
      <c r="K230" s="4" t="str">
        <f t="shared" si="81"/>
        <v>PFKTSNPK</v>
      </c>
      <c r="L230" s="4" t="str">
        <f t="shared" si="82"/>
        <v>NLLGAKILSVVIWAFMFLLSLPNMILT</v>
      </c>
      <c r="M230" s="4" t="str">
        <f t="shared" si="83"/>
        <v>CSF</v>
      </c>
      <c r="N230" s="4" t="str">
        <f t="shared" si="84"/>
        <v>EFGLVWHEIVNYICQVIFWINFLIVIVCYTLITKELYRSYVRT</v>
      </c>
      <c r="O230" s="4" t="str">
        <f t="shared" si="85"/>
        <v>PRKKVNVKVFIIIAVFFICFVPFHFARIPYTLSQTR</v>
      </c>
      <c r="P230" s="4" t="str">
        <f t="shared" si="86"/>
        <v>DCTAENTLFYVKESTLWLTSLNACLDPFIYFFL</v>
      </c>
      <c r="Q230" s="4" t="str">
        <f t="shared" si="87"/>
        <v>CKSFRNSLISM</v>
      </c>
      <c r="R230" s="5">
        <f>VLOOKUP($A230,'SegEnds_NonXtal_Prot#'!$A:$AL,3,FALSE)</f>
        <v>21</v>
      </c>
      <c r="S230" s="5" t="str">
        <f>VLOOKUP($A230,'SegEnds_NonXtal_Prot#'!$A:$AL,6,FALSE)</f>
        <v>-</v>
      </c>
      <c r="T230" s="5">
        <f>VLOOKUP($A230,'SegEnds_NonXtal_Prot#'!$A:$AL,9,FALSE)</f>
        <v>57</v>
      </c>
      <c r="U230" s="5" t="str">
        <f>VLOOKUP($A230,'SegEnds_NonXtal_Prot#'!$A:$AL,12,FALSE)</f>
        <v>-</v>
      </c>
      <c r="V230" s="5">
        <f>VLOOKUP($A230,'SegEnds_NonXtal_Prot#'!$A:$AL,15,FALSE)</f>
        <v>90</v>
      </c>
      <c r="W230" s="5">
        <f>VLOOKUP($A230,'SegEnds_NonXtal_Prot#'!$A:$AL,18,FALSE)</f>
        <v>129</v>
      </c>
      <c r="X230" s="5">
        <f>VLOOKUP($A230,'SegEnds_NonXtal_Prot#'!$A:$AL,21,FALSE)</f>
        <v>137</v>
      </c>
      <c r="Y230" s="5">
        <f>VLOOKUP($A230,'SegEnds_NonXtal_Prot#'!$A:$AL,24,FALSE)</f>
        <v>175</v>
      </c>
      <c r="Z230" s="5">
        <f>VLOOKUP($A230,'SegEnds_NonXtal_Prot#'!$A:$AL,27,FALSE)</f>
        <v>181</v>
      </c>
      <c r="AA230" s="5">
        <f>VLOOKUP($A230,'SegEnds_NonXtal_Prot#'!$A:$AL,30,FALSE)</f>
        <v>230</v>
      </c>
      <c r="AB230" s="5">
        <f>VLOOKUP($A230,'SegEnds_NonXtal_Prot#'!$A:$AL,33,FALSE)</f>
        <v>269</v>
      </c>
      <c r="AC230" s="5">
        <f>VLOOKUP($A230,'SegEnds_NonXtal_Prot#'!$A:$AL,36,FALSE)</f>
        <v>302</v>
      </c>
      <c r="AD230" s="5">
        <f>VLOOKUP($A230,'SegEnds_NonXtal_Prot#'!$A:$AL,5,FALSE)</f>
        <v>53</v>
      </c>
      <c r="AE230" s="5" t="str">
        <f>VLOOKUP($A230,'SegEnds_NonXtal_Prot#'!$A:$AL,8,FALSE)</f>
        <v>-</v>
      </c>
      <c r="AF230" s="5">
        <f>VLOOKUP($A230,'SegEnds_NonXtal_Prot#'!$A:$AL,11,FALSE)</f>
        <v>86</v>
      </c>
      <c r="AG230" s="5" t="str">
        <f>VLOOKUP($A230,'SegEnds_NonXtal_Prot#'!$A:$AL,14,FALSE)</f>
        <v>-</v>
      </c>
      <c r="AH230" s="5">
        <f>VLOOKUP($A230,'SegEnds_NonXtal_Prot#'!$A:$AL,17,FALSE)</f>
        <v>128</v>
      </c>
      <c r="AI230" s="5">
        <f>VLOOKUP($A230,'SegEnds_NonXtal_Prot#'!$A:$AL,20,FALSE)</f>
        <v>136</v>
      </c>
      <c r="AJ230" s="5">
        <f>VLOOKUP($A230,'SegEnds_NonXtal_Prot#'!$A:$AL,23,FALSE)</f>
        <v>163</v>
      </c>
      <c r="AK230" s="5">
        <f>VLOOKUP($A230,'SegEnds_NonXtal_Prot#'!$A:$AL,26,FALSE)</f>
        <v>177</v>
      </c>
      <c r="AL230" s="5">
        <f>VLOOKUP($A230,'SegEnds_NonXtal_Prot#'!$A:$AL,29,FALSE)</f>
        <v>223</v>
      </c>
      <c r="AM230" s="5">
        <f>VLOOKUP($A230,'SegEnds_NonXtal_Prot#'!$A:$AL,32,FALSE)</f>
        <v>265</v>
      </c>
      <c r="AN230" s="5">
        <f>VLOOKUP($A230,'SegEnds_NonXtal_Prot#'!$A:$AL,35,FALSE)</f>
        <v>301</v>
      </c>
      <c r="AO230" s="5">
        <f>VLOOKUP($A230,'SegEnds_NonXtal_Prot#'!$A:$AL,38,FALSE)</f>
        <v>312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'SegEnds_NonXtal_Prot#'!A216</f>
        <v>p2y13_human</v>
      </c>
      <c r="B231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31" s="29" t="str">
        <f>IF(ISERROR(MATCH(A231,'SegEnds_Xtal_Prot#'!B:B, 0)), "NoXtal", "Xtal")</f>
        <v>NoXtal</v>
      </c>
      <c r="D231" s="4" t="str">
        <f>VLOOKUP(A231,Classification!A:D,2,FALSE)</f>
        <v>A</v>
      </c>
      <c r="E231" s="5" t="str">
        <f>VLOOKUP(A231,Seqs!A:B,2,FALSE)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31" s="5" t="str">
        <f t="shared" si="76"/>
        <v>TRIVQLVFPALYTVVFLTGILLNTLALWVFVHI</v>
      </c>
      <c r="G231" s="4" t="str">
        <f t="shared" si="77"/>
        <v/>
      </c>
      <c r="H231" s="4" t="str">
        <f t="shared" si="78"/>
        <v>STFIIYLKNTLVADLIMTLMLPFKILSDSH</v>
      </c>
      <c r="I231" s="4" t="str">
        <f t="shared" si="79"/>
        <v/>
      </c>
      <c r="J231" s="4" t="str">
        <f t="shared" si="80"/>
        <v>WQLRAFVCRFSSVIFYETMYVGIVLLGLIAFDRFLKIIR</v>
      </c>
      <c r="K231" s="4" t="str">
        <f t="shared" si="81"/>
        <v>PLRNIFLK</v>
      </c>
      <c r="L231" s="4" t="str">
        <f t="shared" si="82"/>
        <v>KPVFAKTVSIFIWFFLFFISLPNTILS</v>
      </c>
      <c r="M231" s="4" t="str">
        <f t="shared" si="83"/>
        <v>CAS</v>
      </c>
      <c r="N231" s="4" t="str">
        <f t="shared" si="84"/>
        <v>PLGLKWHQMVNNICQFIFWTVFILMLVFYVVIAKKVYDSYRKS</v>
      </c>
      <c r="O231" s="4" t="str">
        <f t="shared" si="85"/>
        <v>NNKKLEGKVFVVVAVFFVCFAPFHFARVPYTHSQTN</v>
      </c>
      <c r="P231" s="4" t="str">
        <f t="shared" si="86"/>
        <v>DCRLQNQLFIAKETTLFLAATNICMDPLIYIFL</v>
      </c>
      <c r="Q231" s="4" t="str">
        <f t="shared" si="87"/>
        <v>CKKFTEKLPCM</v>
      </c>
      <c r="R231" s="5">
        <f>VLOOKUP($A231,'SegEnds_NonXtal_Prot#'!$A:$AL,3,FALSE)</f>
        <v>40</v>
      </c>
      <c r="S231" s="5" t="str">
        <f>VLOOKUP($A231,'SegEnds_NonXtal_Prot#'!$A:$AL,6,FALSE)</f>
        <v>-</v>
      </c>
      <c r="T231" s="5">
        <f>VLOOKUP($A231,'SegEnds_NonXtal_Prot#'!$A:$AL,9,FALSE)</f>
        <v>76</v>
      </c>
      <c r="U231" s="5" t="str">
        <f>VLOOKUP($A231,'SegEnds_NonXtal_Prot#'!$A:$AL,12,FALSE)</f>
        <v>-</v>
      </c>
      <c r="V231" s="5">
        <f>VLOOKUP($A231,'SegEnds_NonXtal_Prot#'!$A:$AL,15,FALSE)</f>
        <v>109</v>
      </c>
      <c r="W231" s="5">
        <f>VLOOKUP($A231,'SegEnds_NonXtal_Prot#'!$A:$AL,18,FALSE)</f>
        <v>148</v>
      </c>
      <c r="X231" s="5">
        <f>VLOOKUP($A231,'SegEnds_NonXtal_Prot#'!$A:$AL,21,FALSE)</f>
        <v>156</v>
      </c>
      <c r="Y231" s="5">
        <f>VLOOKUP($A231,'SegEnds_NonXtal_Prot#'!$A:$AL,24,FALSE)</f>
        <v>194</v>
      </c>
      <c r="Z231" s="5">
        <f>VLOOKUP($A231,'SegEnds_NonXtal_Prot#'!$A:$AL,27,FALSE)</f>
        <v>200</v>
      </c>
      <c r="AA231" s="5">
        <f>VLOOKUP($A231,'SegEnds_NonXtal_Prot#'!$A:$AL,30,FALSE)</f>
        <v>249</v>
      </c>
      <c r="AB231" s="5">
        <f>VLOOKUP($A231,'SegEnds_NonXtal_Prot#'!$A:$AL,33,FALSE)</f>
        <v>288</v>
      </c>
      <c r="AC231" s="5">
        <f>VLOOKUP($A231,'SegEnds_NonXtal_Prot#'!$A:$AL,36,FALSE)</f>
        <v>321</v>
      </c>
      <c r="AD231" s="5">
        <f>VLOOKUP($A231,'SegEnds_NonXtal_Prot#'!$A:$AL,5,FALSE)</f>
        <v>72</v>
      </c>
      <c r="AE231" s="5" t="str">
        <f>VLOOKUP($A231,'SegEnds_NonXtal_Prot#'!$A:$AL,8,FALSE)</f>
        <v>-</v>
      </c>
      <c r="AF231" s="5">
        <f>VLOOKUP($A231,'SegEnds_NonXtal_Prot#'!$A:$AL,11,FALSE)</f>
        <v>105</v>
      </c>
      <c r="AG231" s="5" t="str">
        <f>VLOOKUP($A231,'SegEnds_NonXtal_Prot#'!$A:$AL,14,FALSE)</f>
        <v>-</v>
      </c>
      <c r="AH231" s="5">
        <f>VLOOKUP($A231,'SegEnds_NonXtal_Prot#'!$A:$AL,17,FALSE)</f>
        <v>147</v>
      </c>
      <c r="AI231" s="5">
        <f>VLOOKUP($A231,'SegEnds_NonXtal_Prot#'!$A:$AL,20,FALSE)</f>
        <v>155</v>
      </c>
      <c r="AJ231" s="5">
        <f>VLOOKUP($A231,'SegEnds_NonXtal_Prot#'!$A:$AL,23,FALSE)</f>
        <v>182</v>
      </c>
      <c r="AK231" s="5">
        <f>VLOOKUP($A231,'SegEnds_NonXtal_Prot#'!$A:$AL,26,FALSE)</f>
        <v>196</v>
      </c>
      <c r="AL231" s="5">
        <f>VLOOKUP($A231,'SegEnds_NonXtal_Prot#'!$A:$AL,29,FALSE)</f>
        <v>242</v>
      </c>
      <c r="AM231" s="5">
        <f>VLOOKUP($A231,'SegEnds_NonXtal_Prot#'!$A:$AL,32,FALSE)</f>
        <v>284</v>
      </c>
      <c r="AN231" s="5">
        <f>VLOOKUP($A231,'SegEnds_NonXtal_Prot#'!$A:$AL,35,FALSE)</f>
        <v>320</v>
      </c>
      <c r="AO231" s="5">
        <f>VLOOKUP($A231,'SegEnds_NonXtal_Prot#'!$A:$AL,38,FALSE)</f>
        <v>331</v>
      </c>
      <c r="AP231" s="5">
        <f t="shared" si="88"/>
        <v>32</v>
      </c>
      <c r="AQ231" s="4" t="str">
        <f t="shared" si="89"/>
        <v>-</v>
      </c>
      <c r="AR231" s="4">
        <f t="shared" si="90"/>
        <v>29</v>
      </c>
      <c r="AS231" s="4" t="str">
        <f t="shared" si="91"/>
        <v>-</v>
      </c>
      <c r="AT231" s="4">
        <f t="shared" si="92"/>
        <v>38</v>
      </c>
      <c r="AU231" s="4">
        <f t="shared" si="93"/>
        <v>7</v>
      </c>
      <c r="AV231" s="4">
        <f t="shared" si="94"/>
        <v>26</v>
      </c>
      <c r="AW231" s="4">
        <f t="shared" si="95"/>
        <v>2</v>
      </c>
      <c r="AX231" s="4">
        <f t="shared" si="96"/>
        <v>42</v>
      </c>
      <c r="AY231" s="4">
        <f t="shared" si="97"/>
        <v>35</v>
      </c>
      <c r="AZ231" s="4">
        <f t="shared" si="98"/>
        <v>32</v>
      </c>
      <c r="BA231" s="4">
        <f t="shared" si="99"/>
        <v>10</v>
      </c>
    </row>
    <row r="232" spans="1:53" x14ac:dyDescent="0.2">
      <c r="A232" s="1" t="str">
        <f>'SegEnds_NonXtal_Prot#'!A217</f>
        <v>p2y14_human</v>
      </c>
      <c r="B232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2" s="5" t="str">
        <f t="shared" si="76"/>
        <v>LLITQQIIPVLYCMVFIAGILLNGVSGWIFFYV</v>
      </c>
      <c r="G232" s="4" t="str">
        <f t="shared" si="77"/>
        <v/>
      </c>
      <c r="H232" s="4" t="str">
        <f t="shared" si="78"/>
        <v>KSFIIYLKNIVIADFVMSLTFPFKILGDSG</v>
      </c>
      <c r="I232" s="4" t="str">
        <f t="shared" si="79"/>
        <v/>
      </c>
      <c r="J232" s="4" t="str">
        <f t="shared" si="80"/>
        <v>WQLNVFVCRVSAVLFYVNMYVSIVFFGLISFDRYYKIVK</v>
      </c>
      <c r="K232" s="4" t="str">
        <f t="shared" si="81"/>
        <v>PLWTSFIQ</v>
      </c>
      <c r="L232" s="4" t="str">
        <f t="shared" si="82"/>
        <v>SVSYSKLLSVIVWMLMLLLAVPNIILT</v>
      </c>
      <c r="M232" s="4" t="str">
        <f t="shared" si="83"/>
        <v>CIE</v>
      </c>
      <c r="N232" s="4" t="str">
        <f t="shared" si="84"/>
        <v>ELGRKWHKASNYIFVAIFWIVFLLLIVFYTAITKKIFKSHLKS</v>
      </c>
      <c r="O232" s="4" t="str">
        <f t="shared" si="85"/>
        <v>VKKKSSRNIFSIVFVFFVCFVPYHIARIPYTKSQTE</v>
      </c>
      <c r="P232" s="4" t="str">
        <f t="shared" si="86"/>
        <v>SCQSKEILRYMKEFTLLLSAANVCLDPIIYFFL</v>
      </c>
      <c r="Q232" s="4" t="str">
        <f t="shared" si="87"/>
        <v>CQPFREILCKK</v>
      </c>
      <c r="R232" s="5">
        <f>VLOOKUP($A232,'SegEnds_NonXtal_Prot#'!$A:$AL,3,FALSE)</f>
        <v>18</v>
      </c>
      <c r="S232" s="5" t="str">
        <f>VLOOKUP($A232,'SegEnds_NonXtal_Prot#'!$A:$AL,6,FALSE)</f>
        <v>-</v>
      </c>
      <c r="T232" s="5">
        <f>VLOOKUP($A232,'SegEnds_NonXtal_Prot#'!$A:$AL,9,FALSE)</f>
        <v>54</v>
      </c>
      <c r="U232" s="5" t="str">
        <f>VLOOKUP($A232,'SegEnds_NonXtal_Prot#'!$A:$AL,12,FALSE)</f>
        <v>-</v>
      </c>
      <c r="V232" s="5">
        <f>VLOOKUP($A232,'SegEnds_NonXtal_Prot#'!$A:$AL,15,FALSE)</f>
        <v>87</v>
      </c>
      <c r="W232" s="5">
        <f>VLOOKUP($A232,'SegEnds_NonXtal_Prot#'!$A:$AL,18,FALSE)</f>
        <v>126</v>
      </c>
      <c r="X232" s="5">
        <f>VLOOKUP($A232,'SegEnds_NonXtal_Prot#'!$A:$AL,21,FALSE)</f>
        <v>134</v>
      </c>
      <c r="Y232" s="5">
        <f>VLOOKUP($A232,'SegEnds_NonXtal_Prot#'!$A:$AL,24,FALSE)</f>
        <v>172</v>
      </c>
      <c r="Z232" s="5">
        <f>VLOOKUP($A232,'SegEnds_NonXtal_Prot#'!$A:$AL,27,FALSE)</f>
        <v>178</v>
      </c>
      <c r="AA232" s="5">
        <f>VLOOKUP($A232,'SegEnds_NonXtal_Prot#'!$A:$AL,30,FALSE)</f>
        <v>227</v>
      </c>
      <c r="AB232" s="5">
        <f>VLOOKUP($A232,'SegEnds_NonXtal_Prot#'!$A:$AL,33,FALSE)</f>
        <v>266</v>
      </c>
      <c r="AC232" s="5">
        <f>VLOOKUP($A232,'SegEnds_NonXtal_Prot#'!$A:$AL,36,FALSE)</f>
        <v>299</v>
      </c>
      <c r="AD232" s="5">
        <f>VLOOKUP($A232,'SegEnds_NonXtal_Prot#'!$A:$AL,5,FALSE)</f>
        <v>50</v>
      </c>
      <c r="AE232" s="5" t="str">
        <f>VLOOKUP($A232,'SegEnds_NonXtal_Prot#'!$A:$AL,8,FALSE)</f>
        <v>-</v>
      </c>
      <c r="AF232" s="5">
        <f>VLOOKUP($A232,'SegEnds_NonXtal_Prot#'!$A:$AL,11,FALSE)</f>
        <v>83</v>
      </c>
      <c r="AG232" s="5" t="str">
        <f>VLOOKUP($A232,'SegEnds_NonXtal_Prot#'!$A:$AL,14,FALSE)</f>
        <v>-</v>
      </c>
      <c r="AH232" s="5">
        <f>VLOOKUP($A232,'SegEnds_NonXtal_Prot#'!$A:$AL,17,FALSE)</f>
        <v>125</v>
      </c>
      <c r="AI232" s="5">
        <f>VLOOKUP($A232,'SegEnds_NonXtal_Prot#'!$A:$AL,20,FALSE)</f>
        <v>133</v>
      </c>
      <c r="AJ232" s="5">
        <f>VLOOKUP($A232,'SegEnds_NonXtal_Prot#'!$A:$AL,23,FALSE)</f>
        <v>160</v>
      </c>
      <c r="AK232" s="5">
        <f>VLOOKUP($A232,'SegEnds_NonXtal_Prot#'!$A:$AL,26,FALSE)</f>
        <v>174</v>
      </c>
      <c r="AL232" s="5">
        <f>VLOOKUP($A232,'SegEnds_NonXtal_Prot#'!$A:$AL,29,FALSE)</f>
        <v>220</v>
      </c>
      <c r="AM232" s="5">
        <f>VLOOKUP($A232,'SegEnds_NonXtal_Prot#'!$A:$AL,32,FALSE)</f>
        <v>262</v>
      </c>
      <c r="AN232" s="5">
        <f>VLOOKUP($A232,'SegEnds_NonXtal_Prot#'!$A:$AL,35,FALSE)</f>
        <v>298</v>
      </c>
      <c r="AO232" s="5">
        <f>VLOOKUP($A232,'SegEnds_NonXtal_Prot#'!$A:$AL,38,FALSE)</f>
        <v>309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 t="str">
        <f t="shared" si="91"/>
        <v>-</v>
      </c>
      <c r="AT232" s="4">
        <f t="shared" si="92"/>
        <v>38</v>
      </c>
      <c r="AU232" s="4">
        <f t="shared" si="93"/>
        <v>7</v>
      </c>
      <c r="AV232" s="4">
        <f t="shared" si="94"/>
        <v>26</v>
      </c>
      <c r="AW232" s="4">
        <f t="shared" si="95"/>
        <v>2</v>
      </c>
      <c r="AX232" s="4">
        <f t="shared" si="96"/>
        <v>42</v>
      </c>
      <c r="AY232" s="4">
        <f t="shared" si="97"/>
        <v>35</v>
      </c>
      <c r="AZ232" s="4">
        <f t="shared" si="98"/>
        <v>32</v>
      </c>
      <c r="BA232" s="4">
        <f t="shared" si="99"/>
        <v>10</v>
      </c>
    </row>
    <row r="233" spans="1:53" x14ac:dyDescent="0.2">
      <c r="A233" s="1" t="str">
        <f>'SegEnds_NonXtal_Prot#'!A218</f>
        <v>par1_human</v>
      </c>
      <c r="B233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3" s="29" t="str">
        <f>IF(ISERROR(MATCH(A233,'SegEnds_Xtal_Prot#'!B:B, 0)), "NoXtal", "Xtal")</f>
        <v>Xtal</v>
      </c>
      <c r="D233" s="4" t="str">
        <f>VLOOKUP(A233,Classification!A:D,2,FALSE)</f>
        <v>A</v>
      </c>
      <c r="E233" s="5" t="str">
        <f>VLOOKUP(A233,Seqs!A:B,2,FALSE)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3" s="5" t="str">
        <f t="shared" si="76"/>
        <v>SWLTLFVPSVYTGVFVVSLPLNIMAIVVFILK</v>
      </c>
      <c r="G233" s="4" t="str">
        <f t="shared" si="77"/>
        <v>MKVK</v>
      </c>
      <c r="H233" s="4" t="str">
        <f t="shared" si="78"/>
        <v>KPAVVYMLHLATADVLFVSVLPFKISYYFS</v>
      </c>
      <c r="I233" s="4" t="str">
        <f t="shared" si="79"/>
        <v>DWQF</v>
      </c>
      <c r="J233" s="4" t="str">
        <f t="shared" si="80"/>
        <v>GSELCRFVTAAFYCNMYASILLMTVISIDRFLAVVY</v>
      </c>
      <c r="K233" s="4" t="str">
        <f t="shared" si="81"/>
        <v>PMQSLSWR</v>
      </c>
      <c r="L233" s="4" t="str">
        <f t="shared" si="82"/>
        <v>TLGRASFTCLAIWALAIAGVVPLLLK</v>
      </c>
      <c r="M233" s="4" t="str">
        <f t="shared" si="83"/>
        <v>CHD</v>
      </c>
      <c r="N233" s="4" t="str">
        <f t="shared" si="84"/>
        <v>EGYYAYYFSAFSAVFFFVPLIISTVCYVSIIRCLSS</v>
      </c>
      <c r="O233" s="4" t="str">
        <f t="shared" si="85"/>
        <v>NRSKKSRALFLSAAVFCIFIICFGPTNVLLIAHYSFL</v>
      </c>
      <c r="P233" s="4" t="str">
        <f t="shared" si="86"/>
        <v>TEAAYFAYLLCVCVSSISCCIDPLIYYYA</v>
      </c>
      <c r="Q233" s="4" t="str">
        <f t="shared" si="87"/>
        <v>SSECQRYVYSILCCK</v>
      </c>
      <c r="R233" s="5">
        <f>VLOOKUP($A233,'SegEnds_NonXtal_Prot#'!$A:$AL,3,FALSE)</f>
        <v>99</v>
      </c>
      <c r="S233" s="5">
        <f>VLOOKUP($A233,'SegEnds_NonXtal_Prot#'!$A:$AL,6,FALSE)</f>
        <v>131</v>
      </c>
      <c r="T233" s="5">
        <f>VLOOKUP($A233,'SegEnds_NonXtal_Prot#'!$A:$AL,9,FALSE)</f>
        <v>135</v>
      </c>
      <c r="U233" s="5">
        <f>VLOOKUP($A233,'SegEnds_NonXtal_Prot#'!$A:$AL,12,FALSE)</f>
        <v>167</v>
      </c>
      <c r="V233" s="5">
        <f>VLOOKUP($A233,'SegEnds_NonXtal_Prot#'!$A:$AL,15,FALSE)</f>
        <v>171</v>
      </c>
      <c r="W233" s="5">
        <f>VLOOKUP($A233,'SegEnds_NonXtal_Prot#'!$A:$AL,18,FALSE)</f>
        <v>207</v>
      </c>
      <c r="X233" s="5">
        <f>VLOOKUP($A233,'SegEnds_NonXtal_Prot#'!$A:$AL,21,FALSE)</f>
        <v>215</v>
      </c>
      <c r="Y233" s="5">
        <f>VLOOKUP($A233,'SegEnds_NonXtal_Prot#'!$A:$AL,24,FALSE)</f>
        <v>254</v>
      </c>
      <c r="Z233" s="5">
        <f>VLOOKUP($A233,'SegEnds_NonXtal_Prot#'!$A:$AL,27,FALSE)</f>
        <v>264</v>
      </c>
      <c r="AA233" s="5">
        <f>VLOOKUP($A233,'SegEnds_NonXtal_Prot#'!$A:$AL,30,FALSE)</f>
        <v>304</v>
      </c>
      <c r="AB233" s="5">
        <f>VLOOKUP($A233,'SegEnds_NonXtal_Prot#'!$A:$AL,33,FALSE)</f>
        <v>346</v>
      </c>
      <c r="AC233" s="5">
        <f>VLOOKUP($A233,'SegEnds_NonXtal_Prot#'!$A:$AL,36,FALSE)</f>
        <v>375</v>
      </c>
      <c r="AD233" s="5">
        <f>VLOOKUP($A233,'SegEnds_NonXtal_Prot#'!$A:$AL,5,FALSE)</f>
        <v>130</v>
      </c>
      <c r="AE233" s="5">
        <f>VLOOKUP($A233,'SegEnds_NonXtal_Prot#'!$A:$AL,8,FALSE)</f>
        <v>134</v>
      </c>
      <c r="AF233" s="5">
        <f>VLOOKUP($A233,'SegEnds_NonXtal_Prot#'!$A:$AL,11,FALSE)</f>
        <v>164</v>
      </c>
      <c r="AG233" s="5">
        <f>VLOOKUP($A233,'SegEnds_NonXtal_Prot#'!$A:$AL,14,FALSE)</f>
        <v>170</v>
      </c>
      <c r="AH233" s="5">
        <f>VLOOKUP($A233,'SegEnds_NonXtal_Prot#'!$A:$AL,17,FALSE)</f>
        <v>206</v>
      </c>
      <c r="AI233" s="5">
        <f>VLOOKUP($A233,'SegEnds_NonXtal_Prot#'!$A:$AL,20,FALSE)</f>
        <v>214</v>
      </c>
      <c r="AJ233" s="5">
        <f>VLOOKUP($A233,'SegEnds_NonXtal_Prot#'!$A:$AL,23,FALSE)</f>
        <v>240</v>
      </c>
      <c r="AK233" s="5">
        <f>VLOOKUP($A233,'SegEnds_NonXtal_Prot#'!$A:$AL,26,FALSE)</f>
        <v>256</v>
      </c>
      <c r="AL233" s="5">
        <f>VLOOKUP($A233,'SegEnds_NonXtal_Prot#'!$A:$AL,29,FALSE)</f>
        <v>299</v>
      </c>
      <c r="AM233" s="5">
        <f>VLOOKUP($A233,'SegEnds_NonXtal_Prot#'!$A:$AL,32,FALSE)</f>
        <v>340</v>
      </c>
      <c r="AN233" s="5">
        <f>VLOOKUP($A233,'SegEnds_NonXtal_Prot#'!$A:$AL,35,FALSE)</f>
        <v>374</v>
      </c>
      <c r="AO233" s="5">
        <f>VLOOKUP($A233,'SegEnds_NonXtal_Prot#'!$A:$AL,38,FALSE)</f>
        <v>389</v>
      </c>
      <c r="AP233" s="5">
        <f t="shared" si="88"/>
        <v>31</v>
      </c>
      <c r="AQ233" s="4">
        <f t="shared" si="89"/>
        <v>3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25</v>
      </c>
      <c r="AW233" s="4">
        <f t="shared" si="95"/>
        <v>2</v>
      </c>
      <c r="AX233" s="4">
        <f t="shared" si="96"/>
        <v>35</v>
      </c>
      <c r="AY233" s="4">
        <f t="shared" si="97"/>
        <v>36</v>
      </c>
      <c r="AZ233" s="4">
        <f t="shared" si="98"/>
        <v>28</v>
      </c>
      <c r="BA233" s="4">
        <f t="shared" si="99"/>
        <v>14</v>
      </c>
    </row>
    <row r="234" spans="1:53" x14ac:dyDescent="0.2">
      <c r="A234" s="1" t="str">
        <f>'SegEnds_NonXtal_Prot#'!A219</f>
        <v>par3_human</v>
      </c>
      <c r="B234" s="1" t="str">
        <f t="shared" si="75"/>
        <v>SSLSTKLIPAIYLLVFVVGVPANAVTLWMLFFRICTTVFYTNLAIADFLFCVTLPFKIAYHLNGEVLCRATTVIFYGNMYCSILLLACISINRYLAIVHKHTYALVTCGLVWATVFLYMLPFFIQLYYFISLAFFGFLIPFVLIIYCYAAIIRTLNAYWLWYVKASLLILVIFTICFAPSNIILIIHHANYTDGLYFIYLIALCLGSLNSCLDPFLYFLM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4" s="5" t="str">
        <f t="shared" si="76"/>
        <v>SSLSTKLIPAIYLLVFVVGVPANAVTLWMLFFR</v>
      </c>
      <c r="G234" s="4" t="str">
        <f t="shared" si="77"/>
        <v/>
      </c>
      <c r="H234" s="4" t="str">
        <f t="shared" si="78"/>
        <v>ICTTVFYTNLAIADFLFCVTLPFKIAYHLN</v>
      </c>
      <c r="I234" s="4" t="str">
        <f t="shared" si="79"/>
        <v>NWVF</v>
      </c>
      <c r="J234" s="4" t="str">
        <f t="shared" si="80"/>
        <v>GEVLCRATTVIFYGNMYCSILLLACISINRYLAIVH</v>
      </c>
      <c r="K234" s="4" t="str">
        <f t="shared" si="81"/>
        <v>PFTYRGLP</v>
      </c>
      <c r="L234" s="4" t="str">
        <f t="shared" si="82"/>
        <v>KHTYALVTCGLVWATVFLYMLPFFI</v>
      </c>
      <c r="M234" s="4" t="str">
        <f t="shared" si="83"/>
        <v>CES</v>
      </c>
      <c r="N234" s="4" t="str">
        <f t="shared" si="84"/>
        <v>QLYYFISLAFFGFLIPFVLIIYCYAAIIRTLNAY</v>
      </c>
      <c r="O234" s="4" t="str">
        <f t="shared" si="85"/>
        <v>WLWYVKASLLILVIFTICFAPSNIILIIHHANY</v>
      </c>
      <c r="P234" s="4" t="str">
        <f t="shared" si="86"/>
        <v>TDGLYFIYLIALCLGSLNSCLDPFLYFLM</v>
      </c>
      <c r="Q234" s="4" t="str">
        <f t="shared" si="87"/>
        <v/>
      </c>
      <c r="R234" s="5">
        <f>VLOOKUP($A234,'SegEnds_NonXtal_Prot#'!$A:$AL,3,FALSE)</f>
        <v>90</v>
      </c>
      <c r="S234" s="5" t="str">
        <f>VLOOKUP($A234,'SegEnds_NonXtal_Prot#'!$A:$AL,6,FALSE)</f>
        <v>-</v>
      </c>
      <c r="T234" s="5">
        <f>VLOOKUP($A234,'SegEnds_NonXtal_Prot#'!$A:$AL,9,FALSE)</f>
        <v>126</v>
      </c>
      <c r="U234" s="5">
        <f>VLOOKUP($A234,'SegEnds_NonXtal_Prot#'!$A:$AL,12,FALSE)</f>
        <v>158</v>
      </c>
      <c r="V234" s="5">
        <f>VLOOKUP($A234,'SegEnds_NonXtal_Prot#'!$A:$AL,15,FALSE)</f>
        <v>162</v>
      </c>
      <c r="W234" s="5">
        <f>VLOOKUP($A234,'SegEnds_NonXtal_Prot#'!$A:$AL,18,FALSE)</f>
        <v>198</v>
      </c>
      <c r="X234" s="5">
        <f>VLOOKUP($A234,'SegEnds_NonXtal_Prot#'!$A:$AL,21,FALSE)</f>
        <v>206</v>
      </c>
      <c r="Y234" s="5">
        <f>VLOOKUP($A234,'SegEnds_NonXtal_Prot#'!$A:$AL,24,FALSE)</f>
        <v>252</v>
      </c>
      <c r="Z234" s="5">
        <f>VLOOKUP($A234,'SegEnds_NonXtal_Prot#'!$A:$AL,27,FALSE)</f>
        <v>259</v>
      </c>
      <c r="AA234" s="5">
        <f>VLOOKUP($A234,'SegEnds_NonXtal_Prot#'!$A:$AL,30,FALSE)</f>
        <v>296</v>
      </c>
      <c r="AB234" s="5">
        <f>VLOOKUP($A234,'SegEnds_NonXtal_Prot#'!$A:$AL,33,FALSE)</f>
        <v>333</v>
      </c>
      <c r="AC234" s="5" t="str">
        <f>VLOOKUP($A234,'SegEnds_NonXtal_Prot#'!$A:$AL,36,FALSE)</f>
        <v>-</v>
      </c>
      <c r="AD234" s="5">
        <f>VLOOKUP($A234,'SegEnds_NonXtal_Prot#'!$A:$AL,5,FALSE)</f>
        <v>122</v>
      </c>
      <c r="AE234" s="5" t="str">
        <f>VLOOKUP($A234,'SegEnds_NonXtal_Prot#'!$A:$AL,8,FALSE)</f>
        <v>-</v>
      </c>
      <c r="AF234" s="5">
        <f>VLOOKUP($A234,'SegEnds_NonXtal_Prot#'!$A:$AL,11,FALSE)</f>
        <v>155</v>
      </c>
      <c r="AG234" s="5">
        <f>VLOOKUP($A234,'SegEnds_NonXtal_Prot#'!$A:$AL,14,FALSE)</f>
        <v>161</v>
      </c>
      <c r="AH234" s="5">
        <f>VLOOKUP($A234,'SegEnds_NonXtal_Prot#'!$A:$AL,17,FALSE)</f>
        <v>197</v>
      </c>
      <c r="AI234" s="5">
        <f>VLOOKUP($A234,'SegEnds_NonXtal_Prot#'!$A:$AL,20,FALSE)</f>
        <v>205</v>
      </c>
      <c r="AJ234" s="5">
        <f>VLOOKUP($A234,'SegEnds_NonXtal_Prot#'!$A:$AL,23,FALSE)</f>
        <v>230</v>
      </c>
      <c r="AK234" s="5">
        <f>VLOOKUP($A234,'SegEnds_NonXtal_Prot#'!$A:$AL,26,FALSE)</f>
        <v>254</v>
      </c>
      <c r="AL234" s="5">
        <f>VLOOKUP($A234,'SegEnds_NonXtal_Prot#'!$A:$AL,29,FALSE)</f>
        <v>292</v>
      </c>
      <c r="AM234" s="5">
        <f>VLOOKUP($A234,'SegEnds_NonXtal_Prot#'!$A:$AL,32,FALSE)</f>
        <v>328</v>
      </c>
      <c r="AN234" s="5">
        <f>VLOOKUP($A234,'SegEnds_NonXtal_Prot#'!$A:$AL,35,FALSE)</f>
        <v>361</v>
      </c>
      <c r="AO234" s="5" t="str">
        <f>VLOOKUP($A234,'SegEnds_NonXtal_Prot#'!$A:$AL,38,FALSE)</f>
        <v>-</v>
      </c>
      <c r="AP234" s="5">
        <f t="shared" si="88"/>
        <v>32</v>
      </c>
      <c r="AQ234" s="4" t="str">
        <f t="shared" si="89"/>
        <v>-</v>
      </c>
      <c r="AR234" s="4">
        <f t="shared" si="90"/>
        <v>29</v>
      </c>
      <c r="AS234" s="4">
        <f t="shared" si="91"/>
        <v>3</v>
      </c>
      <c r="AT234" s="4">
        <f t="shared" si="92"/>
        <v>35</v>
      </c>
      <c r="AU234" s="4">
        <f t="shared" si="93"/>
        <v>7</v>
      </c>
      <c r="AV234" s="4">
        <f t="shared" si="94"/>
        <v>24</v>
      </c>
      <c r="AW234" s="4">
        <f t="shared" si="95"/>
        <v>2</v>
      </c>
      <c r="AX234" s="4">
        <f t="shared" si="96"/>
        <v>33</v>
      </c>
      <c r="AY234" s="4">
        <f t="shared" si="97"/>
        <v>32</v>
      </c>
      <c r="AZ234" s="4">
        <f t="shared" si="98"/>
        <v>28</v>
      </c>
      <c r="BA234" s="4" t="str">
        <f t="shared" si="99"/>
        <v>-</v>
      </c>
    </row>
    <row r="235" spans="1:53" x14ac:dyDescent="0.2">
      <c r="A235" s="1" t="str">
        <f>'SegEnds_NonXtal_Prot#'!A220</f>
        <v>par4_human</v>
      </c>
      <c r="B235" s="1" t="str">
        <f t="shared" si="75"/>
        <v>GWVPTRLVPALYGLVLVVGLPANGLALWVLATQLPSTMLLMNLAAADLLLALALPPRIAYHLRGEAACRLATAALYGHMYGSVLLLAAVSLDRYLALVHGRRLALGLCMAAWLMAAALALPLTLQASHWQPAFTCLALLGCFLPLLAMLLCYGATLHTLAASYGHALRLTAVVLASAVAFFVPSNLLLLLHYSDPWGNLYGAYVPSLALSTLNSCVDPFIYYYVSAEFRDKVRAGLFQR</v>
      </c>
      <c r="C235" s="29" t="str">
        <f>IF(ISERROR(MATCH(A235,'SegEnds_Xtal_Prot#'!B:B, 0)), "NoXtal", "Xtal")</f>
        <v>NoXtal</v>
      </c>
      <c r="D235" s="4" t="str">
        <f>VLOOKUP(A235,Classification!A:D,2,FALSE)</f>
        <v>A</v>
      </c>
      <c r="E235" s="5" t="str">
        <f>VLOOKUP(A235,Seqs!A:B,2,FALSE)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5" s="5" t="str">
        <f t="shared" si="76"/>
        <v>GWVPTRLVPALYGLVLVVGLPANGLALWVLATQ</v>
      </c>
      <c r="G235" s="4" t="str">
        <f t="shared" si="77"/>
        <v/>
      </c>
      <c r="H235" s="4" t="str">
        <f t="shared" si="78"/>
        <v>LPSTMLLMNLAAADLLLALALPPRIAYHLR</v>
      </c>
      <c r="I235" s="4" t="str">
        <f t="shared" si="79"/>
        <v>RWPF</v>
      </c>
      <c r="J235" s="4" t="str">
        <f t="shared" si="80"/>
        <v>GEAACRLATAALYGHMYGSVLLLAAVSLDRYLALVH</v>
      </c>
      <c r="K235" s="4" t="str">
        <f t="shared" si="81"/>
        <v>PLRARALR</v>
      </c>
      <c r="L235" s="4" t="str">
        <f t="shared" si="82"/>
        <v>GRRLALGLCMAAWLMAAALALPLTL</v>
      </c>
      <c r="M235" s="4" t="str">
        <f t="shared" si="83"/>
        <v>CHD</v>
      </c>
      <c r="N235" s="4" t="str">
        <f t="shared" si="84"/>
        <v>QASHWQPAFTCLALLGCFLPLLAMLLCYGATLHTLAAS</v>
      </c>
      <c r="O235" s="4" t="str">
        <f t="shared" si="85"/>
        <v>YGHALRLTAVVLASAVAFFVPSNLLLLLHYSDP</v>
      </c>
      <c r="P235" s="4" t="str">
        <f t="shared" si="86"/>
        <v>WGNLYGAYVPSLALSTLNSCVDPFIYYYV</v>
      </c>
      <c r="Q235" s="4" t="str">
        <f t="shared" si="87"/>
        <v>SAEFRDKVRAGLFQR</v>
      </c>
      <c r="R235" s="5">
        <f>VLOOKUP($A235,'SegEnds_NonXtal_Prot#'!$A:$AL,3,FALSE)</f>
        <v>73</v>
      </c>
      <c r="S235" s="5" t="str">
        <f>VLOOKUP($A235,'SegEnds_NonXtal_Prot#'!$A:$AL,6,FALSE)</f>
        <v>-</v>
      </c>
      <c r="T235" s="5">
        <f>VLOOKUP($A235,'SegEnds_NonXtal_Prot#'!$A:$AL,9,FALSE)</f>
        <v>109</v>
      </c>
      <c r="U235" s="5">
        <f>VLOOKUP($A235,'SegEnds_NonXtal_Prot#'!$A:$AL,12,FALSE)</f>
        <v>141</v>
      </c>
      <c r="V235" s="5">
        <f>VLOOKUP($A235,'SegEnds_NonXtal_Prot#'!$A:$AL,15,FALSE)</f>
        <v>145</v>
      </c>
      <c r="W235" s="5">
        <f>VLOOKUP($A235,'SegEnds_NonXtal_Prot#'!$A:$AL,18,FALSE)</f>
        <v>181</v>
      </c>
      <c r="X235" s="5">
        <f>VLOOKUP($A235,'SegEnds_NonXtal_Prot#'!$A:$AL,21,FALSE)</f>
        <v>189</v>
      </c>
      <c r="Y235" s="5">
        <f>VLOOKUP($A235,'SegEnds_NonXtal_Prot#'!$A:$AL,24,FALSE)</f>
        <v>228</v>
      </c>
      <c r="Z235" s="5">
        <f>VLOOKUP($A235,'SegEnds_NonXtal_Prot#'!$A:$AL,27,FALSE)</f>
        <v>237</v>
      </c>
      <c r="AA235" s="5">
        <f>VLOOKUP($A235,'SegEnds_NonXtal_Prot#'!$A:$AL,30,FALSE)</f>
        <v>278</v>
      </c>
      <c r="AB235" s="5">
        <f>VLOOKUP($A235,'SegEnds_NonXtal_Prot#'!$A:$AL,33,FALSE)</f>
        <v>315</v>
      </c>
      <c r="AC235" s="5">
        <f>VLOOKUP($A235,'SegEnds_NonXtal_Prot#'!$A:$AL,36,FALSE)</f>
        <v>344</v>
      </c>
      <c r="AD235" s="5">
        <f>VLOOKUP($A235,'SegEnds_NonXtal_Prot#'!$A:$AL,5,FALSE)</f>
        <v>105</v>
      </c>
      <c r="AE235" s="5" t="str">
        <f>VLOOKUP($A235,'SegEnds_NonXtal_Prot#'!$A:$AL,8,FALSE)</f>
        <v>-</v>
      </c>
      <c r="AF235" s="5">
        <f>VLOOKUP($A235,'SegEnds_NonXtal_Prot#'!$A:$AL,11,FALSE)</f>
        <v>138</v>
      </c>
      <c r="AG235" s="5">
        <f>VLOOKUP($A235,'SegEnds_NonXtal_Prot#'!$A:$AL,14,FALSE)</f>
        <v>144</v>
      </c>
      <c r="AH235" s="5">
        <f>VLOOKUP($A235,'SegEnds_NonXtal_Prot#'!$A:$AL,17,FALSE)</f>
        <v>180</v>
      </c>
      <c r="AI235" s="5">
        <f>VLOOKUP($A235,'SegEnds_NonXtal_Prot#'!$A:$AL,20,FALSE)</f>
        <v>188</v>
      </c>
      <c r="AJ235" s="5">
        <f>VLOOKUP($A235,'SegEnds_NonXtal_Prot#'!$A:$AL,23,FALSE)</f>
        <v>213</v>
      </c>
      <c r="AK235" s="5">
        <f>VLOOKUP($A235,'SegEnds_NonXtal_Prot#'!$A:$AL,26,FALSE)</f>
        <v>230</v>
      </c>
      <c r="AL235" s="5">
        <f>VLOOKUP($A235,'SegEnds_NonXtal_Prot#'!$A:$AL,29,FALSE)</f>
        <v>274</v>
      </c>
      <c r="AM235" s="5">
        <f>VLOOKUP($A235,'SegEnds_NonXtal_Prot#'!$A:$AL,32,FALSE)</f>
        <v>310</v>
      </c>
      <c r="AN235" s="5">
        <f>VLOOKUP($A235,'SegEnds_NonXtal_Prot#'!$A:$AL,35,FALSE)</f>
        <v>343</v>
      </c>
      <c r="AO235" s="5">
        <f>VLOOKUP($A235,'SegEnds_NonXtal_Prot#'!$A:$AL,38,FALSE)</f>
        <v>358</v>
      </c>
      <c r="AP235" s="5">
        <f t="shared" si="88"/>
        <v>32</v>
      </c>
      <c r="AQ235" s="4" t="str">
        <f t="shared" si="89"/>
        <v>-</v>
      </c>
      <c r="AR235" s="4">
        <f t="shared" si="90"/>
        <v>29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24</v>
      </c>
      <c r="AW235" s="4">
        <f t="shared" si="95"/>
        <v>2</v>
      </c>
      <c r="AX235" s="4">
        <f t="shared" si="96"/>
        <v>37</v>
      </c>
      <c r="AY235" s="4">
        <f t="shared" si="97"/>
        <v>32</v>
      </c>
      <c r="AZ235" s="4">
        <f t="shared" si="98"/>
        <v>28</v>
      </c>
      <c r="BA235" s="4">
        <f t="shared" si="99"/>
        <v>14</v>
      </c>
    </row>
    <row r="236" spans="1:53" x14ac:dyDescent="0.2">
      <c r="A236" s="1" t="str">
        <f>'SegEnds_NonXtal_Prot#'!A221</f>
        <v>pd2r_human</v>
      </c>
      <c r="B236" s="1" t="str">
        <f t="shared" si="75"/>
        <v>SVEKGNSAVMGGVLFSTGLLGNLLALGLLARSSVFYMLVCGLTVTDLLGKCLLSPVVLAAYAQNPALDNSLCQAFAFFMSFFGLSSTLQLLAMALECWLSLGHTLRLGALVAPVVSAFSLAFCALPFMGFLSVLGYSVLYSSLMALLVLATVLCNLGAMRNLYAMHRRLQRHPRSSPQPLEELDHLLLLALMTVLFTMCSLPVIYRAYYGAFKRTSEEAEDLRALRFLSVISIVDPWIFIIFRSPVFRIFFHKI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6" s="5" t="str">
        <f t="shared" si="76"/>
        <v>SVEKGNSAVMGGVLFSTGLLGNLLALGLLARS</v>
      </c>
      <c r="G236" s="4" t="str">
        <f t="shared" si="77"/>
        <v/>
      </c>
      <c r="H236" s="4" t="str">
        <f t="shared" si="78"/>
        <v>SVFYMLVCGLTVTDLLGKCLLSPVVLAAYAQN</v>
      </c>
      <c r="I236" s="4" t="str">
        <f t="shared" si="79"/>
        <v/>
      </c>
      <c r="J236" s="4" t="str">
        <f t="shared" si="80"/>
        <v>PALDNSLCQAFAFFMSFFGLSSTLQLLAMALECWLSLGH</v>
      </c>
      <c r="K236" s="4" t="str">
        <f t="shared" si="81"/>
        <v>PFFYRRHI</v>
      </c>
      <c r="L236" s="4" t="str">
        <f t="shared" si="82"/>
        <v>TLRLGALVAPVVSAFSLAFCALPFMGF</v>
      </c>
      <c r="M236" s="4" t="str">
        <f t="shared" si="83"/>
        <v>CFI</v>
      </c>
      <c r="N236" s="4" t="str">
        <f t="shared" si="84"/>
        <v>LSVLGYSVLYSSLMALLVLATVLCNLGAMRNLYAMHRRLQRHPRS</v>
      </c>
      <c r="O236" s="4" t="str">
        <f t="shared" si="85"/>
        <v>SPQPLEELDHLLLLALMTVLFTMCSLPVIYRAYYGAFK</v>
      </c>
      <c r="P236" s="4" t="str">
        <f t="shared" si="86"/>
        <v>RTSEEAEDLRALRFLSVISIVDPWIFIIF</v>
      </c>
      <c r="Q236" s="4" t="str">
        <f t="shared" si="87"/>
        <v>RSPVFRIFFHKI</v>
      </c>
      <c r="R236" s="5">
        <f>VLOOKUP($A236,'SegEnds_NonXtal_Prot#'!$A:$AL,3,FALSE)</f>
        <v>13</v>
      </c>
      <c r="S236" s="5" t="str">
        <f>VLOOKUP($A236,'SegEnds_NonXtal_Prot#'!$A:$AL,6,FALSE)</f>
        <v>-</v>
      </c>
      <c r="T236" s="5">
        <f>VLOOKUP($A236,'SegEnds_NonXtal_Prot#'!$A:$AL,9,FALSE)</f>
        <v>59</v>
      </c>
      <c r="U236" s="5" t="str">
        <f>VLOOKUP($A236,'SegEnds_NonXtal_Prot#'!$A:$AL,12,FALSE)</f>
        <v>-</v>
      </c>
      <c r="V236" s="5">
        <f>VLOOKUP($A236,'SegEnds_NonXtal_Prot#'!$A:$AL,15,FALSE)</f>
        <v>98</v>
      </c>
      <c r="W236" s="5">
        <f>VLOOKUP($A236,'SegEnds_NonXtal_Prot#'!$A:$AL,18,FALSE)</f>
        <v>137</v>
      </c>
      <c r="X236" s="5">
        <f>VLOOKUP($A236,'SegEnds_NonXtal_Prot#'!$A:$AL,21,FALSE)</f>
        <v>145</v>
      </c>
      <c r="Y236" s="5">
        <f>VLOOKUP($A236,'SegEnds_NonXtal_Prot#'!$A:$AL,24,FALSE)</f>
        <v>183</v>
      </c>
      <c r="Z236" s="5">
        <f>VLOOKUP($A236,'SegEnds_NonXtal_Prot#'!$A:$AL,27,FALSE)</f>
        <v>194</v>
      </c>
      <c r="AA236" s="5">
        <f>VLOOKUP($A236,'SegEnds_NonXtal_Prot#'!$A:$AL,30,FALSE)</f>
        <v>254</v>
      </c>
      <c r="AB236" s="5">
        <f>VLOOKUP($A236,'SegEnds_NonXtal_Prot#'!$A:$AL,33,FALSE)</f>
        <v>298</v>
      </c>
      <c r="AC236" s="5">
        <f>VLOOKUP($A236,'SegEnds_NonXtal_Prot#'!$A:$AL,36,FALSE)</f>
        <v>327</v>
      </c>
      <c r="AD236" s="5">
        <f>VLOOKUP($A236,'SegEnds_NonXtal_Prot#'!$A:$AL,5,FALSE)</f>
        <v>44</v>
      </c>
      <c r="AE236" s="5" t="str">
        <f>VLOOKUP($A236,'SegEnds_NonXtal_Prot#'!$A:$AL,8,FALSE)</f>
        <v>-</v>
      </c>
      <c r="AF236" s="5">
        <f>VLOOKUP($A236,'SegEnds_NonXtal_Prot#'!$A:$AL,11,FALSE)</f>
        <v>90</v>
      </c>
      <c r="AG236" s="5" t="str">
        <f>VLOOKUP($A236,'SegEnds_NonXtal_Prot#'!$A:$AL,14,FALSE)</f>
        <v>-</v>
      </c>
      <c r="AH236" s="5">
        <f>VLOOKUP($A236,'SegEnds_NonXtal_Prot#'!$A:$AL,17,FALSE)</f>
        <v>136</v>
      </c>
      <c r="AI236" s="5">
        <f>VLOOKUP($A236,'SegEnds_NonXtal_Prot#'!$A:$AL,20,FALSE)</f>
        <v>144</v>
      </c>
      <c r="AJ236" s="5">
        <f>VLOOKUP($A236,'SegEnds_NonXtal_Prot#'!$A:$AL,23,FALSE)</f>
        <v>171</v>
      </c>
      <c r="AK236" s="5">
        <f>VLOOKUP($A236,'SegEnds_NonXtal_Prot#'!$A:$AL,26,FALSE)</f>
        <v>185</v>
      </c>
      <c r="AL236" s="5">
        <f>VLOOKUP($A236,'SegEnds_NonXtal_Prot#'!$A:$AL,29,FALSE)</f>
        <v>238</v>
      </c>
      <c r="AM236" s="5">
        <f>VLOOKUP($A236,'SegEnds_NonXtal_Prot#'!$A:$AL,32,FALSE)</f>
        <v>291</v>
      </c>
      <c r="AN236" s="5">
        <f>VLOOKUP($A236,'SegEnds_NonXtal_Prot#'!$A:$AL,35,FALSE)</f>
        <v>326</v>
      </c>
      <c r="AO236" s="5">
        <f>VLOOKUP($A236,'SegEnds_NonXtal_Prot#'!$A:$AL,38,FALSE)</f>
        <v>338</v>
      </c>
      <c r="AP236" s="5">
        <f t="shared" si="88"/>
        <v>31</v>
      </c>
      <c r="AQ236" s="4" t="str">
        <f t="shared" si="89"/>
        <v>-</v>
      </c>
      <c r="AR236" s="4">
        <f t="shared" si="90"/>
        <v>31</v>
      </c>
      <c r="AS236" s="4" t="str">
        <f t="shared" si="91"/>
        <v>-</v>
      </c>
      <c r="AT236" s="4">
        <f t="shared" si="92"/>
        <v>38</v>
      </c>
      <c r="AU236" s="4">
        <f t="shared" si="93"/>
        <v>7</v>
      </c>
      <c r="AV236" s="4">
        <f t="shared" si="94"/>
        <v>26</v>
      </c>
      <c r="AW236" s="4">
        <f t="shared" si="95"/>
        <v>2</v>
      </c>
      <c r="AX236" s="4">
        <f t="shared" si="96"/>
        <v>44</v>
      </c>
      <c r="AY236" s="4">
        <f t="shared" si="97"/>
        <v>37</v>
      </c>
      <c r="AZ236" s="4">
        <f t="shared" si="98"/>
        <v>28</v>
      </c>
      <c r="BA236" s="4">
        <f t="shared" si="99"/>
        <v>11</v>
      </c>
    </row>
    <row r="237" spans="1:53" x14ac:dyDescent="0.2">
      <c r="A237" s="1" t="str">
        <f>'SegEnds_NonXtal_Prot#'!A222</f>
        <v>pd2r2_human</v>
      </c>
      <c r="B237" s="1" t="str">
        <f t="shared" si="75"/>
        <v>HAAVLLHGLASLLGLVENGVILFVVGCRTVVTTWVLHLALSDLLASASLPFFTYFLAVGTTFCKLHSSIFFLNMFASGFLLSAISLDRCLQVVRTVAAAHKVCLVLWALAVLNTVPYFVFRTCNSRQVALAVSKFLLAFLVPLAIIASSHAAVSLRLQHRPGRFVRLVAAVVAAFALCWGPYHVFSLLEARARPLVWRGLPFVTSLAFFNSVANPVLYVLTCPDMLRKLRRSLRTV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7" s="5" t="str">
        <f t="shared" si="76"/>
        <v>HAAVLLHGLASLLGLVENGVILFVVGCR</v>
      </c>
      <c r="G237" s="4" t="str">
        <f t="shared" si="77"/>
        <v/>
      </c>
      <c r="H237" s="4" t="str">
        <f t="shared" si="78"/>
        <v>TVVTTWVLHLALSDLLASASLPFFTYFLAV</v>
      </c>
      <c r="I237" s="4" t="str">
        <f t="shared" si="79"/>
        <v>SWEL</v>
      </c>
      <c r="J237" s="4" t="str">
        <f t="shared" si="80"/>
        <v>GTTFCKLHSSIFFLNMFASGFLLSAISLDRCLQVVR</v>
      </c>
      <c r="K237" s="4" t="str">
        <f t="shared" si="81"/>
        <v>PVWAQNHR</v>
      </c>
      <c r="L237" s="4" t="str">
        <f t="shared" si="82"/>
        <v>TVAAAHKVCLVLWALAVLNTVPYFVFR</v>
      </c>
      <c r="M237" s="4" t="str">
        <f t="shared" si="83"/>
        <v>CYY</v>
      </c>
      <c r="N237" s="4" t="str">
        <f t="shared" si="84"/>
        <v>TCNSRQVALAVSKFLLAFLVPLAIIASSHAAVSLRLQHR</v>
      </c>
      <c r="O237" s="4" t="str">
        <f t="shared" si="85"/>
        <v>PGRFVRLVAAVVAAFALCWGPYHVFSLLEARA</v>
      </c>
      <c r="P237" s="4" t="str">
        <f t="shared" si="86"/>
        <v>RPLVWRGLPFVTSLAFFNSVANPVLYVLT</v>
      </c>
      <c r="Q237" s="4" t="str">
        <f t="shared" si="87"/>
        <v>CPDMLRKLRRSLRTV</v>
      </c>
      <c r="R237" s="5">
        <f>VLOOKUP($A237,'SegEnds_NonXtal_Prot#'!$A:$AL,3,FALSE)</f>
        <v>33</v>
      </c>
      <c r="S237" s="5" t="str">
        <f>VLOOKUP($A237,'SegEnds_NonXtal_Prot#'!$A:$AL,6,FALSE)</f>
        <v>-</v>
      </c>
      <c r="T237" s="5">
        <f>VLOOKUP($A237,'SegEnds_NonXtal_Prot#'!$A:$AL,9,FALSE)</f>
        <v>64</v>
      </c>
      <c r="U237" s="5">
        <f>VLOOKUP($A237,'SegEnds_NonXtal_Prot#'!$A:$AL,12,FALSE)</f>
        <v>96</v>
      </c>
      <c r="V237" s="5">
        <f>VLOOKUP($A237,'SegEnds_NonXtal_Prot#'!$A:$AL,15,FALSE)</f>
        <v>100</v>
      </c>
      <c r="W237" s="5">
        <f>VLOOKUP($A237,'SegEnds_NonXtal_Prot#'!$A:$AL,18,FALSE)</f>
        <v>136</v>
      </c>
      <c r="X237" s="5">
        <f>VLOOKUP($A237,'SegEnds_NonXtal_Prot#'!$A:$AL,21,FALSE)</f>
        <v>144</v>
      </c>
      <c r="Y237" s="5">
        <f>VLOOKUP($A237,'SegEnds_NonXtal_Prot#'!$A:$AL,24,FALSE)</f>
        <v>182</v>
      </c>
      <c r="Z237" s="5">
        <f>VLOOKUP($A237,'SegEnds_NonXtal_Prot#'!$A:$AL,27,FALSE)</f>
        <v>198</v>
      </c>
      <c r="AA237" s="5">
        <f>VLOOKUP($A237,'SegEnds_NonXtal_Prot#'!$A:$AL,30,FALSE)</f>
        <v>241</v>
      </c>
      <c r="AB237" s="5">
        <f>VLOOKUP($A237,'SegEnds_NonXtal_Prot#'!$A:$AL,33,FALSE)</f>
        <v>279</v>
      </c>
      <c r="AC237" s="5">
        <f>VLOOKUP($A237,'SegEnds_NonXtal_Prot#'!$A:$AL,36,FALSE)</f>
        <v>308</v>
      </c>
      <c r="AD237" s="5">
        <f>VLOOKUP($A237,'SegEnds_NonXtal_Prot#'!$A:$AL,5,FALSE)</f>
        <v>60</v>
      </c>
      <c r="AE237" s="5" t="str">
        <f>VLOOKUP($A237,'SegEnds_NonXtal_Prot#'!$A:$AL,8,FALSE)</f>
        <v>-</v>
      </c>
      <c r="AF237" s="5">
        <f>VLOOKUP($A237,'SegEnds_NonXtal_Prot#'!$A:$AL,11,FALSE)</f>
        <v>93</v>
      </c>
      <c r="AG237" s="5">
        <f>VLOOKUP($A237,'SegEnds_NonXtal_Prot#'!$A:$AL,14,FALSE)</f>
        <v>99</v>
      </c>
      <c r="AH237" s="5">
        <f>VLOOKUP($A237,'SegEnds_NonXtal_Prot#'!$A:$AL,17,FALSE)</f>
        <v>135</v>
      </c>
      <c r="AI237" s="5">
        <f>VLOOKUP($A237,'SegEnds_NonXtal_Prot#'!$A:$AL,20,FALSE)</f>
        <v>143</v>
      </c>
      <c r="AJ237" s="5">
        <f>VLOOKUP($A237,'SegEnds_NonXtal_Prot#'!$A:$AL,23,FALSE)</f>
        <v>170</v>
      </c>
      <c r="AK237" s="5">
        <f>VLOOKUP($A237,'SegEnds_NonXtal_Prot#'!$A:$AL,26,FALSE)</f>
        <v>184</v>
      </c>
      <c r="AL237" s="5">
        <f>VLOOKUP($A237,'SegEnds_NonXtal_Prot#'!$A:$AL,29,FALSE)</f>
        <v>236</v>
      </c>
      <c r="AM237" s="5">
        <f>VLOOKUP($A237,'SegEnds_NonXtal_Prot#'!$A:$AL,32,FALSE)</f>
        <v>272</v>
      </c>
      <c r="AN237" s="5">
        <f>VLOOKUP($A237,'SegEnds_NonXtal_Prot#'!$A:$AL,35,FALSE)</f>
        <v>307</v>
      </c>
      <c r="AO237" s="5">
        <f>VLOOKUP($A237,'SegEnds_NonXtal_Prot#'!$A:$AL,38,FALSE)</f>
        <v>322</v>
      </c>
      <c r="AP237" s="5">
        <f t="shared" si="88"/>
        <v>27</v>
      </c>
      <c r="AQ237" s="4" t="str">
        <f t="shared" si="89"/>
        <v>-</v>
      </c>
      <c r="AR237" s="4">
        <f t="shared" si="90"/>
        <v>29</v>
      </c>
      <c r="AS237" s="4">
        <f t="shared" si="91"/>
        <v>3</v>
      </c>
      <c r="AT237" s="4">
        <f t="shared" si="92"/>
        <v>35</v>
      </c>
      <c r="AU237" s="4">
        <f t="shared" si="93"/>
        <v>7</v>
      </c>
      <c r="AV237" s="4">
        <f t="shared" si="94"/>
        <v>26</v>
      </c>
      <c r="AW237" s="4">
        <f t="shared" si="95"/>
        <v>2</v>
      </c>
      <c r="AX237" s="4">
        <f t="shared" si="96"/>
        <v>38</v>
      </c>
      <c r="AY237" s="4">
        <f t="shared" si="97"/>
        <v>31</v>
      </c>
      <c r="AZ237" s="4">
        <f t="shared" si="98"/>
        <v>28</v>
      </c>
      <c r="BA237" s="4">
        <f t="shared" si="99"/>
        <v>14</v>
      </c>
    </row>
    <row r="238" spans="1:53" x14ac:dyDescent="0.2">
      <c r="A238" s="1" t="str">
        <f>'SegEnds_NonXtal_Prot#'!A223</f>
        <v>pe2r1_human</v>
      </c>
      <c r="B238" s="1" t="str">
        <f t="shared" si="75"/>
        <v>AVPPSGASPALPIFSMTLGAVSNLLALALLAQARRRSAATFLLFVASLLATDLAGHVIPGALVLRLYTGGACHFLGGCMVFFGLCPLLLGCGMAVERCVGVTRSVARARLALAAVAAVALAVALLPLARLLAGLFASLGLVALLAALVCNTLSGLALLRARWRRRSRRRRARAHDVEMVGQLVGIMVVSCICWSPMLVLVALAVGGLQRPLFLAVRLASWNQILDPWVYILLRQAVLRQLLRLLP</v>
      </c>
      <c r="C238" s="29" t="str">
        <f>IF(ISERROR(MATCH(A238,'SegEnds_Xtal_Prot#'!B:B, 0)), "NoXtal", "Xtal")</f>
        <v>NoXtal</v>
      </c>
      <c r="D238" s="4" t="str">
        <f>VLOOKUP(A238,Classification!A:D,2,FALSE)</f>
        <v>A</v>
      </c>
      <c r="E238" s="5" t="str">
        <f>VLOOKUP(A238,Seqs!A:B,2,FALSE)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8" s="5" t="str">
        <f t="shared" si="76"/>
        <v>AVPPSGASPALPIFSMTLGAVSNLLALALLAQA</v>
      </c>
      <c r="G238" s="4" t="str">
        <f t="shared" si="77"/>
        <v>GRLR</v>
      </c>
      <c r="H238" s="4" t="str">
        <f t="shared" si="78"/>
        <v>RRRSAATFLLFVASLLATDLAGHVIPGALVLRLYT</v>
      </c>
      <c r="I238" s="4" t="str">
        <f t="shared" si="79"/>
        <v>RAPA</v>
      </c>
      <c r="J238" s="4" t="str">
        <f t="shared" si="80"/>
        <v>GGACHFLGGCMVFFGLCPLLLGCGMAVERCVGVTR</v>
      </c>
      <c r="K238" s="4" t="str">
        <f t="shared" si="81"/>
        <v>PLLHAARV</v>
      </c>
      <c r="L238" s="4" t="str">
        <f t="shared" si="82"/>
        <v>SVARARLALAAVAAVALAVALLPLAR</v>
      </c>
      <c r="M238" s="4" t="str">
        <f t="shared" si="83"/>
        <v>CFI</v>
      </c>
      <c r="N238" s="4" t="str">
        <f t="shared" si="84"/>
        <v>LLAGLFASLGLVALLAALVCNTLSGLALLRARWRRRSRR</v>
      </c>
      <c r="O238" s="4" t="str">
        <f t="shared" si="85"/>
        <v>RRARAHDVEMVGQLVGIMVVSCICWSPMLVLVALAVGG</v>
      </c>
      <c r="P238" s="4" t="str">
        <f t="shared" si="86"/>
        <v>LQRPLFLAVRLASWNQILDPWVYILL</v>
      </c>
      <c r="Q238" s="4" t="str">
        <f t="shared" si="87"/>
        <v>RQAVLRQLLRLLP</v>
      </c>
      <c r="R238" s="5">
        <f>VLOOKUP($A238,'SegEnds_NonXtal_Prot#'!$A:$AL,3,FALSE)</f>
        <v>28</v>
      </c>
      <c r="S238" s="5">
        <f>VLOOKUP($A238,'SegEnds_NonXtal_Prot#'!$A:$AL,6,FALSE)</f>
        <v>62</v>
      </c>
      <c r="T238" s="5">
        <f>VLOOKUP($A238,'SegEnds_NonXtal_Prot#'!$A:$AL,9,FALSE)</f>
        <v>66</v>
      </c>
      <c r="U238" s="5">
        <f>VLOOKUP($A238,'SegEnds_NonXtal_Prot#'!$A:$AL,12,FALSE)</f>
        <v>103</v>
      </c>
      <c r="V238" s="5">
        <f>VLOOKUP($A238,'SegEnds_NonXtal_Prot#'!$A:$AL,15,FALSE)</f>
        <v>107</v>
      </c>
      <c r="W238" s="5">
        <f>VLOOKUP($A238,'SegEnds_NonXtal_Prot#'!$A:$AL,18,FALSE)</f>
        <v>142</v>
      </c>
      <c r="X238" s="5">
        <f>VLOOKUP($A238,'SegEnds_NonXtal_Prot#'!$A:$AL,21,FALSE)</f>
        <v>150</v>
      </c>
      <c r="Y238" s="5">
        <f>VLOOKUP($A238,'SegEnds_NonXtal_Prot#'!$A:$AL,24,FALSE)</f>
        <v>188</v>
      </c>
      <c r="Z238" s="5">
        <f>VLOOKUP($A238,'SegEnds_NonXtal_Prot#'!$A:$AL,27,FALSE)</f>
        <v>202</v>
      </c>
      <c r="AA238" s="5">
        <f>VLOOKUP($A238,'SegEnds_NonXtal_Prot#'!$A:$AL,30,FALSE)</f>
        <v>286</v>
      </c>
      <c r="AB238" s="5">
        <f>VLOOKUP($A238,'SegEnds_NonXtal_Prot#'!$A:$AL,33,FALSE)</f>
        <v>329</v>
      </c>
      <c r="AC238" s="5">
        <f>VLOOKUP($A238,'SegEnds_NonXtal_Prot#'!$A:$AL,36,FALSE)</f>
        <v>355</v>
      </c>
      <c r="AD238" s="5">
        <f>VLOOKUP($A238,'SegEnds_NonXtal_Prot#'!$A:$AL,5,FALSE)</f>
        <v>60</v>
      </c>
      <c r="AE238" s="5">
        <f>VLOOKUP($A238,'SegEnds_NonXtal_Prot#'!$A:$AL,8,FALSE)</f>
        <v>65</v>
      </c>
      <c r="AF238" s="5">
        <f>VLOOKUP($A238,'SegEnds_NonXtal_Prot#'!$A:$AL,11,FALSE)</f>
        <v>100</v>
      </c>
      <c r="AG238" s="5">
        <f>VLOOKUP($A238,'SegEnds_NonXtal_Prot#'!$A:$AL,14,FALSE)</f>
        <v>106</v>
      </c>
      <c r="AH238" s="5">
        <f>VLOOKUP($A238,'SegEnds_NonXtal_Prot#'!$A:$AL,17,FALSE)</f>
        <v>141</v>
      </c>
      <c r="AI238" s="5">
        <f>VLOOKUP($A238,'SegEnds_NonXtal_Prot#'!$A:$AL,20,FALSE)</f>
        <v>149</v>
      </c>
      <c r="AJ238" s="5">
        <f>VLOOKUP($A238,'SegEnds_NonXtal_Prot#'!$A:$AL,23,FALSE)</f>
        <v>175</v>
      </c>
      <c r="AK238" s="5">
        <f>VLOOKUP($A238,'SegEnds_NonXtal_Prot#'!$A:$AL,26,FALSE)</f>
        <v>190</v>
      </c>
      <c r="AL238" s="5">
        <f>VLOOKUP($A238,'SegEnds_NonXtal_Prot#'!$A:$AL,29,FALSE)</f>
        <v>240</v>
      </c>
      <c r="AM238" s="5">
        <f>VLOOKUP($A238,'SegEnds_NonXtal_Prot#'!$A:$AL,32,FALSE)</f>
        <v>323</v>
      </c>
      <c r="AN238" s="5">
        <f>VLOOKUP($A238,'SegEnds_NonXtal_Prot#'!$A:$AL,35,FALSE)</f>
        <v>354</v>
      </c>
      <c r="AO238" s="5">
        <f>VLOOKUP($A238,'SegEnds_NonXtal_Prot#'!$A:$AL,38,FALSE)</f>
        <v>367</v>
      </c>
      <c r="AP238" s="5">
        <f t="shared" si="88"/>
        <v>32</v>
      </c>
      <c r="AQ238" s="4">
        <f t="shared" si="89"/>
        <v>3</v>
      </c>
      <c r="AR238" s="4">
        <f t="shared" si="90"/>
        <v>34</v>
      </c>
      <c r="AS238" s="4">
        <f t="shared" si="91"/>
        <v>3</v>
      </c>
      <c r="AT238" s="4">
        <f t="shared" si="92"/>
        <v>34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38</v>
      </c>
      <c r="AY238" s="4">
        <f t="shared" si="97"/>
        <v>37</v>
      </c>
      <c r="AZ238" s="4">
        <f t="shared" si="98"/>
        <v>25</v>
      </c>
      <c r="BA238" s="4">
        <f t="shared" si="99"/>
        <v>12</v>
      </c>
    </row>
    <row r="239" spans="1:53" x14ac:dyDescent="0.2">
      <c r="A239" s="1" t="str">
        <f>'SegEnds_NonXtal_Prot#'!A224</f>
        <v>pe2r2_human</v>
      </c>
      <c r="B239" s="1" t="str">
        <f t="shared" si="75"/>
        <v>WLPPGESPAISSVMFSAGVLGNLIALALLARRRRSSLSLFHVLVTELVFTDLLGTCLISPVVLASYARNLAPESRACTYFAFAMTFFSLATMLMLFAMALERYLSIGHSRSGGLAVLPVIYAVSLLFCSLPLLDYTAYLQLYATLLLLLIVSVLACNFSVILNLIRMHRRSRRSRCGRVSMAEETDHLILLAIMTITFAVCSLPFTIFAYMNETSKWDLQALRFLSINSIIDPWVFAILRPPVLRLMRSVL</v>
      </c>
      <c r="C239" s="29" t="str">
        <f>IF(ISERROR(MATCH(A239,'SegEnds_Xtal_Prot#'!B:B, 0)), "NoXtal", "Xtal")</f>
        <v>NoXtal</v>
      </c>
      <c r="D239" s="4" t="str">
        <f>VLOOKUP(A239,Classification!A:D,2,FALSE)</f>
        <v>A</v>
      </c>
      <c r="E239" s="5" t="str">
        <f>VLOOKUP(A239,Seqs!A:B,2,FALSE)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9" s="5" t="str">
        <f t="shared" si="76"/>
        <v>WLPPGESPAISSVMFSAGVLGNLIALALLARR</v>
      </c>
      <c r="G239" s="4" t="str">
        <f t="shared" si="77"/>
        <v>CSAG</v>
      </c>
      <c r="H239" s="4" t="str">
        <f t="shared" si="78"/>
        <v>RRSSLSLFHVLVTELVFTDLLGTCLISPVVLASYARN</v>
      </c>
      <c r="I239" s="4" t="str">
        <f t="shared" si="79"/>
        <v/>
      </c>
      <c r="J239" s="4" t="str">
        <f t="shared" si="80"/>
        <v>LAPESRACTYFAFAMTFFSLATMLMLFAMALERYLSIGH</v>
      </c>
      <c r="K239" s="4" t="str">
        <f t="shared" si="81"/>
        <v>PYFYQRRV</v>
      </c>
      <c r="L239" s="4" t="str">
        <f t="shared" si="82"/>
        <v>SRSGGLAVLPVIYAVSLLFCSLPLLDY</v>
      </c>
      <c r="M239" s="4" t="str">
        <f t="shared" si="83"/>
        <v>CFI</v>
      </c>
      <c r="N239" s="4" t="str">
        <f t="shared" si="84"/>
        <v>TAYLQLYATLLLLLIVSVLACNFSVILNLIRMHRRSRRSRCG</v>
      </c>
      <c r="O239" s="4" t="str">
        <f t="shared" si="85"/>
        <v>RVSMAEETDHLILLAIMTITFAVCSLPFTIFAYMNETS</v>
      </c>
      <c r="P239" s="4" t="str">
        <f t="shared" si="86"/>
        <v>KWDLQALRFLSINSIIDPWVFAIL</v>
      </c>
      <c r="Q239" s="4" t="str">
        <f t="shared" si="87"/>
        <v>RPPVLRLMRSVL</v>
      </c>
      <c r="R239" s="5">
        <f>VLOOKUP($A239,'SegEnds_NonXtal_Prot#'!$A:$AL,3,FALSE)</f>
        <v>18</v>
      </c>
      <c r="S239" s="5">
        <f>VLOOKUP($A239,'SegEnds_NonXtal_Prot#'!$A:$AL,6,FALSE)</f>
        <v>56</v>
      </c>
      <c r="T239" s="5">
        <f>VLOOKUP($A239,'SegEnds_NonXtal_Prot#'!$A:$AL,9,FALSE)</f>
        <v>60</v>
      </c>
      <c r="U239" s="5" t="str">
        <f>VLOOKUP($A239,'SegEnds_NonXtal_Prot#'!$A:$AL,12,FALSE)</f>
        <v>-</v>
      </c>
      <c r="V239" s="5">
        <f>VLOOKUP($A239,'SegEnds_NonXtal_Prot#'!$A:$AL,15,FALSE)</f>
        <v>102</v>
      </c>
      <c r="W239" s="5">
        <f>VLOOKUP($A239,'SegEnds_NonXtal_Prot#'!$A:$AL,18,FALSE)</f>
        <v>141</v>
      </c>
      <c r="X239" s="5">
        <f>VLOOKUP($A239,'SegEnds_NonXtal_Prot#'!$A:$AL,21,FALSE)</f>
        <v>149</v>
      </c>
      <c r="Y239" s="5">
        <f>VLOOKUP($A239,'SegEnds_NonXtal_Prot#'!$A:$AL,24,FALSE)</f>
        <v>187</v>
      </c>
      <c r="Z239" s="5">
        <f>VLOOKUP($A239,'SegEnds_NonXtal_Prot#'!$A:$AL,27,FALSE)</f>
        <v>194</v>
      </c>
      <c r="AA239" s="5">
        <f>VLOOKUP($A239,'SegEnds_NonXtal_Prot#'!$A:$AL,30,FALSE)</f>
        <v>253</v>
      </c>
      <c r="AB239" s="5">
        <f>VLOOKUP($A239,'SegEnds_NonXtal_Prot#'!$A:$AL,33,FALSE)</f>
        <v>295</v>
      </c>
      <c r="AC239" s="5">
        <f>VLOOKUP($A239,'SegEnds_NonXtal_Prot#'!$A:$AL,36,FALSE)</f>
        <v>319</v>
      </c>
      <c r="AD239" s="5">
        <f>VLOOKUP($A239,'SegEnds_NonXtal_Prot#'!$A:$AL,5,FALSE)</f>
        <v>49</v>
      </c>
      <c r="AE239" s="5">
        <f>VLOOKUP($A239,'SegEnds_NonXtal_Prot#'!$A:$AL,8,FALSE)</f>
        <v>59</v>
      </c>
      <c r="AF239" s="5">
        <f>VLOOKUP($A239,'SegEnds_NonXtal_Prot#'!$A:$AL,11,FALSE)</f>
        <v>96</v>
      </c>
      <c r="AG239" s="5" t="str">
        <f>VLOOKUP($A239,'SegEnds_NonXtal_Prot#'!$A:$AL,14,FALSE)</f>
        <v>-</v>
      </c>
      <c r="AH239" s="5">
        <f>VLOOKUP($A239,'SegEnds_NonXtal_Prot#'!$A:$AL,17,FALSE)</f>
        <v>140</v>
      </c>
      <c r="AI239" s="5">
        <f>VLOOKUP($A239,'SegEnds_NonXtal_Prot#'!$A:$AL,20,FALSE)</f>
        <v>148</v>
      </c>
      <c r="AJ239" s="5">
        <f>VLOOKUP($A239,'SegEnds_NonXtal_Prot#'!$A:$AL,23,FALSE)</f>
        <v>175</v>
      </c>
      <c r="AK239" s="5">
        <f>VLOOKUP($A239,'SegEnds_NonXtal_Prot#'!$A:$AL,26,FALSE)</f>
        <v>189</v>
      </c>
      <c r="AL239" s="5">
        <f>VLOOKUP($A239,'SegEnds_NonXtal_Prot#'!$A:$AL,29,FALSE)</f>
        <v>235</v>
      </c>
      <c r="AM239" s="5">
        <f>VLOOKUP($A239,'SegEnds_NonXtal_Prot#'!$A:$AL,32,FALSE)</f>
        <v>290</v>
      </c>
      <c r="AN239" s="5">
        <f>VLOOKUP($A239,'SegEnds_NonXtal_Prot#'!$A:$AL,35,FALSE)</f>
        <v>318</v>
      </c>
      <c r="AO239" s="5">
        <f>VLOOKUP($A239,'SegEnds_NonXtal_Prot#'!$A:$AL,38,FALSE)</f>
        <v>330</v>
      </c>
      <c r="AP239" s="5">
        <f t="shared" si="88"/>
        <v>31</v>
      </c>
      <c r="AQ239" s="4">
        <f t="shared" si="89"/>
        <v>3</v>
      </c>
      <c r="AR239" s="4">
        <f t="shared" si="90"/>
        <v>36</v>
      </c>
      <c r="AS239" s="4" t="str">
        <f t="shared" si="91"/>
        <v>-</v>
      </c>
      <c r="AT239" s="4">
        <f t="shared" si="92"/>
        <v>38</v>
      </c>
      <c r="AU239" s="4">
        <f t="shared" si="93"/>
        <v>7</v>
      </c>
      <c r="AV239" s="4">
        <f t="shared" si="94"/>
        <v>26</v>
      </c>
      <c r="AW239" s="4">
        <f t="shared" si="95"/>
        <v>2</v>
      </c>
      <c r="AX239" s="4">
        <f t="shared" si="96"/>
        <v>41</v>
      </c>
      <c r="AY239" s="4">
        <f t="shared" si="97"/>
        <v>37</v>
      </c>
      <c r="AZ239" s="4">
        <f t="shared" si="98"/>
        <v>23</v>
      </c>
      <c r="BA239" s="4">
        <f t="shared" si="99"/>
        <v>11</v>
      </c>
    </row>
    <row r="240" spans="1:53" x14ac:dyDescent="0.2">
      <c r="A240" s="1" t="str">
        <f>'SegEnds_NonXtal_Prot#'!A225</f>
        <v>pe2r3_human</v>
      </c>
      <c r="B240" s="1" t="str">
        <f t="shared" si="75"/>
        <v>EDCGSVSVAFPITMLLTGFVGNALAMLLVSRSKSFLLCIGWLALTDLVGQLLTTPVVIVIDPSGRLCTFFGLTMTVFGLSSLFIASAMAVERALAIRAKTRATRAVLLGVWLAVLAFALLPVLGFFASAFAFLGLLALTVTFSCNLATIKALVSRCRAKATAQWGRITTETAIQLMGIMCVLSVCWSPLLIMMLKMIFNQTSTHTEKQKECNFFLIAVRLASLNQILDPWVYLLLRKILLRKFCQIRY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40" s="5" t="str">
        <f t="shared" si="76"/>
        <v>EDCGSVSVAFPITMLLTGFVGNALAMLLVSRS</v>
      </c>
      <c r="G240" s="4" t="str">
        <f t="shared" si="77"/>
        <v/>
      </c>
      <c r="H240" s="4" t="str">
        <f t="shared" si="78"/>
        <v>KSFLLCIGWLALTDLVGQLLTTPVVIV</v>
      </c>
      <c r="I240" s="4" t="str">
        <f t="shared" si="79"/>
        <v>RWEH</v>
      </c>
      <c r="J240" s="4" t="str">
        <f t="shared" si="80"/>
        <v>IDPSGRLCTFFGLTMTVFGLSSLFIASAMAVERALAIRA</v>
      </c>
      <c r="K240" s="4" t="str">
        <f t="shared" si="81"/>
        <v>PHWYASHM</v>
      </c>
      <c r="L240" s="4" t="str">
        <f t="shared" si="82"/>
        <v>KTRATRAVLLGVWLAVLAFALLPVLG</v>
      </c>
      <c r="M240" s="4" t="str">
        <f t="shared" si="83"/>
        <v>CFI</v>
      </c>
      <c r="N240" s="4" t="str">
        <f t="shared" si="84"/>
        <v>FFASAFAFLGLLALTVTFSCNLATIKALVSRCRAKAT</v>
      </c>
      <c r="O240" s="4" t="str">
        <f t="shared" si="85"/>
        <v>AQWGRITTETAIQLMGIMCVLSVCWSPLLIMMLKMIFNQTS</v>
      </c>
      <c r="P240" s="4" t="str">
        <f t="shared" si="86"/>
        <v>THTEKQKECNFFLIAVRLASLNQILDPWVYLLL</v>
      </c>
      <c r="Q240" s="4" t="str">
        <f t="shared" si="87"/>
        <v>RKILLRKFCQIRY</v>
      </c>
      <c r="R240" s="5">
        <f>VLOOKUP($A240,'SegEnds_NonXtal_Prot#'!$A:$AL,3,FALSE)</f>
        <v>45</v>
      </c>
      <c r="S240" s="5" t="str">
        <f>VLOOKUP($A240,'SegEnds_NonXtal_Prot#'!$A:$AL,6,FALSE)</f>
        <v>-</v>
      </c>
      <c r="T240" s="5">
        <f>VLOOKUP($A240,'SegEnds_NonXtal_Prot#'!$A:$AL,9,FALSE)</f>
        <v>86</v>
      </c>
      <c r="U240" s="5">
        <f>VLOOKUP($A240,'SegEnds_NonXtal_Prot#'!$A:$AL,12,FALSE)</f>
        <v>119</v>
      </c>
      <c r="V240" s="5">
        <f>VLOOKUP($A240,'SegEnds_NonXtal_Prot#'!$A:$AL,15,FALSE)</f>
        <v>123</v>
      </c>
      <c r="W240" s="5">
        <f>VLOOKUP($A240,'SegEnds_NonXtal_Prot#'!$A:$AL,18,FALSE)</f>
        <v>162</v>
      </c>
      <c r="X240" s="5">
        <f>VLOOKUP($A240,'SegEnds_NonXtal_Prot#'!$A:$AL,21,FALSE)</f>
        <v>170</v>
      </c>
      <c r="Y240" s="5">
        <f>VLOOKUP($A240,'SegEnds_NonXtal_Prot#'!$A:$AL,24,FALSE)</f>
        <v>208</v>
      </c>
      <c r="Z240" s="5">
        <f>VLOOKUP($A240,'SegEnds_NonXtal_Prot#'!$A:$AL,27,FALSE)</f>
        <v>229</v>
      </c>
      <c r="AA240" s="5">
        <f>VLOOKUP($A240,'SegEnds_NonXtal_Prot#'!$A:$AL,30,FALSE)</f>
        <v>271</v>
      </c>
      <c r="AB240" s="5">
        <f>VLOOKUP($A240,'SegEnds_NonXtal_Prot#'!$A:$AL,33,FALSE)</f>
        <v>317</v>
      </c>
      <c r="AC240" s="5">
        <f>VLOOKUP($A240,'SegEnds_NonXtal_Prot#'!$A:$AL,36,FALSE)</f>
        <v>350</v>
      </c>
      <c r="AD240" s="5">
        <f>VLOOKUP($A240,'SegEnds_NonXtal_Prot#'!$A:$AL,5,FALSE)</f>
        <v>76</v>
      </c>
      <c r="AE240" s="5" t="str">
        <f>VLOOKUP($A240,'SegEnds_NonXtal_Prot#'!$A:$AL,8,FALSE)</f>
        <v>-</v>
      </c>
      <c r="AF240" s="5">
        <f>VLOOKUP($A240,'SegEnds_NonXtal_Prot#'!$A:$AL,11,FALSE)</f>
        <v>112</v>
      </c>
      <c r="AG240" s="5">
        <f>VLOOKUP($A240,'SegEnds_NonXtal_Prot#'!$A:$AL,14,FALSE)</f>
        <v>122</v>
      </c>
      <c r="AH240" s="5">
        <f>VLOOKUP($A240,'SegEnds_NonXtal_Prot#'!$A:$AL,17,FALSE)</f>
        <v>161</v>
      </c>
      <c r="AI240" s="5">
        <f>VLOOKUP($A240,'SegEnds_NonXtal_Prot#'!$A:$AL,20,FALSE)</f>
        <v>169</v>
      </c>
      <c r="AJ240" s="5">
        <f>VLOOKUP($A240,'SegEnds_NonXtal_Prot#'!$A:$AL,23,FALSE)</f>
        <v>195</v>
      </c>
      <c r="AK240" s="5">
        <f>VLOOKUP($A240,'SegEnds_NonXtal_Prot#'!$A:$AL,26,FALSE)</f>
        <v>210</v>
      </c>
      <c r="AL240" s="5">
        <f>VLOOKUP($A240,'SegEnds_NonXtal_Prot#'!$A:$AL,29,FALSE)</f>
        <v>265</v>
      </c>
      <c r="AM240" s="5">
        <f>VLOOKUP($A240,'SegEnds_NonXtal_Prot#'!$A:$AL,32,FALSE)</f>
        <v>311</v>
      </c>
      <c r="AN240" s="5">
        <f>VLOOKUP($A240,'SegEnds_NonXtal_Prot#'!$A:$AL,35,FALSE)</f>
        <v>349</v>
      </c>
      <c r="AO240" s="5">
        <f>VLOOKUP($A240,'SegEnds_NonXtal_Prot#'!$A:$AL,38,FALSE)</f>
        <v>362</v>
      </c>
      <c r="AP240" s="5">
        <f t="shared" si="88"/>
        <v>31</v>
      </c>
      <c r="AQ240" s="4" t="str">
        <f t="shared" si="89"/>
        <v>-</v>
      </c>
      <c r="AR240" s="4">
        <f t="shared" si="90"/>
        <v>26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36</v>
      </c>
      <c r="AY240" s="4">
        <f t="shared" si="97"/>
        <v>40</v>
      </c>
      <c r="AZ240" s="4">
        <f t="shared" si="98"/>
        <v>32</v>
      </c>
      <c r="BA240" s="4">
        <f t="shared" si="99"/>
        <v>12</v>
      </c>
    </row>
    <row r="241" spans="1:53" x14ac:dyDescent="0.2">
      <c r="A241" s="1" t="str">
        <f>'SegEnds_NonXtal_Prot#'!A227</f>
        <v>pf2r_human</v>
      </c>
      <c r="B241" s="1" t="str">
        <f t="shared" si="75"/>
        <v>TENRLSVFFSVIFMTVGILSNSLAIAILMKAQKSKASFLLLASGLVITDFFGHLINGAIAVFFDQSNVLCSIFGICMVFSGLCPLLLGSVMAIERCIGVTKTSKHVKMMLSGVCLFAVFIALLPILGRFYLLLFSFLGLLALGVSLLCNAITGITLLRVKFKSQQHHLEMVIQLLAIMCVSCICWSPFLVTMANIGINTCETTLFALRMATWNQILDPWVYILLRKAVLKNLYKLAS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1" s="5" t="str">
        <f t="shared" si="76"/>
        <v>TENRLSVFFSVIFMTVGILSNSLAIAILMKA</v>
      </c>
      <c r="G241" s="4" t="str">
        <f t="shared" si="77"/>
        <v>QRFR</v>
      </c>
      <c r="H241" s="4" t="str">
        <f t="shared" si="78"/>
        <v>QKSKASFLLLASGLVITDFFGHLINGAIAVF</v>
      </c>
      <c r="I241" s="4" t="str">
        <f t="shared" si="79"/>
        <v>EWIR</v>
      </c>
      <c r="J241" s="4" t="str">
        <f t="shared" si="80"/>
        <v>FDQSNVLCSIFGICMVFSGLCPLLLGSVMAIERCIGVTK</v>
      </c>
      <c r="K241" s="4" t="str">
        <f t="shared" si="81"/>
        <v>PIFHSTKI</v>
      </c>
      <c r="L241" s="4" t="str">
        <f t="shared" si="82"/>
        <v>TSKHVKMMLSGVCLFAVFIALLPILG</v>
      </c>
      <c r="M241" s="4" t="str">
        <f t="shared" si="83"/>
        <v>CFY</v>
      </c>
      <c r="N241" s="4" t="str">
        <f t="shared" si="84"/>
        <v>RFYLLLFSFLGLLALGVSLLCNAITGITLLRVKFKSQQ</v>
      </c>
      <c r="O241" s="4" t="str">
        <f t="shared" si="85"/>
        <v>HHLEMVIQLLAIMCVSCICWSPFLVTMANIGIN</v>
      </c>
      <c r="P241" s="4" t="str">
        <f t="shared" si="86"/>
        <v>TCETTLFALRMATWNQILDPWVYILL</v>
      </c>
      <c r="Q241" s="4" t="str">
        <f t="shared" si="87"/>
        <v>RKAVLKNLYKLAS</v>
      </c>
      <c r="R241" s="5">
        <f>VLOOKUP($A241,'SegEnds_NonXtal_Prot#'!$A:$AL,3,FALSE)</f>
        <v>24</v>
      </c>
      <c r="S241" s="5">
        <f>VLOOKUP($A241,'SegEnds_NonXtal_Prot#'!$A:$AL,6,FALSE)</f>
        <v>56</v>
      </c>
      <c r="T241" s="5">
        <f>VLOOKUP($A241,'SegEnds_NonXtal_Prot#'!$A:$AL,9,FALSE)</f>
        <v>60</v>
      </c>
      <c r="U241" s="5">
        <f>VLOOKUP($A241,'SegEnds_NonXtal_Prot#'!$A:$AL,12,FALSE)</f>
        <v>97</v>
      </c>
      <c r="V241" s="5">
        <f>VLOOKUP($A241,'SegEnds_NonXtal_Prot#'!$A:$AL,15,FALSE)</f>
        <v>101</v>
      </c>
      <c r="W241" s="5">
        <f>VLOOKUP($A241,'SegEnds_NonXtal_Prot#'!$A:$AL,18,FALSE)</f>
        <v>140</v>
      </c>
      <c r="X241" s="5">
        <f>VLOOKUP($A241,'SegEnds_NonXtal_Prot#'!$A:$AL,21,FALSE)</f>
        <v>148</v>
      </c>
      <c r="Y241" s="5">
        <f>VLOOKUP($A241,'SegEnds_NonXtal_Prot#'!$A:$AL,24,FALSE)</f>
        <v>186</v>
      </c>
      <c r="Z241" s="5">
        <f>VLOOKUP($A241,'SegEnds_NonXtal_Prot#'!$A:$AL,27,FALSE)</f>
        <v>199</v>
      </c>
      <c r="AA241" s="5">
        <f>VLOOKUP($A241,'SegEnds_NonXtal_Prot#'!$A:$AL,30,FALSE)</f>
        <v>243</v>
      </c>
      <c r="AB241" s="5">
        <f>VLOOKUP($A241,'SegEnds_NonXtal_Prot#'!$A:$AL,33,FALSE)</f>
        <v>282</v>
      </c>
      <c r="AC241" s="5">
        <f>VLOOKUP($A241,'SegEnds_NonXtal_Prot#'!$A:$AL,36,FALSE)</f>
        <v>308</v>
      </c>
      <c r="AD241" s="5">
        <f>VLOOKUP($A241,'SegEnds_NonXtal_Prot#'!$A:$AL,5,FALSE)</f>
        <v>54</v>
      </c>
      <c r="AE241" s="5">
        <f>VLOOKUP($A241,'SegEnds_NonXtal_Prot#'!$A:$AL,8,FALSE)</f>
        <v>59</v>
      </c>
      <c r="AF241" s="5">
        <f>VLOOKUP($A241,'SegEnds_NonXtal_Prot#'!$A:$AL,11,FALSE)</f>
        <v>90</v>
      </c>
      <c r="AG241" s="5">
        <f>VLOOKUP($A241,'SegEnds_NonXtal_Prot#'!$A:$AL,14,FALSE)</f>
        <v>100</v>
      </c>
      <c r="AH241" s="5">
        <f>VLOOKUP($A241,'SegEnds_NonXtal_Prot#'!$A:$AL,17,FALSE)</f>
        <v>139</v>
      </c>
      <c r="AI241" s="5">
        <f>VLOOKUP($A241,'SegEnds_NonXtal_Prot#'!$A:$AL,20,FALSE)</f>
        <v>147</v>
      </c>
      <c r="AJ241" s="5">
        <f>VLOOKUP($A241,'SegEnds_NonXtal_Prot#'!$A:$AL,23,FALSE)</f>
        <v>173</v>
      </c>
      <c r="AK241" s="5">
        <f>VLOOKUP($A241,'SegEnds_NonXtal_Prot#'!$A:$AL,26,FALSE)</f>
        <v>188</v>
      </c>
      <c r="AL241" s="5">
        <f>VLOOKUP($A241,'SegEnds_NonXtal_Prot#'!$A:$AL,29,FALSE)</f>
        <v>236</v>
      </c>
      <c r="AM241" s="5">
        <f>VLOOKUP($A241,'SegEnds_NonXtal_Prot#'!$A:$AL,32,FALSE)</f>
        <v>275</v>
      </c>
      <c r="AN241" s="5">
        <f>VLOOKUP($A241,'SegEnds_NonXtal_Prot#'!$A:$AL,35,FALSE)</f>
        <v>307</v>
      </c>
      <c r="AO241" s="5">
        <f>VLOOKUP($A241,'SegEnds_NonXtal_Prot#'!$A:$AL,38,FALSE)</f>
        <v>320</v>
      </c>
      <c r="AP241" s="5">
        <f t="shared" si="88"/>
        <v>30</v>
      </c>
      <c r="AQ241" s="4">
        <f t="shared" si="89"/>
        <v>3</v>
      </c>
      <c r="AR241" s="4">
        <f t="shared" si="90"/>
        <v>30</v>
      </c>
      <c r="AS241" s="4">
        <f t="shared" si="91"/>
        <v>3</v>
      </c>
      <c r="AT241" s="4">
        <f t="shared" si="92"/>
        <v>38</v>
      </c>
      <c r="AU241" s="4">
        <f t="shared" si="93"/>
        <v>7</v>
      </c>
      <c r="AV241" s="4">
        <f t="shared" si="94"/>
        <v>25</v>
      </c>
      <c r="AW241" s="4">
        <f t="shared" si="95"/>
        <v>2</v>
      </c>
      <c r="AX241" s="4">
        <f t="shared" si="96"/>
        <v>37</v>
      </c>
      <c r="AY241" s="4">
        <f t="shared" si="97"/>
        <v>32</v>
      </c>
      <c r="AZ241" s="4">
        <f t="shared" si="98"/>
        <v>25</v>
      </c>
      <c r="BA241" s="4">
        <f t="shared" si="99"/>
        <v>12</v>
      </c>
    </row>
    <row r="242" spans="1:53" x14ac:dyDescent="0.2">
      <c r="A242" s="1" t="str">
        <f>'SegEnds_NonXtal_Prot#'!A228</f>
        <v>pi2r_human</v>
      </c>
      <c r="B242" s="1" t="str">
        <f t="shared" si="75"/>
        <v>SVGPATSTLMFVAGVVGNGLALGILSARSAFAVLVTGLAATDLLGTSFLSPAVFVAYARARGGPALCDAFAFAMTFFGLASMLILFAMAVERCLALSHGPRCARLALPAIYAFCVLFCALPLLGLAQPGGAAFSLAYAGLVALLVAAIFLCNGSVTLSLCRMYRQQKRPRTGEDEVDHLILLALMTVVMAVCSLPLTIRCFTQAVASEMGDLLAFRFYAFNPILDPWVFILFRKAVFQRLKLWVCCL</v>
      </c>
      <c r="C242" s="29" t="str">
        <f>IF(ISERROR(MATCH(A242,'SegEnds_Xtal_Prot#'!B:B, 0)), "NoXtal", "Xtal")</f>
        <v>NoXtal</v>
      </c>
      <c r="D242" s="4" t="str">
        <f>VLOOKUP(A242,Classification!A:D,2,FALSE)</f>
        <v>A</v>
      </c>
      <c r="E242" s="5" t="str">
        <f>VLOOKUP(A242,Seqs!A:B,2,FALSE)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2" s="5" t="str">
        <f t="shared" si="76"/>
        <v>SVGPATSTLMFVAGVVGNGLALGILSAR</v>
      </c>
      <c r="G242" s="4" t="str">
        <f t="shared" si="77"/>
        <v/>
      </c>
      <c r="H242" s="4" t="str">
        <f t="shared" si="78"/>
        <v>SAFAVLVTGLAATDLLGTSFLSPAVFVAYAR</v>
      </c>
      <c r="I242" s="4" t="str">
        <f t="shared" si="79"/>
        <v/>
      </c>
      <c r="J242" s="4" t="str">
        <f t="shared" si="80"/>
        <v>ARGGPALCDAFAFAMTFFGLASMLILFAMAVERCLALSH</v>
      </c>
      <c r="K242" s="4" t="str">
        <f t="shared" si="81"/>
        <v>PYLYAQLD</v>
      </c>
      <c r="L242" s="4" t="str">
        <f t="shared" si="82"/>
        <v>GPRCARLALPAIYAFCVLFCALPLLGL</v>
      </c>
      <c r="M242" s="4" t="str">
        <f t="shared" si="83"/>
        <v>CFL</v>
      </c>
      <c r="N242" s="4" t="str">
        <f t="shared" si="84"/>
        <v>AQPGGAAFSLAYAGLVALLVAAIFLCNGSVTLSLCRMYRQQKR</v>
      </c>
      <c r="O242" s="4" t="str">
        <f t="shared" si="85"/>
        <v>PRTGEDEVDHLILLALMTVVMAVCSLPLTIRCFTQAVA</v>
      </c>
      <c r="P242" s="4" t="str">
        <f t="shared" si="86"/>
        <v>SEMGDLLAFRFYAFNPILDPWVFILF</v>
      </c>
      <c r="Q242" s="4" t="str">
        <f t="shared" si="87"/>
        <v>RKAVFQRLKLWVCCL</v>
      </c>
      <c r="R242" s="5">
        <f>VLOOKUP($A242,'SegEnds_NonXtal_Prot#'!$A:$AL,3,FALSE)</f>
        <v>14</v>
      </c>
      <c r="S242" s="5" t="str">
        <f>VLOOKUP($A242,'SegEnds_NonXtal_Prot#'!$A:$AL,6,FALSE)</f>
        <v>-</v>
      </c>
      <c r="T242" s="5">
        <f>VLOOKUP($A242,'SegEnds_NonXtal_Prot#'!$A:$AL,9,FALSE)</f>
        <v>47</v>
      </c>
      <c r="U242" s="5" t="str">
        <f>VLOOKUP($A242,'SegEnds_NonXtal_Prot#'!$A:$AL,12,FALSE)</f>
        <v>-</v>
      </c>
      <c r="V242" s="5">
        <f>VLOOKUP($A242,'SegEnds_NonXtal_Prot#'!$A:$AL,15,FALSE)</f>
        <v>85</v>
      </c>
      <c r="W242" s="5">
        <f>VLOOKUP($A242,'SegEnds_NonXtal_Prot#'!$A:$AL,18,FALSE)</f>
        <v>124</v>
      </c>
      <c r="X242" s="5">
        <f>VLOOKUP($A242,'SegEnds_NonXtal_Prot#'!$A:$AL,21,FALSE)</f>
        <v>132</v>
      </c>
      <c r="Y242" s="5">
        <f>VLOOKUP($A242,'SegEnds_NonXtal_Prot#'!$A:$AL,24,FALSE)</f>
        <v>170</v>
      </c>
      <c r="Z242" s="5">
        <f>VLOOKUP($A242,'SegEnds_NonXtal_Prot#'!$A:$AL,27,FALSE)</f>
        <v>177</v>
      </c>
      <c r="AA242" s="5">
        <f>VLOOKUP($A242,'SegEnds_NonXtal_Prot#'!$A:$AL,30,FALSE)</f>
        <v>228</v>
      </c>
      <c r="AB242" s="5">
        <f>VLOOKUP($A242,'SegEnds_NonXtal_Prot#'!$A:$AL,33,FALSE)</f>
        <v>270</v>
      </c>
      <c r="AC242" s="5">
        <f>VLOOKUP($A242,'SegEnds_NonXtal_Prot#'!$A:$AL,36,FALSE)</f>
        <v>296</v>
      </c>
      <c r="AD242" s="5">
        <f>VLOOKUP($A242,'SegEnds_NonXtal_Prot#'!$A:$AL,5,FALSE)</f>
        <v>41</v>
      </c>
      <c r="AE242" s="5" t="str">
        <f>VLOOKUP($A242,'SegEnds_NonXtal_Prot#'!$A:$AL,8,FALSE)</f>
        <v>-</v>
      </c>
      <c r="AF242" s="5">
        <f>VLOOKUP($A242,'SegEnds_NonXtal_Prot#'!$A:$AL,11,FALSE)</f>
        <v>77</v>
      </c>
      <c r="AG242" s="5" t="str">
        <f>VLOOKUP($A242,'SegEnds_NonXtal_Prot#'!$A:$AL,14,FALSE)</f>
        <v>-</v>
      </c>
      <c r="AH242" s="5">
        <f>VLOOKUP($A242,'SegEnds_NonXtal_Prot#'!$A:$AL,17,FALSE)</f>
        <v>123</v>
      </c>
      <c r="AI242" s="5">
        <f>VLOOKUP($A242,'SegEnds_NonXtal_Prot#'!$A:$AL,20,FALSE)</f>
        <v>131</v>
      </c>
      <c r="AJ242" s="5">
        <f>VLOOKUP($A242,'SegEnds_NonXtal_Prot#'!$A:$AL,23,FALSE)</f>
        <v>158</v>
      </c>
      <c r="AK242" s="5">
        <f>VLOOKUP($A242,'SegEnds_NonXtal_Prot#'!$A:$AL,26,FALSE)</f>
        <v>172</v>
      </c>
      <c r="AL242" s="5">
        <f>VLOOKUP($A242,'SegEnds_NonXtal_Prot#'!$A:$AL,29,FALSE)</f>
        <v>219</v>
      </c>
      <c r="AM242" s="5">
        <f>VLOOKUP($A242,'SegEnds_NonXtal_Prot#'!$A:$AL,32,FALSE)</f>
        <v>265</v>
      </c>
      <c r="AN242" s="5">
        <f>VLOOKUP($A242,'SegEnds_NonXtal_Prot#'!$A:$AL,35,FALSE)</f>
        <v>295</v>
      </c>
      <c r="AO242" s="5">
        <f>VLOOKUP($A242,'SegEnds_NonXtal_Prot#'!$A:$AL,38,FALSE)</f>
        <v>310</v>
      </c>
      <c r="AP242" s="5">
        <f t="shared" si="88"/>
        <v>27</v>
      </c>
      <c r="AQ242" s="4" t="str">
        <f t="shared" si="89"/>
        <v>-</v>
      </c>
      <c r="AR242" s="4">
        <f t="shared" si="90"/>
        <v>30</v>
      </c>
      <c r="AS242" s="4" t="str">
        <f t="shared" si="91"/>
        <v>-</v>
      </c>
      <c r="AT242" s="4">
        <f t="shared" si="92"/>
        <v>38</v>
      </c>
      <c r="AU242" s="4">
        <f t="shared" si="93"/>
        <v>7</v>
      </c>
      <c r="AV242" s="4">
        <f t="shared" si="94"/>
        <v>26</v>
      </c>
      <c r="AW242" s="4">
        <f t="shared" si="95"/>
        <v>2</v>
      </c>
      <c r="AX242" s="4">
        <f t="shared" si="96"/>
        <v>42</v>
      </c>
      <c r="AY242" s="4">
        <f t="shared" si="97"/>
        <v>37</v>
      </c>
      <c r="AZ242" s="4">
        <f t="shared" si="98"/>
        <v>25</v>
      </c>
      <c r="BA242" s="4">
        <f t="shared" si="99"/>
        <v>14</v>
      </c>
    </row>
    <row r="243" spans="1:53" x14ac:dyDescent="0.2">
      <c r="A243" s="1" t="str">
        <f>'SegEnds_NonXtal_Prot#'!A229</f>
        <v>psyr_human</v>
      </c>
      <c r="B243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3" s="5" t="str">
        <f t="shared" si="76"/>
        <v>LDHYLFPIVYIFVIIVSIPANIGSLCVSFLQ</v>
      </c>
      <c r="G243" s="4" t="str">
        <f t="shared" si="77"/>
        <v/>
      </c>
      <c r="H243" s="4" t="str">
        <f t="shared" si="78"/>
        <v>SELGIYLFSLSLSDLLYALTLPLWIDYTWN</v>
      </c>
      <c r="I243" s="4" t="str">
        <f t="shared" si="79"/>
        <v>NWTF</v>
      </c>
      <c r="J243" s="4" t="str">
        <f t="shared" si="80"/>
        <v>SPALCKGSAFLMYMNFYSSTAFLTCIAVDRYLAVVY</v>
      </c>
      <c r="K243" s="4" t="str">
        <f t="shared" si="81"/>
        <v>PLKFFFLR</v>
      </c>
      <c r="L243" s="4" t="str">
        <f t="shared" si="82"/>
        <v>TRRFALMVSLSIWILETIFNAVMLWED</v>
      </c>
      <c r="M243" s="4" t="str">
        <f t="shared" si="83"/>
        <v>CYD</v>
      </c>
      <c r="N243" s="4" t="str">
        <f t="shared" si="84"/>
        <v>EKWQINLNLFRTCTGYAIPLVTILICNRKVYQAVRH</v>
      </c>
      <c r="O243" s="4" t="str">
        <f t="shared" si="85"/>
        <v>ENKEKKRIIKLLVSITVTFVLCFTPFHVMLLIRCILEHA</v>
      </c>
      <c r="P243" s="4" t="str">
        <f t="shared" si="86"/>
        <v>HSNSGKRTYTMYRITVALTSLNCVADPILYCFV</v>
      </c>
      <c r="Q243" s="4" t="str">
        <f t="shared" si="87"/>
        <v>TETGRYDMWNILK</v>
      </c>
      <c r="R243" s="5">
        <f>VLOOKUP($A243,'SegEnds_NonXtal_Prot#'!$A:$AL,3,FALSE)</f>
        <v>12</v>
      </c>
      <c r="S243" s="5" t="str">
        <f>VLOOKUP($A243,'SegEnds_NonXtal_Prot#'!$A:$AL,6,FALSE)</f>
        <v>-</v>
      </c>
      <c r="T243" s="5">
        <f>VLOOKUP($A243,'SegEnds_NonXtal_Prot#'!$A:$AL,9,FALSE)</f>
        <v>47</v>
      </c>
      <c r="U243" s="5">
        <f>VLOOKUP($A243,'SegEnds_NonXtal_Prot#'!$A:$AL,12,FALSE)</f>
        <v>79</v>
      </c>
      <c r="V243" s="5">
        <f>VLOOKUP($A243,'SegEnds_NonXtal_Prot#'!$A:$AL,15,FALSE)</f>
        <v>83</v>
      </c>
      <c r="W243" s="5">
        <f>VLOOKUP($A243,'SegEnds_NonXtal_Prot#'!$A:$AL,18,FALSE)</f>
        <v>119</v>
      </c>
      <c r="X243" s="5">
        <f>VLOOKUP($A243,'SegEnds_NonXtal_Prot#'!$A:$AL,21,FALSE)</f>
        <v>127</v>
      </c>
      <c r="Y243" s="5">
        <f>VLOOKUP($A243,'SegEnds_NonXtal_Prot#'!$A:$AL,24,FALSE)</f>
        <v>170</v>
      </c>
      <c r="Z243" s="5">
        <f>VLOOKUP($A243,'SegEnds_NonXtal_Prot#'!$A:$AL,27,FALSE)</f>
        <v>177</v>
      </c>
      <c r="AA243" s="5">
        <f>VLOOKUP($A243,'SegEnds_NonXtal_Prot#'!$A:$AL,30,FALSE)</f>
        <v>217</v>
      </c>
      <c r="AB243" s="5">
        <f>VLOOKUP($A243,'SegEnds_NonXtal_Prot#'!$A:$AL,33,FALSE)</f>
        <v>261</v>
      </c>
      <c r="AC243" s="5">
        <f>VLOOKUP($A243,'SegEnds_NonXtal_Prot#'!$A:$AL,36,FALSE)</f>
        <v>294</v>
      </c>
      <c r="AD243" s="5">
        <f>VLOOKUP($A243,'SegEnds_NonXtal_Prot#'!$A:$AL,5,FALSE)</f>
        <v>42</v>
      </c>
      <c r="AE243" s="5" t="str">
        <f>VLOOKUP($A243,'SegEnds_NonXtal_Prot#'!$A:$AL,8,FALSE)</f>
        <v>-</v>
      </c>
      <c r="AF243" s="5">
        <f>VLOOKUP($A243,'SegEnds_NonXtal_Prot#'!$A:$AL,11,FALSE)</f>
        <v>76</v>
      </c>
      <c r="AG243" s="5">
        <f>VLOOKUP($A243,'SegEnds_NonXtal_Prot#'!$A:$AL,14,FALSE)</f>
        <v>82</v>
      </c>
      <c r="AH243" s="5">
        <f>VLOOKUP($A243,'SegEnds_NonXtal_Prot#'!$A:$AL,17,FALSE)</f>
        <v>118</v>
      </c>
      <c r="AI243" s="5">
        <f>VLOOKUP($A243,'SegEnds_NonXtal_Prot#'!$A:$AL,20,FALSE)</f>
        <v>126</v>
      </c>
      <c r="AJ243" s="5">
        <f>VLOOKUP($A243,'SegEnds_NonXtal_Prot#'!$A:$AL,23,FALSE)</f>
        <v>153</v>
      </c>
      <c r="AK243" s="5">
        <f>VLOOKUP($A243,'SegEnds_NonXtal_Prot#'!$A:$AL,26,FALSE)</f>
        <v>172</v>
      </c>
      <c r="AL243" s="5">
        <f>VLOOKUP($A243,'SegEnds_NonXtal_Prot#'!$A:$AL,29,FALSE)</f>
        <v>212</v>
      </c>
      <c r="AM243" s="5">
        <f>VLOOKUP($A243,'SegEnds_NonXtal_Prot#'!$A:$AL,32,FALSE)</f>
        <v>255</v>
      </c>
      <c r="AN243" s="5">
        <f>VLOOKUP($A243,'SegEnds_NonXtal_Prot#'!$A:$AL,35,FALSE)</f>
        <v>293</v>
      </c>
      <c r="AO243" s="5">
        <f>VLOOKUP($A243,'SegEnds_NonXtal_Prot#'!$A:$AL,38,FALSE)</f>
        <v>306</v>
      </c>
      <c r="AP243" s="5">
        <f t="shared" si="88"/>
        <v>30</v>
      </c>
      <c r="AQ243" s="4" t="str">
        <f t="shared" si="89"/>
        <v>-</v>
      </c>
      <c r="AR243" s="4">
        <f t="shared" si="90"/>
        <v>29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35</v>
      </c>
      <c r="AY243" s="4">
        <f t="shared" si="97"/>
        <v>38</v>
      </c>
      <c r="AZ243" s="4">
        <f t="shared" si="98"/>
        <v>32</v>
      </c>
      <c r="BA243" s="4">
        <f t="shared" si="99"/>
        <v>12</v>
      </c>
    </row>
    <row r="244" spans="1:53" x14ac:dyDescent="0.2">
      <c r="A244" s="1" t="str">
        <f>'SegEnds_NonXtal_Prot#'!A230</f>
        <v>ptafr_human</v>
      </c>
      <c r="B244" s="1" t="str">
        <f t="shared" si="75"/>
        <v>SEFRYTLFPIVYSIIFVLGVIANGYVLWVFARLNEIKIFMVNLTMADMLFLITLPLWIVYYQNPKFLCNVAGCLFFINTYCSVAFLGVITYNRFQAVTRTRKRGISLSLVIWVAIVGAASYFLILDEKGSVPVLIIHIFIVFSFFLVFLIILFCNLVIIRTLLMQQRNAEVKRRALWMVCTVLAVFIICFVPHHVVQLPWTLADSKFHQAINDAHQVTLCLLSTNCVLDPVIYCFLTKKFRKHLTEK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4" s="5" t="str">
        <f t="shared" si="76"/>
        <v>SEFRYTLFPIVYSIIFVLGVIANGYVLWVFARL</v>
      </c>
      <c r="G244" s="4" t="str">
        <f t="shared" si="77"/>
        <v/>
      </c>
      <c r="H244" s="4" t="str">
        <f t="shared" si="78"/>
        <v>NEIKIFMVNLTMADMLFLITLPLWIVYYQN</v>
      </c>
      <c r="I244" s="4" t="str">
        <f t="shared" si="79"/>
        <v>NWIL</v>
      </c>
      <c r="J244" s="4" t="str">
        <f t="shared" si="80"/>
        <v>PKFLCNVAGCLFFINTYCSVAFLGVITYNRFQAVTR</v>
      </c>
      <c r="K244" s="4" t="str">
        <f t="shared" si="81"/>
        <v>PIKTAQAN</v>
      </c>
      <c r="L244" s="4" t="str">
        <f t="shared" si="82"/>
        <v>TRKRGISLSLVIWVAIVGAASYFLILD</v>
      </c>
      <c r="M244" s="4" t="str">
        <f t="shared" si="83"/>
        <v>CFE</v>
      </c>
      <c r="N244" s="4" t="str">
        <f t="shared" si="84"/>
        <v>EKGSVPVLIIHIFIVFSFFLVFLIILFCNLVIIRTLLMQ</v>
      </c>
      <c r="O244" s="4" t="str">
        <f t="shared" si="85"/>
        <v>QRNAEVKRRALWMVCTVLAVFIICFVPHHVVQLPWTLA</v>
      </c>
      <c r="P244" s="4" t="str">
        <f t="shared" si="86"/>
        <v>DSKFHQAINDAHQVTLCLLSTNCVLDPVIYCFL</v>
      </c>
      <c r="Q244" s="4" t="str">
        <f t="shared" si="87"/>
        <v>TKKFRKHLTEK</v>
      </c>
      <c r="R244" s="5">
        <f>VLOOKUP($A244,'SegEnds_NonXtal_Prot#'!$A:$AL,3,FALSE)</f>
        <v>11</v>
      </c>
      <c r="S244" s="5" t="str">
        <f>VLOOKUP($A244,'SegEnds_NonXtal_Prot#'!$A:$AL,6,FALSE)</f>
        <v>-</v>
      </c>
      <c r="T244" s="5">
        <f>VLOOKUP($A244,'SegEnds_NonXtal_Prot#'!$A:$AL,9,FALSE)</f>
        <v>50</v>
      </c>
      <c r="U244" s="5">
        <f>VLOOKUP($A244,'SegEnds_NonXtal_Prot#'!$A:$AL,12,FALSE)</f>
        <v>82</v>
      </c>
      <c r="V244" s="5">
        <f>VLOOKUP($A244,'SegEnds_NonXtal_Prot#'!$A:$AL,15,FALSE)</f>
        <v>86</v>
      </c>
      <c r="W244" s="5">
        <f>VLOOKUP($A244,'SegEnds_NonXtal_Prot#'!$A:$AL,18,FALSE)</f>
        <v>122</v>
      </c>
      <c r="X244" s="5">
        <f>VLOOKUP($A244,'SegEnds_NonXtal_Prot#'!$A:$AL,21,FALSE)</f>
        <v>130</v>
      </c>
      <c r="Y244" s="5">
        <f>VLOOKUP($A244,'SegEnds_NonXtal_Prot#'!$A:$AL,24,FALSE)</f>
        <v>173</v>
      </c>
      <c r="Z244" s="5">
        <f>VLOOKUP($A244,'SegEnds_NonXtal_Prot#'!$A:$AL,27,FALSE)</f>
        <v>178</v>
      </c>
      <c r="AA244" s="5">
        <f>VLOOKUP($A244,'SegEnds_NonXtal_Prot#'!$A:$AL,30,FALSE)</f>
        <v>221</v>
      </c>
      <c r="AB244" s="5">
        <f>VLOOKUP($A244,'SegEnds_NonXtal_Prot#'!$A:$AL,33,FALSE)</f>
        <v>264</v>
      </c>
      <c r="AC244" s="5">
        <f>VLOOKUP($A244,'SegEnds_NonXtal_Prot#'!$A:$AL,36,FALSE)</f>
        <v>297</v>
      </c>
      <c r="AD244" s="5">
        <f>VLOOKUP($A244,'SegEnds_NonXtal_Prot#'!$A:$AL,5,FALSE)</f>
        <v>43</v>
      </c>
      <c r="AE244" s="5" t="str">
        <f>VLOOKUP($A244,'SegEnds_NonXtal_Prot#'!$A:$AL,8,FALSE)</f>
        <v>-</v>
      </c>
      <c r="AF244" s="5">
        <f>VLOOKUP($A244,'SegEnds_NonXtal_Prot#'!$A:$AL,11,FALSE)</f>
        <v>79</v>
      </c>
      <c r="AG244" s="5">
        <f>VLOOKUP($A244,'SegEnds_NonXtal_Prot#'!$A:$AL,14,FALSE)</f>
        <v>85</v>
      </c>
      <c r="AH244" s="5">
        <f>VLOOKUP($A244,'SegEnds_NonXtal_Prot#'!$A:$AL,17,FALSE)</f>
        <v>121</v>
      </c>
      <c r="AI244" s="5">
        <f>VLOOKUP($A244,'SegEnds_NonXtal_Prot#'!$A:$AL,20,FALSE)</f>
        <v>129</v>
      </c>
      <c r="AJ244" s="5">
        <f>VLOOKUP($A244,'SegEnds_NonXtal_Prot#'!$A:$AL,23,FALSE)</f>
        <v>156</v>
      </c>
      <c r="AK244" s="5">
        <f>VLOOKUP($A244,'SegEnds_NonXtal_Prot#'!$A:$AL,26,FALSE)</f>
        <v>175</v>
      </c>
      <c r="AL244" s="5">
        <f>VLOOKUP($A244,'SegEnds_NonXtal_Prot#'!$A:$AL,29,FALSE)</f>
        <v>216</v>
      </c>
      <c r="AM244" s="5">
        <f>VLOOKUP($A244,'SegEnds_NonXtal_Prot#'!$A:$AL,32,FALSE)</f>
        <v>258</v>
      </c>
      <c r="AN244" s="5">
        <f>VLOOKUP($A244,'SegEnds_NonXtal_Prot#'!$A:$AL,35,FALSE)</f>
        <v>296</v>
      </c>
      <c r="AO244" s="5">
        <f>VLOOKUP($A244,'SegEnds_NonXtal_Prot#'!$A:$AL,38,FALSE)</f>
        <v>307</v>
      </c>
      <c r="AP244" s="5">
        <f t="shared" si="88"/>
        <v>32</v>
      </c>
      <c r="AQ244" s="4" t="str">
        <f t="shared" si="89"/>
        <v>-</v>
      </c>
      <c r="AR244" s="4">
        <f t="shared" si="90"/>
        <v>29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38</v>
      </c>
      <c r="AY244" s="4">
        <f t="shared" si="97"/>
        <v>37</v>
      </c>
      <c r="AZ244" s="4">
        <f t="shared" si="98"/>
        <v>32</v>
      </c>
      <c r="BA244" s="4">
        <f t="shared" si="99"/>
        <v>10</v>
      </c>
    </row>
    <row r="245" spans="1:53" x14ac:dyDescent="0.2">
      <c r="A245" s="1" t="str">
        <f>'SegEnds_NonXtal_Prot#'!A231</f>
        <v>qrfpr_human</v>
      </c>
      <c r="B245" s="1" t="str">
        <f t="shared" si="75"/>
        <v>AKLALVLTGVLIFALALFGNALVFYVVTRSTVTNIFICSLALSDLLITFFCIPVTMLQNISGAFICKMVPFVQSTAVVTEILTMTCIAVERHQGLVHTNRRAFTMLGVVWLVAVIVGSPMWHVQPVHQKIYTTFILVILFLLPLMVMLILYSKIGYELWIKKRVGDGKEMSKIARKKKRAVIMMVTVVALFAVCWAPFHVVHMMIEYSDVTIKMIFAIVQIIGFSNSICNPIVYAFMNENFKKNVLSAV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5" s="5" t="str">
        <f t="shared" si="76"/>
        <v>AKLALVLTGVLIFALALFGNALVFYVVTRS</v>
      </c>
      <c r="G245" s="4" t="str">
        <f t="shared" si="77"/>
        <v>KAMR</v>
      </c>
      <c r="H245" s="4" t="str">
        <f t="shared" si="78"/>
        <v>TVTNIFICSLALSDLLITFFCIPVTMLQNIS</v>
      </c>
      <c r="I245" s="4" t="str">
        <f t="shared" si="79"/>
        <v>NWLG</v>
      </c>
      <c r="J245" s="4" t="str">
        <f t="shared" si="80"/>
        <v>GAFICKMVPFVQSTAVVTEILTMTCIAVERHQGLVH</v>
      </c>
      <c r="K245" s="4" t="str">
        <f t="shared" si="81"/>
        <v>PFKMKWQY</v>
      </c>
      <c r="L245" s="4" t="str">
        <f t="shared" si="82"/>
        <v>TNRRAFTMLGVVWLVAVIVGSPMWHVQ</v>
      </c>
      <c r="M245" s="4" t="str">
        <f t="shared" si="83"/>
        <v>CLE</v>
      </c>
      <c r="N245" s="4" t="str">
        <f t="shared" si="84"/>
        <v>PVHQKIYTTFILVILFLLPLMVMLILYSKIGYELWIKKRVGDG</v>
      </c>
      <c r="O245" s="4" t="str">
        <f t="shared" si="85"/>
        <v>KEMSKIARKKKRAVIMMVTVVALFAVCWAPFHVVHMMIEYS</v>
      </c>
      <c r="P245" s="4" t="str">
        <f t="shared" si="86"/>
        <v>DVTIKMIFAIVQIIGFSNSICNPIVYAFM</v>
      </c>
      <c r="Q245" s="4" t="str">
        <f t="shared" si="87"/>
        <v>NENFKKNVLSAV</v>
      </c>
      <c r="R245" s="5">
        <f>VLOOKUP($A245,'SegEnds_NonXtal_Prot#'!$A:$AL,3,FALSE)</f>
        <v>44</v>
      </c>
      <c r="S245" s="5">
        <f>VLOOKUP($A245,'SegEnds_NonXtal_Prot#'!$A:$AL,6,FALSE)</f>
        <v>74</v>
      </c>
      <c r="T245" s="5">
        <f>VLOOKUP($A245,'SegEnds_NonXtal_Prot#'!$A:$AL,9,FALSE)</f>
        <v>78</v>
      </c>
      <c r="U245" s="5">
        <f>VLOOKUP($A245,'SegEnds_NonXtal_Prot#'!$A:$AL,12,FALSE)</f>
        <v>110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>
        <f>VLOOKUP($A245,'SegEnds_NonXtal_Prot#'!$A:$AL,24,FALSE)</f>
        <v>201</v>
      </c>
      <c r="Z245" s="5">
        <f>VLOOKUP($A245,'SegEnds_NonXtal_Prot#'!$A:$AL,27,FALSE)</f>
        <v>208</v>
      </c>
      <c r="AA245" s="5">
        <f>VLOOKUP($A245,'SegEnds_NonXtal_Prot#'!$A:$AL,30,FALSE)</f>
        <v>259</v>
      </c>
      <c r="AB245" s="5">
        <f>VLOOKUP($A245,'SegEnds_NonXtal_Prot#'!$A:$AL,33,FALSE)</f>
        <v>307</v>
      </c>
      <c r="AC245" s="5">
        <f>VLOOKUP($A245,'SegEnds_NonXtal_Prot#'!$A:$AL,36,FALSE)</f>
        <v>336</v>
      </c>
      <c r="AD245" s="5">
        <f>VLOOKUP($A245,'SegEnds_NonXtal_Prot#'!$A:$AL,5,FALSE)</f>
        <v>73</v>
      </c>
      <c r="AE245" s="5">
        <f>VLOOKUP($A245,'SegEnds_NonXtal_Prot#'!$A:$AL,8,FALSE)</f>
        <v>77</v>
      </c>
      <c r="AF245" s="5">
        <f>VLOOKUP($A245,'SegEnds_NonXtal_Prot#'!$A:$AL,11,FALSE)</f>
        <v>108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184</v>
      </c>
      <c r="AK245" s="5">
        <f>VLOOKUP($A245,'SegEnds_NonXtal_Prot#'!$A:$AL,26,FALSE)</f>
        <v>203</v>
      </c>
      <c r="AL245" s="5">
        <f>VLOOKUP($A245,'SegEnds_NonXtal_Prot#'!$A:$AL,29,FALSE)</f>
        <v>250</v>
      </c>
      <c r="AM245" s="5">
        <f>VLOOKUP($A245,'SegEnds_NonXtal_Prot#'!$A:$AL,32,FALSE)</f>
        <v>299</v>
      </c>
      <c r="AN245" s="5">
        <f>VLOOKUP($A245,'SegEnds_NonXtal_Prot#'!$A:$AL,35,FALSE)</f>
        <v>335</v>
      </c>
      <c r="AO245" s="5">
        <f>VLOOKUP($A245,'SegEnds_NonXtal_Prot#'!$A:$AL,38,FALSE)</f>
        <v>347</v>
      </c>
      <c r="AP245" s="5">
        <f t="shared" si="88"/>
        <v>29</v>
      </c>
      <c r="AQ245" s="4">
        <f t="shared" si="89"/>
        <v>3</v>
      </c>
      <c r="AR245" s="4">
        <f t="shared" si="90"/>
        <v>30</v>
      </c>
      <c r="AS245" s="4">
        <f t="shared" si="91"/>
        <v>3</v>
      </c>
      <c r="AT245" s="4">
        <f t="shared" si="92"/>
        <v>35</v>
      </c>
      <c r="AU245" s="4">
        <f t="shared" si="93"/>
        <v>7</v>
      </c>
      <c r="AV245" s="4">
        <f t="shared" si="94"/>
        <v>26</v>
      </c>
      <c r="AW245" s="4">
        <f t="shared" si="95"/>
        <v>2</v>
      </c>
      <c r="AX245" s="4">
        <f t="shared" si="96"/>
        <v>42</v>
      </c>
      <c r="AY245" s="4">
        <f t="shared" si="97"/>
        <v>40</v>
      </c>
      <c r="AZ245" s="4">
        <f t="shared" si="98"/>
        <v>28</v>
      </c>
      <c r="BA245" s="4">
        <f t="shared" si="99"/>
        <v>11</v>
      </c>
    </row>
    <row r="246" spans="1:53" x14ac:dyDescent="0.2">
      <c r="A246" s="1" t="str">
        <f>'SegEnds_NonXtal_Prot#'!A232</f>
        <v>rl3r2_human</v>
      </c>
      <c r="B246" s="1" t="str">
        <f t="shared" si="75"/>
        <v>ALRLMVALAYGLVGAIGLLGNLAVLWVLSNCGPPSDTFVFNLALADLGLALTLPFWAAESALGGALCKMVLTATVLNVYASIFLITALSVARYWVVAMSLFWARIATLAVWAAAALVTVPTAVFGWLGAYQLQRVVLAFMVPLGVITTSYLLLLAFLQRQDSRVVARSVRILVASFFLCWFPNHVVTLWGVLVKFDNSTFYTIQTYVFPVTTCLAHSNSCLNPVLYCLLRREPRQALAGTFRDL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6" s="5" t="str">
        <f t="shared" si="76"/>
        <v>ALRLMVALAYGLVGAIGLLGNLAVLWVLSNC</v>
      </c>
      <c r="G246" s="4" t="str">
        <f t="shared" si="77"/>
        <v>RRAP</v>
      </c>
      <c r="H246" s="4" t="str">
        <f t="shared" si="78"/>
        <v>GPPSDTFVFNLALADLGLALTLPFWAAESAL</v>
      </c>
      <c r="I246" s="4" t="str">
        <f t="shared" si="79"/>
        <v>HWPF</v>
      </c>
      <c r="J246" s="4" t="str">
        <f t="shared" si="80"/>
        <v>GGALCKMVLTATVLNVYASIFLITALSVARYWVVAM</v>
      </c>
      <c r="K246" s="4" t="str">
        <f t="shared" si="81"/>
        <v>AAGPGTHL</v>
      </c>
      <c r="L246" s="4" t="str">
        <f t="shared" si="82"/>
        <v>SLFWARIATLAVWAAAALVTVPTAVFG</v>
      </c>
      <c r="M246" s="4" t="str">
        <f t="shared" si="83"/>
        <v>CLL</v>
      </c>
      <c r="N246" s="4" t="str">
        <f t="shared" si="84"/>
        <v>WLGAYQLQRVVLAFMVPLGVITTSYLLLLAFLQR</v>
      </c>
      <c r="O246" s="4" t="str">
        <f t="shared" si="85"/>
        <v>QDSRVVARSVRILVASFFLCWFPNHVVTLWGVLVKFD</v>
      </c>
      <c r="P246" s="4" t="str">
        <f t="shared" si="86"/>
        <v>NSTFYTIQTYVFPVTTCLAHSNSCLNPVLYCLL</v>
      </c>
      <c r="Q246" s="4" t="str">
        <f t="shared" si="87"/>
        <v>RREPRQALAGTFRDL</v>
      </c>
      <c r="R246" s="5">
        <f>VLOOKUP($A246,'SegEnds_NonXtal_Prot#'!$A:$AL,3,FALSE)</f>
        <v>37</v>
      </c>
      <c r="S246" s="5">
        <f>VLOOKUP($A246,'SegEnds_NonXtal_Prot#'!$A:$AL,6,FALSE)</f>
        <v>69</v>
      </c>
      <c r="T246" s="5">
        <f>VLOOKUP($A246,'SegEnds_NonXtal_Prot#'!$A:$AL,9,FALSE)</f>
        <v>73</v>
      </c>
      <c r="U246" s="5">
        <f>VLOOKUP($A246,'SegEnds_NonXtal_Prot#'!$A:$AL,12,FALSE)</f>
        <v>106</v>
      </c>
      <c r="V246" s="5">
        <f>VLOOKUP($A246,'SegEnds_NonXtal_Prot#'!$A:$AL,15,FALSE)</f>
        <v>110</v>
      </c>
      <c r="W246" s="5">
        <f>VLOOKUP($A246,'SegEnds_NonXtal_Prot#'!$A:$AL,18,FALSE)</f>
        <v>146</v>
      </c>
      <c r="X246" s="5">
        <f>VLOOKUP($A246,'SegEnds_NonXtal_Prot#'!$A:$AL,21,FALSE)</f>
        <v>154</v>
      </c>
      <c r="Y246" s="5">
        <f>VLOOKUP($A246,'SegEnds_NonXtal_Prot#'!$A:$AL,24,FALSE)</f>
        <v>191</v>
      </c>
      <c r="Z246" s="5">
        <f>VLOOKUP($A246,'SegEnds_NonXtal_Prot#'!$A:$AL,27,FALSE)</f>
        <v>200</v>
      </c>
      <c r="AA246" s="5">
        <f>VLOOKUP($A246,'SegEnds_NonXtal_Prot#'!$A:$AL,30,FALSE)</f>
        <v>239</v>
      </c>
      <c r="AB246" s="5">
        <f>VLOOKUP($A246,'SegEnds_NonXtal_Prot#'!$A:$AL,33,FALSE)</f>
        <v>280</v>
      </c>
      <c r="AC246" s="5">
        <f>VLOOKUP($A246,'SegEnds_NonXtal_Prot#'!$A:$AL,36,FALSE)</f>
        <v>313</v>
      </c>
      <c r="AD246" s="5">
        <f>VLOOKUP($A246,'SegEnds_NonXtal_Prot#'!$A:$AL,5,FALSE)</f>
        <v>67</v>
      </c>
      <c r="AE246" s="5">
        <f>VLOOKUP($A246,'SegEnds_NonXtal_Prot#'!$A:$AL,8,FALSE)</f>
        <v>72</v>
      </c>
      <c r="AF246" s="5">
        <f>VLOOKUP($A246,'SegEnds_NonXtal_Prot#'!$A:$AL,11,FALSE)</f>
        <v>103</v>
      </c>
      <c r="AG246" s="5">
        <f>VLOOKUP($A246,'SegEnds_NonXtal_Prot#'!$A:$AL,14,FALSE)</f>
        <v>109</v>
      </c>
      <c r="AH246" s="5">
        <f>VLOOKUP($A246,'SegEnds_NonXtal_Prot#'!$A:$AL,17,FALSE)</f>
        <v>145</v>
      </c>
      <c r="AI246" s="5">
        <f>VLOOKUP($A246,'SegEnds_NonXtal_Prot#'!$A:$AL,20,FALSE)</f>
        <v>153</v>
      </c>
      <c r="AJ246" s="5">
        <f>VLOOKUP($A246,'SegEnds_NonXtal_Prot#'!$A:$AL,23,FALSE)</f>
        <v>180</v>
      </c>
      <c r="AK246" s="5">
        <f>VLOOKUP($A246,'SegEnds_NonXtal_Prot#'!$A:$AL,26,FALSE)</f>
        <v>193</v>
      </c>
      <c r="AL246" s="5">
        <f>VLOOKUP($A246,'SegEnds_NonXtal_Prot#'!$A:$AL,29,FALSE)</f>
        <v>233</v>
      </c>
      <c r="AM246" s="5">
        <f>VLOOKUP($A246,'SegEnds_NonXtal_Prot#'!$A:$AL,32,FALSE)</f>
        <v>275</v>
      </c>
      <c r="AN246" s="5">
        <f>VLOOKUP($A246,'SegEnds_NonXtal_Prot#'!$A:$AL,35,FALSE)</f>
        <v>312</v>
      </c>
      <c r="AO246" s="5">
        <f>VLOOKUP($A246,'SegEnds_NonXtal_Prot#'!$A:$AL,38,FALSE)</f>
        <v>327</v>
      </c>
      <c r="AP246" s="5">
        <f t="shared" si="88"/>
        <v>30</v>
      </c>
      <c r="AQ246" s="4">
        <f t="shared" si="89"/>
        <v>3</v>
      </c>
      <c r="AR246" s="4">
        <f t="shared" si="90"/>
        <v>30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33</v>
      </c>
      <c r="AY246" s="4">
        <f t="shared" si="97"/>
        <v>36</v>
      </c>
      <c r="AZ246" s="4">
        <f t="shared" si="98"/>
        <v>32</v>
      </c>
      <c r="BA246" s="4">
        <f t="shared" si="99"/>
        <v>14</v>
      </c>
    </row>
    <row r="247" spans="1:53" x14ac:dyDescent="0.2">
      <c r="A247" s="1" t="str">
        <f>'SegEnds_NonXtal_Prot#'!A233</f>
        <v>s1pr4_human</v>
      </c>
      <c r="B247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7" s="5" t="str">
        <f t="shared" si="76"/>
        <v>DGGLGALRGLSVAASCLVVLENLLVLAAITSH</v>
      </c>
      <c r="G247" s="4" t="str">
        <f t="shared" si="77"/>
        <v>MRSR</v>
      </c>
      <c r="H247" s="4" t="str">
        <f t="shared" si="78"/>
        <v>RWVYYCLVNITLSDLLTGAAYLANVLL</v>
      </c>
      <c r="I247" s="4" t="str">
        <f t="shared" si="79"/>
        <v>GARTFRL</v>
      </c>
      <c r="J247" s="4" t="str">
        <f t="shared" si="80"/>
        <v>APAQWFLREGLLFTALAASTFSLLFTAGERFATMVR</v>
      </c>
      <c r="K247" s="4" t="str">
        <f t="shared" si="81"/>
        <v>PVAESGAT</v>
      </c>
      <c r="L247" s="4" t="str">
        <f t="shared" si="82"/>
        <v>KTSRVYGFIGLCWLLAALLGMLPLLG</v>
      </c>
      <c r="M247" s="4" t="str">
        <f t="shared" si="83"/>
        <v/>
      </c>
      <c r="N247" s="4" t="str">
        <f t="shared" si="84"/>
        <v>SKRYILFCLVIFAGVLATIMGLYGAIFRLVQAS</v>
      </c>
      <c r="O247" s="4" t="str">
        <f t="shared" si="85"/>
        <v>RPAARRKARRLLKTVLMILLAFLVCWGPLFGLLLADVFG</v>
      </c>
      <c r="P247" s="4" t="str">
        <f t="shared" si="86"/>
        <v>EYLRGMDWILALAVLNSAVNPIIYSFR</v>
      </c>
      <c r="Q247" s="4" t="str">
        <f t="shared" si="87"/>
        <v>SREVCRAVLSFLC</v>
      </c>
      <c r="R247" s="5">
        <f>VLOOKUP($A247,'SegEnds_NonXtal_Prot#'!$A:$AL,3,FALSE)</f>
        <v>43</v>
      </c>
      <c r="S247" s="5">
        <f>VLOOKUP($A247,'SegEnds_NonXtal_Prot#'!$A:$AL,6,FALSE)</f>
        <v>75</v>
      </c>
      <c r="T247" s="5">
        <f>VLOOKUP($A247,'SegEnds_NonXtal_Prot#'!$A:$AL,9,FALSE)</f>
        <v>79</v>
      </c>
      <c r="U247" s="5">
        <f>VLOOKUP($A247,'SegEnds_NonXtal_Prot#'!$A:$AL,12,FALSE)</f>
        <v>107</v>
      </c>
      <c r="V247" s="5">
        <f>VLOOKUP($A247,'SegEnds_NonXtal_Prot#'!$A:$AL,15,FALSE)</f>
        <v>114</v>
      </c>
      <c r="W247" s="5">
        <f>VLOOKUP($A247,'SegEnds_NonXtal_Prot#'!$A:$AL,18,FALSE)</f>
        <v>150</v>
      </c>
      <c r="X247" s="5">
        <f>VLOOKUP($A247,'SegEnds_NonXtal_Prot#'!$A:$AL,21,FALSE)</f>
        <v>158</v>
      </c>
      <c r="Y247" s="5" t="str">
        <f>VLOOKUP($A247,'SegEnds_NonXtal_Prot#'!$A:$AL,24,FALSE)</f>
        <v>-</v>
      </c>
      <c r="Z247" s="5">
        <f>VLOOKUP($A247,'SegEnds_NonXtal_Prot#'!$A:$AL,27,FALSE)</f>
        <v>201</v>
      </c>
      <c r="AA247" s="5">
        <f>VLOOKUP($A247,'SegEnds_NonXtal_Prot#'!$A:$AL,30,FALSE)</f>
        <v>239</v>
      </c>
      <c r="AB247" s="5">
        <f>VLOOKUP($A247,'SegEnds_NonXtal_Prot#'!$A:$AL,33,FALSE)</f>
        <v>284</v>
      </c>
      <c r="AC247" s="5">
        <f>VLOOKUP($A247,'SegEnds_NonXtal_Prot#'!$A:$AL,36,FALSE)</f>
        <v>311</v>
      </c>
      <c r="AD247" s="5">
        <f>VLOOKUP($A247,'SegEnds_NonXtal_Prot#'!$A:$AL,5,FALSE)</f>
        <v>74</v>
      </c>
      <c r="AE247" s="5">
        <f>VLOOKUP($A247,'SegEnds_NonXtal_Prot#'!$A:$AL,8,FALSE)</f>
        <v>78</v>
      </c>
      <c r="AF247" s="5">
        <f>VLOOKUP($A247,'SegEnds_NonXtal_Prot#'!$A:$AL,11,FALSE)</f>
        <v>105</v>
      </c>
      <c r="AG247" s="5">
        <f>VLOOKUP($A247,'SegEnds_NonXtal_Prot#'!$A:$AL,14,FALSE)</f>
        <v>113</v>
      </c>
      <c r="AH247" s="5">
        <f>VLOOKUP($A247,'SegEnds_NonXtal_Prot#'!$A:$AL,17,FALSE)</f>
        <v>149</v>
      </c>
      <c r="AI247" s="5">
        <f>VLOOKUP($A247,'SegEnds_NonXtal_Prot#'!$A:$AL,20,FALSE)</f>
        <v>157</v>
      </c>
      <c r="AJ247" s="5">
        <f>VLOOKUP($A247,'SegEnds_NonXtal_Prot#'!$A:$AL,23,FALSE)</f>
        <v>183</v>
      </c>
      <c r="AK247" s="5" t="str">
        <f>VLOOKUP($A247,'SegEnds_NonXtal_Prot#'!$A:$AL,26,FALSE)</f>
        <v>-</v>
      </c>
      <c r="AL247" s="5">
        <f>VLOOKUP($A247,'SegEnds_NonXtal_Prot#'!$A:$AL,29,FALSE)</f>
        <v>233</v>
      </c>
      <c r="AM247" s="5">
        <f>VLOOKUP($A247,'SegEnds_NonXtal_Prot#'!$A:$AL,32,FALSE)</f>
        <v>277</v>
      </c>
      <c r="AN247" s="5">
        <f>VLOOKUP($A247,'SegEnds_NonXtal_Prot#'!$A:$AL,35,FALSE)</f>
        <v>310</v>
      </c>
      <c r="AO247" s="5">
        <f>VLOOKUP($A247,'SegEnds_NonXtal_Prot#'!$A:$AL,38,FALSE)</f>
        <v>323</v>
      </c>
      <c r="AP247" s="5">
        <f t="shared" si="88"/>
        <v>31</v>
      </c>
      <c r="AQ247" s="4">
        <f t="shared" si="89"/>
        <v>3</v>
      </c>
      <c r="AR247" s="4">
        <f t="shared" si="90"/>
        <v>26</v>
      </c>
      <c r="AS247" s="4">
        <f t="shared" si="91"/>
        <v>6</v>
      </c>
      <c r="AT247" s="4">
        <f t="shared" si="92"/>
        <v>35</v>
      </c>
      <c r="AU247" s="4">
        <f t="shared" si="93"/>
        <v>7</v>
      </c>
      <c r="AV247" s="4">
        <f t="shared" si="94"/>
        <v>25</v>
      </c>
      <c r="AW247" s="4" t="str">
        <f t="shared" si="95"/>
        <v>-</v>
      </c>
      <c r="AX247" s="4">
        <f t="shared" si="96"/>
        <v>32</v>
      </c>
      <c r="AY247" s="4">
        <f t="shared" si="97"/>
        <v>38</v>
      </c>
      <c r="AZ247" s="4">
        <f t="shared" si="98"/>
        <v>26</v>
      </c>
      <c r="BA247" s="4">
        <f t="shared" si="99"/>
        <v>12</v>
      </c>
    </row>
    <row r="248" spans="1:53" x14ac:dyDescent="0.2">
      <c r="A248" s="1" t="str">
        <f>'SegEnds_NonXtal_Prot#'!A234</f>
        <v>ssr1_human</v>
      </c>
      <c r="B248" s="1" t="str">
        <f t="shared" si="75"/>
        <v>GSAILISFIYSVVCLVGLCGNSMVIYVILRYTATNIYILNLAIADELLMLSVPFLVTSTLLGALLCRLVLSVDAVNMFTSIYCLTVLSVDRYVAVVHRPTVAKVVNLGVWVLSLLVILPIVVFSAQRWLVGFVLYTFLMGFLLPVGAICLCYVLIIAKMRMVWQQRKRSERKITLMVMMVVMVFVICWMPFYVVQLVNVFAATVSQLSVILGYANSCANPILYGFLSDNFKRSFQRILC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8" s="5" t="str">
        <f t="shared" si="76"/>
        <v>GSAILISFIYSVVCLVGLCGNSMVIYVILRY</v>
      </c>
      <c r="G248" s="4" t="str">
        <f t="shared" si="77"/>
        <v>AKMK</v>
      </c>
      <c r="H248" s="4" t="str">
        <f t="shared" si="78"/>
        <v>TATNIYILNLAIADELLMLSVPFLVTSTLL</v>
      </c>
      <c r="I248" s="4" t="str">
        <f t="shared" si="79"/>
        <v>HWPF</v>
      </c>
      <c r="J248" s="4" t="str">
        <f t="shared" si="80"/>
        <v>GALLCRLVLSVDAVNMFTSIYCLTVLSVDRYVAVVH</v>
      </c>
      <c r="K248" s="4" t="str">
        <f t="shared" si="81"/>
        <v>PIKAARYR</v>
      </c>
      <c r="L248" s="4" t="str">
        <f t="shared" si="82"/>
        <v>RPTVAKVVNLGVWVLSLLVILPIVVFS</v>
      </c>
      <c r="M248" s="4" t="str">
        <f t="shared" si="83"/>
        <v>CNM</v>
      </c>
      <c r="N248" s="4" t="str">
        <f t="shared" si="84"/>
        <v>AQRWLVGFVLYTFLMGFLLPVGAICLCYVLIIAKMRMV</v>
      </c>
      <c r="O248" s="4" t="str">
        <f t="shared" si="85"/>
        <v>WQQRKRSERKITLMVMMVVMVFVICWMPFYVVQLVNVFA</v>
      </c>
      <c r="P248" s="4" t="str">
        <f t="shared" si="86"/>
        <v>ATVSQLSVILGYANSCANPILYGFL</v>
      </c>
      <c r="Q248" s="4" t="str">
        <f t="shared" si="87"/>
        <v>SDNFKRSFQRILC</v>
      </c>
      <c r="R248" s="5">
        <f>VLOOKUP($A248,'SegEnds_NonXtal_Prot#'!$A:$AL,3,FALSE)</f>
        <v>56</v>
      </c>
      <c r="S248" s="5">
        <f>VLOOKUP($A248,'SegEnds_NonXtal_Prot#'!$A:$AL,6,FALSE)</f>
        <v>87</v>
      </c>
      <c r="T248" s="5">
        <f>VLOOKUP($A248,'SegEnds_NonXtal_Prot#'!$A:$AL,9,FALSE)</f>
        <v>91</v>
      </c>
      <c r="U248" s="5">
        <f>VLOOKUP($A248,'SegEnds_NonXtal_Prot#'!$A:$AL,12,FALSE)</f>
        <v>122</v>
      </c>
      <c r="V248" s="5">
        <f>VLOOKUP($A248,'SegEnds_NonXtal_Prot#'!$A:$AL,15,FALSE)</f>
        <v>126</v>
      </c>
      <c r="W248" s="5">
        <f>VLOOKUP($A248,'SegEnds_NonXtal_Prot#'!$A:$AL,18,FALSE)</f>
        <v>162</v>
      </c>
      <c r="X248" s="5">
        <f>VLOOKUP($A248,'SegEnds_NonXtal_Prot#'!$A:$AL,21,FALSE)</f>
        <v>170</v>
      </c>
      <c r="Y248" s="5">
        <f>VLOOKUP($A248,'SegEnds_NonXtal_Prot#'!$A:$AL,24,FALSE)</f>
        <v>208</v>
      </c>
      <c r="Z248" s="5">
        <f>VLOOKUP($A248,'SegEnds_NonXtal_Prot#'!$A:$AL,27,FALSE)</f>
        <v>216</v>
      </c>
      <c r="AA248" s="5">
        <f>VLOOKUP($A248,'SegEnds_NonXtal_Prot#'!$A:$AL,30,FALSE)</f>
        <v>259</v>
      </c>
      <c r="AB248" s="5">
        <f>VLOOKUP($A248,'SegEnds_NonXtal_Prot#'!$A:$AL,33,FALSE)</f>
        <v>302</v>
      </c>
      <c r="AC248" s="5">
        <f>VLOOKUP($A248,'SegEnds_NonXtal_Prot#'!$A:$AL,36,FALSE)</f>
        <v>327</v>
      </c>
      <c r="AD248" s="5">
        <f>VLOOKUP($A248,'SegEnds_NonXtal_Prot#'!$A:$AL,5,FALSE)</f>
        <v>86</v>
      </c>
      <c r="AE248" s="5">
        <f>VLOOKUP($A248,'SegEnds_NonXtal_Prot#'!$A:$AL,8,FALSE)</f>
        <v>90</v>
      </c>
      <c r="AF248" s="5">
        <f>VLOOKUP($A248,'SegEnds_NonXtal_Prot#'!$A:$AL,11,FALSE)</f>
        <v>120</v>
      </c>
      <c r="AG248" s="5">
        <f>VLOOKUP($A248,'SegEnds_NonXtal_Prot#'!$A:$AL,14,FALSE)</f>
        <v>125</v>
      </c>
      <c r="AH248" s="5">
        <f>VLOOKUP($A248,'SegEnds_NonXtal_Prot#'!$A:$AL,17,FALSE)</f>
        <v>161</v>
      </c>
      <c r="AI248" s="5">
        <f>VLOOKUP($A248,'SegEnds_NonXtal_Prot#'!$A:$AL,20,FALSE)</f>
        <v>169</v>
      </c>
      <c r="AJ248" s="5">
        <f>VLOOKUP($A248,'SegEnds_NonXtal_Prot#'!$A:$AL,23,FALSE)</f>
        <v>196</v>
      </c>
      <c r="AK248" s="5">
        <f>VLOOKUP($A248,'SegEnds_NonXtal_Prot#'!$A:$AL,26,FALSE)</f>
        <v>210</v>
      </c>
      <c r="AL248" s="5">
        <f>VLOOKUP($A248,'SegEnds_NonXtal_Prot#'!$A:$AL,29,FALSE)</f>
        <v>253</v>
      </c>
      <c r="AM248" s="5">
        <f>VLOOKUP($A248,'SegEnds_NonXtal_Prot#'!$A:$AL,32,FALSE)</f>
        <v>297</v>
      </c>
      <c r="AN248" s="5">
        <f>VLOOKUP($A248,'SegEnds_NonXtal_Prot#'!$A:$AL,35,FALSE)</f>
        <v>326</v>
      </c>
      <c r="AO248" s="5">
        <f>VLOOKUP($A248,'SegEnds_NonXtal_Prot#'!$A:$AL,38,FALSE)</f>
        <v>339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37</v>
      </c>
      <c r="AY248" s="4">
        <f t="shared" si="97"/>
        <v>38</v>
      </c>
      <c r="AZ248" s="4">
        <f t="shared" si="98"/>
        <v>24</v>
      </c>
      <c r="BA248" s="4">
        <f t="shared" si="99"/>
        <v>12</v>
      </c>
    </row>
    <row r="249" spans="1:53" x14ac:dyDescent="0.2">
      <c r="A249" s="1" t="str">
        <f>'SegEnds_NonXtal_Prot#'!A235</f>
        <v>ssr2_human</v>
      </c>
      <c r="B249" s="1" t="str">
        <f t="shared" si="75"/>
        <v>TSNAVLTFIYFVVCIIGLCGNTLVIYVILRYTITNIYILNLAIADELFMLGLPFLAMQVALGKAICRVVMTVDGINQFTSIFCLTVMSIDRYLAVVHRPRTAKMITMAVWGVSLLVILPIMIYASGAWYTGFIIYTFILGFLVPLTIICLCYLFIIIKVKSSSSKRKKSEKKVTRMVSIVVAVFIFCWLPFYIFNVSSVSMTPALKGMFDFVVVLTYANSCANPILYAFLSDNFKKSFQNVLC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9" s="5" t="str">
        <f t="shared" si="76"/>
        <v>TSNAVLTFIYFVVCIIGLCGNTLVIYVILRY</v>
      </c>
      <c r="G249" s="4" t="str">
        <f t="shared" si="77"/>
        <v>AKMK</v>
      </c>
      <c r="H249" s="4" t="str">
        <f t="shared" si="78"/>
        <v>TITNIYILNLAIADELFMLGLPFLAMQVAL</v>
      </c>
      <c r="I249" s="4" t="str">
        <f t="shared" si="79"/>
        <v>HWPF</v>
      </c>
      <c r="J249" s="4" t="str">
        <f t="shared" si="80"/>
        <v>GKAICRVVMTVDGINQFTSIFCLTVMSIDRYLAVVH</v>
      </c>
      <c r="K249" s="4" t="str">
        <f t="shared" si="81"/>
        <v>PIKSAKWR</v>
      </c>
      <c r="L249" s="4" t="str">
        <f t="shared" si="82"/>
        <v>RPRTAKMITMAVWGVSLLVILPIMIYA</v>
      </c>
      <c r="M249" s="4" t="str">
        <f t="shared" si="83"/>
        <v>CTI</v>
      </c>
      <c r="N249" s="4" t="str">
        <f t="shared" si="84"/>
        <v>SGAWYTGFIIYTFILGFLVPLTIICLCYLFIIIKVKSS</v>
      </c>
      <c r="O249" s="4" t="str">
        <f t="shared" si="85"/>
        <v>SSKRKKSEKKVTRMVSIVVAVFIFCWLPFYIFNVSSVSM</v>
      </c>
      <c r="P249" s="4" t="str">
        <f t="shared" si="86"/>
        <v>TPALKGMFDFVVVLTYANSCANPILYAFL</v>
      </c>
      <c r="Q249" s="4" t="str">
        <f t="shared" si="87"/>
        <v>SDNFKKSFQNVLC</v>
      </c>
      <c r="R249" s="5">
        <f>VLOOKUP($A249,'SegEnds_NonXtal_Prot#'!$A:$AL,3,FALSE)</f>
        <v>41</v>
      </c>
      <c r="S249" s="5">
        <f>VLOOKUP($A249,'SegEnds_NonXtal_Prot#'!$A:$AL,6,FALSE)</f>
        <v>72</v>
      </c>
      <c r="T249" s="5">
        <f>VLOOKUP($A249,'SegEnds_NonXtal_Prot#'!$A:$AL,9,FALSE)</f>
        <v>76</v>
      </c>
      <c r="U249" s="5">
        <f>VLOOKUP($A249,'SegEnds_NonXtal_Prot#'!$A:$AL,12,FALSE)</f>
        <v>107</v>
      </c>
      <c r="V249" s="5">
        <f>VLOOKUP($A249,'SegEnds_NonXtal_Prot#'!$A:$AL,15,FALSE)</f>
        <v>111</v>
      </c>
      <c r="W249" s="5">
        <f>VLOOKUP($A249,'SegEnds_NonXtal_Prot#'!$A:$AL,18,FALSE)</f>
        <v>147</v>
      </c>
      <c r="X249" s="5">
        <f>VLOOKUP($A249,'SegEnds_NonXtal_Prot#'!$A:$AL,21,FALSE)</f>
        <v>155</v>
      </c>
      <c r="Y249" s="5">
        <f>VLOOKUP($A249,'SegEnds_NonXtal_Prot#'!$A:$AL,24,FALSE)</f>
        <v>193</v>
      </c>
      <c r="Z249" s="5">
        <f>VLOOKUP($A249,'SegEnds_NonXtal_Prot#'!$A:$AL,27,FALSE)</f>
        <v>201</v>
      </c>
      <c r="AA249" s="5">
        <f>VLOOKUP($A249,'SegEnds_NonXtal_Prot#'!$A:$AL,30,FALSE)</f>
        <v>244</v>
      </c>
      <c r="AB249" s="5">
        <f>VLOOKUP($A249,'SegEnds_NonXtal_Prot#'!$A:$AL,33,FALSE)</f>
        <v>287</v>
      </c>
      <c r="AC249" s="5">
        <f>VLOOKUP($A249,'SegEnds_NonXtal_Prot#'!$A:$AL,36,FALSE)</f>
        <v>316</v>
      </c>
      <c r="AD249" s="5">
        <f>VLOOKUP($A249,'SegEnds_NonXtal_Prot#'!$A:$AL,5,FALSE)</f>
        <v>71</v>
      </c>
      <c r="AE249" s="5">
        <f>VLOOKUP($A249,'SegEnds_NonXtal_Prot#'!$A:$AL,8,FALSE)</f>
        <v>75</v>
      </c>
      <c r="AF249" s="5">
        <f>VLOOKUP($A249,'SegEnds_NonXtal_Prot#'!$A:$AL,11,FALSE)</f>
        <v>105</v>
      </c>
      <c r="AG249" s="5">
        <f>VLOOKUP($A249,'SegEnds_NonXtal_Prot#'!$A:$AL,14,FALSE)</f>
        <v>110</v>
      </c>
      <c r="AH249" s="5">
        <f>VLOOKUP($A249,'SegEnds_NonXtal_Prot#'!$A:$AL,17,FALSE)</f>
        <v>146</v>
      </c>
      <c r="AI249" s="5">
        <f>VLOOKUP($A249,'SegEnds_NonXtal_Prot#'!$A:$AL,20,FALSE)</f>
        <v>154</v>
      </c>
      <c r="AJ249" s="5">
        <f>VLOOKUP($A249,'SegEnds_NonXtal_Prot#'!$A:$AL,23,FALSE)</f>
        <v>181</v>
      </c>
      <c r="AK249" s="5">
        <f>VLOOKUP($A249,'SegEnds_NonXtal_Prot#'!$A:$AL,26,FALSE)</f>
        <v>195</v>
      </c>
      <c r="AL249" s="5">
        <f>VLOOKUP($A249,'SegEnds_NonXtal_Prot#'!$A:$AL,29,FALSE)</f>
        <v>238</v>
      </c>
      <c r="AM249" s="5">
        <f>VLOOKUP($A249,'SegEnds_NonXtal_Prot#'!$A:$AL,32,FALSE)</f>
        <v>282</v>
      </c>
      <c r="AN249" s="5">
        <f>VLOOKUP($A249,'SegEnds_NonXtal_Prot#'!$A:$AL,35,FALSE)</f>
        <v>315</v>
      </c>
      <c r="AO249" s="5">
        <f>VLOOKUP($A249,'SegEnds_NonXtal_Prot#'!$A:$AL,38,FALSE)</f>
        <v>328</v>
      </c>
      <c r="AP249" s="5">
        <f t="shared" si="88"/>
        <v>30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28</v>
      </c>
      <c r="BA249" s="4">
        <f t="shared" si="99"/>
        <v>12</v>
      </c>
    </row>
    <row r="250" spans="1:53" x14ac:dyDescent="0.2">
      <c r="A250" s="1" t="str">
        <f>'SegEnds_NonXtal_Prot#'!A236</f>
        <v>ssr3_human</v>
      </c>
      <c r="B250" s="1" t="str">
        <f t="shared" si="75"/>
        <v>VSGVLIPLVYLVVCVVGLLGNSLVIYVVLRHSVTNVYILNLALADELFMLGLPFLAAQNALGSLMCRLVMAVDGINQFTSIFCLTVMSVDRYLAVVHTAPVARTVSAAVWVASAVVVLPVVVFSAAAWRAGFIIYTAALGFFGPLLVICLCYLLIVVKVRSAGRRVQRRRRSERRVTRMVVAVVALFVLCWMPFYVLNIVNVVCEPAFFGLYFLVVALPYANSCANPILYGFLSYRFKQGFRRVLL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50" s="5" t="str">
        <f t="shared" si="76"/>
        <v>VSGVLIPLVYLVVCVVGLLGNSLVIYVVLRH</v>
      </c>
      <c r="G250" s="4" t="str">
        <f t="shared" si="77"/>
        <v>TASP</v>
      </c>
      <c r="H250" s="4" t="str">
        <f t="shared" si="78"/>
        <v>SVTNVYILNLALADELFMLGLPFLAAQNAL</v>
      </c>
      <c r="I250" s="4" t="str">
        <f t="shared" si="79"/>
        <v>YWPF</v>
      </c>
      <c r="J250" s="4" t="str">
        <f t="shared" si="80"/>
        <v>GSLMCRLVMAVDGINQFTSIFCLTVMSVDRYLAVVH</v>
      </c>
      <c r="K250" s="4" t="str">
        <f t="shared" si="81"/>
        <v>PTRSARWR</v>
      </c>
      <c r="L250" s="4" t="str">
        <f t="shared" si="82"/>
        <v>TAPVARTVSAAVWVASAVVVLPVVVFS</v>
      </c>
      <c r="M250" s="4" t="str">
        <f t="shared" si="83"/>
        <v>CHM</v>
      </c>
      <c r="N250" s="4" t="str">
        <f t="shared" si="84"/>
        <v>AAAWRAGFIIYTAALGFFGPLLVICLCYLLIVVKVRSAGRRV</v>
      </c>
      <c r="O250" s="4" t="str">
        <f t="shared" si="85"/>
        <v>QRRRRSERRVTRMVVAVVALFVLCWMPFYVLNIVNVVC</v>
      </c>
      <c r="P250" s="4" t="str">
        <f t="shared" si="86"/>
        <v>EPAFFGLYFLVVALPYANSCANPILYGFL</v>
      </c>
      <c r="Q250" s="4" t="str">
        <f t="shared" si="87"/>
        <v>SYRFKQGFRRVLL</v>
      </c>
      <c r="R250" s="5">
        <f>VLOOKUP($A250,'SegEnds_NonXtal_Prot#'!$A:$AL,3,FALSE)</f>
        <v>42</v>
      </c>
      <c r="S250" s="5">
        <f>VLOOKUP($A250,'SegEnds_NonXtal_Prot#'!$A:$AL,6,FALSE)</f>
        <v>73</v>
      </c>
      <c r="T250" s="5">
        <f>VLOOKUP($A250,'SegEnds_NonXtal_Prot#'!$A:$AL,9,FALSE)</f>
        <v>77</v>
      </c>
      <c r="U250" s="5">
        <f>VLOOKUP($A250,'SegEnds_NonXtal_Prot#'!$A:$AL,12,FALSE)</f>
        <v>108</v>
      </c>
      <c r="V250" s="5">
        <f>VLOOKUP($A250,'SegEnds_NonXtal_Prot#'!$A:$AL,15,FALSE)</f>
        <v>112</v>
      </c>
      <c r="W250" s="5">
        <f>VLOOKUP($A250,'SegEnds_NonXtal_Prot#'!$A:$AL,18,FALSE)</f>
        <v>148</v>
      </c>
      <c r="X250" s="5">
        <f>VLOOKUP($A250,'SegEnds_NonXtal_Prot#'!$A:$AL,21,FALSE)</f>
        <v>156</v>
      </c>
      <c r="Y250" s="5">
        <f>VLOOKUP($A250,'SegEnds_NonXtal_Prot#'!$A:$AL,24,FALSE)</f>
        <v>191</v>
      </c>
      <c r="Z250" s="5">
        <f>VLOOKUP($A250,'SegEnds_NonXtal_Prot#'!$A:$AL,27,FALSE)</f>
        <v>199</v>
      </c>
      <c r="AA250" s="5">
        <f>VLOOKUP($A250,'SegEnds_NonXtal_Prot#'!$A:$AL,30,FALSE)</f>
        <v>246</v>
      </c>
      <c r="AB250" s="5">
        <f>VLOOKUP($A250,'SegEnds_NonXtal_Prot#'!$A:$AL,33,FALSE)</f>
        <v>288</v>
      </c>
      <c r="AC250" s="5">
        <f>VLOOKUP($A250,'SegEnds_NonXtal_Prot#'!$A:$AL,36,FALSE)</f>
        <v>317</v>
      </c>
      <c r="AD250" s="5">
        <f>VLOOKUP($A250,'SegEnds_NonXtal_Prot#'!$A:$AL,5,FALSE)</f>
        <v>72</v>
      </c>
      <c r="AE250" s="5">
        <f>VLOOKUP($A250,'SegEnds_NonXtal_Prot#'!$A:$AL,8,FALSE)</f>
        <v>76</v>
      </c>
      <c r="AF250" s="5">
        <f>VLOOKUP($A250,'SegEnds_NonXtal_Prot#'!$A:$AL,11,FALSE)</f>
        <v>106</v>
      </c>
      <c r="AG250" s="5">
        <f>VLOOKUP($A250,'SegEnds_NonXtal_Prot#'!$A:$AL,14,FALSE)</f>
        <v>111</v>
      </c>
      <c r="AH250" s="5">
        <f>VLOOKUP($A250,'SegEnds_NonXtal_Prot#'!$A:$AL,17,FALSE)</f>
        <v>147</v>
      </c>
      <c r="AI250" s="5">
        <f>VLOOKUP($A250,'SegEnds_NonXtal_Prot#'!$A:$AL,20,FALSE)</f>
        <v>155</v>
      </c>
      <c r="AJ250" s="5">
        <f>VLOOKUP($A250,'SegEnds_NonXtal_Prot#'!$A:$AL,23,FALSE)</f>
        <v>182</v>
      </c>
      <c r="AK250" s="5">
        <f>VLOOKUP($A250,'SegEnds_NonXtal_Prot#'!$A:$AL,26,FALSE)</f>
        <v>193</v>
      </c>
      <c r="AL250" s="5">
        <f>VLOOKUP($A250,'SegEnds_NonXtal_Prot#'!$A:$AL,29,FALSE)</f>
        <v>240</v>
      </c>
      <c r="AM250" s="5">
        <f>VLOOKUP($A250,'SegEnds_NonXtal_Prot#'!$A:$AL,32,FALSE)</f>
        <v>283</v>
      </c>
      <c r="AN250" s="5">
        <f>VLOOKUP($A250,'SegEnds_NonXtal_Prot#'!$A:$AL,35,FALSE)</f>
        <v>316</v>
      </c>
      <c r="AO250" s="5">
        <f>VLOOKUP($A250,'SegEnds_NonXtal_Prot#'!$A:$AL,38,FALSE)</f>
        <v>329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41</v>
      </c>
      <c r="AY250" s="4">
        <f t="shared" si="97"/>
        <v>37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'SegEnds_NonXtal_Prot#'!A237</f>
        <v>ssr4_human</v>
      </c>
      <c r="B251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51" s="5" t="str">
        <f t="shared" si="76"/>
        <v>AGPGDARAAGMVAIQCIYALVCLVGLVGNALVIFVILRY</v>
      </c>
      <c r="G251" s="4" t="str">
        <f t="shared" si="77"/>
        <v>AKMK</v>
      </c>
      <c r="H251" s="4" t="str">
        <f t="shared" si="78"/>
        <v>TATNIYLLNLAVADELFMLSVPFVASSAAL</v>
      </c>
      <c r="I251" s="4" t="str">
        <f t="shared" si="79"/>
        <v>HWPF</v>
      </c>
      <c r="J251" s="4" t="str">
        <f t="shared" si="80"/>
        <v>GSVLCRAVLSVDGLNMFTSVFCLTVLSVDRYVAVVH</v>
      </c>
      <c r="K251" s="4" t="str">
        <f t="shared" si="81"/>
        <v>PLRAATYR</v>
      </c>
      <c r="L251" s="4" t="str">
        <f t="shared" si="82"/>
        <v>RPSVAKLINLGVWLASLLVTLPIAIFA</v>
      </c>
      <c r="M251" s="4" t="str">
        <f t="shared" si="83"/>
        <v>CNL</v>
      </c>
      <c r="N251" s="4" t="str">
        <f t="shared" si="84"/>
        <v>HPAWSAVFVVYTFLLGFLLPVLAIGLCYLLIVGKMRAV</v>
      </c>
      <c r="O251" s="4" t="str">
        <f t="shared" si="85"/>
        <v>WQQRRRSEKKITRLVLMVVVVFVLCWMPFYVVQLLNLFV</v>
      </c>
      <c r="P251" s="4" t="str">
        <f t="shared" si="86"/>
        <v>ATVNHVSLILSYANSCANPILYGFL</v>
      </c>
      <c r="Q251" s="4" t="str">
        <f t="shared" si="87"/>
        <v>SDNFRRFFQRVLCL</v>
      </c>
      <c r="R251" s="5">
        <f>VLOOKUP($A251,'SegEnds_NonXtal_Prot#'!$A:$AL,3,FALSE)</f>
        <v>37</v>
      </c>
      <c r="S251" s="5">
        <f>VLOOKUP($A251,'SegEnds_NonXtal_Prot#'!$A:$AL,6,FALSE)</f>
        <v>76</v>
      </c>
      <c r="T251" s="5">
        <f>VLOOKUP($A251,'SegEnds_NonXtal_Prot#'!$A:$AL,9,FALSE)</f>
        <v>80</v>
      </c>
      <c r="U251" s="5">
        <f>VLOOKUP($A251,'SegEnds_NonXtal_Prot#'!$A:$AL,12,FALSE)</f>
        <v>111</v>
      </c>
      <c r="V251" s="5">
        <f>VLOOKUP($A251,'SegEnds_NonXtal_Prot#'!$A:$AL,15,FALSE)</f>
        <v>115</v>
      </c>
      <c r="W251" s="5">
        <f>VLOOKUP($A251,'SegEnds_NonXtal_Prot#'!$A:$AL,18,FALSE)</f>
        <v>151</v>
      </c>
      <c r="X251" s="5">
        <f>VLOOKUP($A251,'SegEnds_NonXtal_Prot#'!$A:$AL,21,FALSE)</f>
        <v>159</v>
      </c>
      <c r="Y251" s="5">
        <f>VLOOKUP($A251,'SegEnds_NonXtal_Prot#'!$A:$AL,24,FALSE)</f>
        <v>198</v>
      </c>
      <c r="Z251" s="5">
        <f>VLOOKUP($A251,'SegEnds_NonXtal_Prot#'!$A:$AL,27,FALSE)</f>
        <v>204</v>
      </c>
      <c r="AA251" s="5">
        <f>VLOOKUP($A251,'SegEnds_NonXtal_Prot#'!$A:$AL,30,FALSE)</f>
        <v>247</v>
      </c>
      <c r="AB251" s="5">
        <f>VLOOKUP($A251,'SegEnds_NonXtal_Prot#'!$A:$AL,33,FALSE)</f>
        <v>290</v>
      </c>
      <c r="AC251" s="5">
        <f>VLOOKUP($A251,'SegEnds_NonXtal_Prot#'!$A:$AL,36,FALSE)</f>
        <v>315</v>
      </c>
      <c r="AD251" s="5">
        <f>VLOOKUP($A251,'SegEnds_NonXtal_Prot#'!$A:$AL,5,FALSE)</f>
        <v>75</v>
      </c>
      <c r="AE251" s="5">
        <f>VLOOKUP($A251,'SegEnds_NonXtal_Prot#'!$A:$AL,8,FALSE)</f>
        <v>79</v>
      </c>
      <c r="AF251" s="5">
        <f>VLOOKUP($A251,'SegEnds_NonXtal_Prot#'!$A:$AL,11,FALSE)</f>
        <v>109</v>
      </c>
      <c r="AG251" s="5">
        <f>VLOOKUP($A251,'SegEnds_NonXtal_Prot#'!$A:$AL,14,FALSE)</f>
        <v>114</v>
      </c>
      <c r="AH251" s="5">
        <f>VLOOKUP($A251,'SegEnds_NonXtal_Prot#'!$A:$AL,17,FALSE)</f>
        <v>150</v>
      </c>
      <c r="AI251" s="5">
        <f>VLOOKUP($A251,'SegEnds_NonXtal_Prot#'!$A:$AL,20,FALSE)</f>
        <v>158</v>
      </c>
      <c r="AJ251" s="5">
        <f>VLOOKUP($A251,'SegEnds_NonXtal_Prot#'!$A:$AL,23,FALSE)</f>
        <v>185</v>
      </c>
      <c r="AK251" s="5">
        <f>VLOOKUP($A251,'SegEnds_NonXtal_Prot#'!$A:$AL,26,FALSE)</f>
        <v>200</v>
      </c>
      <c r="AL251" s="5">
        <f>VLOOKUP($A251,'SegEnds_NonXtal_Prot#'!$A:$AL,29,FALSE)</f>
        <v>241</v>
      </c>
      <c r="AM251" s="5">
        <f>VLOOKUP($A251,'SegEnds_NonXtal_Prot#'!$A:$AL,32,FALSE)</f>
        <v>285</v>
      </c>
      <c r="AN251" s="5">
        <f>VLOOKUP($A251,'SegEnds_NonXtal_Prot#'!$A:$AL,35,FALSE)</f>
        <v>314</v>
      </c>
      <c r="AO251" s="5">
        <f>VLOOKUP($A251,'SegEnds_NonXtal_Prot#'!$A:$AL,38,FALSE)</f>
        <v>328</v>
      </c>
      <c r="AP251" s="5">
        <f t="shared" si="88"/>
        <v>38</v>
      </c>
      <c r="AQ251" s="4">
        <f t="shared" si="89"/>
        <v>3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37</v>
      </c>
      <c r="AY251" s="4">
        <f t="shared" si="97"/>
        <v>38</v>
      </c>
      <c r="AZ251" s="4">
        <f t="shared" si="98"/>
        <v>24</v>
      </c>
      <c r="BA251" s="4">
        <f t="shared" si="99"/>
        <v>13</v>
      </c>
    </row>
    <row r="252" spans="1:53" x14ac:dyDescent="0.2">
      <c r="A252" s="1" t="str">
        <f>'SegEnds_NonXtal_Prot#'!A238</f>
        <v>ssr5_human</v>
      </c>
      <c r="B252" s="1" t="str">
        <f t="shared" si="75"/>
        <v>ARAVLVPVLYLLVCAAGLGGNTLVIYVVLRFTVTNIYILNLAVADVLYMLGLPFLATQNAAGPVLCRLVMTLDGVNQFTSVFCLTVMSVDRYLAVVHRPRVAKLASAAAWVLSLCMSLPLLVFAVGLWGAVFIIYTAVLGFFAPLLVICLCYLLIVVKVRAAGVRVSERKVTRMVLVVVLVFAGCWLPFFTVNIVNLAVEPASAGLYFFVVILSYANSCANPVLYGFLSDNFRQSFQKVLC</v>
      </c>
      <c r="C252" s="29" t="str">
        <f>IF(ISERROR(MATCH(A252,'SegEnds_Xtal_Prot#'!B:B, 0)), "NoXtal", "Xtal")</f>
        <v>NoXtal</v>
      </c>
      <c r="D252" s="4" t="str">
        <f>VLOOKUP(A252,Classification!A:D,2,FALSE)</f>
        <v>A</v>
      </c>
      <c r="E252" s="5" t="str">
        <f>VLOOKUP(A252,Seqs!A:B,2,FALSE)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2" s="5" t="str">
        <f t="shared" si="76"/>
        <v>ARAVLVPVLYLLVCAAGLGGNTLVIYVVLRF</v>
      </c>
      <c r="G252" s="4" t="str">
        <f t="shared" si="77"/>
        <v>AKMK</v>
      </c>
      <c r="H252" s="4" t="str">
        <f t="shared" si="78"/>
        <v>TVTNIYILNLAVADVLYMLGLPFLATQNAA</v>
      </c>
      <c r="I252" s="4" t="str">
        <f t="shared" si="79"/>
        <v>FWPF</v>
      </c>
      <c r="J252" s="4" t="str">
        <f t="shared" si="80"/>
        <v>GPVLCRLVMTLDGVNQFTSVFCLTVMSVDRYLAVVH</v>
      </c>
      <c r="K252" s="4" t="str">
        <f t="shared" si="81"/>
        <v>PLSSARWR</v>
      </c>
      <c r="L252" s="4" t="str">
        <f t="shared" si="82"/>
        <v>RPRVAKLASAAAWVLSLCMSLPLLVFA</v>
      </c>
      <c r="M252" s="4" t="str">
        <f t="shared" si="83"/>
        <v>CNA</v>
      </c>
      <c r="N252" s="4" t="str">
        <f t="shared" si="84"/>
        <v>VGLWGAVFIIYTAVLGFFAPLLVICLCYLLIVVKVRAAGVRV</v>
      </c>
      <c r="O252" s="4" t="str">
        <f t="shared" si="85"/>
        <v>SERKVTRMVLVVVLVFAGCWLPFFTVNIVNLAV</v>
      </c>
      <c r="P252" s="4" t="str">
        <f t="shared" si="86"/>
        <v>EPASAGLYFFVVILSYANSCANPVLYGFL</v>
      </c>
      <c r="Q252" s="4" t="str">
        <f t="shared" si="87"/>
        <v>SDNFRQSFQKVLC</v>
      </c>
      <c r="R252" s="5">
        <f>VLOOKUP($A252,'SegEnds_NonXtal_Prot#'!$A:$AL,3,FALSE)</f>
        <v>38</v>
      </c>
      <c r="S252" s="5">
        <f>VLOOKUP($A252,'SegEnds_NonXtal_Prot#'!$A:$AL,6,FALSE)</f>
        <v>69</v>
      </c>
      <c r="T252" s="5">
        <f>VLOOKUP($A252,'SegEnds_NonXtal_Prot#'!$A:$AL,9,FALSE)</f>
        <v>73</v>
      </c>
      <c r="U252" s="5">
        <f>VLOOKUP($A252,'SegEnds_NonXtal_Prot#'!$A:$AL,12,FALSE)</f>
        <v>104</v>
      </c>
      <c r="V252" s="5">
        <f>VLOOKUP($A252,'SegEnds_NonXtal_Prot#'!$A:$AL,15,FALSE)</f>
        <v>108</v>
      </c>
      <c r="W252" s="5">
        <f>VLOOKUP($A252,'SegEnds_NonXtal_Prot#'!$A:$AL,18,FALSE)</f>
        <v>144</v>
      </c>
      <c r="X252" s="5">
        <f>VLOOKUP($A252,'SegEnds_NonXtal_Prot#'!$A:$AL,21,FALSE)</f>
        <v>152</v>
      </c>
      <c r="Y252" s="5">
        <f>VLOOKUP($A252,'SegEnds_NonXtal_Prot#'!$A:$AL,24,FALSE)</f>
        <v>186</v>
      </c>
      <c r="Z252" s="5">
        <f>VLOOKUP($A252,'SegEnds_NonXtal_Prot#'!$A:$AL,27,FALSE)</f>
        <v>194</v>
      </c>
      <c r="AA252" s="5">
        <f>VLOOKUP($A252,'SegEnds_NonXtal_Prot#'!$A:$AL,30,FALSE)</f>
        <v>242</v>
      </c>
      <c r="AB252" s="5">
        <f>VLOOKUP($A252,'SegEnds_NonXtal_Prot#'!$A:$AL,33,FALSE)</f>
        <v>279</v>
      </c>
      <c r="AC252" s="5">
        <f>VLOOKUP($A252,'SegEnds_NonXtal_Prot#'!$A:$AL,36,FALSE)</f>
        <v>308</v>
      </c>
      <c r="AD252" s="5">
        <f>VLOOKUP($A252,'SegEnds_NonXtal_Prot#'!$A:$AL,5,FALSE)</f>
        <v>68</v>
      </c>
      <c r="AE252" s="5">
        <f>VLOOKUP($A252,'SegEnds_NonXtal_Prot#'!$A:$AL,8,FALSE)</f>
        <v>72</v>
      </c>
      <c r="AF252" s="5">
        <f>VLOOKUP($A252,'SegEnds_NonXtal_Prot#'!$A:$AL,11,FALSE)</f>
        <v>102</v>
      </c>
      <c r="AG252" s="5">
        <f>VLOOKUP($A252,'SegEnds_NonXtal_Prot#'!$A:$AL,14,FALSE)</f>
        <v>107</v>
      </c>
      <c r="AH252" s="5">
        <f>VLOOKUP($A252,'SegEnds_NonXtal_Prot#'!$A:$AL,17,FALSE)</f>
        <v>143</v>
      </c>
      <c r="AI252" s="5">
        <f>VLOOKUP($A252,'SegEnds_NonXtal_Prot#'!$A:$AL,20,FALSE)</f>
        <v>151</v>
      </c>
      <c r="AJ252" s="5">
        <f>VLOOKUP($A252,'SegEnds_NonXtal_Prot#'!$A:$AL,23,FALSE)</f>
        <v>178</v>
      </c>
      <c r="AK252" s="5">
        <f>VLOOKUP($A252,'SegEnds_NonXtal_Prot#'!$A:$AL,26,FALSE)</f>
        <v>188</v>
      </c>
      <c r="AL252" s="5">
        <f>VLOOKUP($A252,'SegEnds_NonXtal_Prot#'!$A:$AL,29,FALSE)</f>
        <v>235</v>
      </c>
      <c r="AM252" s="5">
        <f>VLOOKUP($A252,'SegEnds_NonXtal_Prot#'!$A:$AL,32,FALSE)</f>
        <v>274</v>
      </c>
      <c r="AN252" s="5">
        <f>VLOOKUP($A252,'SegEnds_NonXtal_Prot#'!$A:$AL,35,FALSE)</f>
        <v>307</v>
      </c>
      <c r="AO252" s="5">
        <f>VLOOKUP($A252,'SegEnds_NonXtal_Prot#'!$A:$AL,38,FALSE)</f>
        <v>320</v>
      </c>
      <c r="AP252" s="5">
        <f t="shared" si="88"/>
        <v>30</v>
      </c>
      <c r="AQ252" s="4">
        <f t="shared" si="89"/>
        <v>3</v>
      </c>
      <c r="AR252" s="4">
        <f t="shared" si="90"/>
        <v>29</v>
      </c>
      <c r="AS252" s="4">
        <f t="shared" si="91"/>
        <v>3</v>
      </c>
      <c r="AT252" s="4">
        <f t="shared" si="92"/>
        <v>35</v>
      </c>
      <c r="AU252" s="4">
        <f t="shared" si="93"/>
        <v>7</v>
      </c>
      <c r="AV252" s="4">
        <f t="shared" si="94"/>
        <v>26</v>
      </c>
      <c r="AW252" s="4">
        <f t="shared" si="95"/>
        <v>2</v>
      </c>
      <c r="AX252" s="4">
        <f t="shared" si="96"/>
        <v>41</v>
      </c>
      <c r="AY252" s="4">
        <f t="shared" si="97"/>
        <v>32</v>
      </c>
      <c r="AZ252" s="4">
        <f t="shared" si="98"/>
        <v>28</v>
      </c>
      <c r="BA252" s="4">
        <f t="shared" si="99"/>
        <v>12</v>
      </c>
    </row>
    <row r="253" spans="1:53" x14ac:dyDescent="0.2">
      <c r="A253" s="1" t="str">
        <f>'SegEnds_NonXtal_Prot#'!A239</f>
        <v>sucr1_human</v>
      </c>
      <c r="B253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3" s="5" t="str">
        <f t="shared" si="76"/>
        <v>LEKYYLSIFYGIEFVVGVLGNTIVVYGYIFS</v>
      </c>
      <c r="G253" s="4" t="str">
        <f t="shared" si="77"/>
        <v/>
      </c>
      <c r="H253" s="4" t="str">
        <f t="shared" si="78"/>
        <v>NSSNIYLFNLSVSDLAFLCTLPMLIRSYAN</v>
      </c>
      <c r="I253" s="4" t="str">
        <f t="shared" si="79"/>
        <v>NWIY</v>
      </c>
      <c r="J253" s="4" t="str">
        <f t="shared" si="80"/>
        <v>GDVLCISNRYVLHANLYTSILFLTFISIDRYLIIKY</v>
      </c>
      <c r="K253" s="4" t="str">
        <f t="shared" si="81"/>
        <v>PFREHLLQ</v>
      </c>
      <c r="L253" s="4" t="str">
        <f t="shared" si="82"/>
        <v>KKEFAILISLAIWVLVTLELLPILPLI</v>
      </c>
      <c r="M253" s="4" t="str">
        <f t="shared" si="83"/>
        <v>CND</v>
      </c>
      <c r="N253" s="4" t="str">
        <f t="shared" si="84"/>
        <v>PNYNLIYSMCLTLLGFLIPLFVMCFFYYKIALFLKQR</v>
      </c>
      <c r="O253" s="4" t="str">
        <f t="shared" si="85"/>
        <v>VATALPLEKPLNLVIMAVVIFSVLFTPYHVMRNVRIASRLG</v>
      </c>
      <c r="P253" s="4" t="str">
        <f t="shared" si="86"/>
        <v>YQCTQVVINSFYIVTRPLAFLNSVINPVFYFLL</v>
      </c>
      <c r="Q253" s="4" t="str">
        <f t="shared" si="87"/>
        <v>GDHFRDMLMNQLR</v>
      </c>
      <c r="R253" s="5">
        <f>VLOOKUP($A253,'SegEnds_NonXtal_Prot#'!$A:$AL,3,FALSE)</f>
        <v>21</v>
      </c>
      <c r="S253" s="5" t="str">
        <f>VLOOKUP($A253,'SegEnds_NonXtal_Prot#'!$A:$AL,6,FALSE)</f>
        <v>-</v>
      </c>
      <c r="T253" s="5">
        <f>VLOOKUP($A253,'SegEnds_NonXtal_Prot#'!$A:$AL,9,FALSE)</f>
        <v>56</v>
      </c>
      <c r="U253" s="5">
        <f>VLOOKUP($A253,'SegEnds_NonXtal_Prot#'!$A:$AL,12,FALSE)</f>
        <v>87</v>
      </c>
      <c r="V253" s="5">
        <f>VLOOKUP($A253,'SegEnds_NonXtal_Prot#'!$A:$AL,15,FALSE)</f>
        <v>91</v>
      </c>
      <c r="W253" s="5">
        <f>VLOOKUP($A253,'SegEnds_NonXtal_Prot#'!$A:$AL,18,FALSE)</f>
        <v>127</v>
      </c>
      <c r="X253" s="5">
        <f>VLOOKUP($A253,'SegEnds_NonXtal_Prot#'!$A:$AL,21,FALSE)</f>
        <v>135</v>
      </c>
      <c r="Y253" s="5">
        <f>VLOOKUP($A253,'SegEnds_NonXtal_Prot#'!$A:$AL,24,FALSE)</f>
        <v>172</v>
      </c>
      <c r="Z253" s="5">
        <f>VLOOKUP($A253,'SegEnds_NonXtal_Prot#'!$A:$AL,27,FALSE)</f>
        <v>181</v>
      </c>
      <c r="AA253" s="5">
        <f>VLOOKUP($A253,'SegEnds_NonXtal_Prot#'!$A:$AL,30,FALSE)</f>
        <v>221</v>
      </c>
      <c r="AB253" s="5">
        <f>VLOOKUP($A253,'SegEnds_NonXtal_Prot#'!$A:$AL,33,FALSE)</f>
        <v>266</v>
      </c>
      <c r="AC253" s="5">
        <f>VLOOKUP($A253,'SegEnds_NonXtal_Prot#'!$A:$AL,36,FALSE)</f>
        <v>299</v>
      </c>
      <c r="AD253" s="5">
        <f>VLOOKUP($A253,'SegEnds_NonXtal_Prot#'!$A:$AL,5,FALSE)</f>
        <v>51</v>
      </c>
      <c r="AE253" s="5" t="str">
        <f>VLOOKUP($A253,'SegEnds_NonXtal_Prot#'!$A:$AL,8,FALSE)</f>
        <v>-</v>
      </c>
      <c r="AF253" s="5">
        <f>VLOOKUP($A253,'SegEnds_NonXtal_Prot#'!$A:$AL,11,FALSE)</f>
        <v>85</v>
      </c>
      <c r="AG253" s="5">
        <f>VLOOKUP($A253,'SegEnds_NonXtal_Prot#'!$A:$AL,14,FALSE)</f>
        <v>90</v>
      </c>
      <c r="AH253" s="5">
        <f>VLOOKUP($A253,'SegEnds_NonXtal_Prot#'!$A:$AL,17,FALSE)</f>
        <v>126</v>
      </c>
      <c r="AI253" s="5">
        <f>VLOOKUP($A253,'SegEnds_NonXtal_Prot#'!$A:$AL,20,FALSE)</f>
        <v>134</v>
      </c>
      <c r="AJ253" s="5">
        <f>VLOOKUP($A253,'SegEnds_NonXtal_Prot#'!$A:$AL,23,FALSE)</f>
        <v>161</v>
      </c>
      <c r="AK253" s="5">
        <f>VLOOKUP($A253,'SegEnds_NonXtal_Prot#'!$A:$AL,26,FALSE)</f>
        <v>174</v>
      </c>
      <c r="AL253" s="5">
        <f>VLOOKUP($A253,'SegEnds_NonXtal_Prot#'!$A:$AL,29,FALSE)</f>
        <v>217</v>
      </c>
      <c r="AM253" s="5">
        <f>VLOOKUP($A253,'SegEnds_NonXtal_Prot#'!$A:$AL,32,FALSE)</f>
        <v>261</v>
      </c>
      <c r="AN253" s="5">
        <f>VLOOKUP($A253,'SegEnds_NonXtal_Prot#'!$A:$AL,35,FALSE)</f>
        <v>298</v>
      </c>
      <c r="AO253" s="5">
        <f>VLOOKUP($A253,'SegEnds_NonXtal_Prot#'!$A:$AL,38,FALSE)</f>
        <v>311</v>
      </c>
      <c r="AP253" s="5">
        <f t="shared" si="88"/>
        <v>30</v>
      </c>
      <c r="AQ253" s="4" t="str">
        <f t="shared" si="89"/>
        <v>-</v>
      </c>
      <c r="AR253" s="4">
        <f t="shared" si="90"/>
        <v>29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26</v>
      </c>
      <c r="AW253" s="4">
        <f t="shared" si="95"/>
        <v>2</v>
      </c>
      <c r="AX253" s="4">
        <f t="shared" si="96"/>
        <v>36</v>
      </c>
      <c r="AY253" s="4">
        <f t="shared" si="97"/>
        <v>40</v>
      </c>
      <c r="AZ253" s="4">
        <f t="shared" si="98"/>
        <v>32</v>
      </c>
      <c r="BA253" s="4">
        <f t="shared" si="99"/>
        <v>12</v>
      </c>
    </row>
    <row r="254" spans="1:53" x14ac:dyDescent="0.2">
      <c r="A254" s="1" t="str">
        <f>'SegEnds_NonXtal_Prot#'!A240</f>
        <v>t2r10_human</v>
      </c>
      <c r="B254" s="1" t="str">
        <f t="shared" si="75"/>
        <v>EGIFIFVVVSESVFGVLGNGFIGLVNCIDCASTIGFILTGLAISRIFLIWIIITDGFIQIFSSGNLIEYISYFWVIGNQSSMWFATSLSIFYFLKIANSRTNMVLPFMIVFLLISSLLNFAYIAYKSEYFIKQILLNLGVIFFFTLSLITCIFLIISLWRHNRQMSNTEAHVKAMKVLISFIILFILYFIGMAIEISCNKLLLMFGMTTTAIYPWGHSFILILGNSKLKQASLRVLQQ</v>
      </c>
      <c r="C254" s="29" t="str">
        <f>IF(ISERROR(MATCH(A254,'SegEnds_Xtal_Prot#'!B:B, 0)), "NoXtal", "Xtal")</f>
        <v>NoXtal</v>
      </c>
      <c r="D254" s="4" t="str">
        <f>VLOOKUP(A254,Classification!A:D,2,FALSE)</f>
        <v>T</v>
      </c>
      <c r="E254" s="5" t="str">
        <f>VLOOKUP(A254,Seqs!A:B,2,FALSE)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254" s="5" t="str">
        <f t="shared" si="76"/>
        <v>EGIFIFVVVSESVFGVLGNGFIGLVNCIDCA</v>
      </c>
      <c r="G254" s="4" t="str">
        <f t="shared" si="77"/>
        <v>KNKL</v>
      </c>
      <c r="H254" s="4" t="str">
        <f t="shared" si="78"/>
        <v>STIGFILTGLAISRIFLIWIIITDGFIQIFS</v>
      </c>
      <c r="I254" s="4" t="str">
        <f t="shared" si="79"/>
        <v/>
      </c>
      <c r="J254" s="4" t="str">
        <f t="shared" si="80"/>
        <v>SGNLIEYISYFWVIGNQSSMWFATSLSIFYFLKIAN</v>
      </c>
      <c r="K254" s="4" t="str">
        <f t="shared" si="81"/>
        <v>NYIFLWLK</v>
      </c>
      <c r="L254" s="4" t="str">
        <f t="shared" si="82"/>
        <v>SRTNMVLPFMIVFLLISSLLNFAYIA</v>
      </c>
      <c r="M254" s="4" t="str">
        <f t="shared" si="83"/>
        <v/>
      </c>
      <c r="N254" s="4" t="str">
        <f t="shared" si="84"/>
        <v>YKSEYFIKQILLNLGVIFFFTLSLITCIFLIISLWRHNRQM</v>
      </c>
      <c r="O254" s="4" t="str">
        <f t="shared" si="85"/>
        <v>SNTEAHVKAMKVLISFIILFILYFIGMAIEISC</v>
      </c>
      <c r="P254" s="4" t="str">
        <f t="shared" si="86"/>
        <v>NKLLLMFGMTTTAIYPWGHSFILILG</v>
      </c>
      <c r="Q254" s="4" t="str">
        <f t="shared" si="87"/>
        <v>NSKLKQASLRVLQQ</v>
      </c>
      <c r="R254" s="5">
        <f>VLOOKUP($A254,'SegEnds_NonXtal_Prot#'!$A:$AL,3,FALSE)</f>
        <v>6</v>
      </c>
      <c r="S254" s="5">
        <f>VLOOKUP($A254,'SegEnds_NonXtal_Prot#'!$A:$AL,6,FALSE)</f>
        <v>37</v>
      </c>
      <c r="T254" s="5">
        <f>VLOOKUP($A254,'SegEnds_NonXtal_Prot#'!$A:$AL,9,FALSE)</f>
        <v>41</v>
      </c>
      <c r="U254" s="5" t="str">
        <f>VLOOKUP($A254,'SegEnds_NonXtal_Prot#'!$A:$AL,12,FALSE)</f>
        <v>-</v>
      </c>
      <c r="V254" s="5">
        <f>VLOOKUP($A254,'SegEnds_NonXtal_Prot#'!$A:$AL,15,FALSE)</f>
        <v>77</v>
      </c>
      <c r="W254" s="5">
        <f>VLOOKUP($A254,'SegEnds_NonXtal_Prot#'!$A:$AL,18,FALSE)</f>
        <v>115</v>
      </c>
      <c r="X254" s="5">
        <f>VLOOKUP($A254,'SegEnds_NonXtal_Prot#'!$A:$AL,21,FALSE)</f>
        <v>123</v>
      </c>
      <c r="Y254" s="5" t="str">
        <f>VLOOKUP($A254,'SegEnds_NonXtal_Prot#'!$A:$AL,24,FALSE)</f>
        <v>-</v>
      </c>
      <c r="Z254" s="5">
        <f>VLOOKUP($A254,'SegEnds_NonXtal_Prot#'!$A:$AL,27,FALSE)</f>
        <v>167</v>
      </c>
      <c r="AA254" s="5">
        <f>VLOOKUP($A254,'SegEnds_NonXtal_Prot#'!$A:$AL,30,FALSE)</f>
        <v>217</v>
      </c>
      <c r="AB254" s="5">
        <f>VLOOKUP($A254,'SegEnds_NonXtal_Prot#'!$A:$AL,33,FALSE)</f>
        <v>255</v>
      </c>
      <c r="AC254" s="5">
        <f>VLOOKUP($A254,'SegEnds_NonXtal_Prot#'!$A:$AL,36,FALSE)</f>
        <v>281</v>
      </c>
      <c r="AD254" s="5">
        <f>VLOOKUP($A254,'SegEnds_NonXtal_Prot#'!$A:$AL,5,FALSE)</f>
        <v>36</v>
      </c>
      <c r="AE254" s="5">
        <f>VLOOKUP($A254,'SegEnds_NonXtal_Prot#'!$A:$AL,8,FALSE)</f>
        <v>40</v>
      </c>
      <c r="AF254" s="5">
        <f>VLOOKUP($A254,'SegEnds_NonXtal_Prot#'!$A:$AL,11,FALSE)</f>
        <v>71</v>
      </c>
      <c r="AG254" s="5" t="str">
        <f>VLOOKUP($A254,'SegEnds_NonXtal_Prot#'!$A:$AL,14,FALSE)</f>
        <v>-</v>
      </c>
      <c r="AH254" s="5">
        <f>VLOOKUP($A254,'SegEnds_NonXtal_Prot#'!$A:$AL,17,FALSE)</f>
        <v>112</v>
      </c>
      <c r="AI254" s="5">
        <f>VLOOKUP($A254,'SegEnds_NonXtal_Prot#'!$A:$AL,20,FALSE)</f>
        <v>122</v>
      </c>
      <c r="AJ254" s="5">
        <f>VLOOKUP($A254,'SegEnds_NonXtal_Prot#'!$A:$AL,23,FALSE)</f>
        <v>148</v>
      </c>
      <c r="AK254" s="5" t="str">
        <f>VLOOKUP($A254,'SegEnds_NonXtal_Prot#'!$A:$AL,26,FALSE)</f>
        <v>-</v>
      </c>
      <c r="AL254" s="5">
        <f>VLOOKUP($A254,'SegEnds_NonXtal_Prot#'!$A:$AL,29,FALSE)</f>
        <v>207</v>
      </c>
      <c r="AM254" s="5">
        <f>VLOOKUP($A254,'SegEnds_NonXtal_Prot#'!$A:$AL,32,FALSE)</f>
        <v>249</v>
      </c>
      <c r="AN254" s="5">
        <f>VLOOKUP($A254,'SegEnds_NonXtal_Prot#'!$A:$AL,35,FALSE)</f>
        <v>280</v>
      </c>
      <c r="AO254" s="5">
        <f>VLOOKUP($A254,'SegEnds_NonXtal_Prot#'!$A:$AL,38,FALSE)</f>
        <v>294</v>
      </c>
      <c r="AP254" s="5">
        <f t="shared" si="88"/>
        <v>30</v>
      </c>
      <c r="AQ254" s="4">
        <f t="shared" si="89"/>
        <v>3</v>
      </c>
      <c r="AR254" s="4">
        <f t="shared" si="90"/>
        <v>30</v>
      </c>
      <c r="AS254" s="4" t="str">
        <f t="shared" si="91"/>
        <v>-</v>
      </c>
      <c r="AT254" s="4">
        <f t="shared" si="92"/>
        <v>35</v>
      </c>
      <c r="AU254" s="4">
        <f t="shared" si="93"/>
        <v>7</v>
      </c>
      <c r="AV254" s="4">
        <f t="shared" si="94"/>
        <v>25</v>
      </c>
      <c r="AW254" s="4" t="str">
        <f t="shared" si="95"/>
        <v>-</v>
      </c>
      <c r="AX254" s="4">
        <f t="shared" si="96"/>
        <v>40</v>
      </c>
      <c r="AY254" s="4">
        <f t="shared" si="97"/>
        <v>32</v>
      </c>
      <c r="AZ254" s="4">
        <f t="shared" si="98"/>
        <v>25</v>
      </c>
      <c r="BA254" s="4">
        <f t="shared" si="99"/>
        <v>13</v>
      </c>
    </row>
    <row r="255" spans="1:53" x14ac:dyDescent="0.2">
      <c r="A255" s="1" t="str">
        <f>'SegEnds_NonXtal_Prot#'!A241</f>
        <v>t2r13_human</v>
      </c>
      <c r="B255" s="1" t="str">
        <f t="shared" si="75"/>
        <v>PSIFTLVIIAEFIIGNLSNGFIVLINCIDWVLSSVDKLLIILAISRIGLIWEILVSWFLALHYSGTGLRIMIFSWIVSNHFNLWLATIFSIFYLLKIASWRVNKVILMILLGTLVFLFLNLIQINMFETFSVSVKFTMTMFSLTPFTVAFISFLLLIFSLQKHLQKMPRTKVHTNALKIVISFLLFYASFFLCVLISWISNTVIYMLCETIGVFSPSSHSFLLILGNAKLRQAFLLVAAK</v>
      </c>
      <c r="C255" s="29" t="str">
        <f>IF(ISERROR(MATCH(A255,'SegEnds_Xtal_Prot#'!B:B, 0)), "NoXtal", "Xtal")</f>
        <v>NoXtal</v>
      </c>
      <c r="D255" s="4" t="str">
        <f>VLOOKUP(A255,Classification!A:D,2,FALSE)</f>
        <v>T</v>
      </c>
      <c r="E255" s="5" t="str">
        <f>VLOOKUP(A255,Seqs!A:B,2,FALSE)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255" s="5" t="str">
        <f t="shared" si="76"/>
        <v>PSIFTLVIIAEFIIGNLSNGFIVLINCIDWV</v>
      </c>
      <c r="G255" s="4" t="str">
        <f t="shared" si="77"/>
        <v>SKRE</v>
      </c>
      <c r="H255" s="4" t="str">
        <f t="shared" si="78"/>
        <v>LSSVDKLLIILAISRIGLIWEILVSWFLALHY</v>
      </c>
      <c r="I255" s="4" t="str">
        <f t="shared" si="79"/>
        <v/>
      </c>
      <c r="J255" s="4" t="str">
        <f t="shared" si="80"/>
        <v>SGTGLRIMIFSWIVSNHFNLWLATIFSIFYLLKIAS</v>
      </c>
      <c r="K255" s="4" t="str">
        <f t="shared" si="81"/>
        <v>SPAFLYLK</v>
      </c>
      <c r="L255" s="4" t="str">
        <f t="shared" si="82"/>
        <v>WRVNKVILMILLGTLVFLFLNLIQINM</v>
      </c>
      <c r="M255" s="4" t="str">
        <f t="shared" si="83"/>
        <v/>
      </c>
      <c r="N255" s="4" t="str">
        <f t="shared" si="84"/>
        <v>FETFSVSVKFTMTMFSLTPFTVAFISFLLLIFSLQKHLQKM</v>
      </c>
      <c r="O255" s="4" t="str">
        <f t="shared" si="85"/>
        <v>PRTKVHTNALKIVISFLLFYASFFLCVLISWIS</v>
      </c>
      <c r="P255" s="4" t="str">
        <f t="shared" si="86"/>
        <v>NTVIYMLCETIGVFSPSSHSFLLILG</v>
      </c>
      <c r="Q255" s="4" t="str">
        <f t="shared" si="87"/>
        <v>NAKLRQAFLLVAAK</v>
      </c>
      <c r="R255" s="5">
        <f>VLOOKUP($A255,'SegEnds_NonXtal_Prot#'!$A:$AL,3,FALSE)</f>
        <v>6</v>
      </c>
      <c r="S255" s="5">
        <f>VLOOKUP($A255,'SegEnds_NonXtal_Prot#'!$A:$AL,6,FALSE)</f>
        <v>37</v>
      </c>
      <c r="T255" s="5">
        <f>VLOOKUP($A255,'SegEnds_NonXtal_Prot#'!$A:$AL,9,FALSE)</f>
        <v>41</v>
      </c>
      <c r="U255" s="5" t="str">
        <f>VLOOKUP($A255,'SegEnds_NonXtal_Prot#'!$A:$AL,12,FALSE)</f>
        <v>-</v>
      </c>
      <c r="V255" s="5">
        <f>VLOOKUP($A255,'SegEnds_NonXtal_Prot#'!$A:$AL,15,FALSE)</f>
        <v>78</v>
      </c>
      <c r="W255" s="5">
        <f>VLOOKUP($A255,'SegEnds_NonXtal_Prot#'!$A:$AL,18,FALSE)</f>
        <v>116</v>
      </c>
      <c r="X255" s="5">
        <f>VLOOKUP($A255,'SegEnds_NonXtal_Prot#'!$A:$AL,21,FALSE)</f>
        <v>124</v>
      </c>
      <c r="Y255" s="5" t="str">
        <f>VLOOKUP($A255,'SegEnds_NonXtal_Prot#'!$A:$AL,24,FALSE)</f>
        <v>-</v>
      </c>
      <c r="Z255" s="5">
        <f>VLOOKUP($A255,'SegEnds_NonXtal_Prot#'!$A:$AL,27,FALSE)</f>
        <v>172</v>
      </c>
      <c r="AA255" s="5">
        <f>VLOOKUP($A255,'SegEnds_NonXtal_Prot#'!$A:$AL,30,FALSE)</f>
        <v>222</v>
      </c>
      <c r="AB255" s="5">
        <f>VLOOKUP($A255,'SegEnds_NonXtal_Prot#'!$A:$AL,33,FALSE)</f>
        <v>259</v>
      </c>
      <c r="AC255" s="5">
        <f>VLOOKUP($A255,'SegEnds_NonXtal_Prot#'!$A:$AL,36,FALSE)</f>
        <v>285</v>
      </c>
      <c r="AD255" s="5">
        <f>VLOOKUP($A255,'SegEnds_NonXtal_Prot#'!$A:$AL,5,FALSE)</f>
        <v>36</v>
      </c>
      <c r="AE255" s="5">
        <f>VLOOKUP($A255,'SegEnds_NonXtal_Prot#'!$A:$AL,8,FALSE)</f>
        <v>40</v>
      </c>
      <c r="AF255" s="5">
        <f>VLOOKUP($A255,'SegEnds_NonXtal_Prot#'!$A:$AL,11,FALSE)</f>
        <v>72</v>
      </c>
      <c r="AG255" s="5" t="str">
        <f>VLOOKUP($A255,'SegEnds_NonXtal_Prot#'!$A:$AL,14,FALSE)</f>
        <v>-</v>
      </c>
      <c r="AH255" s="5">
        <f>VLOOKUP($A255,'SegEnds_NonXtal_Prot#'!$A:$AL,17,FALSE)</f>
        <v>113</v>
      </c>
      <c r="AI255" s="5">
        <f>VLOOKUP($A255,'SegEnds_NonXtal_Prot#'!$A:$AL,20,FALSE)</f>
        <v>123</v>
      </c>
      <c r="AJ255" s="5">
        <f>VLOOKUP($A255,'SegEnds_NonXtal_Prot#'!$A:$AL,23,FALSE)</f>
        <v>150</v>
      </c>
      <c r="AK255" s="5" t="str">
        <f>VLOOKUP($A255,'SegEnds_NonXtal_Prot#'!$A:$AL,26,FALSE)</f>
        <v>-</v>
      </c>
      <c r="AL255" s="5">
        <f>VLOOKUP($A255,'SegEnds_NonXtal_Prot#'!$A:$AL,29,FALSE)</f>
        <v>212</v>
      </c>
      <c r="AM255" s="5">
        <f>VLOOKUP($A255,'SegEnds_NonXtal_Prot#'!$A:$AL,32,FALSE)</f>
        <v>254</v>
      </c>
      <c r="AN255" s="5">
        <f>VLOOKUP($A255,'SegEnds_NonXtal_Prot#'!$A:$AL,35,FALSE)</f>
        <v>284</v>
      </c>
      <c r="AO255" s="5">
        <f>VLOOKUP($A255,'SegEnds_NonXtal_Prot#'!$A:$AL,38,FALSE)</f>
        <v>298</v>
      </c>
      <c r="AP255" s="5">
        <f t="shared" si="88"/>
        <v>30</v>
      </c>
      <c r="AQ255" s="4">
        <f t="shared" si="89"/>
        <v>3</v>
      </c>
      <c r="AR255" s="4">
        <f t="shared" si="90"/>
        <v>31</v>
      </c>
      <c r="AS255" s="4" t="str">
        <f t="shared" si="91"/>
        <v>-</v>
      </c>
      <c r="AT255" s="4">
        <f t="shared" si="92"/>
        <v>35</v>
      </c>
      <c r="AU255" s="4">
        <f t="shared" si="93"/>
        <v>7</v>
      </c>
      <c r="AV255" s="4">
        <f t="shared" si="94"/>
        <v>26</v>
      </c>
      <c r="AW255" s="4" t="str">
        <f t="shared" si="95"/>
        <v>-</v>
      </c>
      <c r="AX255" s="4">
        <f t="shared" si="96"/>
        <v>40</v>
      </c>
      <c r="AY255" s="4">
        <f t="shared" si="97"/>
        <v>32</v>
      </c>
      <c r="AZ255" s="4">
        <f t="shared" si="98"/>
        <v>25</v>
      </c>
      <c r="BA255" s="4">
        <f t="shared" si="99"/>
        <v>13</v>
      </c>
    </row>
    <row r="256" spans="1:53" x14ac:dyDescent="0.2">
      <c r="A256" s="1" t="str">
        <f>'SegEnds_NonXtal_Prot#'!A242</f>
        <v>t2r14_human</v>
      </c>
      <c r="B256" s="1" t="str">
        <f t="shared" si="75"/>
        <v>KSIFTFVLIVEFIIGNLGNSFIALVNCIDWVISSVDRILTALAISRISLVWLIFGSWCVSVFFTEKMFRMLTNIWTVINHFSVWLATGLGTFYFLKIANWRVKKVVLVLLLVTSVFLFLNIALINIFTRFSSLIVLTSTVFIFIPFTLSLAMFLLLIFSMWKHRKKMDASTKAHRGVKSVITFFLLYAIFSLSFFISVWTEENLIILSQVMGMAYPSCHSCVLILGNKKLRQASLSVLLW</v>
      </c>
      <c r="C256" s="29" t="str">
        <f>IF(ISERROR(MATCH(A256,'SegEnds_Xtal_Prot#'!B:B, 0)), "NoXtal", "Xtal")</f>
        <v>NoXtal</v>
      </c>
      <c r="D256" s="4" t="str">
        <f>VLOOKUP(A256,Classification!A:D,2,FALSE)</f>
        <v>T</v>
      </c>
      <c r="E256" s="5" t="str">
        <f>VLOOKUP(A256,Seqs!A:B,2,FALSE)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256" s="5" t="str">
        <f t="shared" si="76"/>
        <v>KSIFTFVLIVEFIIGNLGNSFIALVNCIDWV</v>
      </c>
      <c r="G256" s="4" t="str">
        <f t="shared" si="77"/>
        <v>KGRK</v>
      </c>
      <c r="H256" s="4" t="str">
        <f t="shared" si="78"/>
        <v>ISSVDRILTALAISRISLVWLIFGSWCVSVFF</v>
      </c>
      <c r="I256" s="4" t="str">
        <f t="shared" si="79"/>
        <v/>
      </c>
      <c r="J256" s="4" t="str">
        <f t="shared" si="80"/>
        <v>TEKMFRMLTNIWTVINHFSVWLATGLGTFYFLKIAN</v>
      </c>
      <c r="K256" s="4" t="str">
        <f t="shared" si="81"/>
        <v>NSIFLYLK</v>
      </c>
      <c r="L256" s="4" t="str">
        <f t="shared" si="82"/>
        <v>WRVKKVVLVLLLVTSVFLFLNIALINI</v>
      </c>
      <c r="M256" s="4" t="str">
        <f t="shared" si="83"/>
        <v/>
      </c>
      <c r="N256" s="4" t="str">
        <f t="shared" si="84"/>
        <v>FTRFSSLIVLTSTVFIFIPFTLSLAMFLLLIFSMWKHRKKM</v>
      </c>
      <c r="O256" s="4" t="str">
        <f t="shared" si="85"/>
        <v>DASTKAHRGVKSVITFFLLYAIFSLSFFISVWT</v>
      </c>
      <c r="P256" s="4" t="str">
        <f t="shared" si="86"/>
        <v>EENLIILSQVMGMAYPSCHSCVLILG</v>
      </c>
      <c r="Q256" s="4" t="str">
        <f t="shared" si="87"/>
        <v>NKKLRQASLSVLLW</v>
      </c>
      <c r="R256" s="5">
        <f>VLOOKUP($A256,'SegEnds_NonXtal_Prot#'!$A:$AL,3,FALSE)</f>
        <v>6</v>
      </c>
      <c r="S256" s="5">
        <f>VLOOKUP($A256,'SegEnds_NonXtal_Prot#'!$A:$AL,6,FALSE)</f>
        <v>37</v>
      </c>
      <c r="T256" s="5">
        <f>VLOOKUP($A256,'SegEnds_NonXtal_Prot#'!$A:$AL,9,FALSE)</f>
        <v>41</v>
      </c>
      <c r="U256" s="5" t="str">
        <f>VLOOKUP($A256,'SegEnds_NonXtal_Prot#'!$A:$AL,12,FALSE)</f>
        <v>-</v>
      </c>
      <c r="V256" s="5">
        <f>VLOOKUP($A256,'SegEnds_NonXtal_Prot#'!$A:$AL,15,FALSE)</f>
        <v>78</v>
      </c>
      <c r="W256" s="5">
        <f>VLOOKUP($A256,'SegEnds_NonXtal_Prot#'!$A:$AL,18,FALSE)</f>
        <v>116</v>
      </c>
      <c r="X256" s="5">
        <f>VLOOKUP($A256,'SegEnds_NonXtal_Prot#'!$A:$AL,21,FALSE)</f>
        <v>124</v>
      </c>
      <c r="Y256" s="5" t="str">
        <f>VLOOKUP($A256,'SegEnds_NonXtal_Prot#'!$A:$AL,24,FALSE)</f>
        <v>-</v>
      </c>
      <c r="Z256" s="5">
        <f>VLOOKUP($A256,'SegEnds_NonXtal_Prot#'!$A:$AL,27,FALSE)</f>
        <v>172</v>
      </c>
      <c r="AA256" s="5">
        <f>VLOOKUP($A256,'SegEnds_NonXtal_Prot#'!$A:$AL,30,FALSE)</f>
        <v>221</v>
      </c>
      <c r="AB256" s="5">
        <f>VLOOKUP($A256,'SegEnds_NonXtal_Prot#'!$A:$AL,33,FALSE)</f>
        <v>258</v>
      </c>
      <c r="AC256" s="5">
        <f>VLOOKUP($A256,'SegEnds_NonXtal_Prot#'!$A:$AL,36,FALSE)</f>
        <v>284</v>
      </c>
      <c r="AD256" s="5">
        <f>VLOOKUP($A256,'SegEnds_NonXtal_Prot#'!$A:$AL,5,FALSE)</f>
        <v>36</v>
      </c>
      <c r="AE256" s="5">
        <f>VLOOKUP($A256,'SegEnds_NonXtal_Prot#'!$A:$AL,8,FALSE)</f>
        <v>40</v>
      </c>
      <c r="AF256" s="5">
        <f>VLOOKUP($A256,'SegEnds_NonXtal_Prot#'!$A:$AL,11,FALSE)</f>
        <v>72</v>
      </c>
      <c r="AG256" s="5" t="str">
        <f>VLOOKUP($A256,'SegEnds_NonXtal_Prot#'!$A:$AL,14,FALSE)</f>
        <v>-</v>
      </c>
      <c r="AH256" s="5">
        <f>VLOOKUP($A256,'SegEnds_NonXtal_Prot#'!$A:$AL,17,FALSE)</f>
        <v>113</v>
      </c>
      <c r="AI256" s="5">
        <f>VLOOKUP($A256,'SegEnds_NonXtal_Prot#'!$A:$AL,20,FALSE)</f>
        <v>123</v>
      </c>
      <c r="AJ256" s="5">
        <f>VLOOKUP($A256,'SegEnds_NonXtal_Prot#'!$A:$AL,23,FALSE)</f>
        <v>150</v>
      </c>
      <c r="AK256" s="5" t="str">
        <f>VLOOKUP($A256,'SegEnds_NonXtal_Prot#'!$A:$AL,26,FALSE)</f>
        <v>-</v>
      </c>
      <c r="AL256" s="5">
        <f>VLOOKUP($A256,'SegEnds_NonXtal_Prot#'!$A:$AL,29,FALSE)</f>
        <v>212</v>
      </c>
      <c r="AM256" s="5">
        <f>VLOOKUP($A256,'SegEnds_NonXtal_Prot#'!$A:$AL,32,FALSE)</f>
        <v>253</v>
      </c>
      <c r="AN256" s="5">
        <f>VLOOKUP($A256,'SegEnds_NonXtal_Prot#'!$A:$AL,35,FALSE)</f>
        <v>283</v>
      </c>
      <c r="AO256" s="5">
        <f>VLOOKUP($A256,'SegEnds_NonXtal_Prot#'!$A:$AL,38,FALSE)</f>
        <v>297</v>
      </c>
      <c r="AP256" s="5">
        <f t="shared" si="88"/>
        <v>30</v>
      </c>
      <c r="AQ256" s="4">
        <f t="shared" si="89"/>
        <v>3</v>
      </c>
      <c r="AR256" s="4">
        <f t="shared" si="90"/>
        <v>31</v>
      </c>
      <c r="AS256" s="4" t="str">
        <f t="shared" si="91"/>
        <v>-</v>
      </c>
      <c r="AT256" s="4">
        <f t="shared" si="92"/>
        <v>35</v>
      </c>
      <c r="AU256" s="4">
        <f t="shared" si="93"/>
        <v>7</v>
      </c>
      <c r="AV256" s="4">
        <f t="shared" si="94"/>
        <v>26</v>
      </c>
      <c r="AW256" s="4" t="str">
        <f t="shared" si="95"/>
        <v>-</v>
      </c>
      <c r="AX256" s="4">
        <f t="shared" si="96"/>
        <v>40</v>
      </c>
      <c r="AY256" s="4">
        <f t="shared" si="97"/>
        <v>32</v>
      </c>
      <c r="AZ256" s="4">
        <f t="shared" si="98"/>
        <v>25</v>
      </c>
      <c r="BA256" s="4">
        <f t="shared" si="99"/>
        <v>13</v>
      </c>
    </row>
    <row r="257" spans="1:53" x14ac:dyDescent="0.2">
      <c r="A257" s="1" t="str">
        <f>'SegEnds_NonXtal_Prot#'!A243</f>
        <v>t2r16_human</v>
      </c>
      <c r="B257" s="1" t="str">
        <f t="shared" si="75"/>
        <v>TVFFMIIYVLESLTIIVQSSLIVAVLGREWLLMPVDMILISLGISRFCLQWASMLNNFCSYFVLCNLTITWEFFNILTFWLNSLLTVFYCIKVSSWRILRLFPWILLGSLMITCVTIIPSAILENFHQYQFQAHTVALVIPFILFLASTIFLMASLTKQIQHHPSMKARFTALRSLAVLFIVFTSYFLTILITIIGKRCWLWVWEAFVYAFILMHSTSLMLSSPTLKRILKGKC</v>
      </c>
      <c r="C257" s="29" t="str">
        <f>IF(ISERROR(MATCH(A257,'SegEnds_Xtal_Prot#'!B:B, 0)), "NoXtal", "Xtal")</f>
        <v>NoXtal</v>
      </c>
      <c r="D257" s="4" t="str">
        <f>VLOOKUP(A257,Classification!A:D,2,FALSE)</f>
        <v>T</v>
      </c>
      <c r="E257" s="5" t="str">
        <f>VLOOKUP(A257,Seqs!A:B,2,FALSE)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257" s="5" t="str">
        <f t="shared" si="76"/>
        <v>TVFFMIIYVLESLTIIVQSSLIVAVLGREWL</v>
      </c>
      <c r="G257" s="4" t="str">
        <f t="shared" si="77"/>
        <v>QVRR</v>
      </c>
      <c r="H257" s="4" t="str">
        <f t="shared" si="78"/>
        <v>LMPVDMILISLGISRFCLQWASMLNNFCSYF</v>
      </c>
      <c r="I257" s="4" t="str">
        <f t="shared" si="79"/>
        <v/>
      </c>
      <c r="J257" s="4" t="str">
        <f t="shared" si="80"/>
        <v>VLCNLTITWEFFNILTFWLNSLLTVFYCIKVSS</v>
      </c>
      <c r="K257" s="4" t="str">
        <f t="shared" si="81"/>
        <v>HHIFLWLR</v>
      </c>
      <c r="L257" s="4" t="str">
        <f t="shared" si="82"/>
        <v>WRILRLFPWILLGSLMITCVTIIPSAI</v>
      </c>
      <c r="M257" s="4" t="str">
        <f t="shared" si="83"/>
        <v/>
      </c>
      <c r="N257" s="4" t="str">
        <f t="shared" si="84"/>
        <v>LENFHQYQFQAHTVALVIPFILFLASTIFLMASLTKQIQHH</v>
      </c>
      <c r="O257" s="4" t="str">
        <f t="shared" si="85"/>
        <v>PSMKARFTALRSLAVLFIVFTSYFLTILITIIG</v>
      </c>
      <c r="P257" s="4" t="str">
        <f t="shared" si="86"/>
        <v>KRCWLWVWEAFVYAFILMHSTSLMLS</v>
      </c>
      <c r="Q257" s="4" t="str">
        <f t="shared" si="87"/>
        <v>SPTLKRILKGKC</v>
      </c>
      <c r="R257" s="5">
        <f>VLOOKUP($A257,'SegEnds_NonXtal_Prot#'!$A:$AL,3,FALSE)</f>
        <v>7</v>
      </c>
      <c r="S257" s="5">
        <f>VLOOKUP($A257,'SegEnds_NonXtal_Prot#'!$A:$AL,6,FALSE)</f>
        <v>38</v>
      </c>
      <c r="T257" s="5">
        <f>VLOOKUP($A257,'SegEnds_NonXtal_Prot#'!$A:$AL,9,FALSE)</f>
        <v>42</v>
      </c>
      <c r="U257" s="5" t="str">
        <f>VLOOKUP($A257,'SegEnds_NonXtal_Prot#'!$A:$AL,12,FALSE)</f>
        <v>-</v>
      </c>
      <c r="V257" s="5">
        <f>VLOOKUP($A257,'SegEnds_NonXtal_Prot#'!$A:$AL,15,FALSE)</f>
        <v>77</v>
      </c>
      <c r="W257" s="5">
        <f>VLOOKUP($A257,'SegEnds_NonXtal_Prot#'!$A:$AL,18,FALSE)</f>
        <v>112</v>
      </c>
      <c r="X257" s="5">
        <f>VLOOKUP($A257,'SegEnds_NonXtal_Prot#'!$A:$AL,21,FALSE)</f>
        <v>120</v>
      </c>
      <c r="Y257" s="5" t="str">
        <f>VLOOKUP($A257,'SegEnds_NonXtal_Prot#'!$A:$AL,24,FALSE)</f>
        <v>-</v>
      </c>
      <c r="Z257" s="5">
        <f>VLOOKUP($A257,'SegEnds_NonXtal_Prot#'!$A:$AL,27,FALSE)</f>
        <v>170</v>
      </c>
      <c r="AA257" s="5">
        <f>VLOOKUP($A257,'SegEnds_NonXtal_Prot#'!$A:$AL,30,FALSE)</f>
        <v>217</v>
      </c>
      <c r="AB257" s="5">
        <f>VLOOKUP($A257,'SegEnds_NonXtal_Prot#'!$A:$AL,33,FALSE)</f>
        <v>254</v>
      </c>
      <c r="AC257" s="5">
        <f>VLOOKUP($A257,'SegEnds_NonXtal_Prot#'!$A:$AL,36,FALSE)</f>
        <v>280</v>
      </c>
      <c r="AD257" s="5">
        <f>VLOOKUP($A257,'SegEnds_NonXtal_Prot#'!$A:$AL,5,FALSE)</f>
        <v>37</v>
      </c>
      <c r="AE257" s="5">
        <f>VLOOKUP($A257,'SegEnds_NonXtal_Prot#'!$A:$AL,8,FALSE)</f>
        <v>41</v>
      </c>
      <c r="AF257" s="5">
        <f>VLOOKUP($A257,'SegEnds_NonXtal_Prot#'!$A:$AL,11,FALSE)</f>
        <v>72</v>
      </c>
      <c r="AG257" s="5" t="str">
        <f>VLOOKUP($A257,'SegEnds_NonXtal_Prot#'!$A:$AL,14,FALSE)</f>
        <v>-</v>
      </c>
      <c r="AH257" s="5">
        <f>VLOOKUP($A257,'SegEnds_NonXtal_Prot#'!$A:$AL,17,FALSE)</f>
        <v>109</v>
      </c>
      <c r="AI257" s="5">
        <f>VLOOKUP($A257,'SegEnds_NonXtal_Prot#'!$A:$AL,20,FALSE)</f>
        <v>119</v>
      </c>
      <c r="AJ257" s="5">
        <f>VLOOKUP($A257,'SegEnds_NonXtal_Prot#'!$A:$AL,23,FALSE)</f>
        <v>146</v>
      </c>
      <c r="AK257" s="5" t="str">
        <f>VLOOKUP($A257,'SegEnds_NonXtal_Prot#'!$A:$AL,26,FALSE)</f>
        <v>-</v>
      </c>
      <c r="AL257" s="5">
        <f>VLOOKUP($A257,'SegEnds_NonXtal_Prot#'!$A:$AL,29,FALSE)</f>
        <v>210</v>
      </c>
      <c r="AM257" s="5">
        <f>VLOOKUP($A257,'SegEnds_NonXtal_Prot#'!$A:$AL,32,FALSE)</f>
        <v>249</v>
      </c>
      <c r="AN257" s="5">
        <f>VLOOKUP($A257,'SegEnds_NonXtal_Prot#'!$A:$AL,35,FALSE)</f>
        <v>279</v>
      </c>
      <c r="AO257" s="5">
        <f>VLOOKUP($A257,'SegEnds_NonXtal_Prot#'!$A:$AL,38,FALSE)</f>
        <v>291</v>
      </c>
      <c r="AP257" s="5">
        <f t="shared" si="88"/>
        <v>30</v>
      </c>
      <c r="AQ257" s="4">
        <f t="shared" si="89"/>
        <v>3</v>
      </c>
      <c r="AR257" s="4">
        <f t="shared" si="90"/>
        <v>30</v>
      </c>
      <c r="AS257" s="4" t="str">
        <f t="shared" si="91"/>
        <v>-</v>
      </c>
      <c r="AT257" s="4">
        <f t="shared" si="92"/>
        <v>32</v>
      </c>
      <c r="AU257" s="4">
        <f t="shared" si="93"/>
        <v>7</v>
      </c>
      <c r="AV257" s="4">
        <f t="shared" si="94"/>
        <v>26</v>
      </c>
      <c r="AW257" s="4" t="str">
        <f t="shared" si="95"/>
        <v>-</v>
      </c>
      <c r="AX257" s="4">
        <f t="shared" si="96"/>
        <v>40</v>
      </c>
      <c r="AY257" s="4">
        <f t="shared" si="97"/>
        <v>32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'SegEnds_NonXtal_Prot#'!A244</f>
        <v>t2r19_human</v>
      </c>
      <c r="B258" s="1" t="str">
        <f t="shared" ref="B258:B321" si="100">F258&amp;H258&amp;J258&amp;L258&amp;N258&amp;O258&amp;P258&amp;Q258</f>
        <v>LIISSILVVFAFVLGNVANGFIALVNVIDWVISSAEQILTALVVSRIGLLWVMLFLWYATVFGLEVRIVASNAWAVTNHFSMWLAASLSIFCLLKIANKRIKSVVLVILLGPLVFLICNLAVITMDERVWRNAIHLSSLTVTTLANLIPFTLSLICFLLLICSLCKHLKKMPSTKVHIKALQTVTSFLMLFAIYFLCIITSTWNSKLVLLLCQTVAIMYPSFHSFILIMGSRKLKQTFLSVLWQ</v>
      </c>
      <c r="C258" s="29" t="str">
        <f>IF(ISERROR(MATCH(A258,'SegEnds_Xtal_Prot#'!B:B, 0)), "NoXtal", "Xtal")</f>
        <v>NoXtal</v>
      </c>
      <c r="D258" s="4" t="str">
        <f>VLOOKUP(A258,Classification!A:D,2,FALSE)</f>
        <v>T</v>
      </c>
      <c r="E258" s="5" t="str">
        <f>VLOOKUP(A258,Seqs!A:B,2,FALSE)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258" s="5" t="str">
        <f t="shared" ref="F258:F321" si="101">IFERROR(MID($E258,R258,(AP258+1)),"")</f>
        <v>LIISSILVVFAFVLGNVANGFIALVNVIDWV</v>
      </c>
      <c r="G258" s="4" t="str">
        <f t="shared" ref="G258:G321" si="102">IFERROR(MID($E258,S258,(AQ258+1)),"")</f>
        <v>NTRK</v>
      </c>
      <c r="H258" s="4" t="str">
        <f t="shared" ref="H258:H321" si="103">IFERROR(MID($E258,T258,(AR258+1)),"")</f>
        <v>ISSAEQILTALVVSRIGLLWVMLFLWYATVF</v>
      </c>
      <c r="I258" s="4" t="str">
        <f t="shared" ref="I258:I321" si="104">IFERROR(MID($E258,U258,(AS258+1)),"")</f>
        <v/>
      </c>
      <c r="J258" s="4" t="str">
        <f t="shared" ref="J258:J321" si="105">IFERROR(MID($E258,V258,(AT258+1)),"")</f>
        <v>GLEVRIVASNAWAVTNHFSMWLAASLSIFCLLKIAN</v>
      </c>
      <c r="K258" s="4" t="str">
        <f t="shared" ref="K258:K321" si="106">IFERROR(MID($E258,W258,(AU258+1)),"")</f>
        <v>NLISLHLK</v>
      </c>
      <c r="L258" s="4" t="str">
        <f t="shared" ref="L258:L321" si="107">IFERROR(MID($E258,X258,(AV258+1)),"")</f>
        <v>KRIKSVVLVILLGPLVFLICNLAVITMDERVW</v>
      </c>
      <c r="M258" s="4" t="str">
        <f t="shared" ref="M258:M321" si="108">IFERROR(MID($E258,Y258,(AW258+1)),"")</f>
        <v/>
      </c>
      <c r="N258" s="4" t="str">
        <f t="shared" ref="N258:N321" si="109">IFERROR(MID($E258,Z258,(AX258+1)),"")</f>
        <v>RNAIHLSSLTVTTLANLIPFTLSLICFLLLICSLCKHLKKM</v>
      </c>
      <c r="O258" s="4" t="str">
        <f t="shared" ref="O258:O321" si="110">IFERROR(MID($E258,AA258,(AY258+1)),"")</f>
        <v>PSTKVHIKALQTVTSFLMLFAIYFLCIITSTWN</v>
      </c>
      <c r="P258" s="4" t="str">
        <f t="shared" ref="P258:P321" si="111">IFERROR(MID($E258,AB258,(AZ258+1)),"")</f>
        <v>SKLVLLLCQTVAIMYPSFHSFILIMG</v>
      </c>
      <c r="Q258" s="4" t="str">
        <f t="shared" ref="Q258:Q321" si="112">IFERROR(MID($E258,AC258,(BA258+1)),"")</f>
        <v>SRKLKQTFLSVLWQ</v>
      </c>
      <c r="R258" s="5">
        <f>VLOOKUP($A258,'SegEnds_NonXtal_Prot#'!$A:$AL,3,FALSE)</f>
        <v>6</v>
      </c>
      <c r="S258" s="5">
        <f>VLOOKUP($A258,'SegEnds_NonXtal_Prot#'!$A:$AL,6,FALSE)</f>
        <v>37</v>
      </c>
      <c r="T258" s="5">
        <f>VLOOKUP($A258,'SegEnds_NonXtal_Prot#'!$A:$AL,9,FALSE)</f>
        <v>41</v>
      </c>
      <c r="U258" s="5" t="str">
        <f>VLOOKUP($A258,'SegEnds_NonXtal_Prot#'!$A:$AL,12,FALSE)</f>
        <v>-</v>
      </c>
      <c r="V258" s="5">
        <f>VLOOKUP($A258,'SegEnds_NonXtal_Prot#'!$A:$AL,15,FALSE)</f>
        <v>77</v>
      </c>
      <c r="W258" s="5">
        <f>VLOOKUP($A258,'SegEnds_NonXtal_Prot#'!$A:$AL,18,FALSE)</f>
        <v>115</v>
      </c>
      <c r="X258" s="5">
        <f>VLOOKUP($A258,'SegEnds_NonXtal_Prot#'!$A:$AL,21,FALSE)</f>
        <v>123</v>
      </c>
      <c r="Y258" s="5" t="str">
        <f>VLOOKUP($A258,'SegEnds_NonXtal_Prot#'!$A:$AL,24,FALSE)</f>
        <v>-</v>
      </c>
      <c r="Z258" s="5">
        <f>VLOOKUP($A258,'SegEnds_NonXtal_Prot#'!$A:$AL,27,FALSE)</f>
        <v>169</v>
      </c>
      <c r="AA258" s="5">
        <f>VLOOKUP($A258,'SegEnds_NonXtal_Prot#'!$A:$AL,30,FALSE)</f>
        <v>219</v>
      </c>
      <c r="AB258" s="5">
        <f>VLOOKUP($A258,'SegEnds_NonXtal_Prot#'!$A:$AL,33,FALSE)</f>
        <v>257</v>
      </c>
      <c r="AC258" s="5">
        <f>VLOOKUP($A258,'SegEnds_NonXtal_Prot#'!$A:$AL,36,FALSE)</f>
        <v>283</v>
      </c>
      <c r="AD258" s="5">
        <f>VLOOKUP($A258,'SegEnds_NonXtal_Prot#'!$A:$AL,5,FALSE)</f>
        <v>36</v>
      </c>
      <c r="AE258" s="5">
        <f>VLOOKUP($A258,'SegEnds_NonXtal_Prot#'!$A:$AL,8,FALSE)</f>
        <v>40</v>
      </c>
      <c r="AF258" s="5">
        <f>VLOOKUP($A258,'SegEnds_NonXtal_Prot#'!$A:$AL,11,FALSE)</f>
        <v>71</v>
      </c>
      <c r="AG258" s="5" t="str">
        <f>VLOOKUP($A258,'SegEnds_NonXtal_Prot#'!$A:$AL,14,FALSE)</f>
        <v>-</v>
      </c>
      <c r="AH258" s="5">
        <f>VLOOKUP($A258,'SegEnds_NonXtal_Prot#'!$A:$AL,17,FALSE)</f>
        <v>112</v>
      </c>
      <c r="AI258" s="5">
        <f>VLOOKUP($A258,'SegEnds_NonXtal_Prot#'!$A:$AL,20,FALSE)</f>
        <v>122</v>
      </c>
      <c r="AJ258" s="5">
        <f>VLOOKUP($A258,'SegEnds_NonXtal_Prot#'!$A:$AL,23,FALSE)</f>
        <v>154</v>
      </c>
      <c r="AK258" s="5" t="str">
        <f>VLOOKUP($A258,'SegEnds_NonXtal_Prot#'!$A:$AL,26,FALSE)</f>
        <v>-</v>
      </c>
      <c r="AL258" s="5">
        <f>VLOOKUP($A258,'SegEnds_NonXtal_Prot#'!$A:$AL,29,FALSE)</f>
        <v>209</v>
      </c>
      <c r="AM258" s="5">
        <f>VLOOKUP($A258,'SegEnds_NonXtal_Prot#'!$A:$AL,32,FALSE)</f>
        <v>251</v>
      </c>
      <c r="AN258" s="5">
        <f>VLOOKUP($A258,'SegEnds_NonXtal_Prot#'!$A:$AL,35,FALSE)</f>
        <v>282</v>
      </c>
      <c r="AO258" s="5">
        <f>VLOOKUP($A258,'SegEnds_NonXtal_Prot#'!$A:$AL,38,FALSE)</f>
        <v>296</v>
      </c>
      <c r="AP258" s="5">
        <f t="shared" ref="AP258:AP321" si="113">IFERROR(AD258-R258,"-")</f>
        <v>30</v>
      </c>
      <c r="AQ258" s="4">
        <f t="shared" ref="AQ258:AQ321" si="114">IFERROR(AE258-S258,"-")</f>
        <v>3</v>
      </c>
      <c r="AR258" s="4">
        <f t="shared" ref="AR258:AR321" si="115">IFERROR(AF258-T258,"-")</f>
        <v>30</v>
      </c>
      <c r="AS258" s="4" t="str">
        <f t="shared" ref="AS258:AS321" si="116">IFERROR(AG258-U258,"-")</f>
        <v>-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31</v>
      </c>
      <c r="AW258" s="4" t="str">
        <f t="shared" ref="AW258:AW321" si="120">IFERROR(AK258-Y258,"-")</f>
        <v>-</v>
      </c>
      <c r="AX258" s="4">
        <f t="shared" ref="AX258:AX321" si="121">IFERROR(AL258-Z258,"-")</f>
        <v>40</v>
      </c>
      <c r="AY258" s="4">
        <f t="shared" ref="AY258:AY321" si="122">IFERROR(AM258-AA258,"-")</f>
        <v>32</v>
      </c>
      <c r="AZ258" s="4">
        <f t="shared" ref="AZ258:AZ321" si="123">IFERROR(AN258-AB258,"-")</f>
        <v>25</v>
      </c>
      <c r="BA258" s="4">
        <f t="shared" ref="BA258:BA321" si="124">IFERROR(AO258-AC258,"-")</f>
        <v>13</v>
      </c>
    </row>
    <row r="259" spans="1:53" x14ac:dyDescent="0.2">
      <c r="A259" s="1" t="str">
        <f>'SegEnds_NonXtal_Prot#'!A246</f>
        <v>t2r30_human</v>
      </c>
      <c r="B259" s="1" t="str">
        <f t="shared" si="100"/>
        <v>PIIFSILIVVIFVIGNFANGFIALVNSIEWVISFVDQILTALAVSRVGLLWVLLLHWYATQLSVEVRITAYNVWAVTNHFSSWLATSLSMFYLLRIANRRVKSVVLVILLGPLLFLVCHLFVINMRSAMYHSNMTLTMLANFVPLTLTLISFLLLICSLCKHLKKMPSTKVHIKALQTVTSFLLLCAIYFLSMIISVCNKQPVFMFCQAIIFSYPSTHPFILILGNKKLKQIFLSVLRH</v>
      </c>
      <c r="C259" s="29" t="str">
        <f>IF(ISERROR(MATCH(A259,'SegEnds_Xtal_Prot#'!B:B, 0)), "NoXtal", "Xtal")</f>
        <v>NoXtal</v>
      </c>
      <c r="D259" s="4" t="str">
        <f>VLOOKUP(A259,Classification!A:D,2,FALSE)</f>
        <v>T</v>
      </c>
      <c r="E259" s="5" t="str">
        <f>VLOOKUP(A259,Seqs!A:B,2,FALSE)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259" s="5" t="str">
        <f t="shared" si="101"/>
        <v>PIIFSILIVVIFVIGNFANGFIALVNSIEWV</v>
      </c>
      <c r="G259" s="4" t="str">
        <f t="shared" si="102"/>
        <v>KRQK</v>
      </c>
      <c r="H259" s="4" t="str">
        <f t="shared" si="103"/>
        <v>ISFVDQILTALAVSRVGLLWVLLLHWYATQL</v>
      </c>
      <c r="I259" s="4" t="str">
        <f t="shared" si="104"/>
        <v/>
      </c>
      <c r="J259" s="4" t="str">
        <f t="shared" si="105"/>
        <v>SVEVRITAYNVWAVTNHFSSWLATSLSMFYLLRIAN</v>
      </c>
      <c r="K259" s="4" t="str">
        <f t="shared" si="106"/>
        <v>NLIFLRIK</v>
      </c>
      <c r="L259" s="4" t="str">
        <f t="shared" si="107"/>
        <v>RRVKSVVLVILLGPLLFLVCHLFVINM</v>
      </c>
      <c r="M259" s="4" t="str">
        <f t="shared" si="108"/>
        <v/>
      </c>
      <c r="N259" s="4" t="str">
        <f t="shared" si="109"/>
        <v>RSAMYHSNMTLTMLANFVPLTLTLISFLLLICSLCKHLKKM</v>
      </c>
      <c r="O259" s="4" t="str">
        <f t="shared" si="110"/>
        <v>PSTKVHIKALQTVTSFLLLCAIYFLSMIISVCN</v>
      </c>
      <c r="P259" s="4" t="str">
        <f t="shared" si="111"/>
        <v>KQPVFMFCQAIIFSYPSTHPFILILG</v>
      </c>
      <c r="Q259" s="4" t="str">
        <f t="shared" si="112"/>
        <v>NKKLKQIFLSVLRH</v>
      </c>
      <c r="R259" s="5">
        <f>VLOOKUP($A259,'SegEnds_NonXtal_Prot#'!$A:$AL,3,FALSE)</f>
        <v>6</v>
      </c>
      <c r="S259" s="5">
        <f>VLOOKUP($A259,'SegEnds_NonXtal_Prot#'!$A:$AL,6,FALSE)</f>
        <v>37</v>
      </c>
      <c r="T259" s="5">
        <f>VLOOKUP($A259,'SegEnds_NonXtal_Prot#'!$A:$AL,9,FALSE)</f>
        <v>41</v>
      </c>
      <c r="U259" s="5" t="str">
        <f>VLOOKUP($A259,'SegEnds_NonXtal_Prot#'!$A:$AL,12,FALSE)</f>
        <v>-</v>
      </c>
      <c r="V259" s="5">
        <f>VLOOKUP($A259,'SegEnds_NonXtal_Prot#'!$A:$AL,15,FALSE)</f>
        <v>77</v>
      </c>
      <c r="W259" s="5">
        <f>VLOOKUP($A259,'SegEnds_NonXtal_Prot#'!$A:$AL,18,FALSE)</f>
        <v>115</v>
      </c>
      <c r="X259" s="5">
        <f>VLOOKUP($A259,'SegEnds_NonXtal_Prot#'!$A:$AL,21,FALSE)</f>
        <v>123</v>
      </c>
      <c r="Y259" s="5" t="str">
        <f>VLOOKUP($A259,'SegEnds_NonXtal_Prot#'!$A:$AL,24,FALSE)</f>
        <v>-</v>
      </c>
      <c r="Z259" s="5">
        <f>VLOOKUP($A259,'SegEnds_NonXtal_Prot#'!$A:$AL,27,FALSE)</f>
        <v>169</v>
      </c>
      <c r="AA259" s="5">
        <f>VLOOKUP($A259,'SegEnds_NonXtal_Prot#'!$A:$AL,30,FALSE)</f>
        <v>219</v>
      </c>
      <c r="AB259" s="5">
        <f>VLOOKUP($A259,'SegEnds_NonXtal_Prot#'!$A:$AL,33,FALSE)</f>
        <v>257</v>
      </c>
      <c r="AC259" s="5">
        <f>VLOOKUP($A259,'SegEnds_NonXtal_Prot#'!$A:$AL,36,FALSE)</f>
        <v>283</v>
      </c>
      <c r="AD259" s="5">
        <f>VLOOKUP($A259,'SegEnds_NonXtal_Prot#'!$A:$AL,5,FALSE)</f>
        <v>36</v>
      </c>
      <c r="AE259" s="5">
        <f>VLOOKUP($A259,'SegEnds_NonXtal_Prot#'!$A:$AL,8,FALSE)</f>
        <v>40</v>
      </c>
      <c r="AF259" s="5">
        <f>VLOOKUP($A259,'SegEnds_NonXtal_Prot#'!$A:$AL,11,FALSE)</f>
        <v>71</v>
      </c>
      <c r="AG259" s="5" t="str">
        <f>VLOOKUP($A259,'SegEnds_NonXtal_Prot#'!$A:$AL,14,FALSE)</f>
        <v>-</v>
      </c>
      <c r="AH259" s="5">
        <f>VLOOKUP($A259,'SegEnds_NonXtal_Prot#'!$A:$AL,17,FALSE)</f>
        <v>112</v>
      </c>
      <c r="AI259" s="5">
        <f>VLOOKUP($A259,'SegEnds_NonXtal_Prot#'!$A:$AL,20,FALSE)</f>
        <v>122</v>
      </c>
      <c r="AJ259" s="5">
        <f>VLOOKUP($A259,'SegEnds_NonXtal_Prot#'!$A:$AL,23,FALSE)</f>
        <v>149</v>
      </c>
      <c r="AK259" s="5" t="str">
        <f>VLOOKUP($A259,'SegEnds_NonXtal_Prot#'!$A:$AL,26,FALSE)</f>
        <v>-</v>
      </c>
      <c r="AL259" s="5">
        <f>VLOOKUP($A259,'SegEnds_NonXtal_Prot#'!$A:$AL,29,FALSE)</f>
        <v>209</v>
      </c>
      <c r="AM259" s="5">
        <f>VLOOKUP($A259,'SegEnds_NonXtal_Prot#'!$A:$AL,32,FALSE)</f>
        <v>251</v>
      </c>
      <c r="AN259" s="5">
        <f>VLOOKUP($A259,'SegEnds_NonXtal_Prot#'!$A:$AL,35,FALSE)</f>
        <v>282</v>
      </c>
      <c r="AO259" s="5">
        <f>VLOOKUP($A259,'SegEnds_NonXtal_Prot#'!$A:$AL,38,FALSE)</f>
        <v>296</v>
      </c>
      <c r="AP259" s="5">
        <f t="shared" si="113"/>
        <v>30</v>
      </c>
      <c r="AQ259" s="4">
        <f t="shared" si="114"/>
        <v>3</v>
      </c>
      <c r="AR259" s="4">
        <f t="shared" si="115"/>
        <v>30</v>
      </c>
      <c r="AS259" s="4" t="str">
        <f t="shared" si="116"/>
        <v>-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 t="str">
        <f t="shared" si="120"/>
        <v>-</v>
      </c>
      <c r="AX259" s="4">
        <f t="shared" si="121"/>
        <v>40</v>
      </c>
      <c r="AY259" s="4">
        <f t="shared" si="122"/>
        <v>32</v>
      </c>
      <c r="AZ259" s="4">
        <f t="shared" si="123"/>
        <v>25</v>
      </c>
      <c r="BA259" s="4">
        <f t="shared" si="124"/>
        <v>13</v>
      </c>
    </row>
    <row r="260" spans="1:53" x14ac:dyDescent="0.2">
      <c r="A260" s="1" t="str">
        <f>'SegEnds_NonXtal_Prot#'!A247</f>
        <v>t2r31_human</v>
      </c>
      <c r="B260" s="1" t="str">
        <f t="shared" si="100"/>
        <v>PIIFSSVVVVLFVIGNFANGFIALVNSIERVISFADQILTALAVSRVGLLWVLLLNWYSTVFSVEVRTTAYNVWAVTGHFSNWLATSLSIFYLLKIANRRVKSVILVMLLGPLLFLACQLFVINMRSAVYLSDATVTTLGNLVPFTLTLLCFLLLICSLCKHLKKMPSTKVHIKALQTVIFFLLLCAVYFLSIMISVWSNKPVFMFCKAIRFSYPSIHPFILIWGNKKLKQTFLSVLRQ</v>
      </c>
      <c r="C260" s="29" t="str">
        <f>IF(ISERROR(MATCH(A260,'SegEnds_Xtal_Prot#'!B:B, 0)), "NoXtal", "Xtal")</f>
        <v>NoXtal</v>
      </c>
      <c r="D260" s="4" t="str">
        <f>VLOOKUP(A260,Classification!A:D,2,FALSE)</f>
        <v>T</v>
      </c>
      <c r="E260" s="5" t="str">
        <f>VLOOKUP(A260,Seqs!A:B,2,FALSE)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260" s="5" t="str">
        <f t="shared" si="101"/>
        <v>PIIFSSVVVVLFVIGNFANGFIALVNSIERV</v>
      </c>
      <c r="G260" s="4" t="str">
        <f t="shared" si="102"/>
        <v>KRQK</v>
      </c>
      <c r="H260" s="4" t="str">
        <f t="shared" si="103"/>
        <v>ISFADQILTALAVSRVGLLWVLLLNWYSTVF</v>
      </c>
      <c r="I260" s="4" t="str">
        <f t="shared" si="104"/>
        <v/>
      </c>
      <c r="J260" s="4" t="str">
        <f t="shared" si="105"/>
        <v>SVEVRTTAYNVWAVTGHFSNWLATSLSIFYLLKIAN</v>
      </c>
      <c r="K260" s="4" t="str">
        <f t="shared" si="106"/>
        <v>NLIFLHLK</v>
      </c>
      <c r="L260" s="4" t="str">
        <f t="shared" si="107"/>
        <v>RRVKSVILVMLLGPLLFLACQLFVINM</v>
      </c>
      <c r="M260" s="4" t="str">
        <f t="shared" si="108"/>
        <v/>
      </c>
      <c r="N260" s="4" t="str">
        <f t="shared" si="109"/>
        <v>RSAVYLSDATVTTLGNLVPFTLTLLCFLLLICSLCKHLKKM</v>
      </c>
      <c r="O260" s="4" t="str">
        <f t="shared" si="110"/>
        <v>PSTKVHIKALQTVIFFLLLCAVYFLSIMISVWS</v>
      </c>
      <c r="P260" s="4" t="str">
        <f t="shared" si="111"/>
        <v>NKPVFMFCKAIRFSYPSIHPFILIWG</v>
      </c>
      <c r="Q260" s="4" t="str">
        <f t="shared" si="112"/>
        <v>NKKLKQTFLSVLRQ</v>
      </c>
      <c r="R260" s="5">
        <f>VLOOKUP($A260,'SegEnds_NonXtal_Prot#'!$A:$AL,3,FALSE)</f>
        <v>6</v>
      </c>
      <c r="S260" s="5">
        <f>VLOOKUP($A260,'SegEnds_NonXtal_Prot#'!$A:$AL,6,FALSE)</f>
        <v>37</v>
      </c>
      <c r="T260" s="5">
        <f>VLOOKUP($A260,'SegEnds_NonXtal_Prot#'!$A:$AL,9,FALSE)</f>
        <v>41</v>
      </c>
      <c r="U260" s="5" t="str">
        <f>VLOOKUP($A260,'SegEnds_NonXtal_Prot#'!$A:$AL,12,FALSE)</f>
        <v>-</v>
      </c>
      <c r="V260" s="5">
        <f>VLOOKUP($A260,'SegEnds_NonXtal_Prot#'!$A:$AL,15,FALSE)</f>
        <v>77</v>
      </c>
      <c r="W260" s="5">
        <f>VLOOKUP($A260,'SegEnds_NonXtal_Prot#'!$A:$AL,18,FALSE)</f>
        <v>115</v>
      </c>
      <c r="X260" s="5">
        <f>VLOOKUP($A260,'SegEnds_NonXtal_Prot#'!$A:$AL,21,FALSE)</f>
        <v>123</v>
      </c>
      <c r="Y260" s="5" t="str">
        <f>VLOOKUP($A260,'SegEnds_NonXtal_Prot#'!$A:$AL,24,FALSE)</f>
        <v>-</v>
      </c>
      <c r="Z260" s="5">
        <f>VLOOKUP($A260,'SegEnds_NonXtal_Prot#'!$A:$AL,27,FALSE)</f>
        <v>169</v>
      </c>
      <c r="AA260" s="5">
        <f>VLOOKUP($A260,'SegEnds_NonXtal_Prot#'!$A:$AL,30,FALSE)</f>
        <v>219</v>
      </c>
      <c r="AB260" s="5">
        <f>VLOOKUP($A260,'SegEnds_NonXtal_Prot#'!$A:$AL,33,FALSE)</f>
        <v>257</v>
      </c>
      <c r="AC260" s="5">
        <f>VLOOKUP($A260,'SegEnds_NonXtal_Prot#'!$A:$AL,36,FALSE)</f>
        <v>283</v>
      </c>
      <c r="AD260" s="5">
        <f>VLOOKUP($A260,'SegEnds_NonXtal_Prot#'!$A:$AL,5,FALSE)</f>
        <v>36</v>
      </c>
      <c r="AE260" s="5">
        <f>VLOOKUP($A260,'SegEnds_NonXtal_Prot#'!$A:$AL,8,FALSE)</f>
        <v>40</v>
      </c>
      <c r="AF260" s="5">
        <f>VLOOKUP($A260,'SegEnds_NonXtal_Prot#'!$A:$AL,11,FALSE)</f>
        <v>71</v>
      </c>
      <c r="AG260" s="5" t="str">
        <f>VLOOKUP($A260,'SegEnds_NonXtal_Prot#'!$A:$AL,14,FALSE)</f>
        <v>-</v>
      </c>
      <c r="AH260" s="5">
        <f>VLOOKUP($A260,'SegEnds_NonXtal_Prot#'!$A:$AL,17,FALSE)</f>
        <v>112</v>
      </c>
      <c r="AI260" s="5">
        <f>VLOOKUP($A260,'SegEnds_NonXtal_Prot#'!$A:$AL,20,FALSE)</f>
        <v>122</v>
      </c>
      <c r="AJ260" s="5">
        <f>VLOOKUP($A260,'SegEnds_NonXtal_Prot#'!$A:$AL,23,FALSE)</f>
        <v>149</v>
      </c>
      <c r="AK260" s="5" t="str">
        <f>VLOOKUP($A260,'SegEnds_NonXtal_Prot#'!$A:$AL,26,FALSE)</f>
        <v>-</v>
      </c>
      <c r="AL260" s="5">
        <f>VLOOKUP($A260,'SegEnds_NonXtal_Prot#'!$A:$AL,29,FALSE)</f>
        <v>209</v>
      </c>
      <c r="AM260" s="5">
        <f>VLOOKUP($A260,'SegEnds_NonXtal_Prot#'!$A:$AL,32,FALSE)</f>
        <v>251</v>
      </c>
      <c r="AN260" s="5">
        <f>VLOOKUP($A260,'SegEnds_NonXtal_Prot#'!$A:$AL,35,FALSE)</f>
        <v>282</v>
      </c>
      <c r="AO260" s="5">
        <f>VLOOKUP($A260,'SegEnds_NonXtal_Prot#'!$A:$AL,38,FALSE)</f>
        <v>296</v>
      </c>
      <c r="AP260" s="5">
        <f t="shared" si="113"/>
        <v>30</v>
      </c>
      <c r="AQ260" s="4">
        <f t="shared" si="114"/>
        <v>3</v>
      </c>
      <c r="AR260" s="4">
        <f t="shared" si="115"/>
        <v>30</v>
      </c>
      <c r="AS260" s="4" t="str">
        <f t="shared" si="116"/>
        <v>-</v>
      </c>
      <c r="AT260" s="4">
        <f t="shared" si="117"/>
        <v>35</v>
      </c>
      <c r="AU260" s="4">
        <f t="shared" si="118"/>
        <v>7</v>
      </c>
      <c r="AV260" s="4">
        <f t="shared" si="119"/>
        <v>26</v>
      </c>
      <c r="AW260" s="4" t="str">
        <f t="shared" si="120"/>
        <v>-</v>
      </c>
      <c r="AX260" s="4">
        <f t="shared" si="121"/>
        <v>40</v>
      </c>
      <c r="AY260" s="4">
        <f t="shared" si="122"/>
        <v>32</v>
      </c>
      <c r="AZ260" s="4">
        <f t="shared" si="123"/>
        <v>25</v>
      </c>
      <c r="BA260" s="4">
        <f t="shared" si="124"/>
        <v>13</v>
      </c>
    </row>
    <row r="261" spans="1:53" x14ac:dyDescent="0.2">
      <c r="A261" s="1" t="str">
        <f>'SegEnds_NonXtal_Prot#'!A248</f>
        <v>t2r38_human</v>
      </c>
      <c r="B261" s="1" t="str">
        <f t="shared" si="10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261" s="29" t="str">
        <f>IF(ISERROR(MATCH(A261,'SegEnds_Xtal_Prot#'!B:B, 0)), "NoXtal", "Xtal")</f>
        <v>NoXtal</v>
      </c>
      <c r="D261" s="4" t="str">
        <f>VLOOKUP(A261,Classification!A:D,2,FALSE)</f>
        <v>T</v>
      </c>
      <c r="E261" s="5" t="str">
        <f>VLOOKUP(A261,Seqs!A:B,2,FALSE)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261" s="5" t="str">
        <f t="shared" si="101"/>
        <v>RSTFLFISVLEFAVGFLTNAFVFLVNFWDVV</v>
      </c>
      <c r="G261" s="4" t="str">
        <f t="shared" si="102"/>
        <v>KRQA</v>
      </c>
      <c r="H261" s="4" t="str">
        <f t="shared" si="103"/>
        <v>LSNSDCVLLCLSISRLFLHGLLFLSAIQLTHF</v>
      </c>
      <c r="I261" s="4" t="str">
        <f t="shared" si="104"/>
        <v/>
      </c>
      <c r="J261" s="4" t="str">
        <f t="shared" si="105"/>
        <v>SEPLNHSYQAIIMLWMIANQANLWLAACLSLLYCSKLIR</v>
      </c>
      <c r="K261" s="4" t="str">
        <f t="shared" si="106"/>
        <v>HTFLICLA</v>
      </c>
      <c r="L261" s="4" t="str">
        <f t="shared" si="107"/>
        <v>SWVSRKISQMLLGIILCSCICTVLCVW</v>
      </c>
      <c r="M261" s="4" t="str">
        <f t="shared" si="108"/>
        <v/>
      </c>
      <c r="N261" s="4" t="str">
        <f t="shared" si="109"/>
        <v>KDLNLFYSFLFCYLWSVPPFLLFLVSSGMLTVSLGRHMRTM</v>
      </c>
      <c r="O261" s="4" t="str">
        <f t="shared" si="110"/>
        <v>PSLEAHIKALKSLVSFFCFFVISSCAAFISVPL</v>
      </c>
      <c r="P261" s="4" t="str">
        <f t="shared" si="111"/>
        <v>DKIGVMVCVGIMAACPSGHAAILISG</v>
      </c>
      <c r="Q261" s="4" t="str">
        <f t="shared" si="112"/>
        <v>NAKLRRAVMTILLW</v>
      </c>
      <c r="R261" s="5">
        <f>VLOOKUP($A261,'SegEnds_NonXtal_Prot#'!$A:$AL,3,FALSE)</f>
        <v>15</v>
      </c>
      <c r="S261" s="5">
        <f>VLOOKUP($A261,'SegEnds_NonXtal_Prot#'!$A:$AL,6,FALSE)</f>
        <v>46</v>
      </c>
      <c r="T261" s="5">
        <f>VLOOKUP($A261,'SegEnds_NonXtal_Prot#'!$A:$AL,9,FALSE)</f>
        <v>50</v>
      </c>
      <c r="U261" s="5" t="str">
        <f>VLOOKUP($A261,'SegEnds_NonXtal_Prot#'!$A:$AL,12,FALSE)</f>
        <v>-</v>
      </c>
      <c r="V261" s="5">
        <f>VLOOKUP($A261,'SegEnds_NonXtal_Prot#'!$A:$AL,15,FALSE)</f>
        <v>85</v>
      </c>
      <c r="W261" s="5">
        <f>VLOOKUP($A261,'SegEnds_NonXtal_Prot#'!$A:$AL,18,FALSE)</f>
        <v>126</v>
      </c>
      <c r="X261" s="5">
        <f>VLOOKUP($A261,'SegEnds_NonXtal_Prot#'!$A:$AL,21,FALSE)</f>
        <v>134</v>
      </c>
      <c r="Y261" s="5" t="str">
        <f>VLOOKUP($A261,'SegEnds_NonXtal_Prot#'!$A:$AL,24,FALSE)</f>
        <v>-</v>
      </c>
      <c r="Z261" s="5">
        <f>VLOOKUP($A261,'SegEnds_NonXtal_Prot#'!$A:$AL,27,FALSE)</f>
        <v>187</v>
      </c>
      <c r="AA261" s="5">
        <f>VLOOKUP($A261,'SegEnds_NonXtal_Prot#'!$A:$AL,30,FALSE)</f>
        <v>237</v>
      </c>
      <c r="AB261" s="5">
        <f>VLOOKUP($A261,'SegEnds_NonXtal_Prot#'!$A:$AL,33,FALSE)</f>
        <v>275</v>
      </c>
      <c r="AC261" s="5">
        <f>VLOOKUP($A261,'SegEnds_NonXtal_Prot#'!$A:$AL,36,FALSE)</f>
        <v>301</v>
      </c>
      <c r="AD261" s="5">
        <f>VLOOKUP($A261,'SegEnds_NonXtal_Prot#'!$A:$AL,5,FALSE)</f>
        <v>45</v>
      </c>
      <c r="AE261" s="5">
        <f>VLOOKUP($A261,'SegEnds_NonXtal_Prot#'!$A:$AL,8,FALSE)</f>
        <v>49</v>
      </c>
      <c r="AF261" s="5">
        <f>VLOOKUP($A261,'SegEnds_NonXtal_Prot#'!$A:$AL,11,FALSE)</f>
        <v>81</v>
      </c>
      <c r="AG261" s="5" t="str">
        <f>VLOOKUP($A261,'SegEnds_NonXtal_Prot#'!$A:$AL,14,FALSE)</f>
        <v>-</v>
      </c>
      <c r="AH261" s="5">
        <f>VLOOKUP($A261,'SegEnds_NonXtal_Prot#'!$A:$AL,17,FALSE)</f>
        <v>123</v>
      </c>
      <c r="AI261" s="5">
        <f>VLOOKUP($A261,'SegEnds_NonXtal_Prot#'!$A:$AL,20,FALSE)</f>
        <v>133</v>
      </c>
      <c r="AJ261" s="5">
        <f>VLOOKUP($A261,'SegEnds_NonXtal_Prot#'!$A:$AL,23,FALSE)</f>
        <v>160</v>
      </c>
      <c r="AK261" s="5" t="str">
        <f>VLOOKUP($A261,'SegEnds_NonXtal_Prot#'!$A:$AL,26,FALSE)</f>
        <v>-</v>
      </c>
      <c r="AL261" s="5">
        <f>VLOOKUP($A261,'SegEnds_NonXtal_Prot#'!$A:$AL,29,FALSE)</f>
        <v>227</v>
      </c>
      <c r="AM261" s="5">
        <f>VLOOKUP($A261,'SegEnds_NonXtal_Prot#'!$A:$AL,32,FALSE)</f>
        <v>269</v>
      </c>
      <c r="AN261" s="5">
        <f>VLOOKUP($A261,'SegEnds_NonXtal_Prot#'!$A:$AL,35,FALSE)</f>
        <v>300</v>
      </c>
      <c r="AO261" s="5">
        <f>VLOOKUP($A261,'SegEnds_NonXtal_Prot#'!$A:$AL,38,FALSE)</f>
        <v>314</v>
      </c>
      <c r="AP261" s="5">
        <f t="shared" si="113"/>
        <v>30</v>
      </c>
      <c r="AQ261" s="4">
        <f t="shared" si="114"/>
        <v>3</v>
      </c>
      <c r="AR261" s="4">
        <f t="shared" si="115"/>
        <v>31</v>
      </c>
      <c r="AS261" s="4" t="str">
        <f t="shared" si="116"/>
        <v>-</v>
      </c>
      <c r="AT261" s="4">
        <f t="shared" si="117"/>
        <v>38</v>
      </c>
      <c r="AU261" s="4">
        <f t="shared" si="118"/>
        <v>7</v>
      </c>
      <c r="AV261" s="4">
        <f t="shared" si="119"/>
        <v>26</v>
      </c>
      <c r="AW261" s="4" t="str">
        <f t="shared" si="120"/>
        <v>-</v>
      </c>
      <c r="AX261" s="4">
        <f t="shared" si="121"/>
        <v>40</v>
      </c>
      <c r="AY261" s="4">
        <f t="shared" si="122"/>
        <v>32</v>
      </c>
      <c r="AZ261" s="4">
        <f t="shared" si="123"/>
        <v>25</v>
      </c>
      <c r="BA261" s="4">
        <f t="shared" si="124"/>
        <v>13</v>
      </c>
    </row>
    <row r="262" spans="1:53" x14ac:dyDescent="0.2">
      <c r="A262" s="1" t="str">
        <f>'SegEnds_NonXtal_Prot#'!A249</f>
        <v>t2r39_human</v>
      </c>
      <c r="B262" s="1" t="str">
        <f t="shared" si="10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262" s="29" t="str">
        <f>IF(ISERROR(MATCH(A262,'SegEnds_Xtal_Prot#'!B:B, 0)), "NoXtal", "Xtal")</f>
        <v>NoXtal</v>
      </c>
      <c r="D262" s="4" t="str">
        <f>VLOOKUP(A262,Classification!A:D,2,FALSE)</f>
        <v>T</v>
      </c>
      <c r="E262" s="5" t="str">
        <f>VLOOKUP(A262,Seqs!A:B,2,FALSE)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262" s="5" t="str">
        <f t="shared" si="101"/>
        <v>ITLILAVLLAEYLIGIIANGFIMAIHAAEWV</v>
      </c>
      <c r="G262" s="4" t="str">
        <f t="shared" si="102"/>
        <v>QNKA</v>
      </c>
      <c r="H262" s="4" t="str">
        <f t="shared" si="103"/>
        <v>VSTSGRILVFLSVSRIALQSLMMLEITISST</v>
      </c>
      <c r="I262" s="4" t="str">
        <f t="shared" si="104"/>
        <v/>
      </c>
      <c r="J262" s="4" t="str">
        <f t="shared" si="105"/>
        <v>FYSEDAVYYAFKISFIFLNFCSLWFAAWLSFFYFVKIAN</v>
      </c>
      <c r="K262" s="4" t="str">
        <f t="shared" si="106"/>
        <v>YPLFLKLR</v>
      </c>
      <c r="L262" s="4" t="str">
        <f t="shared" si="107"/>
        <v>WRITGLIPWLLWLSVFISFSHSMFCIN</v>
      </c>
      <c r="M262" s="4" t="str">
        <f t="shared" si="108"/>
        <v/>
      </c>
      <c r="N262" s="4" t="str">
        <f t="shared" si="109"/>
        <v>SEINVVGLAFFFNLGIVTPLIMFILTATLLILSLKRHTLHM</v>
      </c>
      <c r="O262" s="4" t="str">
        <f t="shared" si="110"/>
        <v>PSMEAHMGAIKAISYFLILYIFNAVALFIYLSN</v>
      </c>
      <c r="P262" s="4" t="str">
        <f t="shared" si="111"/>
        <v>NSLWNNLCQIIMAAYPASHSILLIQD</v>
      </c>
      <c r="Q262" s="4" t="str">
        <f t="shared" si="112"/>
        <v>NPGLRRAWKRLQLR</v>
      </c>
      <c r="R262" s="5">
        <f>VLOOKUP($A262,'SegEnds_NonXtal_Prot#'!$A:$AL,3,FALSE)</f>
        <v>34</v>
      </c>
      <c r="S262" s="5">
        <f>VLOOKUP($A262,'SegEnds_NonXtal_Prot#'!$A:$AL,6,FALSE)</f>
        <v>65</v>
      </c>
      <c r="T262" s="5">
        <f>VLOOKUP($A262,'SegEnds_NonXtal_Prot#'!$A:$AL,9,FALSE)</f>
        <v>69</v>
      </c>
      <c r="U262" s="5" t="str">
        <f>VLOOKUP($A262,'SegEnds_NonXtal_Prot#'!$A:$AL,12,FALSE)</f>
        <v>-</v>
      </c>
      <c r="V262" s="5">
        <f>VLOOKUP($A262,'SegEnds_NonXtal_Prot#'!$A:$AL,15,FALSE)</f>
        <v>103</v>
      </c>
      <c r="W262" s="5">
        <f>VLOOKUP($A262,'SegEnds_NonXtal_Prot#'!$A:$AL,18,FALSE)</f>
        <v>144</v>
      </c>
      <c r="X262" s="5">
        <f>VLOOKUP($A262,'SegEnds_NonXtal_Prot#'!$A:$AL,21,FALSE)</f>
        <v>152</v>
      </c>
      <c r="Y262" s="5" t="str">
        <f>VLOOKUP($A262,'SegEnds_NonXtal_Prot#'!$A:$AL,24,FALSE)</f>
        <v>-</v>
      </c>
      <c r="Z262" s="5">
        <f>VLOOKUP($A262,'SegEnds_NonXtal_Prot#'!$A:$AL,27,FALSE)</f>
        <v>202</v>
      </c>
      <c r="AA262" s="5">
        <f>VLOOKUP($A262,'SegEnds_NonXtal_Prot#'!$A:$AL,30,FALSE)</f>
        <v>252</v>
      </c>
      <c r="AB262" s="5">
        <f>VLOOKUP($A262,'SegEnds_NonXtal_Prot#'!$A:$AL,33,FALSE)</f>
        <v>289</v>
      </c>
      <c r="AC262" s="5">
        <f>VLOOKUP($A262,'SegEnds_NonXtal_Prot#'!$A:$AL,36,FALSE)</f>
        <v>315</v>
      </c>
      <c r="AD262" s="5">
        <f>VLOOKUP($A262,'SegEnds_NonXtal_Prot#'!$A:$AL,5,FALSE)</f>
        <v>64</v>
      </c>
      <c r="AE262" s="5">
        <f>VLOOKUP($A262,'SegEnds_NonXtal_Prot#'!$A:$AL,8,FALSE)</f>
        <v>68</v>
      </c>
      <c r="AF262" s="5">
        <f>VLOOKUP($A262,'SegEnds_NonXtal_Prot#'!$A:$AL,11,FALSE)</f>
        <v>99</v>
      </c>
      <c r="AG262" s="5" t="str">
        <f>VLOOKUP($A262,'SegEnds_NonXtal_Prot#'!$A:$AL,14,FALSE)</f>
        <v>-</v>
      </c>
      <c r="AH262" s="5">
        <f>VLOOKUP($A262,'SegEnds_NonXtal_Prot#'!$A:$AL,17,FALSE)</f>
        <v>141</v>
      </c>
      <c r="AI262" s="5">
        <f>VLOOKUP($A262,'SegEnds_NonXtal_Prot#'!$A:$AL,20,FALSE)</f>
        <v>151</v>
      </c>
      <c r="AJ262" s="5">
        <f>VLOOKUP($A262,'SegEnds_NonXtal_Prot#'!$A:$AL,23,FALSE)</f>
        <v>178</v>
      </c>
      <c r="AK262" s="5" t="str">
        <f>VLOOKUP($A262,'SegEnds_NonXtal_Prot#'!$A:$AL,26,FALSE)</f>
        <v>-</v>
      </c>
      <c r="AL262" s="5">
        <f>VLOOKUP($A262,'SegEnds_NonXtal_Prot#'!$A:$AL,29,FALSE)</f>
        <v>242</v>
      </c>
      <c r="AM262" s="5">
        <f>VLOOKUP($A262,'SegEnds_NonXtal_Prot#'!$A:$AL,32,FALSE)</f>
        <v>284</v>
      </c>
      <c r="AN262" s="5">
        <f>VLOOKUP($A262,'SegEnds_NonXtal_Prot#'!$A:$AL,35,FALSE)</f>
        <v>314</v>
      </c>
      <c r="AO262" s="5">
        <f>VLOOKUP($A262,'SegEnds_NonXtal_Prot#'!$A:$AL,38,FALSE)</f>
        <v>328</v>
      </c>
      <c r="AP262" s="5">
        <f t="shared" si="113"/>
        <v>30</v>
      </c>
      <c r="AQ262" s="4">
        <f t="shared" si="114"/>
        <v>3</v>
      </c>
      <c r="AR262" s="4">
        <f t="shared" si="115"/>
        <v>30</v>
      </c>
      <c r="AS262" s="4" t="str">
        <f t="shared" si="116"/>
        <v>-</v>
      </c>
      <c r="AT262" s="4">
        <f t="shared" si="117"/>
        <v>38</v>
      </c>
      <c r="AU262" s="4">
        <f t="shared" si="118"/>
        <v>7</v>
      </c>
      <c r="AV262" s="4">
        <f t="shared" si="119"/>
        <v>26</v>
      </c>
      <c r="AW262" s="4" t="str">
        <f t="shared" si="120"/>
        <v>-</v>
      </c>
      <c r="AX262" s="4">
        <f t="shared" si="121"/>
        <v>40</v>
      </c>
      <c r="AY262" s="4">
        <f t="shared" si="122"/>
        <v>32</v>
      </c>
      <c r="AZ262" s="4">
        <f t="shared" si="123"/>
        <v>25</v>
      </c>
      <c r="BA262" s="4">
        <f t="shared" si="124"/>
        <v>13</v>
      </c>
    </row>
    <row r="263" spans="1:53" x14ac:dyDescent="0.2">
      <c r="A263" s="1" t="str">
        <f>'SegEnds_NonXtal_Prot#'!A250</f>
        <v>t2r40_human</v>
      </c>
      <c r="B263" s="1" t="str">
        <f t="shared" si="100"/>
        <v>VTFTLVVSGIECITGILGSGFITAIYGAEWALPTGDRIMLMLSFSRLLLQIWMMLENIFSLLVYNQNSVYILFKVITVFLNHSNLWFAAWLKVFYCLRIANRKIIVLMPWLLRLSVLVSLSFSFPLSRSETNMVNLVFFYNMGIFVPLIMFILAATLLILSLKRHTLHMPSMKAHIGAIKATSYFLILYIFNAIALFLSTSNYSSWNILCKIIMAAYPAGHSVQLILGNPGLRRAWKRFQHQ</v>
      </c>
      <c r="C263" s="29" t="str">
        <f>IF(ISERROR(MATCH(A263,'SegEnds_Xtal_Prot#'!B:B, 0)), "NoXtal", "Xtal")</f>
        <v>NoXtal</v>
      </c>
      <c r="D263" s="4" t="str">
        <f>VLOOKUP(A263,Classification!A:D,2,FALSE)</f>
        <v>T</v>
      </c>
      <c r="E263" s="5" t="str">
        <f>VLOOKUP(A263,Seqs!A:B,2,FALSE)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263" s="5" t="str">
        <f t="shared" si="101"/>
        <v>VTFTLVVSGIECITGILGSGFITAIYGAEWA</v>
      </c>
      <c r="G263" s="4" t="str">
        <f t="shared" si="102"/>
        <v>RGKT</v>
      </c>
      <c r="H263" s="4" t="str">
        <f t="shared" si="103"/>
        <v>LPTGDRIMLMLSFSRLLLQIWMMLENIFSLL</v>
      </c>
      <c r="I263" s="4" t="str">
        <f t="shared" si="104"/>
        <v/>
      </c>
      <c r="J263" s="4" t="str">
        <f t="shared" si="105"/>
        <v>VYNQNSVYILFKVITVFLNHSNLWFAAWLKVFYCLRIAN</v>
      </c>
      <c r="K263" s="4" t="str">
        <f t="shared" si="106"/>
        <v>HPLFFLMK</v>
      </c>
      <c r="L263" s="4" t="str">
        <f t="shared" si="107"/>
        <v>RKIIVLMPWLLRLSVLVSLSFSFPLSR</v>
      </c>
      <c r="M263" s="4" t="str">
        <f t="shared" si="108"/>
        <v/>
      </c>
      <c r="N263" s="4" t="str">
        <f t="shared" si="109"/>
        <v>SETNMVNLVFFYNMGIFVPLIMFILAATLLILSLKRHTLHM</v>
      </c>
      <c r="O263" s="4" t="str">
        <f t="shared" si="110"/>
        <v>PSMKAHIGAIKATSYFLILYIFNAIALFLSTSN</v>
      </c>
      <c r="P263" s="4" t="str">
        <f t="shared" si="111"/>
        <v>YSSWNILCKIIMAAYPAGHSVQLILG</v>
      </c>
      <c r="Q263" s="4" t="str">
        <f t="shared" si="112"/>
        <v>NPGLRRAWKRFQHQ</v>
      </c>
      <c r="R263" s="5">
        <f>VLOOKUP($A263,'SegEnds_NonXtal_Prot#'!$A:$AL,3,FALSE)</f>
        <v>18</v>
      </c>
      <c r="S263" s="5">
        <f>VLOOKUP($A263,'SegEnds_NonXtal_Prot#'!$A:$AL,6,FALSE)</f>
        <v>49</v>
      </c>
      <c r="T263" s="5">
        <f>VLOOKUP($A263,'SegEnds_NonXtal_Prot#'!$A:$AL,9,FALSE)</f>
        <v>53</v>
      </c>
      <c r="U263" s="5" t="str">
        <f>VLOOKUP($A263,'SegEnds_NonXtal_Prot#'!$A:$AL,12,FALSE)</f>
        <v>-</v>
      </c>
      <c r="V263" s="5">
        <f>VLOOKUP($A263,'SegEnds_NonXtal_Prot#'!$A:$AL,15,FALSE)</f>
        <v>87</v>
      </c>
      <c r="W263" s="5">
        <f>VLOOKUP($A263,'SegEnds_NonXtal_Prot#'!$A:$AL,18,FALSE)</f>
        <v>128</v>
      </c>
      <c r="X263" s="5">
        <f>VLOOKUP($A263,'SegEnds_NonXtal_Prot#'!$A:$AL,21,FALSE)</f>
        <v>136</v>
      </c>
      <c r="Y263" s="5" t="str">
        <f>VLOOKUP($A263,'SegEnds_NonXtal_Prot#'!$A:$AL,24,FALSE)</f>
        <v>-</v>
      </c>
      <c r="Z263" s="5">
        <f>VLOOKUP($A263,'SegEnds_NonXtal_Prot#'!$A:$AL,27,FALSE)</f>
        <v>187</v>
      </c>
      <c r="AA263" s="5">
        <f>VLOOKUP($A263,'SegEnds_NonXtal_Prot#'!$A:$AL,30,FALSE)</f>
        <v>237</v>
      </c>
      <c r="AB263" s="5">
        <f>VLOOKUP($A263,'SegEnds_NonXtal_Prot#'!$A:$AL,33,FALSE)</f>
        <v>274</v>
      </c>
      <c r="AC263" s="5">
        <f>VLOOKUP($A263,'SegEnds_NonXtal_Prot#'!$A:$AL,36,FALSE)</f>
        <v>300</v>
      </c>
      <c r="AD263" s="5">
        <f>VLOOKUP($A263,'SegEnds_NonXtal_Prot#'!$A:$AL,5,FALSE)</f>
        <v>48</v>
      </c>
      <c r="AE263" s="5">
        <f>VLOOKUP($A263,'SegEnds_NonXtal_Prot#'!$A:$AL,8,FALSE)</f>
        <v>52</v>
      </c>
      <c r="AF263" s="5">
        <f>VLOOKUP($A263,'SegEnds_NonXtal_Prot#'!$A:$AL,11,FALSE)</f>
        <v>83</v>
      </c>
      <c r="AG263" s="5" t="str">
        <f>VLOOKUP($A263,'SegEnds_NonXtal_Prot#'!$A:$AL,14,FALSE)</f>
        <v>-</v>
      </c>
      <c r="AH263" s="5">
        <f>VLOOKUP($A263,'SegEnds_NonXtal_Prot#'!$A:$AL,17,FALSE)</f>
        <v>125</v>
      </c>
      <c r="AI263" s="5">
        <f>VLOOKUP($A263,'SegEnds_NonXtal_Prot#'!$A:$AL,20,FALSE)</f>
        <v>135</v>
      </c>
      <c r="AJ263" s="5">
        <f>VLOOKUP($A263,'SegEnds_NonXtal_Prot#'!$A:$AL,23,FALSE)</f>
        <v>162</v>
      </c>
      <c r="AK263" s="5" t="str">
        <f>VLOOKUP($A263,'SegEnds_NonXtal_Prot#'!$A:$AL,26,FALSE)</f>
        <v>-</v>
      </c>
      <c r="AL263" s="5">
        <f>VLOOKUP($A263,'SegEnds_NonXtal_Prot#'!$A:$AL,29,FALSE)</f>
        <v>227</v>
      </c>
      <c r="AM263" s="5">
        <f>VLOOKUP($A263,'SegEnds_NonXtal_Prot#'!$A:$AL,32,FALSE)</f>
        <v>269</v>
      </c>
      <c r="AN263" s="5">
        <f>VLOOKUP($A263,'SegEnds_NonXtal_Prot#'!$A:$AL,35,FALSE)</f>
        <v>299</v>
      </c>
      <c r="AO263" s="5">
        <f>VLOOKUP($A263,'SegEnds_NonXtal_Prot#'!$A:$AL,38,FALSE)</f>
        <v>313</v>
      </c>
      <c r="AP263" s="5">
        <f t="shared" si="113"/>
        <v>30</v>
      </c>
      <c r="AQ263" s="4">
        <f t="shared" si="114"/>
        <v>3</v>
      </c>
      <c r="AR263" s="4">
        <f t="shared" si="115"/>
        <v>30</v>
      </c>
      <c r="AS263" s="4" t="str">
        <f t="shared" si="116"/>
        <v>-</v>
      </c>
      <c r="AT263" s="4">
        <f t="shared" si="117"/>
        <v>38</v>
      </c>
      <c r="AU263" s="4">
        <f t="shared" si="118"/>
        <v>7</v>
      </c>
      <c r="AV263" s="4">
        <f t="shared" si="119"/>
        <v>26</v>
      </c>
      <c r="AW263" s="4" t="str">
        <f t="shared" si="120"/>
        <v>-</v>
      </c>
      <c r="AX263" s="4">
        <f t="shared" si="121"/>
        <v>40</v>
      </c>
      <c r="AY263" s="4">
        <f t="shared" si="122"/>
        <v>32</v>
      </c>
      <c r="AZ263" s="4">
        <f t="shared" si="123"/>
        <v>25</v>
      </c>
      <c r="BA263" s="4">
        <f t="shared" si="124"/>
        <v>13</v>
      </c>
    </row>
    <row r="264" spans="1:53" x14ac:dyDescent="0.2">
      <c r="A264" s="1" t="str">
        <f>'SegEnds_NonXtal_Prot#'!A252</f>
        <v>t2r42_human</v>
      </c>
      <c r="B264" s="1" t="str">
        <f t="shared" si="10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264" s="29" t="str">
        <f>IF(ISERROR(MATCH(A264,'SegEnds_Xtal_Prot#'!B:B, 0)), "NoXtal", "Xtal")</f>
        <v>NoXtal</v>
      </c>
      <c r="D264" s="4" t="str">
        <f>VLOOKUP(A264,Classification!A:D,2,FALSE)</f>
        <v>T</v>
      </c>
      <c r="E264" s="5" t="str">
        <f>VLOOKUP(A264,Seqs!A:B,2,FALSE)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264" s="5" t="str">
        <f t="shared" si="101"/>
        <v>DKIFLILAIAEFIISMLGNVFIGLVNCSEGI</v>
      </c>
      <c r="G264" s="4" t="str">
        <f t="shared" si="102"/>
        <v>KNQK</v>
      </c>
      <c r="H264" s="4" t="str">
        <f t="shared" si="103"/>
        <v>VFSADFILTCLAISTIGQLLVILFDSFLVGLA</v>
      </c>
      <c r="I264" s="4" t="str">
        <f t="shared" si="104"/>
        <v/>
      </c>
      <c r="J264" s="4" t="str">
        <f t="shared" si="105"/>
        <v>TYRLGKTVIMLWHMTNHLTTWLATCLSIFYFFKIAH</v>
      </c>
      <c r="K264" s="4" t="str">
        <f t="shared" si="106"/>
        <v>HSLFLWLR</v>
      </c>
      <c r="L264" s="4" t="str">
        <f t="shared" si="107"/>
        <v>WRMNGMIVMLLILSLFLLIFDSLVL</v>
      </c>
      <c r="M264" s="4" t="str">
        <f t="shared" si="108"/>
        <v/>
      </c>
      <c r="N264" s="4" t="str">
        <f t="shared" si="109"/>
        <v>LYDKLSILKTLLSLTSFIPFSLFLTSLLFLFLSLVRHTRNL</v>
      </c>
      <c r="O264" s="4" t="str">
        <f t="shared" si="110"/>
        <v>SSTEAHRRAMKMVMSFLFLFIVHFFSLQVANGI</v>
      </c>
      <c r="P264" s="4" t="str">
        <f t="shared" si="111"/>
        <v>NNKYIKFVMLALNAFPSCHSFILILG</v>
      </c>
      <c r="Q264" s="4" t="str">
        <f t="shared" si="112"/>
        <v>NSKLRQTAVRLLWH</v>
      </c>
      <c r="R264" s="5">
        <f>VLOOKUP($A264,'SegEnds_NonXtal_Prot#'!$A:$AL,3,FALSE)</f>
        <v>6</v>
      </c>
      <c r="S264" s="5">
        <f>VLOOKUP($A264,'SegEnds_NonXtal_Prot#'!$A:$AL,6,FALSE)</f>
        <v>37</v>
      </c>
      <c r="T264" s="5">
        <f>VLOOKUP($A264,'SegEnds_NonXtal_Prot#'!$A:$AL,9,FALSE)</f>
        <v>41</v>
      </c>
      <c r="U264" s="5" t="str">
        <f>VLOOKUP($A264,'SegEnds_NonXtal_Prot#'!$A:$AL,12,FALSE)</f>
        <v>-</v>
      </c>
      <c r="V264" s="5">
        <f>VLOOKUP($A264,'SegEnds_NonXtal_Prot#'!$A:$AL,15,FALSE)</f>
        <v>78</v>
      </c>
      <c r="W264" s="5">
        <f>VLOOKUP($A264,'SegEnds_NonXtal_Prot#'!$A:$AL,18,FALSE)</f>
        <v>116</v>
      </c>
      <c r="X264" s="5">
        <f>VLOOKUP($A264,'SegEnds_NonXtal_Prot#'!$A:$AL,21,FALSE)</f>
        <v>124</v>
      </c>
      <c r="Y264" s="5" t="str">
        <f>VLOOKUP($A264,'SegEnds_NonXtal_Prot#'!$A:$AL,24,FALSE)</f>
        <v>-</v>
      </c>
      <c r="Z264" s="5">
        <f>VLOOKUP($A264,'SegEnds_NonXtal_Prot#'!$A:$AL,27,FALSE)</f>
        <v>174</v>
      </c>
      <c r="AA264" s="5">
        <f>VLOOKUP($A264,'SegEnds_NonXtal_Prot#'!$A:$AL,30,FALSE)</f>
        <v>224</v>
      </c>
      <c r="AB264" s="5">
        <f>VLOOKUP($A264,'SegEnds_NonXtal_Prot#'!$A:$AL,33,FALSE)</f>
        <v>262</v>
      </c>
      <c r="AC264" s="5">
        <f>VLOOKUP($A264,'SegEnds_NonXtal_Prot#'!$A:$AL,36,FALSE)</f>
        <v>288</v>
      </c>
      <c r="AD264" s="5">
        <f>VLOOKUP($A264,'SegEnds_NonXtal_Prot#'!$A:$AL,5,FALSE)</f>
        <v>36</v>
      </c>
      <c r="AE264" s="5">
        <f>VLOOKUP($A264,'SegEnds_NonXtal_Prot#'!$A:$AL,8,FALSE)</f>
        <v>40</v>
      </c>
      <c r="AF264" s="5">
        <f>VLOOKUP($A264,'SegEnds_NonXtal_Prot#'!$A:$AL,11,FALSE)</f>
        <v>72</v>
      </c>
      <c r="AG264" s="5" t="str">
        <f>VLOOKUP($A264,'SegEnds_NonXtal_Prot#'!$A:$AL,14,FALSE)</f>
        <v>-</v>
      </c>
      <c r="AH264" s="5">
        <f>VLOOKUP($A264,'SegEnds_NonXtal_Prot#'!$A:$AL,17,FALSE)</f>
        <v>113</v>
      </c>
      <c r="AI264" s="5">
        <f>VLOOKUP($A264,'SegEnds_NonXtal_Prot#'!$A:$AL,20,FALSE)</f>
        <v>123</v>
      </c>
      <c r="AJ264" s="5">
        <f>VLOOKUP($A264,'SegEnds_NonXtal_Prot#'!$A:$AL,23,FALSE)</f>
        <v>148</v>
      </c>
      <c r="AK264" s="5" t="str">
        <f>VLOOKUP($A264,'SegEnds_NonXtal_Prot#'!$A:$AL,26,FALSE)</f>
        <v>-</v>
      </c>
      <c r="AL264" s="5">
        <f>VLOOKUP($A264,'SegEnds_NonXtal_Prot#'!$A:$AL,29,FALSE)</f>
        <v>214</v>
      </c>
      <c r="AM264" s="5">
        <f>VLOOKUP($A264,'SegEnds_NonXtal_Prot#'!$A:$AL,32,FALSE)</f>
        <v>256</v>
      </c>
      <c r="AN264" s="5">
        <f>VLOOKUP($A264,'SegEnds_NonXtal_Prot#'!$A:$AL,35,FALSE)</f>
        <v>287</v>
      </c>
      <c r="AO264" s="5">
        <f>VLOOKUP($A264,'SegEnds_NonXtal_Prot#'!$A:$AL,38,FALSE)</f>
        <v>301</v>
      </c>
      <c r="AP264" s="5">
        <f t="shared" si="113"/>
        <v>30</v>
      </c>
      <c r="AQ264" s="4">
        <f t="shared" si="114"/>
        <v>3</v>
      </c>
      <c r="AR264" s="4">
        <f t="shared" si="115"/>
        <v>31</v>
      </c>
      <c r="AS264" s="4" t="str">
        <f t="shared" si="116"/>
        <v>-</v>
      </c>
      <c r="AT264" s="4">
        <f t="shared" si="117"/>
        <v>35</v>
      </c>
      <c r="AU264" s="4">
        <f t="shared" si="118"/>
        <v>7</v>
      </c>
      <c r="AV264" s="4">
        <f t="shared" si="119"/>
        <v>24</v>
      </c>
      <c r="AW264" s="4" t="str">
        <f t="shared" si="120"/>
        <v>-</v>
      </c>
      <c r="AX264" s="4">
        <f t="shared" si="121"/>
        <v>40</v>
      </c>
      <c r="AY264" s="4">
        <f t="shared" si="122"/>
        <v>32</v>
      </c>
      <c r="AZ264" s="4">
        <f t="shared" si="123"/>
        <v>25</v>
      </c>
      <c r="BA264" s="4">
        <f t="shared" si="124"/>
        <v>13</v>
      </c>
    </row>
    <row r="265" spans="1:53" x14ac:dyDescent="0.2">
      <c r="A265" s="1" t="str">
        <f>'SegEnds_NonXtal_Prot#'!A253</f>
        <v>t2r43_human</v>
      </c>
      <c r="B265" s="1" t="str">
        <f t="shared" si="100"/>
        <v>PIIFSSLVVVTFVIGNFANGFIALVNSIEWFISFADQILTALAVSRVGLLWVLLLNWYSTVLSVEVRTTAYNIWAVINHFSNWLATTLSIFYLLKIANRRVKSVILVMLLGPLLFLACHLFVINMKSAMYFSNMTVTMVANLVPFTLTLLSFMLLICSLCKHLKKMPSTKVHIKALQTVISFLLLCAIYFLSIMISVWSNKPVFMFCKAIRFSYPSIHPFILIWGNKKLKQTFLSVFWQ</v>
      </c>
      <c r="C265" s="29" t="str">
        <f>IF(ISERROR(MATCH(A265,'SegEnds_Xtal_Prot#'!B:B, 0)), "NoXtal", "Xtal")</f>
        <v>NoXtal</v>
      </c>
      <c r="D265" s="4" t="str">
        <f>VLOOKUP(A265,Classification!A:D,2,FALSE)</f>
        <v>T</v>
      </c>
      <c r="E265" s="5" t="str">
        <f>VLOOKUP(A265,Seqs!A:B,2,FALSE)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265" s="5" t="str">
        <f t="shared" si="101"/>
        <v>PIIFSSLVVVTFVIGNFANGFIALVNSIEWF</v>
      </c>
      <c r="G265" s="4" t="str">
        <f t="shared" si="102"/>
        <v>KRQK</v>
      </c>
      <c r="H265" s="4" t="str">
        <f t="shared" si="103"/>
        <v>ISFADQILTALAVSRVGLLWVLLLNWYSTVL</v>
      </c>
      <c r="I265" s="4" t="str">
        <f t="shared" si="104"/>
        <v/>
      </c>
      <c r="J265" s="4" t="str">
        <f t="shared" si="105"/>
        <v>SVEVRTTAYNIWAVINHFSNWLATTLSIFYLLKIAN</v>
      </c>
      <c r="K265" s="4" t="str">
        <f t="shared" si="106"/>
        <v>NFIFLHLK</v>
      </c>
      <c r="L265" s="4" t="str">
        <f t="shared" si="107"/>
        <v>RRVKSVILVMLLGPLLFLACHLFVINM</v>
      </c>
      <c r="M265" s="4" t="str">
        <f t="shared" si="108"/>
        <v/>
      </c>
      <c r="N265" s="4" t="str">
        <f t="shared" si="109"/>
        <v>KSAMYFSNMTVTMVANLVPFTLTLLSFMLLICSLCKHLKKM</v>
      </c>
      <c r="O265" s="4" t="str">
        <f t="shared" si="110"/>
        <v>PSTKVHIKALQTVISFLLLCAIYFLSIMISVWS</v>
      </c>
      <c r="P265" s="4" t="str">
        <f t="shared" si="111"/>
        <v>NKPVFMFCKAIRFSYPSIHPFILIWG</v>
      </c>
      <c r="Q265" s="4" t="str">
        <f t="shared" si="112"/>
        <v>NKKLKQTFLSVFWQ</v>
      </c>
      <c r="R265" s="5">
        <f>VLOOKUP($A265,'SegEnds_NonXtal_Prot#'!$A:$AL,3,FALSE)</f>
        <v>6</v>
      </c>
      <c r="S265" s="5">
        <f>VLOOKUP($A265,'SegEnds_NonXtal_Prot#'!$A:$AL,6,FALSE)</f>
        <v>37</v>
      </c>
      <c r="T265" s="5">
        <f>VLOOKUP($A265,'SegEnds_NonXtal_Prot#'!$A:$AL,9,FALSE)</f>
        <v>41</v>
      </c>
      <c r="U265" s="5" t="str">
        <f>VLOOKUP($A265,'SegEnds_NonXtal_Prot#'!$A:$AL,12,FALSE)</f>
        <v>-</v>
      </c>
      <c r="V265" s="5">
        <f>VLOOKUP($A265,'SegEnds_NonXtal_Prot#'!$A:$AL,15,FALSE)</f>
        <v>77</v>
      </c>
      <c r="W265" s="5">
        <f>VLOOKUP($A265,'SegEnds_NonXtal_Prot#'!$A:$AL,18,FALSE)</f>
        <v>115</v>
      </c>
      <c r="X265" s="5">
        <f>VLOOKUP($A265,'SegEnds_NonXtal_Prot#'!$A:$AL,21,FALSE)</f>
        <v>123</v>
      </c>
      <c r="Y265" s="5" t="str">
        <f>VLOOKUP($A265,'SegEnds_NonXtal_Prot#'!$A:$AL,24,FALSE)</f>
        <v>-</v>
      </c>
      <c r="Z265" s="5">
        <f>VLOOKUP($A265,'SegEnds_NonXtal_Prot#'!$A:$AL,27,FALSE)</f>
        <v>169</v>
      </c>
      <c r="AA265" s="5">
        <f>VLOOKUP($A265,'SegEnds_NonXtal_Prot#'!$A:$AL,30,FALSE)</f>
        <v>219</v>
      </c>
      <c r="AB265" s="5">
        <f>VLOOKUP($A265,'SegEnds_NonXtal_Prot#'!$A:$AL,33,FALSE)</f>
        <v>257</v>
      </c>
      <c r="AC265" s="5">
        <f>VLOOKUP($A265,'SegEnds_NonXtal_Prot#'!$A:$AL,36,FALSE)</f>
        <v>283</v>
      </c>
      <c r="AD265" s="5">
        <f>VLOOKUP($A265,'SegEnds_NonXtal_Prot#'!$A:$AL,5,FALSE)</f>
        <v>36</v>
      </c>
      <c r="AE265" s="5">
        <f>VLOOKUP($A265,'SegEnds_NonXtal_Prot#'!$A:$AL,8,FALSE)</f>
        <v>40</v>
      </c>
      <c r="AF265" s="5">
        <f>VLOOKUP($A265,'SegEnds_NonXtal_Prot#'!$A:$AL,11,FALSE)</f>
        <v>71</v>
      </c>
      <c r="AG265" s="5" t="str">
        <f>VLOOKUP($A265,'SegEnds_NonXtal_Prot#'!$A:$AL,14,FALSE)</f>
        <v>-</v>
      </c>
      <c r="AH265" s="5">
        <f>VLOOKUP($A265,'SegEnds_NonXtal_Prot#'!$A:$AL,17,FALSE)</f>
        <v>112</v>
      </c>
      <c r="AI265" s="5">
        <f>VLOOKUP($A265,'SegEnds_NonXtal_Prot#'!$A:$AL,20,FALSE)</f>
        <v>122</v>
      </c>
      <c r="AJ265" s="5">
        <f>VLOOKUP($A265,'SegEnds_NonXtal_Prot#'!$A:$AL,23,FALSE)</f>
        <v>149</v>
      </c>
      <c r="AK265" s="5" t="str">
        <f>VLOOKUP($A265,'SegEnds_NonXtal_Prot#'!$A:$AL,26,FALSE)</f>
        <v>-</v>
      </c>
      <c r="AL265" s="5">
        <f>VLOOKUP($A265,'SegEnds_NonXtal_Prot#'!$A:$AL,29,FALSE)</f>
        <v>209</v>
      </c>
      <c r="AM265" s="5">
        <f>VLOOKUP($A265,'SegEnds_NonXtal_Prot#'!$A:$AL,32,FALSE)</f>
        <v>251</v>
      </c>
      <c r="AN265" s="5">
        <f>VLOOKUP($A265,'SegEnds_NonXtal_Prot#'!$A:$AL,35,FALSE)</f>
        <v>282</v>
      </c>
      <c r="AO265" s="5">
        <f>VLOOKUP($A265,'SegEnds_NonXtal_Prot#'!$A:$AL,38,FALSE)</f>
        <v>296</v>
      </c>
      <c r="AP265" s="5">
        <f t="shared" si="113"/>
        <v>30</v>
      </c>
      <c r="AQ265" s="4">
        <f t="shared" si="114"/>
        <v>3</v>
      </c>
      <c r="AR265" s="4">
        <f t="shared" si="115"/>
        <v>30</v>
      </c>
      <c r="AS265" s="4" t="str">
        <f t="shared" si="116"/>
        <v>-</v>
      </c>
      <c r="AT265" s="4">
        <f t="shared" si="117"/>
        <v>35</v>
      </c>
      <c r="AU265" s="4">
        <f t="shared" si="118"/>
        <v>7</v>
      </c>
      <c r="AV265" s="4">
        <f t="shared" si="119"/>
        <v>26</v>
      </c>
      <c r="AW265" s="4" t="str">
        <f t="shared" si="120"/>
        <v>-</v>
      </c>
      <c r="AX265" s="4">
        <f t="shared" si="121"/>
        <v>40</v>
      </c>
      <c r="AY265" s="4">
        <f t="shared" si="122"/>
        <v>32</v>
      </c>
      <c r="AZ265" s="4">
        <f t="shared" si="123"/>
        <v>25</v>
      </c>
      <c r="BA265" s="4">
        <f t="shared" si="124"/>
        <v>13</v>
      </c>
    </row>
    <row r="266" spans="1:53" x14ac:dyDescent="0.2">
      <c r="A266" s="1" t="str">
        <f>'SegEnds_NonXtal_Prot#'!A254</f>
        <v>t2r45_human</v>
      </c>
      <c r="B266" s="1" t="str">
        <f t="shared" si="100"/>
        <v>PIIFSILVVVTFVIGNFANGFIALVNSTEWVISFADQIVTALAVSRVGLLWVLLLNWYSTVLSVELRTTAYNIWAVTGHFSNWPATSLSIFYLLKIANRRVKSVILVVLLGPLLFLACHLFVVNMRRAMYLSDTTVTMLANLVPFTVTLISFLLLVCSLCKHLKKMKVHIKVLQTVISFFLLRAIYFVSVIISVWSFKNPVFMFCQAIGFSCSSAHPFILIWGNKKLKQTYLSVLWQ</v>
      </c>
      <c r="C266" s="29" t="str">
        <f>IF(ISERROR(MATCH(A266,'SegEnds_Xtal_Prot#'!B:B, 0)), "NoXtal", "Xtal")</f>
        <v>NoXtal</v>
      </c>
      <c r="D266" s="4" t="str">
        <f>VLOOKUP(A266,Classification!A:D,2,FALSE)</f>
        <v>T</v>
      </c>
      <c r="E266" s="5" t="str">
        <f>VLOOKUP(A266,Seqs!A:B,2,FALSE)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266" s="5" t="str">
        <f t="shared" si="101"/>
        <v>PIIFSILVVVTFVIGNFANGFIALVNSTEWV</v>
      </c>
      <c r="G266" s="4" t="str">
        <f t="shared" si="102"/>
        <v>KRQK</v>
      </c>
      <c r="H266" s="4" t="str">
        <f t="shared" si="103"/>
        <v>ISFADQIVTALAVSRVGLLWVLLLNWYSTVL</v>
      </c>
      <c r="I266" s="4" t="str">
        <f t="shared" si="104"/>
        <v/>
      </c>
      <c r="J266" s="4" t="str">
        <f t="shared" si="105"/>
        <v>SVELRTTAYNIWAVTGHFSNWPATSLSIFYLLKIAN</v>
      </c>
      <c r="K266" s="4" t="str">
        <f t="shared" si="106"/>
        <v>NLIFLRLK</v>
      </c>
      <c r="L266" s="4" t="str">
        <f t="shared" si="107"/>
        <v>RRVKSVILVVLLGPLLFLACHLFVVNM</v>
      </c>
      <c r="M266" s="4" t="str">
        <f t="shared" si="108"/>
        <v/>
      </c>
      <c r="N266" s="4" t="str">
        <f t="shared" si="109"/>
        <v>RRAMYLSDTTVTMLANLVPFTVTLISFLLLVCSLCKHLKKM</v>
      </c>
      <c r="O266" s="4" t="str">
        <f t="shared" si="110"/>
        <v>KVHIKVLQTVISFFLLRAIYFVSVIISVWSFKN</v>
      </c>
      <c r="P266" s="4" t="str">
        <f t="shared" si="111"/>
        <v>PVFMFCQAIGFSCSSAHPFILIWG</v>
      </c>
      <c r="Q266" s="4" t="str">
        <f t="shared" si="112"/>
        <v>NKKLKQTYLSVLWQ</v>
      </c>
      <c r="R266" s="5">
        <f>VLOOKUP($A266,'SegEnds_NonXtal_Prot#'!$A:$AL,3,FALSE)</f>
        <v>6</v>
      </c>
      <c r="S266" s="5">
        <f>VLOOKUP($A266,'SegEnds_NonXtal_Prot#'!$A:$AL,6,FALSE)</f>
        <v>37</v>
      </c>
      <c r="T266" s="5">
        <f>VLOOKUP($A266,'SegEnds_NonXtal_Prot#'!$A:$AL,9,FALSE)</f>
        <v>41</v>
      </c>
      <c r="U266" s="5" t="str">
        <f>VLOOKUP($A266,'SegEnds_NonXtal_Prot#'!$A:$AL,12,FALSE)</f>
        <v>-</v>
      </c>
      <c r="V266" s="5">
        <f>VLOOKUP($A266,'SegEnds_NonXtal_Prot#'!$A:$AL,15,FALSE)</f>
        <v>77</v>
      </c>
      <c r="W266" s="5">
        <f>VLOOKUP($A266,'SegEnds_NonXtal_Prot#'!$A:$AL,18,FALSE)</f>
        <v>115</v>
      </c>
      <c r="X266" s="5">
        <f>VLOOKUP($A266,'SegEnds_NonXtal_Prot#'!$A:$AL,21,FALSE)</f>
        <v>123</v>
      </c>
      <c r="Y266" s="5" t="str">
        <f>VLOOKUP($A266,'SegEnds_NonXtal_Prot#'!$A:$AL,24,FALSE)</f>
        <v>-</v>
      </c>
      <c r="Z266" s="5">
        <f>VLOOKUP($A266,'SegEnds_NonXtal_Prot#'!$A:$AL,27,FALSE)</f>
        <v>169</v>
      </c>
      <c r="AA266" s="5">
        <f>VLOOKUP($A266,'SegEnds_NonXtal_Prot#'!$A:$AL,30,FALSE)</f>
        <v>222</v>
      </c>
      <c r="AB266" s="5">
        <f>VLOOKUP($A266,'SegEnds_NonXtal_Prot#'!$A:$AL,33,FALSE)</f>
        <v>259</v>
      </c>
      <c r="AC266" s="5">
        <f>VLOOKUP($A266,'SegEnds_NonXtal_Prot#'!$A:$AL,36,FALSE)</f>
        <v>283</v>
      </c>
      <c r="AD266" s="5">
        <f>VLOOKUP($A266,'SegEnds_NonXtal_Prot#'!$A:$AL,5,FALSE)</f>
        <v>36</v>
      </c>
      <c r="AE266" s="5">
        <f>VLOOKUP($A266,'SegEnds_NonXtal_Prot#'!$A:$AL,8,FALSE)</f>
        <v>40</v>
      </c>
      <c r="AF266" s="5">
        <f>VLOOKUP($A266,'SegEnds_NonXtal_Prot#'!$A:$AL,11,FALSE)</f>
        <v>71</v>
      </c>
      <c r="AG266" s="5" t="str">
        <f>VLOOKUP($A266,'SegEnds_NonXtal_Prot#'!$A:$AL,14,FALSE)</f>
        <v>-</v>
      </c>
      <c r="AH266" s="5">
        <f>VLOOKUP($A266,'SegEnds_NonXtal_Prot#'!$A:$AL,17,FALSE)</f>
        <v>112</v>
      </c>
      <c r="AI266" s="5">
        <f>VLOOKUP($A266,'SegEnds_NonXtal_Prot#'!$A:$AL,20,FALSE)</f>
        <v>122</v>
      </c>
      <c r="AJ266" s="5">
        <f>VLOOKUP($A266,'SegEnds_NonXtal_Prot#'!$A:$AL,23,FALSE)</f>
        <v>149</v>
      </c>
      <c r="AK266" s="5" t="str">
        <f>VLOOKUP($A266,'SegEnds_NonXtal_Prot#'!$A:$AL,26,FALSE)</f>
        <v>-</v>
      </c>
      <c r="AL266" s="5">
        <f>VLOOKUP($A266,'SegEnds_NonXtal_Prot#'!$A:$AL,29,FALSE)</f>
        <v>209</v>
      </c>
      <c r="AM266" s="5">
        <f>VLOOKUP($A266,'SegEnds_NonXtal_Prot#'!$A:$AL,32,FALSE)</f>
        <v>254</v>
      </c>
      <c r="AN266" s="5">
        <f>VLOOKUP($A266,'SegEnds_NonXtal_Prot#'!$A:$AL,35,FALSE)</f>
        <v>282</v>
      </c>
      <c r="AO266" s="5">
        <f>VLOOKUP($A266,'SegEnds_NonXtal_Prot#'!$A:$AL,38,FALSE)</f>
        <v>296</v>
      </c>
      <c r="AP266" s="5">
        <f t="shared" si="113"/>
        <v>30</v>
      </c>
      <c r="AQ266" s="4">
        <f t="shared" si="114"/>
        <v>3</v>
      </c>
      <c r="AR266" s="4">
        <f t="shared" si="115"/>
        <v>30</v>
      </c>
      <c r="AS266" s="4" t="str">
        <f t="shared" si="116"/>
        <v>-</v>
      </c>
      <c r="AT266" s="4">
        <f t="shared" si="117"/>
        <v>35</v>
      </c>
      <c r="AU266" s="4">
        <f t="shared" si="118"/>
        <v>7</v>
      </c>
      <c r="AV266" s="4">
        <f t="shared" si="119"/>
        <v>26</v>
      </c>
      <c r="AW266" s="4" t="str">
        <f t="shared" si="120"/>
        <v>-</v>
      </c>
      <c r="AX266" s="4">
        <f t="shared" si="121"/>
        <v>40</v>
      </c>
      <c r="AY266" s="4">
        <f t="shared" si="122"/>
        <v>32</v>
      </c>
      <c r="AZ266" s="4">
        <f t="shared" si="123"/>
        <v>23</v>
      </c>
      <c r="BA266" s="4">
        <f t="shared" si="124"/>
        <v>13</v>
      </c>
    </row>
    <row r="267" spans="1:53" x14ac:dyDescent="0.2">
      <c r="A267" s="1" t="str">
        <f>'SegEnds_NonXtal_Prot#'!A255</f>
        <v>t2r46_human</v>
      </c>
      <c r="B267" s="1" t="str">
        <f t="shared" si="100"/>
        <v>PIIFSILIVVTFVIGNFANGFIALVNSIEWFISFADQILTALAVSRVGLLWVLVLNWYATELSIEVRITAYNVWAVINHFSNWLATSLSIFYLLKIANRRVKSVVLVILLGPLLFLVCHLFVINMRSAMYLSNTTVTILANLVPFTLTLISFLLLICSLCKHLKKMPSMKVHIKALQTVTSFLLLCAIYFLSIIMSVWSNKPVFMFCEAIAFSYPSTHPFILIWGNKKLKQTFLSVLWH</v>
      </c>
      <c r="C267" s="29" t="str">
        <f>IF(ISERROR(MATCH(A267,'SegEnds_Xtal_Prot#'!B:B, 0)), "NoXtal", "Xtal")</f>
        <v>NoXtal</v>
      </c>
      <c r="D267" s="4" t="str">
        <f>VLOOKUP(A267,Classification!A:D,2,FALSE)</f>
        <v>T</v>
      </c>
      <c r="E267" s="5" t="str">
        <f>VLOOKUP(A267,Seqs!A:B,2,FALSE)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267" s="5" t="str">
        <f t="shared" si="101"/>
        <v>PIIFSILIVVTFVIGNFANGFIALVNSIEWF</v>
      </c>
      <c r="G267" s="4" t="str">
        <f t="shared" si="102"/>
        <v>KRQK</v>
      </c>
      <c r="H267" s="4" t="str">
        <f t="shared" si="103"/>
        <v>ISFADQILTALAVSRVGLLWVLVLNWYATEL</v>
      </c>
      <c r="I267" s="4" t="str">
        <f t="shared" si="104"/>
        <v/>
      </c>
      <c r="J267" s="4" t="str">
        <f t="shared" si="105"/>
        <v>SIEVRITAYNVWAVINHFSNWLATSLSIFYLLKIAN</v>
      </c>
      <c r="K267" s="4" t="str">
        <f t="shared" si="106"/>
        <v>NLIFLHLK</v>
      </c>
      <c r="L267" s="4" t="str">
        <f t="shared" si="107"/>
        <v>RRVKSVVLVILLGPLLFLVCHLFVINM</v>
      </c>
      <c r="M267" s="4" t="str">
        <f t="shared" si="108"/>
        <v/>
      </c>
      <c r="N267" s="4" t="str">
        <f t="shared" si="109"/>
        <v>RSAMYLSNTTVTILANLVPFTLTLISFLLLICSLCKHLKKM</v>
      </c>
      <c r="O267" s="4" t="str">
        <f t="shared" si="110"/>
        <v>PSMKVHIKALQTVTSFLLLCAIYFLSIIMSVWS</v>
      </c>
      <c r="P267" s="4" t="str">
        <f t="shared" si="111"/>
        <v>NKPVFMFCEAIAFSYPSTHPFILIWG</v>
      </c>
      <c r="Q267" s="4" t="str">
        <f t="shared" si="112"/>
        <v>NKKLKQTFLSVLWH</v>
      </c>
      <c r="R267" s="5">
        <f>VLOOKUP($A267,'SegEnds_NonXtal_Prot#'!$A:$AL,3,FALSE)</f>
        <v>6</v>
      </c>
      <c r="S267" s="5">
        <f>VLOOKUP($A267,'SegEnds_NonXtal_Prot#'!$A:$AL,6,FALSE)</f>
        <v>37</v>
      </c>
      <c r="T267" s="5">
        <f>VLOOKUP($A267,'SegEnds_NonXtal_Prot#'!$A:$AL,9,FALSE)</f>
        <v>41</v>
      </c>
      <c r="U267" s="5" t="str">
        <f>VLOOKUP($A267,'SegEnds_NonXtal_Prot#'!$A:$AL,12,FALSE)</f>
        <v>-</v>
      </c>
      <c r="V267" s="5">
        <f>VLOOKUP($A267,'SegEnds_NonXtal_Prot#'!$A:$AL,15,FALSE)</f>
        <v>77</v>
      </c>
      <c r="W267" s="5">
        <f>VLOOKUP($A267,'SegEnds_NonXtal_Prot#'!$A:$AL,18,FALSE)</f>
        <v>115</v>
      </c>
      <c r="X267" s="5">
        <f>VLOOKUP($A267,'SegEnds_NonXtal_Prot#'!$A:$AL,21,FALSE)</f>
        <v>123</v>
      </c>
      <c r="Y267" s="5" t="str">
        <f>VLOOKUP($A267,'SegEnds_NonXtal_Prot#'!$A:$AL,24,FALSE)</f>
        <v>-</v>
      </c>
      <c r="Z267" s="5">
        <f>VLOOKUP($A267,'SegEnds_NonXtal_Prot#'!$A:$AL,27,FALSE)</f>
        <v>169</v>
      </c>
      <c r="AA267" s="5">
        <f>VLOOKUP($A267,'SegEnds_NonXtal_Prot#'!$A:$AL,30,FALSE)</f>
        <v>219</v>
      </c>
      <c r="AB267" s="5">
        <f>VLOOKUP($A267,'SegEnds_NonXtal_Prot#'!$A:$AL,33,FALSE)</f>
        <v>257</v>
      </c>
      <c r="AC267" s="5">
        <f>VLOOKUP($A267,'SegEnds_NonXtal_Prot#'!$A:$AL,36,FALSE)</f>
        <v>283</v>
      </c>
      <c r="AD267" s="5">
        <f>VLOOKUP($A267,'SegEnds_NonXtal_Prot#'!$A:$AL,5,FALSE)</f>
        <v>36</v>
      </c>
      <c r="AE267" s="5">
        <f>VLOOKUP($A267,'SegEnds_NonXtal_Prot#'!$A:$AL,8,FALSE)</f>
        <v>40</v>
      </c>
      <c r="AF267" s="5">
        <f>VLOOKUP($A267,'SegEnds_NonXtal_Prot#'!$A:$AL,11,FALSE)</f>
        <v>71</v>
      </c>
      <c r="AG267" s="5" t="str">
        <f>VLOOKUP($A267,'SegEnds_NonXtal_Prot#'!$A:$AL,14,FALSE)</f>
        <v>-</v>
      </c>
      <c r="AH267" s="5">
        <f>VLOOKUP($A267,'SegEnds_NonXtal_Prot#'!$A:$AL,17,FALSE)</f>
        <v>112</v>
      </c>
      <c r="AI267" s="5">
        <f>VLOOKUP($A267,'SegEnds_NonXtal_Prot#'!$A:$AL,20,FALSE)</f>
        <v>122</v>
      </c>
      <c r="AJ267" s="5">
        <f>VLOOKUP($A267,'SegEnds_NonXtal_Prot#'!$A:$AL,23,FALSE)</f>
        <v>149</v>
      </c>
      <c r="AK267" s="5" t="str">
        <f>VLOOKUP($A267,'SegEnds_NonXtal_Prot#'!$A:$AL,26,FALSE)</f>
        <v>-</v>
      </c>
      <c r="AL267" s="5">
        <f>VLOOKUP($A267,'SegEnds_NonXtal_Prot#'!$A:$AL,29,FALSE)</f>
        <v>209</v>
      </c>
      <c r="AM267" s="5">
        <f>VLOOKUP($A267,'SegEnds_NonXtal_Prot#'!$A:$AL,32,FALSE)</f>
        <v>251</v>
      </c>
      <c r="AN267" s="5">
        <f>VLOOKUP($A267,'SegEnds_NonXtal_Prot#'!$A:$AL,35,FALSE)</f>
        <v>282</v>
      </c>
      <c r="AO267" s="5">
        <f>VLOOKUP($A267,'SegEnds_NonXtal_Prot#'!$A:$AL,38,FALSE)</f>
        <v>296</v>
      </c>
      <c r="AP267" s="5">
        <f t="shared" si="113"/>
        <v>30</v>
      </c>
      <c r="AQ267" s="4">
        <f t="shared" si="114"/>
        <v>3</v>
      </c>
      <c r="AR267" s="4">
        <f t="shared" si="115"/>
        <v>30</v>
      </c>
      <c r="AS267" s="4" t="str">
        <f t="shared" si="116"/>
        <v>-</v>
      </c>
      <c r="AT267" s="4">
        <f t="shared" si="117"/>
        <v>35</v>
      </c>
      <c r="AU267" s="4">
        <f t="shared" si="118"/>
        <v>7</v>
      </c>
      <c r="AV267" s="4">
        <f t="shared" si="119"/>
        <v>26</v>
      </c>
      <c r="AW267" s="4" t="str">
        <f t="shared" si="120"/>
        <v>-</v>
      </c>
      <c r="AX267" s="4">
        <f t="shared" si="121"/>
        <v>40</v>
      </c>
      <c r="AY267" s="4">
        <f t="shared" si="122"/>
        <v>32</v>
      </c>
      <c r="AZ267" s="4">
        <f t="shared" si="123"/>
        <v>25</v>
      </c>
      <c r="BA267" s="4">
        <f t="shared" si="124"/>
        <v>13</v>
      </c>
    </row>
    <row r="268" spans="1:53" x14ac:dyDescent="0.2">
      <c r="A268" s="1" t="str">
        <f>'SegEnds_NonXtal_Prot#'!A256</f>
        <v>t2r50_human</v>
      </c>
      <c r="B268" s="1" t="str">
        <f t="shared" si="100"/>
        <v>YIFFSILIMVLFVLGNFANGFIALVNFIDWVISSADQILTALAVSRIGLLWALLLNWYLTVLSVELRITSYNAWVVTNHFSMWLAANLSIFYLLKIANRRVRSVILVILLGTLIFLVCHLLVANRNTVHLSYLTVTTLWSFIPFTLSLISFLMLICSLCKHLKKMLSTKVHIKALQTLISFLLLCAIFFLFLIVSVWSNDPVVMVSKAVGNIYLAFDSFILIWRTKKLKHTFLLILCQ</v>
      </c>
      <c r="C268" s="29" t="str">
        <f>IF(ISERROR(MATCH(A268,'SegEnds_Xtal_Prot#'!B:B, 0)), "NoXtal", "Xtal")</f>
        <v>NoXtal</v>
      </c>
      <c r="D268" s="4" t="str">
        <f>VLOOKUP(A268,Classification!A:D,2,FALSE)</f>
        <v>T</v>
      </c>
      <c r="E268" s="5" t="str">
        <f>VLOOKUP(A268,Seqs!A:B,2,FALSE)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268" s="5" t="str">
        <f t="shared" si="101"/>
        <v>YIFFSILIMVLFVLGNFANGFIALVNFIDWV</v>
      </c>
      <c r="G268" s="4" t="str">
        <f t="shared" si="102"/>
        <v>KRKK</v>
      </c>
      <c r="H268" s="4" t="str">
        <f t="shared" si="103"/>
        <v>ISSADQILTALAVSRIGLLWALLLNWYLTVL</v>
      </c>
      <c r="I268" s="4" t="str">
        <f t="shared" si="104"/>
        <v/>
      </c>
      <c r="J268" s="4" t="str">
        <f t="shared" si="105"/>
        <v>SVELRITSYNAWVVTNHFSMWLAANLSIFYLLKIAN</v>
      </c>
      <c r="K268" s="4" t="str">
        <f t="shared" si="106"/>
        <v>NLLFLHLK</v>
      </c>
      <c r="L268" s="4" t="str">
        <f t="shared" si="107"/>
        <v>RRVRSVILVILLGTLIFLVCHLLVAN</v>
      </c>
      <c r="M268" s="4" t="str">
        <f t="shared" si="108"/>
        <v/>
      </c>
      <c r="N268" s="4" t="str">
        <f t="shared" si="109"/>
        <v>RNTVHLSYLTVTTLWSFIPFTLSLISFLMLICSLCKHLKKM</v>
      </c>
      <c r="O268" s="4" t="str">
        <f t="shared" si="110"/>
        <v>LSTKVHIKALQTLISFLLLCAIFFLFLIVSVWS</v>
      </c>
      <c r="P268" s="4" t="str">
        <f t="shared" si="111"/>
        <v>NDPVVMVSKAVGNIYLAFDSFILIWR</v>
      </c>
      <c r="Q268" s="4" t="str">
        <f t="shared" si="112"/>
        <v>TKKLKHTFLLILCQ</v>
      </c>
      <c r="R268" s="5">
        <f>VLOOKUP($A268,'SegEnds_NonXtal_Prot#'!$A:$AL,3,FALSE)</f>
        <v>6</v>
      </c>
      <c r="S268" s="5">
        <f>VLOOKUP($A268,'SegEnds_NonXtal_Prot#'!$A:$AL,6,FALSE)</f>
        <v>37</v>
      </c>
      <c r="T268" s="5">
        <f>VLOOKUP($A268,'SegEnds_NonXtal_Prot#'!$A:$AL,9,FALSE)</f>
        <v>41</v>
      </c>
      <c r="U268" s="5" t="str">
        <f>VLOOKUP($A268,'SegEnds_NonXtal_Prot#'!$A:$AL,12,FALSE)</f>
        <v>-</v>
      </c>
      <c r="V268" s="5">
        <f>VLOOKUP($A268,'SegEnds_NonXtal_Prot#'!$A:$AL,15,FALSE)</f>
        <v>77</v>
      </c>
      <c r="W268" s="5">
        <f>VLOOKUP($A268,'SegEnds_NonXtal_Prot#'!$A:$AL,18,FALSE)</f>
        <v>115</v>
      </c>
      <c r="X268" s="5">
        <f>VLOOKUP($A268,'SegEnds_NonXtal_Prot#'!$A:$AL,21,FALSE)</f>
        <v>123</v>
      </c>
      <c r="Y268" s="5" t="str">
        <f>VLOOKUP($A268,'SegEnds_NonXtal_Prot#'!$A:$AL,24,FALSE)</f>
        <v>-</v>
      </c>
      <c r="Z268" s="5">
        <f>VLOOKUP($A268,'SegEnds_NonXtal_Prot#'!$A:$AL,27,FALSE)</f>
        <v>169</v>
      </c>
      <c r="AA268" s="5">
        <f>VLOOKUP($A268,'SegEnds_NonXtal_Prot#'!$A:$AL,30,FALSE)</f>
        <v>219</v>
      </c>
      <c r="AB268" s="5">
        <f>VLOOKUP($A268,'SegEnds_NonXtal_Prot#'!$A:$AL,33,FALSE)</f>
        <v>257</v>
      </c>
      <c r="AC268" s="5">
        <f>VLOOKUP($A268,'SegEnds_NonXtal_Prot#'!$A:$AL,36,FALSE)</f>
        <v>283</v>
      </c>
      <c r="AD268" s="5">
        <f>VLOOKUP($A268,'SegEnds_NonXtal_Prot#'!$A:$AL,5,FALSE)</f>
        <v>36</v>
      </c>
      <c r="AE268" s="5">
        <f>VLOOKUP($A268,'SegEnds_NonXtal_Prot#'!$A:$AL,8,FALSE)</f>
        <v>40</v>
      </c>
      <c r="AF268" s="5">
        <f>VLOOKUP($A268,'SegEnds_NonXtal_Prot#'!$A:$AL,11,FALSE)</f>
        <v>71</v>
      </c>
      <c r="AG268" s="5" t="str">
        <f>VLOOKUP($A268,'SegEnds_NonXtal_Prot#'!$A:$AL,14,FALSE)</f>
        <v>-</v>
      </c>
      <c r="AH268" s="5">
        <f>VLOOKUP($A268,'SegEnds_NonXtal_Prot#'!$A:$AL,17,FALSE)</f>
        <v>112</v>
      </c>
      <c r="AI268" s="5">
        <f>VLOOKUP($A268,'SegEnds_NonXtal_Prot#'!$A:$AL,20,FALSE)</f>
        <v>122</v>
      </c>
      <c r="AJ268" s="5">
        <f>VLOOKUP($A268,'SegEnds_NonXtal_Prot#'!$A:$AL,23,FALSE)</f>
        <v>148</v>
      </c>
      <c r="AK268" s="5" t="str">
        <f>VLOOKUP($A268,'SegEnds_NonXtal_Prot#'!$A:$AL,26,FALSE)</f>
        <v>-</v>
      </c>
      <c r="AL268" s="5">
        <f>VLOOKUP($A268,'SegEnds_NonXtal_Prot#'!$A:$AL,29,FALSE)</f>
        <v>209</v>
      </c>
      <c r="AM268" s="5">
        <f>VLOOKUP($A268,'SegEnds_NonXtal_Prot#'!$A:$AL,32,FALSE)</f>
        <v>251</v>
      </c>
      <c r="AN268" s="5">
        <f>VLOOKUP($A268,'SegEnds_NonXtal_Prot#'!$A:$AL,35,FALSE)</f>
        <v>282</v>
      </c>
      <c r="AO268" s="5">
        <f>VLOOKUP($A268,'SegEnds_NonXtal_Prot#'!$A:$AL,38,FALSE)</f>
        <v>296</v>
      </c>
      <c r="AP268" s="5">
        <f t="shared" si="113"/>
        <v>30</v>
      </c>
      <c r="AQ268" s="4">
        <f t="shared" si="114"/>
        <v>3</v>
      </c>
      <c r="AR268" s="4">
        <f t="shared" si="115"/>
        <v>30</v>
      </c>
      <c r="AS268" s="4" t="str">
        <f t="shared" si="116"/>
        <v>-</v>
      </c>
      <c r="AT268" s="4">
        <f t="shared" si="117"/>
        <v>35</v>
      </c>
      <c r="AU268" s="4">
        <f t="shared" si="118"/>
        <v>7</v>
      </c>
      <c r="AV268" s="4">
        <f t="shared" si="119"/>
        <v>25</v>
      </c>
      <c r="AW268" s="4" t="str">
        <f t="shared" si="120"/>
        <v>-</v>
      </c>
      <c r="AX268" s="4">
        <f t="shared" si="121"/>
        <v>40</v>
      </c>
      <c r="AY268" s="4">
        <f t="shared" si="122"/>
        <v>32</v>
      </c>
      <c r="AZ268" s="4">
        <f t="shared" si="123"/>
        <v>25</v>
      </c>
      <c r="BA268" s="4">
        <f t="shared" si="124"/>
        <v>13</v>
      </c>
    </row>
    <row r="269" spans="1:53" x14ac:dyDescent="0.2">
      <c r="A269" s="1" t="str">
        <f>'SegEnds_NonXtal_Prot#'!A257</f>
        <v>t2r60_human</v>
      </c>
      <c r="B269" s="1" t="str">
        <f t="shared" si="10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269" s="29" t="str">
        <f>IF(ISERROR(MATCH(A269,'SegEnds_Xtal_Prot#'!B:B, 0)), "NoXtal", "Xtal")</f>
        <v>NoXtal</v>
      </c>
      <c r="D269" s="4" t="str">
        <f>VLOOKUP(A269,Classification!A:D,2,FALSE)</f>
        <v>T</v>
      </c>
      <c r="E269" s="5" t="str">
        <f>VLOOKUP(A269,Seqs!A:B,2,FALSE)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269" s="5" t="str">
        <f t="shared" si="101"/>
        <v>AIILVTILLLLRLVAIAGNGFITAALGVEWV</v>
      </c>
      <c r="G269" s="4" t="str">
        <f t="shared" si="102"/>
        <v>LRRM</v>
      </c>
      <c r="H269" s="4" t="str">
        <f t="shared" si="103"/>
        <v>LLPCDKLLVSLGASRFCLQSVVMGKTIYVFL</v>
      </c>
      <c r="I269" s="4" t="str">
        <f t="shared" si="104"/>
        <v/>
      </c>
      <c r="J269" s="4" t="str">
        <f t="shared" si="105"/>
        <v>AFPYNPVLQFLAFQWDFLNAATLWSSTWLSVFYCVKIAT</v>
      </c>
      <c r="K269" s="4" t="str">
        <f t="shared" si="106"/>
        <v>HPVFFWLK</v>
      </c>
      <c r="L269" s="4" t="str">
        <f t="shared" si="107"/>
        <v>HKLSGWLPWMLFSSVGLSSFTTILFFI</v>
      </c>
      <c r="M269" s="4" t="str">
        <f t="shared" si="108"/>
        <v/>
      </c>
      <c r="N269" s="4" t="str">
        <f t="shared" si="109"/>
        <v>SYCEKFYLFPLKMITWTMPTAVFFICMILLITSLGRHRKKA</v>
      </c>
      <c r="O269" s="4" t="str">
        <f t="shared" si="110"/>
        <v>PSVQAHIKALLALLSFAMLFISYFLSLVFSAAG</v>
      </c>
      <c r="P269" s="4" t="str">
        <f t="shared" si="111"/>
        <v>LDFKFWVWESVIYLCAAVHPIILLFS</v>
      </c>
      <c r="Q269" s="4" t="str">
        <f t="shared" si="112"/>
        <v>NCRLRAVLKSRRSS</v>
      </c>
      <c r="R269" s="5">
        <f>VLOOKUP($A269,'SegEnds_NonXtal_Prot#'!$A:$AL,3,FALSE)</f>
        <v>17</v>
      </c>
      <c r="S269" s="5">
        <f>VLOOKUP($A269,'SegEnds_NonXtal_Prot#'!$A:$AL,6,FALSE)</f>
        <v>48</v>
      </c>
      <c r="T269" s="5">
        <f>VLOOKUP($A269,'SegEnds_NonXtal_Prot#'!$A:$AL,9,FALSE)</f>
        <v>52</v>
      </c>
      <c r="U269" s="5" t="str">
        <f>VLOOKUP($A269,'SegEnds_NonXtal_Prot#'!$A:$AL,12,FALSE)</f>
        <v>-</v>
      </c>
      <c r="V269" s="5">
        <f>VLOOKUP($A269,'SegEnds_NonXtal_Prot#'!$A:$AL,15,FALSE)</f>
        <v>86</v>
      </c>
      <c r="W269" s="5">
        <f>VLOOKUP($A269,'SegEnds_NonXtal_Prot#'!$A:$AL,18,FALSE)</f>
        <v>127</v>
      </c>
      <c r="X269" s="5">
        <f>VLOOKUP($A269,'SegEnds_NonXtal_Prot#'!$A:$AL,21,FALSE)</f>
        <v>135</v>
      </c>
      <c r="Y269" s="5" t="str">
        <f>VLOOKUP($A269,'SegEnds_NonXtal_Prot#'!$A:$AL,24,FALSE)</f>
        <v>-</v>
      </c>
      <c r="Z269" s="5">
        <f>VLOOKUP($A269,'SegEnds_NonXtal_Prot#'!$A:$AL,27,FALSE)</f>
        <v>187</v>
      </c>
      <c r="AA269" s="5">
        <f>VLOOKUP($A269,'SegEnds_NonXtal_Prot#'!$A:$AL,30,FALSE)</f>
        <v>237</v>
      </c>
      <c r="AB269" s="5">
        <f>VLOOKUP($A269,'SegEnds_NonXtal_Prot#'!$A:$AL,33,FALSE)</f>
        <v>274</v>
      </c>
      <c r="AC269" s="5">
        <f>VLOOKUP($A269,'SegEnds_NonXtal_Prot#'!$A:$AL,36,FALSE)</f>
        <v>300</v>
      </c>
      <c r="AD269" s="5">
        <f>VLOOKUP($A269,'SegEnds_NonXtal_Prot#'!$A:$AL,5,FALSE)</f>
        <v>47</v>
      </c>
      <c r="AE269" s="5">
        <f>VLOOKUP($A269,'SegEnds_NonXtal_Prot#'!$A:$AL,8,FALSE)</f>
        <v>51</v>
      </c>
      <c r="AF269" s="5">
        <f>VLOOKUP($A269,'SegEnds_NonXtal_Prot#'!$A:$AL,11,FALSE)</f>
        <v>82</v>
      </c>
      <c r="AG269" s="5" t="str">
        <f>VLOOKUP($A269,'SegEnds_NonXtal_Prot#'!$A:$AL,14,FALSE)</f>
        <v>-</v>
      </c>
      <c r="AH269" s="5">
        <f>VLOOKUP($A269,'SegEnds_NonXtal_Prot#'!$A:$AL,17,FALSE)</f>
        <v>124</v>
      </c>
      <c r="AI269" s="5">
        <f>VLOOKUP($A269,'SegEnds_NonXtal_Prot#'!$A:$AL,20,FALSE)</f>
        <v>134</v>
      </c>
      <c r="AJ269" s="5">
        <f>VLOOKUP($A269,'SegEnds_NonXtal_Prot#'!$A:$AL,23,FALSE)</f>
        <v>161</v>
      </c>
      <c r="AK269" s="5" t="str">
        <f>VLOOKUP($A269,'SegEnds_NonXtal_Prot#'!$A:$AL,26,FALSE)</f>
        <v>-</v>
      </c>
      <c r="AL269" s="5">
        <f>VLOOKUP($A269,'SegEnds_NonXtal_Prot#'!$A:$AL,29,FALSE)</f>
        <v>227</v>
      </c>
      <c r="AM269" s="5">
        <f>VLOOKUP($A269,'SegEnds_NonXtal_Prot#'!$A:$AL,32,FALSE)</f>
        <v>269</v>
      </c>
      <c r="AN269" s="5">
        <f>VLOOKUP($A269,'SegEnds_NonXtal_Prot#'!$A:$AL,35,FALSE)</f>
        <v>299</v>
      </c>
      <c r="AO269" s="5">
        <f>VLOOKUP($A269,'SegEnds_NonXtal_Prot#'!$A:$AL,38,FALSE)</f>
        <v>313</v>
      </c>
      <c r="AP269" s="5">
        <f t="shared" si="113"/>
        <v>30</v>
      </c>
      <c r="AQ269" s="4">
        <f t="shared" si="114"/>
        <v>3</v>
      </c>
      <c r="AR269" s="4">
        <f t="shared" si="115"/>
        <v>30</v>
      </c>
      <c r="AS269" s="4" t="str">
        <f t="shared" si="116"/>
        <v>-</v>
      </c>
      <c r="AT269" s="4">
        <f t="shared" si="117"/>
        <v>38</v>
      </c>
      <c r="AU269" s="4">
        <f t="shared" si="118"/>
        <v>7</v>
      </c>
      <c r="AV269" s="4">
        <f t="shared" si="119"/>
        <v>26</v>
      </c>
      <c r="AW269" s="4" t="str">
        <f t="shared" si="120"/>
        <v>-</v>
      </c>
      <c r="AX269" s="4">
        <f t="shared" si="121"/>
        <v>40</v>
      </c>
      <c r="AY269" s="4">
        <f t="shared" si="122"/>
        <v>32</v>
      </c>
      <c r="AZ269" s="4">
        <f t="shared" si="123"/>
        <v>25</v>
      </c>
      <c r="BA269" s="4">
        <f t="shared" si="124"/>
        <v>13</v>
      </c>
    </row>
    <row r="270" spans="1:53" x14ac:dyDescent="0.2">
      <c r="A270" s="1" t="str">
        <f>'SegEnds_NonXtal_Prot#'!A258</f>
        <v>ta2r_human</v>
      </c>
      <c r="B270" s="1" t="str">
        <f t="shared" si="100"/>
        <v>EERRLIASPWFAASFCVVGLASNLLALSVLAGASSFLTFLCGLVLTDFLGLLVTGTIVVSQHAAVDPGCRLCRFMGVVMIFFGLSPLLLGAAMASERYLGITRSQRRAWATVGLVWAAALALGLLPLLGGGLSVGLSFLLNTVSVATLCHVYHGQEAAQQRPEVEMMAQLLGIMVVASVCWLPLLVFIAQTVLRNPPAGQLSRTTEKELLIYLRVATWNQILDPWVYILFRRAVLRRLQPRLS</v>
      </c>
      <c r="C270" s="29" t="str">
        <f>IF(ISERROR(MATCH(A270,'SegEnds_Xtal_Prot#'!B:B, 0)), "NoXtal", "Xtal")</f>
        <v>NoXtal</v>
      </c>
      <c r="D270" s="4" t="str">
        <f>VLOOKUP(A270,Classification!A:D,2,FALSE)</f>
        <v>A</v>
      </c>
      <c r="E270" s="5" t="str">
        <f>VLOOKUP(A270,Seqs!A:B,2,FALSE)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70" s="5" t="str">
        <f t="shared" si="101"/>
        <v>EERRLIASPWFAASFCVVGLASNLLALSVLAGA</v>
      </c>
      <c r="G270" s="4" t="str">
        <f t="shared" si="102"/>
        <v/>
      </c>
      <c r="H270" s="4" t="str">
        <f t="shared" si="103"/>
        <v>SSFLTFLCGLVLTDFLGLLVTGTIVVSQHAA</v>
      </c>
      <c r="I270" s="4" t="str">
        <f t="shared" si="104"/>
        <v>EWHA</v>
      </c>
      <c r="J270" s="4" t="str">
        <f t="shared" si="105"/>
        <v>VDPGCRLCRFMGVVMIFFGLSPLLLGAAMASERYLGITR</v>
      </c>
      <c r="K270" s="4" t="str">
        <f t="shared" si="106"/>
        <v>PFSRPAVA</v>
      </c>
      <c r="L270" s="4" t="str">
        <f t="shared" si="107"/>
        <v>SQRRAWATVGLVWAAALALGLLPLLG</v>
      </c>
      <c r="M270" s="4" t="str">
        <f t="shared" si="108"/>
        <v>CFL</v>
      </c>
      <c r="N270" s="4" t="str">
        <f t="shared" si="109"/>
        <v>GGLSVGLSFLLNTVSVATLCHVYHGQEAAQQRP</v>
      </c>
      <c r="O270" s="4" t="str">
        <f t="shared" si="110"/>
        <v>EVEMMAQLLGIMVVASVCWLPLLVFIAQTVLRNPP</v>
      </c>
      <c r="P270" s="4" t="str">
        <f t="shared" si="111"/>
        <v>AGQLSRTTEKELLIYLRVATWNQILDPWVYILF</v>
      </c>
      <c r="Q270" s="4" t="str">
        <f t="shared" si="112"/>
        <v>RRAVLRRLQPRLS</v>
      </c>
      <c r="R270" s="5">
        <f>VLOOKUP($A270,'SegEnds_NonXtal_Prot#'!$A:$AL,3,FALSE)</f>
        <v>20</v>
      </c>
      <c r="S270" s="5" t="str">
        <f>VLOOKUP($A270,'SegEnds_NonXtal_Prot#'!$A:$AL,6,FALSE)</f>
        <v>-</v>
      </c>
      <c r="T270" s="5">
        <f>VLOOKUP($A270,'SegEnds_NonXtal_Prot#'!$A:$AL,9,FALSE)</f>
        <v>61</v>
      </c>
      <c r="U270" s="5">
        <f>VLOOKUP($A270,'SegEnds_NonXtal_Prot#'!$A:$AL,12,FALSE)</f>
        <v>94</v>
      </c>
      <c r="V270" s="5">
        <f>VLOOKUP($A270,'SegEnds_NonXtal_Prot#'!$A:$AL,15,FALSE)</f>
        <v>98</v>
      </c>
      <c r="W270" s="5">
        <f>VLOOKUP($A270,'SegEnds_NonXtal_Prot#'!$A:$AL,18,FALSE)</f>
        <v>137</v>
      </c>
      <c r="X270" s="5">
        <f>VLOOKUP($A270,'SegEnds_NonXtal_Prot#'!$A:$AL,21,FALSE)</f>
        <v>145</v>
      </c>
      <c r="Y270" s="5">
        <f>VLOOKUP($A270,'SegEnds_NonXtal_Prot#'!$A:$AL,24,FALSE)</f>
        <v>183</v>
      </c>
      <c r="Z270" s="5">
        <f>VLOOKUP($A270,'SegEnds_NonXtal_Prot#'!$A:$AL,27,FALSE)</f>
        <v>204</v>
      </c>
      <c r="AA270" s="5">
        <f>VLOOKUP($A270,'SegEnds_NonXtal_Prot#'!$A:$AL,30,FALSE)</f>
        <v>240</v>
      </c>
      <c r="AB270" s="5">
        <f>VLOOKUP($A270,'SegEnds_NonXtal_Prot#'!$A:$AL,33,FALSE)</f>
        <v>279</v>
      </c>
      <c r="AC270" s="5">
        <f>VLOOKUP($A270,'SegEnds_NonXtal_Prot#'!$A:$AL,36,FALSE)</f>
        <v>312</v>
      </c>
      <c r="AD270" s="5">
        <f>VLOOKUP($A270,'SegEnds_NonXtal_Prot#'!$A:$AL,5,FALSE)</f>
        <v>52</v>
      </c>
      <c r="AE270" s="5" t="str">
        <f>VLOOKUP($A270,'SegEnds_NonXtal_Prot#'!$A:$AL,8,FALSE)</f>
        <v>-</v>
      </c>
      <c r="AF270" s="5">
        <f>VLOOKUP($A270,'SegEnds_NonXtal_Prot#'!$A:$AL,11,FALSE)</f>
        <v>91</v>
      </c>
      <c r="AG270" s="5">
        <f>VLOOKUP($A270,'SegEnds_NonXtal_Prot#'!$A:$AL,14,FALSE)</f>
        <v>97</v>
      </c>
      <c r="AH270" s="5">
        <f>VLOOKUP($A270,'SegEnds_NonXtal_Prot#'!$A:$AL,17,FALSE)</f>
        <v>136</v>
      </c>
      <c r="AI270" s="5">
        <f>VLOOKUP($A270,'SegEnds_NonXtal_Prot#'!$A:$AL,20,FALSE)</f>
        <v>144</v>
      </c>
      <c r="AJ270" s="5">
        <f>VLOOKUP($A270,'SegEnds_NonXtal_Prot#'!$A:$AL,23,FALSE)</f>
        <v>170</v>
      </c>
      <c r="AK270" s="5">
        <f>VLOOKUP($A270,'SegEnds_NonXtal_Prot#'!$A:$AL,26,FALSE)</f>
        <v>185</v>
      </c>
      <c r="AL270" s="5">
        <f>VLOOKUP($A270,'SegEnds_NonXtal_Prot#'!$A:$AL,29,FALSE)</f>
        <v>236</v>
      </c>
      <c r="AM270" s="5">
        <f>VLOOKUP($A270,'SegEnds_NonXtal_Prot#'!$A:$AL,32,FALSE)</f>
        <v>274</v>
      </c>
      <c r="AN270" s="5">
        <f>VLOOKUP($A270,'SegEnds_NonXtal_Prot#'!$A:$AL,35,FALSE)</f>
        <v>311</v>
      </c>
      <c r="AO270" s="5">
        <f>VLOOKUP($A270,'SegEnds_NonXtal_Prot#'!$A:$AL,38,FALSE)</f>
        <v>324</v>
      </c>
      <c r="AP270" s="5">
        <f t="shared" si="113"/>
        <v>32</v>
      </c>
      <c r="AQ270" s="4" t="str">
        <f t="shared" si="114"/>
        <v>-</v>
      </c>
      <c r="AR270" s="4">
        <f t="shared" si="115"/>
        <v>30</v>
      </c>
      <c r="AS270" s="4">
        <f t="shared" si="116"/>
        <v>3</v>
      </c>
      <c r="AT270" s="4">
        <f t="shared" si="117"/>
        <v>38</v>
      </c>
      <c r="AU270" s="4">
        <f t="shared" si="118"/>
        <v>7</v>
      </c>
      <c r="AV270" s="4">
        <f t="shared" si="119"/>
        <v>25</v>
      </c>
      <c r="AW270" s="4">
        <f t="shared" si="120"/>
        <v>2</v>
      </c>
      <c r="AX270" s="4">
        <f t="shared" si="121"/>
        <v>32</v>
      </c>
      <c r="AY270" s="4">
        <f t="shared" si="122"/>
        <v>34</v>
      </c>
      <c r="AZ270" s="4">
        <f t="shared" si="123"/>
        <v>32</v>
      </c>
      <c r="BA270" s="4">
        <f t="shared" si="124"/>
        <v>12</v>
      </c>
    </row>
    <row r="271" spans="1:53" x14ac:dyDescent="0.2">
      <c r="A271" s="1" t="str">
        <f>'SegEnds_NonXtal_Prot#'!A259</f>
        <v>ta2r1_human</v>
      </c>
      <c r="B271" s="1" t="str">
        <f t="shared" si="10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271" s="29" t="str">
        <f>IF(ISERROR(MATCH(A271,'SegEnds_Xtal_Prot#'!B:B, 0)), "NoXtal", "Xtal")</f>
        <v>NoXtal</v>
      </c>
      <c r="D271" s="4" t="str">
        <f>VLOOKUP(A271,Classification!A:D,2,FALSE)</f>
        <v>T</v>
      </c>
      <c r="E271" s="5" t="str">
        <f>VLOOKUP(A271,Seqs!A:B,2,FALSE)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271" s="5" t="str">
        <f t="shared" si="101"/>
        <v>LIIYFLLAVIQFLLGIFTNGIIVVVNGIDLI</v>
      </c>
      <c r="G271" s="4" t="str">
        <f t="shared" si="102"/>
        <v>KHRK</v>
      </c>
      <c r="H271" s="4" t="str">
        <f t="shared" si="103"/>
        <v>MAPLDLLLSCLAVSRIFLQLFIFYVNVIVIF</v>
      </c>
      <c r="I271" s="4" t="str">
        <f t="shared" si="104"/>
        <v/>
      </c>
      <c r="J271" s="4" t="str">
        <f t="shared" si="105"/>
        <v>MCSANCAILLFINELELWLATWLGVFYCAKVAS</v>
      </c>
      <c r="K271" s="4" t="str">
        <f t="shared" si="106"/>
        <v>HPLFIWLK</v>
      </c>
      <c r="L271" s="4" t="str">
        <f t="shared" si="107"/>
        <v>MRISKLVPWMILGSLLYVSMICVFHSK</v>
      </c>
      <c r="M271" s="4" t="str">
        <f t="shared" si="108"/>
        <v/>
      </c>
      <c r="N271" s="4" t="str">
        <f t="shared" si="109"/>
        <v>KEDTLAIQIFSFVAEFSVPLLIFLFAVLLLIFSLGRHTRQM</v>
      </c>
      <c r="O271" s="4" t="str">
        <f t="shared" si="110"/>
        <v>PGRGAPISALLSILSFLILYFSHCMIKVFLSSL</v>
      </c>
      <c r="P271" s="4" t="str">
        <f t="shared" si="111"/>
        <v>RRFIFLFFILVIGIYPSGHSLILILG</v>
      </c>
      <c r="Q271" s="4" t="str">
        <f t="shared" si="112"/>
        <v>NPKLKQNAKKFLLH</v>
      </c>
      <c r="R271" s="5">
        <f>VLOOKUP($A271,'SegEnds_NonXtal_Prot#'!$A:$AL,3,FALSE)</f>
        <v>6</v>
      </c>
      <c r="S271" s="5">
        <f>VLOOKUP($A271,'SegEnds_NonXtal_Prot#'!$A:$AL,6,FALSE)</f>
        <v>37</v>
      </c>
      <c r="T271" s="5">
        <f>VLOOKUP($A271,'SegEnds_NonXtal_Prot#'!$A:$AL,9,FALSE)</f>
        <v>41</v>
      </c>
      <c r="U271" s="5" t="str">
        <f>VLOOKUP($A271,'SegEnds_NonXtal_Prot#'!$A:$AL,12,FALSE)</f>
        <v>-</v>
      </c>
      <c r="V271" s="5">
        <f>VLOOKUP($A271,'SegEnds_NonXtal_Prot#'!$A:$AL,15,FALSE)</f>
        <v>77</v>
      </c>
      <c r="W271" s="5">
        <f>VLOOKUP($A271,'SegEnds_NonXtal_Prot#'!$A:$AL,18,FALSE)</f>
        <v>112</v>
      </c>
      <c r="X271" s="5">
        <f>VLOOKUP($A271,'SegEnds_NonXtal_Prot#'!$A:$AL,21,FALSE)</f>
        <v>120</v>
      </c>
      <c r="Y271" s="5" t="str">
        <f>VLOOKUP($A271,'SegEnds_NonXtal_Prot#'!$A:$AL,24,FALSE)</f>
        <v>-</v>
      </c>
      <c r="Z271" s="5">
        <f>VLOOKUP($A271,'SegEnds_NonXtal_Prot#'!$A:$AL,27,FALSE)</f>
        <v>168</v>
      </c>
      <c r="AA271" s="5">
        <f>VLOOKUP($A271,'SegEnds_NonXtal_Prot#'!$A:$AL,30,FALSE)</f>
        <v>218</v>
      </c>
      <c r="AB271" s="5">
        <f>VLOOKUP($A271,'SegEnds_NonXtal_Prot#'!$A:$AL,33,FALSE)</f>
        <v>255</v>
      </c>
      <c r="AC271" s="5">
        <f>VLOOKUP($A271,'SegEnds_NonXtal_Prot#'!$A:$AL,36,FALSE)</f>
        <v>281</v>
      </c>
      <c r="AD271" s="5">
        <f>VLOOKUP($A271,'SegEnds_NonXtal_Prot#'!$A:$AL,5,FALSE)</f>
        <v>36</v>
      </c>
      <c r="AE271" s="5">
        <f>VLOOKUP($A271,'SegEnds_NonXtal_Prot#'!$A:$AL,8,FALSE)</f>
        <v>40</v>
      </c>
      <c r="AF271" s="5">
        <f>VLOOKUP($A271,'SegEnds_NonXtal_Prot#'!$A:$AL,11,FALSE)</f>
        <v>71</v>
      </c>
      <c r="AG271" s="5" t="str">
        <f>VLOOKUP($A271,'SegEnds_NonXtal_Prot#'!$A:$AL,14,FALSE)</f>
        <v>-</v>
      </c>
      <c r="AH271" s="5">
        <f>VLOOKUP($A271,'SegEnds_NonXtal_Prot#'!$A:$AL,17,FALSE)</f>
        <v>109</v>
      </c>
      <c r="AI271" s="5">
        <f>VLOOKUP($A271,'SegEnds_NonXtal_Prot#'!$A:$AL,20,FALSE)</f>
        <v>119</v>
      </c>
      <c r="AJ271" s="5">
        <f>VLOOKUP($A271,'SegEnds_NonXtal_Prot#'!$A:$AL,23,FALSE)</f>
        <v>146</v>
      </c>
      <c r="AK271" s="5" t="str">
        <f>VLOOKUP($A271,'SegEnds_NonXtal_Prot#'!$A:$AL,26,FALSE)</f>
        <v>-</v>
      </c>
      <c r="AL271" s="5">
        <f>VLOOKUP($A271,'SegEnds_NonXtal_Prot#'!$A:$AL,29,FALSE)</f>
        <v>208</v>
      </c>
      <c r="AM271" s="5">
        <f>VLOOKUP($A271,'SegEnds_NonXtal_Prot#'!$A:$AL,32,FALSE)</f>
        <v>250</v>
      </c>
      <c r="AN271" s="5">
        <f>VLOOKUP($A271,'SegEnds_NonXtal_Prot#'!$A:$AL,35,FALSE)</f>
        <v>280</v>
      </c>
      <c r="AO271" s="5">
        <f>VLOOKUP($A271,'SegEnds_NonXtal_Prot#'!$A:$AL,38,FALSE)</f>
        <v>294</v>
      </c>
      <c r="AP271" s="5">
        <f t="shared" si="113"/>
        <v>30</v>
      </c>
      <c r="AQ271" s="4">
        <f t="shared" si="114"/>
        <v>3</v>
      </c>
      <c r="AR271" s="4">
        <f t="shared" si="115"/>
        <v>30</v>
      </c>
      <c r="AS271" s="4" t="str">
        <f t="shared" si="116"/>
        <v>-</v>
      </c>
      <c r="AT271" s="4">
        <f t="shared" si="117"/>
        <v>32</v>
      </c>
      <c r="AU271" s="4">
        <f t="shared" si="118"/>
        <v>7</v>
      </c>
      <c r="AV271" s="4">
        <f t="shared" si="119"/>
        <v>26</v>
      </c>
      <c r="AW271" s="4" t="str">
        <f t="shared" si="120"/>
        <v>-</v>
      </c>
      <c r="AX271" s="4">
        <f t="shared" si="121"/>
        <v>40</v>
      </c>
      <c r="AY271" s="4">
        <f t="shared" si="122"/>
        <v>32</v>
      </c>
      <c r="AZ271" s="4">
        <f t="shared" si="123"/>
        <v>25</v>
      </c>
      <c r="BA271" s="4">
        <f t="shared" si="124"/>
        <v>13</v>
      </c>
    </row>
    <row r="272" spans="1:53" x14ac:dyDescent="0.2">
      <c r="A272" s="1" t="str">
        <f>'SegEnds_NonXtal_Prot#'!A260</f>
        <v>ta2r3_human</v>
      </c>
      <c r="B272" s="1" t="str">
        <f t="shared" si="10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272" s="29" t="str">
        <f>IF(ISERROR(MATCH(A272,'SegEnds_Xtal_Prot#'!B:B, 0)), "NoXtal", "Xtal")</f>
        <v>NoXtal</v>
      </c>
      <c r="D272" s="4" t="str">
        <f>VLOOKUP(A272,Classification!A:D,2,FALSE)</f>
        <v>T</v>
      </c>
      <c r="E272" s="5" t="str">
        <f>VLOOKUP(A272,Seqs!A:B,2,FALSE)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272" s="5" t="str">
        <f t="shared" si="101"/>
        <v>EGVFLILSGTQFTLGILVNCFIELVNGSSWF</v>
      </c>
      <c r="G272" s="4" t="str">
        <f t="shared" si="102"/>
        <v>KTKR</v>
      </c>
      <c r="H272" s="4" t="str">
        <f t="shared" si="103"/>
        <v>MSLSDFIITTLALLRIILLCIILTDSFLIEFS</v>
      </c>
      <c r="I272" s="4" t="str">
        <f t="shared" si="104"/>
        <v/>
      </c>
      <c r="J272" s="4" t="str">
        <f t="shared" si="105"/>
        <v>SGIIMQIIDVSWTFTNHLSIWLATCLGVLYCLKIAS</v>
      </c>
      <c r="K272" s="4" t="str">
        <f t="shared" si="106"/>
        <v>HPTFLWLK</v>
      </c>
      <c r="L272" s="4" t="str">
        <f t="shared" si="107"/>
        <v>WRVSRVMVWMLLGALLLSCGSTASLIN</v>
      </c>
      <c r="M272" s="4" t="str">
        <f t="shared" si="108"/>
        <v/>
      </c>
      <c r="N272" s="4" t="str">
        <f t="shared" si="109"/>
        <v>KRSEYYLIHVLGTLWYLPPLIVSLASYSLLIFSLGRHTRQM</v>
      </c>
      <c r="O272" s="4" t="str">
        <f t="shared" si="110"/>
        <v>PTTEAHKRAIRIILSFFFLFLLYFLAFLIASFG</v>
      </c>
      <c r="P272" s="4" t="str">
        <f t="shared" si="111"/>
        <v>TKMAKMIGEVMTMFYPAGHSFILILG</v>
      </c>
      <c r="Q272" s="4" t="str">
        <f t="shared" si="112"/>
        <v>NSKLKQTFVVMLRC</v>
      </c>
      <c r="R272" s="5">
        <f>VLOOKUP($A272,'SegEnds_NonXtal_Prot#'!$A:$AL,3,FALSE)</f>
        <v>6</v>
      </c>
      <c r="S272" s="5">
        <f>VLOOKUP($A272,'SegEnds_NonXtal_Prot#'!$A:$AL,6,FALSE)</f>
        <v>37</v>
      </c>
      <c r="T272" s="5">
        <f>VLOOKUP($A272,'SegEnds_NonXtal_Prot#'!$A:$AL,9,FALSE)</f>
        <v>41</v>
      </c>
      <c r="U272" s="5" t="str">
        <f>VLOOKUP($A272,'SegEnds_NonXtal_Prot#'!$A:$AL,12,FALSE)</f>
        <v>-</v>
      </c>
      <c r="V272" s="5">
        <f>VLOOKUP($A272,'SegEnds_NonXtal_Prot#'!$A:$AL,15,FALSE)</f>
        <v>78</v>
      </c>
      <c r="W272" s="5">
        <f>VLOOKUP($A272,'SegEnds_NonXtal_Prot#'!$A:$AL,18,FALSE)</f>
        <v>116</v>
      </c>
      <c r="X272" s="5">
        <f>VLOOKUP($A272,'SegEnds_NonXtal_Prot#'!$A:$AL,21,FALSE)</f>
        <v>124</v>
      </c>
      <c r="Y272" s="5" t="str">
        <f>VLOOKUP($A272,'SegEnds_NonXtal_Prot#'!$A:$AL,24,FALSE)</f>
        <v>-</v>
      </c>
      <c r="Z272" s="5">
        <f>VLOOKUP($A272,'SegEnds_NonXtal_Prot#'!$A:$AL,27,FALSE)</f>
        <v>174</v>
      </c>
      <c r="AA272" s="5">
        <f>VLOOKUP($A272,'SegEnds_NonXtal_Prot#'!$A:$AL,30,FALSE)</f>
        <v>224</v>
      </c>
      <c r="AB272" s="5">
        <f>VLOOKUP($A272,'SegEnds_NonXtal_Prot#'!$A:$AL,33,FALSE)</f>
        <v>262</v>
      </c>
      <c r="AC272" s="5">
        <f>VLOOKUP($A272,'SegEnds_NonXtal_Prot#'!$A:$AL,36,FALSE)</f>
        <v>288</v>
      </c>
      <c r="AD272" s="5">
        <f>VLOOKUP($A272,'SegEnds_NonXtal_Prot#'!$A:$AL,5,FALSE)</f>
        <v>36</v>
      </c>
      <c r="AE272" s="5">
        <f>VLOOKUP($A272,'SegEnds_NonXtal_Prot#'!$A:$AL,8,FALSE)</f>
        <v>40</v>
      </c>
      <c r="AF272" s="5">
        <f>VLOOKUP($A272,'SegEnds_NonXtal_Prot#'!$A:$AL,11,FALSE)</f>
        <v>72</v>
      </c>
      <c r="AG272" s="5" t="str">
        <f>VLOOKUP($A272,'SegEnds_NonXtal_Prot#'!$A:$AL,14,FALSE)</f>
        <v>-</v>
      </c>
      <c r="AH272" s="5">
        <f>VLOOKUP($A272,'SegEnds_NonXtal_Prot#'!$A:$AL,17,FALSE)</f>
        <v>113</v>
      </c>
      <c r="AI272" s="5">
        <f>VLOOKUP($A272,'SegEnds_NonXtal_Prot#'!$A:$AL,20,FALSE)</f>
        <v>123</v>
      </c>
      <c r="AJ272" s="5">
        <f>VLOOKUP($A272,'SegEnds_NonXtal_Prot#'!$A:$AL,23,FALSE)</f>
        <v>150</v>
      </c>
      <c r="AK272" s="5" t="str">
        <f>VLOOKUP($A272,'SegEnds_NonXtal_Prot#'!$A:$AL,26,FALSE)</f>
        <v>-</v>
      </c>
      <c r="AL272" s="5">
        <f>VLOOKUP($A272,'SegEnds_NonXtal_Prot#'!$A:$AL,29,FALSE)</f>
        <v>214</v>
      </c>
      <c r="AM272" s="5">
        <f>VLOOKUP($A272,'SegEnds_NonXtal_Prot#'!$A:$AL,32,FALSE)</f>
        <v>256</v>
      </c>
      <c r="AN272" s="5">
        <f>VLOOKUP($A272,'SegEnds_NonXtal_Prot#'!$A:$AL,35,FALSE)</f>
        <v>287</v>
      </c>
      <c r="AO272" s="5">
        <f>VLOOKUP($A272,'SegEnds_NonXtal_Prot#'!$A:$AL,38,FALSE)</f>
        <v>301</v>
      </c>
      <c r="AP272" s="5">
        <f t="shared" si="113"/>
        <v>30</v>
      </c>
      <c r="AQ272" s="4">
        <f t="shared" si="114"/>
        <v>3</v>
      </c>
      <c r="AR272" s="4">
        <f t="shared" si="115"/>
        <v>31</v>
      </c>
      <c r="AS272" s="4" t="str">
        <f t="shared" si="116"/>
        <v>-</v>
      </c>
      <c r="AT272" s="4">
        <f t="shared" si="117"/>
        <v>35</v>
      </c>
      <c r="AU272" s="4">
        <f t="shared" si="118"/>
        <v>7</v>
      </c>
      <c r="AV272" s="4">
        <f t="shared" si="119"/>
        <v>26</v>
      </c>
      <c r="AW272" s="4" t="str">
        <f t="shared" si="120"/>
        <v>-</v>
      </c>
      <c r="AX272" s="4">
        <f t="shared" si="121"/>
        <v>40</v>
      </c>
      <c r="AY272" s="4">
        <f t="shared" si="122"/>
        <v>32</v>
      </c>
      <c r="AZ272" s="4">
        <f t="shared" si="123"/>
        <v>25</v>
      </c>
      <c r="BA272" s="4">
        <f t="shared" si="124"/>
        <v>13</v>
      </c>
    </row>
    <row r="273" spans="1:53" x14ac:dyDescent="0.2">
      <c r="A273" s="1" t="str">
        <f>'SegEnds_NonXtal_Prot#'!A261</f>
        <v>ta2r4_human</v>
      </c>
      <c r="B273" s="1" t="str">
        <f t="shared" si="10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273" s="29" t="str">
        <f>IF(ISERROR(MATCH(A273,'SegEnds_Xtal_Prot#'!B:B, 0)), "NoXtal", "Xtal")</f>
        <v>NoXtal</v>
      </c>
      <c r="D273" s="4" t="str">
        <f>VLOOKUP(A273,Classification!A:D,2,FALSE)</f>
        <v>T</v>
      </c>
      <c r="E273" s="5" t="str">
        <f>VLOOKUP(A273,Seqs!A:B,2,FALSE)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273" s="5" t="str">
        <f t="shared" si="101"/>
        <v>YFSAIIASVILNFVGIIMNLFITVVNCKTWV</v>
      </c>
      <c r="G273" s="4" t="str">
        <f t="shared" si="102"/>
        <v>KSHR</v>
      </c>
      <c r="H273" s="4" t="str">
        <f t="shared" si="103"/>
        <v>ISSSDRILFSLGITRFLMLGLFLVNTIYFVS</v>
      </c>
      <c r="I273" s="4" t="str">
        <f t="shared" si="104"/>
        <v/>
      </c>
      <c r="J273" s="4" t="str">
        <f t="shared" si="105"/>
        <v>SVYLSAFFVLCFMFLDSSSVWFVTLLNILYCVKITN</v>
      </c>
      <c r="K273" s="4" t="str">
        <f t="shared" si="106"/>
        <v>HSVFLLLK</v>
      </c>
      <c r="L273" s="4" t="str">
        <f t="shared" si="107"/>
        <v>RNISPKIPRLLLACVLISAFTTCLYI</v>
      </c>
      <c r="M273" s="4" t="str">
        <f t="shared" si="108"/>
        <v/>
      </c>
      <c r="N273" s="4" t="str">
        <f t="shared" si="109"/>
        <v>ISEGILSLVVSLVLSSSLQFIINVTSASLLIHSLRRHIQKM</v>
      </c>
      <c r="O273" s="4" t="str">
        <f t="shared" si="110"/>
        <v>PQTEAHVGAMKLMVYFLILYIPYSVATLVQYLP</v>
      </c>
      <c r="P273" s="4" t="str">
        <f t="shared" si="111"/>
        <v>DMGTKSICLIFATLYSPGHSVLIIIT</v>
      </c>
      <c r="Q273" s="4" t="str">
        <f t="shared" si="112"/>
        <v>HPKLKTTAKKILCF</v>
      </c>
      <c r="R273" s="5">
        <f>VLOOKUP($A273,'SegEnds_NonXtal_Prot#'!$A:$AL,3,FALSE)</f>
        <v>6</v>
      </c>
      <c r="S273" s="5">
        <f>VLOOKUP($A273,'SegEnds_NonXtal_Prot#'!$A:$AL,6,FALSE)</f>
        <v>37</v>
      </c>
      <c r="T273" s="5">
        <f>VLOOKUP($A273,'SegEnds_NonXtal_Prot#'!$A:$AL,9,FALSE)</f>
        <v>41</v>
      </c>
      <c r="U273" s="5" t="str">
        <f>VLOOKUP($A273,'SegEnds_NonXtal_Prot#'!$A:$AL,12,FALSE)</f>
        <v>-</v>
      </c>
      <c r="V273" s="5">
        <f>VLOOKUP($A273,'SegEnds_NonXtal_Prot#'!$A:$AL,15,FALSE)</f>
        <v>77</v>
      </c>
      <c r="W273" s="5">
        <f>VLOOKUP($A273,'SegEnds_NonXtal_Prot#'!$A:$AL,18,FALSE)</f>
        <v>115</v>
      </c>
      <c r="X273" s="5">
        <f>VLOOKUP($A273,'SegEnds_NonXtal_Prot#'!$A:$AL,21,FALSE)</f>
        <v>123</v>
      </c>
      <c r="Y273" s="5" t="str">
        <f>VLOOKUP($A273,'SegEnds_NonXtal_Prot#'!$A:$AL,24,FALSE)</f>
        <v>-</v>
      </c>
      <c r="Z273" s="5">
        <f>VLOOKUP($A273,'SegEnds_NonXtal_Prot#'!$A:$AL,27,FALSE)</f>
        <v>170</v>
      </c>
      <c r="AA273" s="5">
        <f>VLOOKUP($A273,'SegEnds_NonXtal_Prot#'!$A:$AL,30,FALSE)</f>
        <v>220</v>
      </c>
      <c r="AB273" s="5">
        <f>VLOOKUP($A273,'SegEnds_NonXtal_Prot#'!$A:$AL,33,FALSE)</f>
        <v>258</v>
      </c>
      <c r="AC273" s="5">
        <f>VLOOKUP($A273,'SegEnds_NonXtal_Prot#'!$A:$AL,36,FALSE)</f>
        <v>284</v>
      </c>
      <c r="AD273" s="5">
        <f>VLOOKUP($A273,'SegEnds_NonXtal_Prot#'!$A:$AL,5,FALSE)</f>
        <v>36</v>
      </c>
      <c r="AE273" s="5">
        <f>VLOOKUP($A273,'SegEnds_NonXtal_Prot#'!$A:$AL,8,FALSE)</f>
        <v>40</v>
      </c>
      <c r="AF273" s="5">
        <f>VLOOKUP($A273,'SegEnds_NonXtal_Prot#'!$A:$AL,11,FALSE)</f>
        <v>71</v>
      </c>
      <c r="AG273" s="5" t="str">
        <f>VLOOKUP($A273,'SegEnds_NonXtal_Prot#'!$A:$AL,14,FALSE)</f>
        <v>-</v>
      </c>
      <c r="AH273" s="5">
        <f>VLOOKUP($A273,'SegEnds_NonXtal_Prot#'!$A:$AL,17,FALSE)</f>
        <v>112</v>
      </c>
      <c r="AI273" s="5">
        <f>VLOOKUP($A273,'SegEnds_NonXtal_Prot#'!$A:$AL,20,FALSE)</f>
        <v>122</v>
      </c>
      <c r="AJ273" s="5">
        <f>VLOOKUP($A273,'SegEnds_NonXtal_Prot#'!$A:$AL,23,FALSE)</f>
        <v>148</v>
      </c>
      <c r="AK273" s="5" t="str">
        <f>VLOOKUP($A273,'SegEnds_NonXtal_Prot#'!$A:$AL,26,FALSE)</f>
        <v>-</v>
      </c>
      <c r="AL273" s="5">
        <f>VLOOKUP($A273,'SegEnds_NonXtal_Prot#'!$A:$AL,29,FALSE)</f>
        <v>210</v>
      </c>
      <c r="AM273" s="5">
        <f>VLOOKUP($A273,'SegEnds_NonXtal_Prot#'!$A:$AL,32,FALSE)</f>
        <v>252</v>
      </c>
      <c r="AN273" s="5">
        <f>VLOOKUP($A273,'SegEnds_NonXtal_Prot#'!$A:$AL,35,FALSE)</f>
        <v>283</v>
      </c>
      <c r="AO273" s="5">
        <f>VLOOKUP($A273,'SegEnds_NonXtal_Prot#'!$A:$AL,38,FALSE)</f>
        <v>297</v>
      </c>
      <c r="AP273" s="5">
        <f t="shared" si="113"/>
        <v>30</v>
      </c>
      <c r="AQ273" s="4">
        <f t="shared" si="114"/>
        <v>3</v>
      </c>
      <c r="AR273" s="4">
        <f t="shared" si="115"/>
        <v>30</v>
      </c>
      <c r="AS273" s="4" t="str">
        <f t="shared" si="116"/>
        <v>-</v>
      </c>
      <c r="AT273" s="4">
        <f t="shared" si="117"/>
        <v>35</v>
      </c>
      <c r="AU273" s="4">
        <f t="shared" si="118"/>
        <v>7</v>
      </c>
      <c r="AV273" s="4">
        <f t="shared" si="119"/>
        <v>25</v>
      </c>
      <c r="AW273" s="4" t="str">
        <f t="shared" si="120"/>
        <v>-</v>
      </c>
      <c r="AX273" s="4">
        <f t="shared" si="121"/>
        <v>40</v>
      </c>
      <c r="AY273" s="4">
        <f t="shared" si="122"/>
        <v>32</v>
      </c>
      <c r="AZ273" s="4">
        <f t="shared" si="123"/>
        <v>25</v>
      </c>
      <c r="BA273" s="4">
        <f t="shared" si="124"/>
        <v>13</v>
      </c>
    </row>
    <row r="274" spans="1:53" x14ac:dyDescent="0.2">
      <c r="A274" s="1" t="str">
        <f>'SegEnds_NonXtal_Prot#'!A263</f>
        <v>ta2r7_human</v>
      </c>
      <c r="B274" s="1" t="str">
        <f t="shared" si="100"/>
        <v>QTTLLFLAVGEFSVGILGNAFIGLVNCMDWVIASIDLILTSLAISRICLLCVILLDCFILVLYTGKEMRIIDFFWTLTNHLSIWFATCLSIYYFFKIGNWRIDRVISWILLGCVVLSVFISLPATENKTQHASTKLFLNLATLLPFCVCLMSFFLLILSLRRHIRRMPSTEAHVRALKAVISFLLLFIAYYLSFLIATSSTELAVIFGESIALIYPSSHSFILILGNNKLRHASLKVIWK</v>
      </c>
      <c r="C274" s="29" t="str">
        <f>IF(ISERROR(MATCH(A274,'SegEnds_Xtal_Prot#'!B:B, 0)), "NoXtal", "Xtal")</f>
        <v>NoXtal</v>
      </c>
      <c r="D274" s="4" t="str">
        <f>VLOOKUP(A274,Classification!A:D,2,FALSE)</f>
        <v>T</v>
      </c>
      <c r="E274" s="5" t="str">
        <f>VLOOKUP(A274,Seqs!A:B,2,FALSE)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274" s="5" t="str">
        <f t="shared" si="101"/>
        <v>QTTLLFLAVGEFSVGILGNAFIGLVNCMDWV</v>
      </c>
      <c r="G274" s="4" t="str">
        <f t="shared" si="102"/>
        <v>KKRK</v>
      </c>
      <c r="H274" s="4" t="str">
        <f t="shared" si="103"/>
        <v>IASIDLILTSLAISRICLLCVILLDCFILVLY</v>
      </c>
      <c r="I274" s="4" t="str">
        <f t="shared" si="104"/>
        <v/>
      </c>
      <c r="J274" s="4" t="str">
        <f t="shared" si="105"/>
        <v>TGKEMRIIDFFWTLTNHLSIWFATCLSIYYFFKIGN</v>
      </c>
      <c r="K274" s="4" t="str">
        <f t="shared" si="106"/>
        <v>HPLFLWMK</v>
      </c>
      <c r="L274" s="4" t="str">
        <f t="shared" si="107"/>
        <v>WRIDRVISWILLGCVVLSVFISLPATE</v>
      </c>
      <c r="M274" s="4" t="str">
        <f t="shared" si="108"/>
        <v/>
      </c>
      <c r="N274" s="4" t="str">
        <f t="shared" si="109"/>
        <v>NKTQHASTKLFLNLATLLPFCVCLMSFFLLILSLRRHIRRM</v>
      </c>
      <c r="O274" s="4" t="str">
        <f t="shared" si="110"/>
        <v>PSTEAHVRALKAVISFLLLFIAYYLSFLIATSS</v>
      </c>
      <c r="P274" s="4" t="str">
        <f t="shared" si="111"/>
        <v>TELAVIFGESIALIYPSSHSFILILG</v>
      </c>
      <c r="Q274" s="4" t="str">
        <f t="shared" si="112"/>
        <v>NNKLRHASLKVIWK</v>
      </c>
      <c r="R274" s="5">
        <f>VLOOKUP($A274,'SegEnds_NonXtal_Prot#'!$A:$AL,3,FALSE)</f>
        <v>6</v>
      </c>
      <c r="S274" s="5">
        <f>VLOOKUP($A274,'SegEnds_NonXtal_Prot#'!$A:$AL,6,FALSE)</f>
        <v>37</v>
      </c>
      <c r="T274" s="5">
        <f>VLOOKUP($A274,'SegEnds_NonXtal_Prot#'!$A:$AL,9,FALSE)</f>
        <v>41</v>
      </c>
      <c r="U274" s="5" t="str">
        <f>VLOOKUP($A274,'SegEnds_NonXtal_Prot#'!$A:$AL,12,FALSE)</f>
        <v>-</v>
      </c>
      <c r="V274" s="5">
        <f>VLOOKUP($A274,'SegEnds_NonXtal_Prot#'!$A:$AL,15,FALSE)</f>
        <v>78</v>
      </c>
      <c r="W274" s="5">
        <f>VLOOKUP($A274,'SegEnds_NonXtal_Prot#'!$A:$AL,18,FALSE)</f>
        <v>116</v>
      </c>
      <c r="X274" s="5">
        <f>VLOOKUP($A274,'SegEnds_NonXtal_Prot#'!$A:$AL,21,FALSE)</f>
        <v>124</v>
      </c>
      <c r="Y274" s="5" t="str">
        <f>VLOOKUP($A274,'SegEnds_NonXtal_Prot#'!$A:$AL,24,FALSE)</f>
        <v>-</v>
      </c>
      <c r="Z274" s="5">
        <f>VLOOKUP($A274,'SegEnds_NonXtal_Prot#'!$A:$AL,27,FALSE)</f>
        <v>175</v>
      </c>
      <c r="AA274" s="5">
        <f>VLOOKUP($A274,'SegEnds_NonXtal_Prot#'!$A:$AL,30,FALSE)</f>
        <v>225</v>
      </c>
      <c r="AB274" s="5">
        <f>VLOOKUP($A274,'SegEnds_NonXtal_Prot#'!$A:$AL,33,FALSE)</f>
        <v>263</v>
      </c>
      <c r="AC274" s="5">
        <f>VLOOKUP($A274,'SegEnds_NonXtal_Prot#'!$A:$AL,36,FALSE)</f>
        <v>289</v>
      </c>
      <c r="AD274" s="5">
        <f>VLOOKUP($A274,'SegEnds_NonXtal_Prot#'!$A:$AL,5,FALSE)</f>
        <v>36</v>
      </c>
      <c r="AE274" s="5">
        <f>VLOOKUP($A274,'SegEnds_NonXtal_Prot#'!$A:$AL,8,FALSE)</f>
        <v>40</v>
      </c>
      <c r="AF274" s="5">
        <f>VLOOKUP($A274,'SegEnds_NonXtal_Prot#'!$A:$AL,11,FALSE)</f>
        <v>72</v>
      </c>
      <c r="AG274" s="5" t="str">
        <f>VLOOKUP($A274,'SegEnds_NonXtal_Prot#'!$A:$AL,14,FALSE)</f>
        <v>-</v>
      </c>
      <c r="AH274" s="5">
        <f>VLOOKUP($A274,'SegEnds_NonXtal_Prot#'!$A:$AL,17,FALSE)</f>
        <v>113</v>
      </c>
      <c r="AI274" s="5">
        <f>VLOOKUP($A274,'SegEnds_NonXtal_Prot#'!$A:$AL,20,FALSE)</f>
        <v>123</v>
      </c>
      <c r="AJ274" s="5">
        <f>VLOOKUP($A274,'SegEnds_NonXtal_Prot#'!$A:$AL,23,FALSE)</f>
        <v>150</v>
      </c>
      <c r="AK274" s="5" t="str">
        <f>VLOOKUP($A274,'SegEnds_NonXtal_Prot#'!$A:$AL,26,FALSE)</f>
        <v>-</v>
      </c>
      <c r="AL274" s="5">
        <f>VLOOKUP($A274,'SegEnds_NonXtal_Prot#'!$A:$AL,29,FALSE)</f>
        <v>215</v>
      </c>
      <c r="AM274" s="5">
        <f>VLOOKUP($A274,'SegEnds_NonXtal_Prot#'!$A:$AL,32,FALSE)</f>
        <v>257</v>
      </c>
      <c r="AN274" s="5">
        <f>VLOOKUP($A274,'SegEnds_NonXtal_Prot#'!$A:$AL,35,FALSE)</f>
        <v>288</v>
      </c>
      <c r="AO274" s="5">
        <f>VLOOKUP($A274,'SegEnds_NonXtal_Prot#'!$A:$AL,38,FALSE)</f>
        <v>302</v>
      </c>
      <c r="AP274" s="5">
        <f t="shared" si="113"/>
        <v>30</v>
      </c>
      <c r="AQ274" s="4">
        <f t="shared" si="114"/>
        <v>3</v>
      </c>
      <c r="AR274" s="4">
        <f t="shared" si="115"/>
        <v>31</v>
      </c>
      <c r="AS274" s="4" t="str">
        <f t="shared" si="116"/>
        <v>-</v>
      </c>
      <c r="AT274" s="4">
        <f t="shared" si="117"/>
        <v>35</v>
      </c>
      <c r="AU274" s="4">
        <f t="shared" si="118"/>
        <v>7</v>
      </c>
      <c r="AV274" s="4">
        <f t="shared" si="119"/>
        <v>26</v>
      </c>
      <c r="AW274" s="4" t="str">
        <f t="shared" si="120"/>
        <v>-</v>
      </c>
      <c r="AX274" s="4">
        <f t="shared" si="121"/>
        <v>40</v>
      </c>
      <c r="AY274" s="4">
        <f t="shared" si="122"/>
        <v>32</v>
      </c>
      <c r="AZ274" s="4">
        <f t="shared" si="123"/>
        <v>25</v>
      </c>
      <c r="BA274" s="4">
        <f t="shared" si="124"/>
        <v>13</v>
      </c>
    </row>
    <row r="275" spans="1:53" x14ac:dyDescent="0.2">
      <c r="A275" s="1" t="str">
        <f>'SegEnds_NonXtal_Prot#'!A264</f>
        <v>ta2r8_human</v>
      </c>
      <c r="B275" s="1" t="str">
        <f t="shared" si="100"/>
        <v>DNIFIILITGEFILGILGNGYIALVNWIDWIISTVDYILTNLVIARICLISVMVVNGIVIVLVYTKNKQQIVIFTFWTFANYLNMWITTCLNVFYFLKIASWKIDMVVHWILLGCFAISLLVSLIAAISKIPYFEPLTLFNLFAIVPFIVSLISFFLLVRSLWRHTKQIPSTEVHVRAIKTMTSFIFFFFLYYISSILMTFSYKLAVEFGEIAAILYPLGHSLILIVLNNKLRQTFVRMLTC</v>
      </c>
      <c r="C275" s="29" t="str">
        <f>IF(ISERROR(MATCH(A275,'SegEnds_Xtal_Prot#'!B:B, 0)), "NoXtal", "Xtal")</f>
        <v>NoXtal</v>
      </c>
      <c r="D275" s="4" t="str">
        <f>VLOOKUP(A275,Classification!A:D,2,FALSE)</f>
        <v>T</v>
      </c>
      <c r="E275" s="5" t="str">
        <f>VLOOKUP(A275,Seqs!A:B,2,FALSE)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275" s="5" t="str">
        <f t="shared" si="101"/>
        <v>DNIFIILITGEFILGILGNGYIALVNWIDWI</v>
      </c>
      <c r="G275" s="4" t="str">
        <f t="shared" si="102"/>
        <v>KKKK</v>
      </c>
      <c r="H275" s="4" t="str">
        <f t="shared" si="103"/>
        <v>ISTVDYILTNLVIARICLISVMVVNGIVIVL</v>
      </c>
      <c r="I275" s="4" t="str">
        <f t="shared" si="104"/>
        <v/>
      </c>
      <c r="J275" s="4" t="str">
        <f t="shared" si="105"/>
        <v>VYTKNKQQIVIFTFWTFANYLNMWITTCLNVFYFLKIAS</v>
      </c>
      <c r="K275" s="4" t="str">
        <f t="shared" si="106"/>
        <v>HPLFLWLK</v>
      </c>
      <c r="L275" s="4" t="str">
        <f t="shared" si="107"/>
        <v>WKIDMVVHWILLGCFAISLLVSLIAAI</v>
      </c>
      <c r="M275" s="4" t="str">
        <f t="shared" si="108"/>
        <v/>
      </c>
      <c r="N275" s="4" t="str">
        <f t="shared" si="109"/>
        <v>SKIPYFEPLTLFNLFAIVPFIVSLISFFLLVRSLWRHTKQI</v>
      </c>
      <c r="O275" s="4" t="str">
        <f t="shared" si="110"/>
        <v>PSTEVHVRAIKTMTSFIFFFFLYYISSILMTFS</v>
      </c>
      <c r="P275" s="4" t="str">
        <f t="shared" si="111"/>
        <v>YKLAVEFGEIAAILYPLGHSLILIVL</v>
      </c>
      <c r="Q275" s="4" t="str">
        <f t="shared" si="112"/>
        <v>NNKLRQTFVRMLTC</v>
      </c>
      <c r="R275" s="5">
        <f>VLOOKUP($A275,'SegEnds_NonXtal_Prot#'!$A:$AL,3,FALSE)</f>
        <v>6</v>
      </c>
      <c r="S275" s="5">
        <f>VLOOKUP($A275,'SegEnds_NonXtal_Prot#'!$A:$AL,6,FALSE)</f>
        <v>37</v>
      </c>
      <c r="T275" s="5">
        <f>VLOOKUP($A275,'SegEnds_NonXtal_Prot#'!$A:$AL,9,FALSE)</f>
        <v>41</v>
      </c>
      <c r="U275" s="5" t="str">
        <f>VLOOKUP($A275,'SegEnds_NonXtal_Prot#'!$A:$AL,12,FALSE)</f>
        <v>-</v>
      </c>
      <c r="V275" s="5">
        <f>VLOOKUP($A275,'SegEnds_NonXtal_Prot#'!$A:$AL,15,FALSE)</f>
        <v>75</v>
      </c>
      <c r="W275" s="5">
        <f>VLOOKUP($A275,'SegEnds_NonXtal_Prot#'!$A:$AL,18,FALSE)</f>
        <v>116</v>
      </c>
      <c r="X275" s="5">
        <f>VLOOKUP($A275,'SegEnds_NonXtal_Prot#'!$A:$AL,21,FALSE)</f>
        <v>124</v>
      </c>
      <c r="Y275" s="5" t="str">
        <f>VLOOKUP($A275,'SegEnds_NonXtal_Prot#'!$A:$AL,24,FALSE)</f>
        <v>-</v>
      </c>
      <c r="Z275" s="5">
        <f>VLOOKUP($A275,'SegEnds_NonXtal_Prot#'!$A:$AL,27,FALSE)</f>
        <v>175</v>
      </c>
      <c r="AA275" s="5">
        <f>VLOOKUP($A275,'SegEnds_NonXtal_Prot#'!$A:$AL,30,FALSE)</f>
        <v>225</v>
      </c>
      <c r="AB275" s="5">
        <f>VLOOKUP($A275,'SegEnds_NonXtal_Prot#'!$A:$AL,33,FALSE)</f>
        <v>263</v>
      </c>
      <c r="AC275" s="5">
        <f>VLOOKUP($A275,'SegEnds_NonXtal_Prot#'!$A:$AL,36,FALSE)</f>
        <v>289</v>
      </c>
      <c r="AD275" s="5">
        <f>VLOOKUP($A275,'SegEnds_NonXtal_Prot#'!$A:$AL,5,FALSE)</f>
        <v>36</v>
      </c>
      <c r="AE275" s="5">
        <f>VLOOKUP($A275,'SegEnds_NonXtal_Prot#'!$A:$AL,8,FALSE)</f>
        <v>40</v>
      </c>
      <c r="AF275" s="5">
        <f>VLOOKUP($A275,'SegEnds_NonXtal_Prot#'!$A:$AL,11,FALSE)</f>
        <v>71</v>
      </c>
      <c r="AG275" s="5" t="str">
        <f>VLOOKUP($A275,'SegEnds_NonXtal_Prot#'!$A:$AL,14,FALSE)</f>
        <v>-</v>
      </c>
      <c r="AH275" s="5">
        <f>VLOOKUP($A275,'SegEnds_NonXtal_Prot#'!$A:$AL,17,FALSE)</f>
        <v>113</v>
      </c>
      <c r="AI275" s="5">
        <f>VLOOKUP($A275,'SegEnds_NonXtal_Prot#'!$A:$AL,20,FALSE)</f>
        <v>123</v>
      </c>
      <c r="AJ275" s="5">
        <f>VLOOKUP($A275,'SegEnds_NonXtal_Prot#'!$A:$AL,23,FALSE)</f>
        <v>150</v>
      </c>
      <c r="AK275" s="5" t="str">
        <f>VLOOKUP($A275,'SegEnds_NonXtal_Prot#'!$A:$AL,26,FALSE)</f>
        <v>-</v>
      </c>
      <c r="AL275" s="5">
        <f>VLOOKUP($A275,'SegEnds_NonXtal_Prot#'!$A:$AL,29,FALSE)</f>
        <v>215</v>
      </c>
      <c r="AM275" s="5">
        <f>VLOOKUP($A275,'SegEnds_NonXtal_Prot#'!$A:$AL,32,FALSE)</f>
        <v>257</v>
      </c>
      <c r="AN275" s="5">
        <f>VLOOKUP($A275,'SegEnds_NonXtal_Prot#'!$A:$AL,35,FALSE)</f>
        <v>288</v>
      </c>
      <c r="AO275" s="5">
        <f>VLOOKUP($A275,'SegEnds_NonXtal_Prot#'!$A:$AL,38,FALSE)</f>
        <v>302</v>
      </c>
      <c r="AP275" s="5">
        <f t="shared" si="113"/>
        <v>30</v>
      </c>
      <c r="AQ275" s="4">
        <f t="shared" si="114"/>
        <v>3</v>
      </c>
      <c r="AR275" s="4">
        <f t="shared" si="115"/>
        <v>30</v>
      </c>
      <c r="AS275" s="4" t="str">
        <f t="shared" si="116"/>
        <v>-</v>
      </c>
      <c r="AT275" s="4">
        <f t="shared" si="117"/>
        <v>38</v>
      </c>
      <c r="AU275" s="4">
        <f t="shared" si="118"/>
        <v>7</v>
      </c>
      <c r="AV275" s="4">
        <f t="shared" si="119"/>
        <v>26</v>
      </c>
      <c r="AW275" s="4" t="str">
        <f t="shared" si="120"/>
        <v>-</v>
      </c>
      <c r="AX275" s="4">
        <f t="shared" si="121"/>
        <v>40</v>
      </c>
      <c r="AY275" s="4">
        <f t="shared" si="122"/>
        <v>32</v>
      </c>
      <c r="AZ275" s="4">
        <f t="shared" si="123"/>
        <v>25</v>
      </c>
      <c r="BA275" s="4">
        <f t="shared" si="124"/>
        <v>13</v>
      </c>
    </row>
    <row r="276" spans="1:53" x14ac:dyDescent="0.2">
      <c r="A276" s="1" t="str">
        <f>'SegEnds_NonXtal_Prot#'!A265</f>
        <v>ta2r9_human</v>
      </c>
      <c r="B276" s="1" t="str">
        <f t="shared" si="100"/>
        <v>EAIYIILIAGELTIGIWGNGFIVLVNCIDWLISLIDIILISLAISRICLLCVISLDGFFMLLTYGNSVLVSIVNVVWTFANNSSLWFTSCLSIFYLLKIANLKINKVMLAILLGSFLISLIISVPKNDSKIPGTFKQLTLNLGVMVPFILCLISFFLLLFSLVRHTKQIPSTEAHMRAIKAVIIFLLLLIVYYPVFLVMTSSGKLVLMIGDIVTVIFPSSHSFILIMGNSKLREAFLKMLRF</v>
      </c>
      <c r="C276" s="29" t="str">
        <f>IF(ISERROR(MATCH(A276,'SegEnds_Xtal_Prot#'!B:B, 0)), "NoXtal", "Xtal")</f>
        <v>NoXtal</v>
      </c>
      <c r="D276" s="4" t="str">
        <f>VLOOKUP(A276,Classification!A:D,2,FALSE)</f>
        <v>T</v>
      </c>
      <c r="E276" s="5" t="str">
        <f>VLOOKUP(A276,Seqs!A:B,2,FALSE)</f>
        <v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v>
      </c>
      <c r="F276" s="5" t="str">
        <f t="shared" si="101"/>
        <v>EAIYIILIAGELTIGIWGNGFIVLVNCIDWL</v>
      </c>
      <c r="G276" s="4" t="str">
        <f t="shared" si="102"/>
        <v>KRRD</v>
      </c>
      <c r="H276" s="4" t="str">
        <f t="shared" si="103"/>
        <v>ISLIDIILISLAISRICLLCVISLDGFFMLL</v>
      </c>
      <c r="I276" s="4" t="str">
        <f t="shared" si="104"/>
        <v/>
      </c>
      <c r="J276" s="4" t="str">
        <f t="shared" si="105"/>
        <v>TYGNSVLVSIVNVVWTFANNSSLWFTSCLSIFYLLKIAN</v>
      </c>
      <c r="K276" s="4" t="str">
        <f t="shared" si="106"/>
        <v>HPFFFWLK</v>
      </c>
      <c r="L276" s="4" t="str">
        <f t="shared" si="107"/>
        <v>LKINKVMLAILLGSFLISLIISVPKND</v>
      </c>
      <c r="M276" s="4" t="str">
        <f t="shared" si="108"/>
        <v/>
      </c>
      <c r="N276" s="4" t="str">
        <f t="shared" si="109"/>
        <v>SKIPGTFKQLTLNLGVMVPFILCLISFFLLLFSLVRHTKQI</v>
      </c>
      <c r="O276" s="4" t="str">
        <f t="shared" si="110"/>
        <v>PSTEAHMRAIKAVIIFLLLLIVYYPVFLVMTSS</v>
      </c>
      <c r="P276" s="4" t="str">
        <f t="shared" si="111"/>
        <v>GKLVLMIGDIVTVIFPSSHSFILIMG</v>
      </c>
      <c r="Q276" s="4" t="str">
        <f t="shared" si="112"/>
        <v>NSKLREAFLKMLRF</v>
      </c>
      <c r="R276" s="5">
        <f>VLOOKUP($A276,'SegEnds_NonXtal_Prot#'!$A:$AL,3,FALSE)</f>
        <v>6</v>
      </c>
      <c r="S276" s="5">
        <f>VLOOKUP($A276,'SegEnds_NonXtal_Prot#'!$A:$AL,6,FALSE)</f>
        <v>37</v>
      </c>
      <c r="T276" s="5">
        <f>VLOOKUP($A276,'SegEnds_NonXtal_Prot#'!$A:$AL,9,FALSE)</f>
        <v>41</v>
      </c>
      <c r="U276" s="5" t="str">
        <f>VLOOKUP($A276,'SegEnds_NonXtal_Prot#'!$A:$AL,12,FALSE)</f>
        <v>-</v>
      </c>
      <c r="V276" s="5">
        <f>VLOOKUP($A276,'SegEnds_NonXtal_Prot#'!$A:$AL,15,FALSE)</f>
        <v>75</v>
      </c>
      <c r="W276" s="5">
        <f>VLOOKUP($A276,'SegEnds_NonXtal_Prot#'!$A:$AL,18,FALSE)</f>
        <v>116</v>
      </c>
      <c r="X276" s="5">
        <f>VLOOKUP($A276,'SegEnds_NonXtal_Prot#'!$A:$AL,21,FALSE)</f>
        <v>124</v>
      </c>
      <c r="Y276" s="5" t="str">
        <f>VLOOKUP($A276,'SegEnds_NonXtal_Prot#'!$A:$AL,24,FALSE)</f>
        <v>-</v>
      </c>
      <c r="Z276" s="5">
        <f>VLOOKUP($A276,'SegEnds_NonXtal_Prot#'!$A:$AL,27,FALSE)</f>
        <v>172</v>
      </c>
      <c r="AA276" s="5">
        <f>VLOOKUP($A276,'SegEnds_NonXtal_Prot#'!$A:$AL,30,FALSE)</f>
        <v>222</v>
      </c>
      <c r="AB276" s="5">
        <f>VLOOKUP($A276,'SegEnds_NonXtal_Prot#'!$A:$AL,33,FALSE)</f>
        <v>260</v>
      </c>
      <c r="AC276" s="5">
        <f>VLOOKUP($A276,'SegEnds_NonXtal_Prot#'!$A:$AL,36,FALSE)</f>
        <v>286</v>
      </c>
      <c r="AD276" s="5">
        <f>VLOOKUP($A276,'SegEnds_NonXtal_Prot#'!$A:$AL,5,FALSE)</f>
        <v>36</v>
      </c>
      <c r="AE276" s="5">
        <f>VLOOKUP($A276,'SegEnds_NonXtal_Prot#'!$A:$AL,8,FALSE)</f>
        <v>40</v>
      </c>
      <c r="AF276" s="5">
        <f>VLOOKUP($A276,'SegEnds_NonXtal_Prot#'!$A:$AL,11,FALSE)</f>
        <v>71</v>
      </c>
      <c r="AG276" s="5" t="str">
        <f>VLOOKUP($A276,'SegEnds_NonXtal_Prot#'!$A:$AL,14,FALSE)</f>
        <v>-</v>
      </c>
      <c r="AH276" s="5">
        <f>VLOOKUP($A276,'SegEnds_NonXtal_Prot#'!$A:$AL,17,FALSE)</f>
        <v>113</v>
      </c>
      <c r="AI276" s="5">
        <f>VLOOKUP($A276,'SegEnds_NonXtal_Prot#'!$A:$AL,20,FALSE)</f>
        <v>123</v>
      </c>
      <c r="AJ276" s="5">
        <f>VLOOKUP($A276,'SegEnds_NonXtal_Prot#'!$A:$AL,23,FALSE)</f>
        <v>150</v>
      </c>
      <c r="AK276" s="5" t="str">
        <f>VLOOKUP($A276,'SegEnds_NonXtal_Prot#'!$A:$AL,26,FALSE)</f>
        <v>-</v>
      </c>
      <c r="AL276" s="5">
        <f>VLOOKUP($A276,'SegEnds_NonXtal_Prot#'!$A:$AL,29,FALSE)</f>
        <v>212</v>
      </c>
      <c r="AM276" s="5">
        <f>VLOOKUP($A276,'SegEnds_NonXtal_Prot#'!$A:$AL,32,FALSE)</f>
        <v>254</v>
      </c>
      <c r="AN276" s="5">
        <f>VLOOKUP($A276,'SegEnds_NonXtal_Prot#'!$A:$AL,35,FALSE)</f>
        <v>285</v>
      </c>
      <c r="AO276" s="5">
        <f>VLOOKUP($A276,'SegEnds_NonXtal_Prot#'!$A:$AL,38,FALSE)</f>
        <v>299</v>
      </c>
      <c r="AP276" s="5">
        <f t="shared" si="113"/>
        <v>30</v>
      </c>
      <c r="AQ276" s="4">
        <f t="shared" si="114"/>
        <v>3</v>
      </c>
      <c r="AR276" s="4">
        <f t="shared" si="115"/>
        <v>30</v>
      </c>
      <c r="AS276" s="4" t="str">
        <f t="shared" si="116"/>
        <v>-</v>
      </c>
      <c r="AT276" s="4">
        <f t="shared" si="117"/>
        <v>38</v>
      </c>
      <c r="AU276" s="4">
        <f t="shared" si="118"/>
        <v>7</v>
      </c>
      <c r="AV276" s="4">
        <f t="shared" si="119"/>
        <v>26</v>
      </c>
      <c r="AW276" s="4" t="str">
        <f t="shared" si="120"/>
        <v>-</v>
      </c>
      <c r="AX276" s="4">
        <f t="shared" si="121"/>
        <v>40</v>
      </c>
      <c r="AY276" s="4">
        <f t="shared" si="122"/>
        <v>32</v>
      </c>
      <c r="AZ276" s="4">
        <f t="shared" si="123"/>
        <v>25</v>
      </c>
      <c r="BA276" s="4">
        <f t="shared" si="124"/>
        <v>13</v>
      </c>
    </row>
    <row r="277" spans="1:53" x14ac:dyDescent="0.2">
      <c r="A277" s="1" t="str">
        <f>'SegEnds_NonXtal_Prot#'!A266</f>
        <v>taar1_human</v>
      </c>
      <c r="B277" s="1" t="str">
        <f t="shared" si="100"/>
        <v>NDVRASLYSLMVLIILTTLVGNLIVIVSISHFTPTNWLIHSMATVDFLLGCLVMPYSMVRSAEGEVFCKIHTSTDIMLSSASIFHLSFISIDRYYAVCDNILVICVMIFISWSVPAVFAFGMIFLSKISGVLTFMTSFYIPGSIMLCVYYRIYLIAKEQARLISDMKNGISQSKERKAVKTLGIVMGVFLICWCPFFICTVMDPFLPPTLNDVLIWFGYLNSTFNPMVYAFFYPWFRKALKMML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77" s="5" t="str">
        <f t="shared" si="101"/>
        <v>NDVRASLYSLMVLIILTTLVGNLIVIVSISHF</v>
      </c>
      <c r="G277" s="4" t="str">
        <f t="shared" si="102"/>
        <v>KQLH</v>
      </c>
      <c r="H277" s="4" t="str">
        <f t="shared" si="103"/>
        <v>TPTNWLIHSMATVDFLLGCLVMPYSMVRSAE</v>
      </c>
      <c r="I277" s="4" t="str">
        <f t="shared" si="104"/>
        <v>CWYF</v>
      </c>
      <c r="J277" s="4" t="str">
        <f t="shared" si="105"/>
        <v>GEVFCKIHTSTDIMLSSASIFHLSFISIDRYYAVCD</v>
      </c>
      <c r="K277" s="4" t="str">
        <f t="shared" si="106"/>
        <v>PLRYKAKM</v>
      </c>
      <c r="L277" s="4" t="str">
        <f t="shared" si="107"/>
        <v>NILVICVMIFISWSVPAVFAFGMIFL</v>
      </c>
      <c r="M277" s="4" t="str">
        <f t="shared" si="108"/>
        <v>CSV</v>
      </c>
      <c r="N277" s="4" t="str">
        <f t="shared" si="109"/>
        <v>SKISGVLTFMTSFYIPGSIMLCVYYRIYLIAKEQARLISD</v>
      </c>
      <c r="O277" s="4" t="str">
        <f t="shared" si="110"/>
        <v>MKNGISQSKERKAVKTLGIVMGVFLICWCPFFICTVMDPFL</v>
      </c>
      <c r="P277" s="4" t="str">
        <f t="shared" si="111"/>
        <v>PPTLNDVLIWFGYLNSTFNPMVYAFF</v>
      </c>
      <c r="Q277" s="4" t="str">
        <f t="shared" si="112"/>
        <v>YPWFRKALKMML</v>
      </c>
      <c r="R277" s="5">
        <f>VLOOKUP($A277,'SegEnds_NonXtal_Prot#'!$A:$AL,3,FALSE)</f>
        <v>20</v>
      </c>
      <c r="S277" s="5">
        <f>VLOOKUP($A277,'SegEnds_NonXtal_Prot#'!$A:$AL,6,FALSE)</f>
        <v>52</v>
      </c>
      <c r="T277" s="5">
        <f>VLOOKUP($A277,'SegEnds_NonXtal_Prot#'!$A:$AL,9,FALSE)</f>
        <v>56</v>
      </c>
      <c r="U277" s="5">
        <f>VLOOKUP($A277,'SegEnds_NonXtal_Prot#'!$A:$AL,12,FALSE)</f>
        <v>88</v>
      </c>
      <c r="V277" s="5">
        <f>VLOOKUP($A277,'SegEnds_NonXtal_Prot#'!$A:$AL,15,FALSE)</f>
        <v>92</v>
      </c>
      <c r="W277" s="5">
        <f>VLOOKUP($A277,'SegEnds_NonXtal_Prot#'!$A:$AL,18,FALSE)</f>
        <v>128</v>
      </c>
      <c r="X277" s="5">
        <f>VLOOKUP($A277,'SegEnds_NonXtal_Prot#'!$A:$AL,21,FALSE)</f>
        <v>136</v>
      </c>
      <c r="Y277" s="5">
        <f>VLOOKUP($A277,'SegEnds_NonXtal_Prot#'!$A:$AL,24,FALSE)</f>
        <v>182</v>
      </c>
      <c r="Z277" s="5">
        <f>VLOOKUP($A277,'SegEnds_NonXtal_Prot#'!$A:$AL,27,FALSE)</f>
        <v>187</v>
      </c>
      <c r="AA277" s="5">
        <f>VLOOKUP($A277,'SegEnds_NonXtal_Prot#'!$A:$AL,30,FALSE)</f>
        <v>237</v>
      </c>
      <c r="AB277" s="5">
        <f>VLOOKUP($A277,'SegEnds_NonXtal_Prot#'!$A:$AL,33,FALSE)</f>
        <v>282</v>
      </c>
      <c r="AC277" s="5">
        <f>VLOOKUP($A277,'SegEnds_NonXtal_Prot#'!$A:$AL,36,FALSE)</f>
        <v>308</v>
      </c>
      <c r="AD277" s="5">
        <f>VLOOKUP($A277,'SegEnds_NonXtal_Prot#'!$A:$AL,5,FALSE)</f>
        <v>51</v>
      </c>
      <c r="AE277" s="5">
        <f>VLOOKUP($A277,'SegEnds_NonXtal_Prot#'!$A:$AL,8,FALSE)</f>
        <v>55</v>
      </c>
      <c r="AF277" s="5">
        <f>VLOOKUP($A277,'SegEnds_NonXtal_Prot#'!$A:$AL,11,FALSE)</f>
        <v>86</v>
      </c>
      <c r="AG277" s="5">
        <f>VLOOKUP($A277,'SegEnds_NonXtal_Prot#'!$A:$AL,14,FALSE)</f>
        <v>91</v>
      </c>
      <c r="AH277" s="5">
        <f>VLOOKUP($A277,'SegEnds_NonXtal_Prot#'!$A:$AL,17,FALSE)</f>
        <v>127</v>
      </c>
      <c r="AI277" s="5">
        <f>VLOOKUP($A277,'SegEnds_NonXtal_Prot#'!$A:$AL,20,FALSE)</f>
        <v>135</v>
      </c>
      <c r="AJ277" s="5">
        <f>VLOOKUP($A277,'SegEnds_NonXtal_Prot#'!$A:$AL,23,FALSE)</f>
        <v>161</v>
      </c>
      <c r="AK277" s="5">
        <f>VLOOKUP($A277,'SegEnds_NonXtal_Prot#'!$A:$AL,26,FALSE)</f>
        <v>184</v>
      </c>
      <c r="AL277" s="5">
        <f>VLOOKUP($A277,'SegEnds_NonXtal_Prot#'!$A:$AL,29,FALSE)</f>
        <v>226</v>
      </c>
      <c r="AM277" s="5">
        <f>VLOOKUP($A277,'SegEnds_NonXtal_Prot#'!$A:$AL,32,FALSE)</f>
        <v>277</v>
      </c>
      <c r="AN277" s="5">
        <f>VLOOKUP($A277,'SegEnds_NonXtal_Prot#'!$A:$AL,35,FALSE)</f>
        <v>307</v>
      </c>
      <c r="AO277" s="5">
        <f>VLOOKUP($A277,'SegEnds_NonXtal_Prot#'!$A:$AL,38,FALSE)</f>
        <v>319</v>
      </c>
      <c r="AP277" s="5">
        <f t="shared" si="113"/>
        <v>31</v>
      </c>
      <c r="AQ277" s="4">
        <f t="shared" si="114"/>
        <v>3</v>
      </c>
      <c r="AR277" s="4">
        <f t="shared" si="115"/>
        <v>30</v>
      </c>
      <c r="AS277" s="4">
        <f t="shared" si="116"/>
        <v>3</v>
      </c>
      <c r="AT277" s="4">
        <f t="shared" si="117"/>
        <v>35</v>
      </c>
      <c r="AU277" s="4">
        <f t="shared" si="118"/>
        <v>7</v>
      </c>
      <c r="AV277" s="4">
        <f t="shared" si="119"/>
        <v>25</v>
      </c>
      <c r="AW277" s="4">
        <f t="shared" si="120"/>
        <v>2</v>
      </c>
      <c r="AX277" s="4">
        <f t="shared" si="121"/>
        <v>39</v>
      </c>
      <c r="AY277" s="4">
        <f t="shared" si="122"/>
        <v>40</v>
      </c>
      <c r="AZ277" s="4">
        <f t="shared" si="123"/>
        <v>25</v>
      </c>
      <c r="BA277" s="4">
        <f t="shared" si="124"/>
        <v>11</v>
      </c>
    </row>
    <row r="278" spans="1:53" x14ac:dyDescent="0.2">
      <c r="A278" s="1" t="str">
        <f>'SegEnds_NonXtal_Prot#'!A267</f>
        <v>taar2_human</v>
      </c>
      <c r="B278" s="1" t="str">
        <f t="shared" si="100"/>
        <v>NERSLGVRVAMYSFMAGSIFITIFGNLAMIISISYFTPTNFLILSMAITDFLLGFTIMPYSMIRSVEGLTFCKIYYSFDLMLSITSIFHLCSVAIDRFYAICYTIPVIKRLLLLCWSVPGAFAFGVVFSENKLWGTTLFMAGFFTPGSMMVGIYGKIFAVSRKHAHAINNQNNQVKKDKKAAKTLGIVIGVFLLCWFPCFFTILLDPFLPVVLFDALTWFGYFNSTCNPLIYGFYPWFRRALKYILL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78" s="5" t="str">
        <f t="shared" si="101"/>
        <v>NERSLGVRVAMYSFMAGSIFITIFGNLAMIISISYF</v>
      </c>
      <c r="G278" s="4" t="str">
        <f t="shared" si="102"/>
        <v>KQLH</v>
      </c>
      <c r="H278" s="4" t="str">
        <f t="shared" si="103"/>
        <v>TPTNFLILSMAITDFLLGFTIMPYSMIRSVE</v>
      </c>
      <c r="I278" s="4" t="str">
        <f t="shared" si="104"/>
        <v>CWYF</v>
      </c>
      <c r="J278" s="4" t="str">
        <f t="shared" si="105"/>
        <v>GLTFCKIYYSFDLMLSITSIFHLCSVAIDRFYAICY</v>
      </c>
      <c r="K278" s="4" t="str">
        <f t="shared" si="106"/>
        <v>PLLYSTKI</v>
      </c>
      <c r="L278" s="4" t="str">
        <f t="shared" si="107"/>
        <v>TIPVIKRLLLLCWSVPGAFAFGVVFSE</v>
      </c>
      <c r="M278" s="4" t="str">
        <f t="shared" si="108"/>
        <v>CPV</v>
      </c>
      <c r="N278" s="4" t="str">
        <f t="shared" si="109"/>
        <v>NKLWGTTLFMAGFFTPGSMMVGIYGKIFAVSRKHAHAIN</v>
      </c>
      <c r="O278" s="4" t="str">
        <f t="shared" si="110"/>
        <v>NQNNQVKKDKKAAKTLGIVIGVFLLCWFPCFFTILLDPFL</v>
      </c>
      <c r="P278" s="4" t="str">
        <f t="shared" si="111"/>
        <v>PVVLFDALTWFGYFNSTCNPLIYGF</v>
      </c>
      <c r="Q278" s="4" t="str">
        <f t="shared" si="112"/>
        <v>YPWFRRALKYILL</v>
      </c>
      <c r="R278" s="5">
        <f>VLOOKUP($A278,'SegEnds_NonXtal_Prot#'!$A:$AL,3,FALSE)</f>
        <v>36</v>
      </c>
      <c r="S278" s="5">
        <f>VLOOKUP($A278,'SegEnds_NonXtal_Prot#'!$A:$AL,6,FALSE)</f>
        <v>72</v>
      </c>
      <c r="T278" s="5">
        <f>VLOOKUP($A278,'SegEnds_NonXtal_Prot#'!$A:$AL,9,FALSE)</f>
        <v>76</v>
      </c>
      <c r="U278" s="5">
        <f>VLOOKUP($A278,'SegEnds_NonXtal_Prot#'!$A:$AL,12,FALSE)</f>
        <v>108</v>
      </c>
      <c r="V278" s="5">
        <f>VLOOKUP($A278,'SegEnds_NonXtal_Prot#'!$A:$AL,15,FALSE)</f>
        <v>112</v>
      </c>
      <c r="W278" s="5">
        <f>VLOOKUP($A278,'SegEnds_NonXtal_Prot#'!$A:$AL,18,FALSE)</f>
        <v>148</v>
      </c>
      <c r="X278" s="5">
        <f>VLOOKUP($A278,'SegEnds_NonXtal_Prot#'!$A:$AL,21,FALSE)</f>
        <v>156</v>
      </c>
      <c r="Y278" s="5">
        <f>VLOOKUP($A278,'SegEnds_NonXtal_Prot#'!$A:$AL,24,FALSE)</f>
        <v>201</v>
      </c>
      <c r="Z278" s="5">
        <f>VLOOKUP($A278,'SegEnds_NonXtal_Prot#'!$A:$AL,27,FALSE)</f>
        <v>206</v>
      </c>
      <c r="AA278" s="5">
        <f>VLOOKUP($A278,'SegEnds_NonXtal_Prot#'!$A:$AL,30,FALSE)</f>
        <v>249</v>
      </c>
      <c r="AB278" s="5">
        <f>VLOOKUP($A278,'SegEnds_NonXtal_Prot#'!$A:$AL,33,FALSE)</f>
        <v>293</v>
      </c>
      <c r="AC278" s="5">
        <f>VLOOKUP($A278,'SegEnds_NonXtal_Prot#'!$A:$AL,36,FALSE)</f>
        <v>319</v>
      </c>
      <c r="AD278" s="5">
        <f>VLOOKUP($A278,'SegEnds_NonXtal_Prot#'!$A:$AL,5,FALSE)</f>
        <v>71</v>
      </c>
      <c r="AE278" s="5">
        <f>VLOOKUP($A278,'SegEnds_NonXtal_Prot#'!$A:$AL,8,FALSE)</f>
        <v>75</v>
      </c>
      <c r="AF278" s="5">
        <f>VLOOKUP($A278,'SegEnds_NonXtal_Prot#'!$A:$AL,11,FALSE)</f>
        <v>106</v>
      </c>
      <c r="AG278" s="5">
        <f>VLOOKUP($A278,'SegEnds_NonXtal_Prot#'!$A:$AL,14,FALSE)</f>
        <v>111</v>
      </c>
      <c r="AH278" s="5">
        <f>VLOOKUP($A278,'SegEnds_NonXtal_Prot#'!$A:$AL,17,FALSE)</f>
        <v>147</v>
      </c>
      <c r="AI278" s="5">
        <f>VLOOKUP($A278,'SegEnds_NonXtal_Prot#'!$A:$AL,20,FALSE)</f>
        <v>155</v>
      </c>
      <c r="AJ278" s="5">
        <f>VLOOKUP($A278,'SegEnds_NonXtal_Prot#'!$A:$AL,23,FALSE)</f>
        <v>182</v>
      </c>
      <c r="AK278" s="5">
        <f>VLOOKUP($A278,'SegEnds_NonXtal_Prot#'!$A:$AL,26,FALSE)</f>
        <v>203</v>
      </c>
      <c r="AL278" s="5">
        <f>VLOOKUP($A278,'SegEnds_NonXtal_Prot#'!$A:$AL,29,FALSE)</f>
        <v>244</v>
      </c>
      <c r="AM278" s="5">
        <f>VLOOKUP($A278,'SegEnds_NonXtal_Prot#'!$A:$AL,32,FALSE)</f>
        <v>288</v>
      </c>
      <c r="AN278" s="5">
        <f>VLOOKUP($A278,'SegEnds_NonXtal_Prot#'!$A:$AL,35,FALSE)</f>
        <v>317</v>
      </c>
      <c r="AO278" s="5">
        <f>VLOOKUP($A278,'SegEnds_NonXtal_Prot#'!$A:$AL,38,FALSE)</f>
        <v>331</v>
      </c>
      <c r="AP278" s="5">
        <f t="shared" si="113"/>
        <v>35</v>
      </c>
      <c r="AQ278" s="4">
        <f t="shared" si="114"/>
        <v>3</v>
      </c>
      <c r="AR278" s="4">
        <f t="shared" si="115"/>
        <v>30</v>
      </c>
      <c r="AS278" s="4">
        <f t="shared" si="116"/>
        <v>3</v>
      </c>
      <c r="AT278" s="4">
        <f t="shared" si="117"/>
        <v>35</v>
      </c>
      <c r="AU278" s="4">
        <f t="shared" si="118"/>
        <v>7</v>
      </c>
      <c r="AV278" s="4">
        <f t="shared" si="119"/>
        <v>26</v>
      </c>
      <c r="AW278" s="4">
        <f t="shared" si="120"/>
        <v>2</v>
      </c>
      <c r="AX278" s="4">
        <f t="shared" si="121"/>
        <v>38</v>
      </c>
      <c r="AY278" s="4">
        <f t="shared" si="122"/>
        <v>39</v>
      </c>
      <c r="AZ278" s="4">
        <f t="shared" si="123"/>
        <v>24</v>
      </c>
      <c r="BA278" s="4">
        <f t="shared" si="124"/>
        <v>12</v>
      </c>
    </row>
    <row r="279" spans="1:53" x14ac:dyDescent="0.2">
      <c r="A279" s="1" t="str">
        <f>'SegEnds_NonXtal_Prot#'!A268</f>
        <v>taar3_human</v>
      </c>
      <c r="B279" s="1" t="str">
        <f t="shared" si="100"/>
        <v>HQPLFSCPGDNVFGYDWSHDYPLFGNLVIMVSISHFSPTNFLILSMATTDFLLGFVIMPYSIMRSVEGDGFCKFHTSFDMMLRLTSIFHLCSIAIDRFYAVCYTNSTIKQLLAFCWSVPALFSFGLVLSENKFWGTILFTTCFFTPGSIMVGIYGKIFIVSKQHARVISHVKKHLSKKKDRKAAKTLGIVMGVFLACWLPCFLAVLIDPYLPILILDLLVWLRYFNSTCNPLIHGFNPWFQKAFKYIVS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79" s="5" t="str">
        <f t="shared" si="101"/>
        <v>HQPLFSCPGDNVFGYDWSHDYPLFGNLVIMVSISHF</v>
      </c>
      <c r="G279" s="4" t="str">
        <f t="shared" si="102"/>
        <v>KQLH</v>
      </c>
      <c r="H279" s="4" t="str">
        <f t="shared" si="103"/>
        <v>SPTNFLILSMATTDFLLGFVIMPYSIMRSVE</v>
      </c>
      <c r="I279" s="4" t="str">
        <f t="shared" si="104"/>
        <v>CWYF</v>
      </c>
      <c r="J279" s="4" t="str">
        <f t="shared" si="105"/>
        <v>GDGFCKFHTSFDMMLRLTSIFHLCSIAIDRFYAVCY</v>
      </c>
      <c r="K279" s="4" t="str">
        <f t="shared" si="106"/>
        <v>PLHYTTKM</v>
      </c>
      <c r="L279" s="4" t="str">
        <f t="shared" si="107"/>
        <v>TNSTIKQLLAFCWSVPALFSFGLVLSE</v>
      </c>
      <c r="M279" s="4" t="str">
        <f t="shared" si="108"/>
        <v>CAL</v>
      </c>
      <c r="N279" s="4" t="str">
        <f t="shared" si="109"/>
        <v>NKFWGTILFTTCFFTPGSIMVGIYGKIFIVSKQHARVISH</v>
      </c>
      <c r="O279" s="4" t="str">
        <f t="shared" si="110"/>
        <v>VKKHLSKKKDRKAAKTLGIVMGVFLACWLPCFLAVLIDPYL</v>
      </c>
      <c r="P279" s="4" t="str">
        <f t="shared" si="111"/>
        <v>PILILDLLVWLRYFNSTCNPLIHGF</v>
      </c>
      <c r="Q279" s="4" t="str">
        <f t="shared" si="112"/>
        <v>NPWFQKAFKYIVS</v>
      </c>
      <c r="R279" s="5">
        <f>VLOOKUP($A279,'SegEnds_NonXtal_Prot#'!$A:$AL,3,FALSE)</f>
        <v>24</v>
      </c>
      <c r="S279" s="5">
        <f>VLOOKUP($A279,'SegEnds_NonXtal_Prot#'!$A:$AL,6,FALSE)</f>
        <v>60</v>
      </c>
      <c r="T279" s="5">
        <f>VLOOKUP($A279,'SegEnds_NonXtal_Prot#'!$A:$AL,9,FALSE)</f>
        <v>64</v>
      </c>
      <c r="U279" s="5">
        <f>VLOOKUP($A279,'SegEnds_NonXtal_Prot#'!$A:$AL,12,FALSE)</f>
        <v>96</v>
      </c>
      <c r="V279" s="5">
        <f>VLOOKUP($A279,'SegEnds_NonXtal_Prot#'!$A:$AL,15,FALSE)</f>
        <v>100</v>
      </c>
      <c r="W279" s="5">
        <f>VLOOKUP($A279,'SegEnds_NonXtal_Prot#'!$A:$AL,18,FALSE)</f>
        <v>136</v>
      </c>
      <c r="X279" s="5">
        <f>VLOOKUP($A279,'SegEnds_NonXtal_Prot#'!$A:$AL,21,FALSE)</f>
        <v>144</v>
      </c>
      <c r="Y279" s="5">
        <f>VLOOKUP($A279,'SegEnds_NonXtal_Prot#'!$A:$AL,24,FALSE)</f>
        <v>189</v>
      </c>
      <c r="Z279" s="5">
        <f>VLOOKUP($A279,'SegEnds_NonXtal_Prot#'!$A:$AL,27,FALSE)</f>
        <v>194</v>
      </c>
      <c r="AA279" s="5">
        <f>VLOOKUP($A279,'SegEnds_NonXtal_Prot#'!$A:$AL,30,FALSE)</f>
        <v>242</v>
      </c>
      <c r="AB279" s="5">
        <f>VLOOKUP($A279,'SegEnds_NonXtal_Prot#'!$A:$AL,33,FALSE)</f>
        <v>287</v>
      </c>
      <c r="AC279" s="5">
        <f>VLOOKUP($A279,'SegEnds_NonXtal_Prot#'!$A:$AL,36,FALSE)</f>
        <v>313</v>
      </c>
      <c r="AD279" s="5">
        <f>VLOOKUP($A279,'SegEnds_NonXtal_Prot#'!$A:$AL,5,FALSE)</f>
        <v>59</v>
      </c>
      <c r="AE279" s="5">
        <f>VLOOKUP($A279,'SegEnds_NonXtal_Prot#'!$A:$AL,8,FALSE)</f>
        <v>63</v>
      </c>
      <c r="AF279" s="5">
        <f>VLOOKUP($A279,'SegEnds_NonXtal_Prot#'!$A:$AL,11,FALSE)</f>
        <v>94</v>
      </c>
      <c r="AG279" s="5">
        <f>VLOOKUP($A279,'SegEnds_NonXtal_Prot#'!$A:$AL,14,FALSE)</f>
        <v>99</v>
      </c>
      <c r="AH279" s="5">
        <f>VLOOKUP($A279,'SegEnds_NonXtal_Prot#'!$A:$AL,17,FALSE)</f>
        <v>135</v>
      </c>
      <c r="AI279" s="5">
        <f>VLOOKUP($A279,'SegEnds_NonXtal_Prot#'!$A:$AL,20,FALSE)</f>
        <v>143</v>
      </c>
      <c r="AJ279" s="5">
        <f>VLOOKUP($A279,'SegEnds_NonXtal_Prot#'!$A:$AL,23,FALSE)</f>
        <v>170</v>
      </c>
      <c r="AK279" s="5">
        <f>VLOOKUP($A279,'SegEnds_NonXtal_Prot#'!$A:$AL,26,FALSE)</f>
        <v>191</v>
      </c>
      <c r="AL279" s="5">
        <f>VLOOKUP($A279,'SegEnds_NonXtal_Prot#'!$A:$AL,29,FALSE)</f>
        <v>233</v>
      </c>
      <c r="AM279" s="5">
        <f>VLOOKUP($A279,'SegEnds_NonXtal_Prot#'!$A:$AL,32,FALSE)</f>
        <v>282</v>
      </c>
      <c r="AN279" s="5">
        <f>VLOOKUP($A279,'SegEnds_NonXtal_Prot#'!$A:$AL,35,FALSE)</f>
        <v>311</v>
      </c>
      <c r="AO279" s="5">
        <f>VLOOKUP($A279,'SegEnds_NonXtal_Prot#'!$A:$AL,38,FALSE)</f>
        <v>325</v>
      </c>
      <c r="AP279" s="5">
        <f t="shared" si="113"/>
        <v>35</v>
      </c>
      <c r="AQ279" s="4">
        <f t="shared" si="114"/>
        <v>3</v>
      </c>
      <c r="AR279" s="4">
        <f t="shared" si="115"/>
        <v>30</v>
      </c>
      <c r="AS279" s="4">
        <f t="shared" si="116"/>
        <v>3</v>
      </c>
      <c r="AT279" s="4">
        <f t="shared" si="117"/>
        <v>35</v>
      </c>
      <c r="AU279" s="4">
        <f t="shared" si="118"/>
        <v>7</v>
      </c>
      <c r="AV279" s="4">
        <f t="shared" si="119"/>
        <v>26</v>
      </c>
      <c r="AW279" s="4">
        <f t="shared" si="120"/>
        <v>2</v>
      </c>
      <c r="AX279" s="4">
        <f t="shared" si="121"/>
        <v>39</v>
      </c>
      <c r="AY279" s="4">
        <f t="shared" si="122"/>
        <v>40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'SegEnds_NonXtal_Prot#'!A269</f>
        <v>taar5_human</v>
      </c>
      <c r="B280" s="1" t="str">
        <f t="shared" si="100"/>
        <v>LGIQLVIYLACAAGMLIIVLGNVFVAFAVSYFTPTNFLLLSLALADMFLGLLVLPLSTIRSVEGDFLCRLHTYLDTLFCLTSIFHLCFISIDRHCAICDTVRVALRYILAGWGVPAAYTSLFLYTLNKFWGWLNFPLFFVPCLIMISLYVKIFVVATRQAQQITSLAGAAKHERKAAKTLGIAVGIYLLCWLPFTIDTMVDSLLPPLVFDIFIWFAYFNSACNPIIYVFSYQWFRKALKLTL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80" s="5" t="str">
        <f t="shared" si="101"/>
        <v>LGIQLVIYLACAAGMLIIVLGNVFVAFAVSYF</v>
      </c>
      <c r="G280" s="4" t="str">
        <f t="shared" si="102"/>
        <v>KALH</v>
      </c>
      <c r="H280" s="4" t="str">
        <f t="shared" si="103"/>
        <v>TPTNFLLLSLALADMFLGLLVLPLSTIRSVE</v>
      </c>
      <c r="I280" s="4" t="str">
        <f t="shared" si="104"/>
        <v>CWFF</v>
      </c>
      <c r="J280" s="4" t="str">
        <f t="shared" si="105"/>
        <v>GDFLCRLHTYLDTLFCLTSIFHLCFISIDRHCAICD</v>
      </c>
      <c r="K280" s="4" t="str">
        <f t="shared" si="106"/>
        <v>PLLYPSKF</v>
      </c>
      <c r="L280" s="4" t="str">
        <f t="shared" si="107"/>
        <v>TVRVALRYILAGWGVPAAYTSLFLYT</v>
      </c>
      <c r="M280" s="4" t="str">
        <f t="shared" si="108"/>
        <v>CQL</v>
      </c>
      <c r="N280" s="4" t="str">
        <f t="shared" si="109"/>
        <v>LNKFWGWLNFPLFFVPCLIMISLYVKIFVVATRQAQQIT</v>
      </c>
      <c r="O280" s="4" t="str">
        <f t="shared" si="110"/>
        <v>SLAGAAKHERKAAKTLGIAVGIYLLCWLPFTIDTMVDSLL</v>
      </c>
      <c r="P280" s="4" t="str">
        <f t="shared" si="111"/>
        <v>PPLVFDIFIWFAYFNSACNPIIYVFS</v>
      </c>
      <c r="Q280" s="4" t="str">
        <f t="shared" si="112"/>
        <v>YQWFRKALKLTL</v>
      </c>
      <c r="R280" s="5">
        <f>VLOOKUP($A280,'SegEnds_NonXtal_Prot#'!$A:$AL,3,FALSE)</f>
        <v>31</v>
      </c>
      <c r="S280" s="5">
        <f>VLOOKUP($A280,'SegEnds_NonXtal_Prot#'!$A:$AL,6,FALSE)</f>
        <v>63</v>
      </c>
      <c r="T280" s="5">
        <f>VLOOKUP($A280,'SegEnds_NonXtal_Prot#'!$A:$AL,9,FALSE)</f>
        <v>67</v>
      </c>
      <c r="U280" s="5">
        <f>VLOOKUP($A280,'SegEnds_NonXtal_Prot#'!$A:$AL,12,FALSE)</f>
        <v>99</v>
      </c>
      <c r="V280" s="5">
        <f>VLOOKUP($A280,'SegEnds_NonXtal_Prot#'!$A:$AL,15,FALSE)</f>
        <v>103</v>
      </c>
      <c r="W280" s="5">
        <f>VLOOKUP($A280,'SegEnds_NonXtal_Prot#'!$A:$AL,18,FALSE)</f>
        <v>139</v>
      </c>
      <c r="X280" s="5">
        <f>VLOOKUP($A280,'SegEnds_NonXtal_Prot#'!$A:$AL,21,FALSE)</f>
        <v>147</v>
      </c>
      <c r="Y280" s="5">
        <f>VLOOKUP($A280,'SegEnds_NonXtal_Prot#'!$A:$AL,24,FALSE)</f>
        <v>192</v>
      </c>
      <c r="Z280" s="5">
        <f>VLOOKUP($A280,'SegEnds_NonXtal_Prot#'!$A:$AL,27,FALSE)</f>
        <v>196</v>
      </c>
      <c r="AA280" s="5">
        <f>VLOOKUP($A280,'SegEnds_NonXtal_Prot#'!$A:$AL,30,FALSE)</f>
        <v>239</v>
      </c>
      <c r="AB280" s="5">
        <f>VLOOKUP($A280,'SegEnds_NonXtal_Prot#'!$A:$AL,33,FALSE)</f>
        <v>283</v>
      </c>
      <c r="AC280" s="5">
        <f>VLOOKUP($A280,'SegEnds_NonXtal_Prot#'!$A:$AL,36,FALSE)</f>
        <v>309</v>
      </c>
      <c r="AD280" s="5">
        <f>VLOOKUP($A280,'SegEnds_NonXtal_Prot#'!$A:$AL,5,FALSE)</f>
        <v>62</v>
      </c>
      <c r="AE280" s="5">
        <f>VLOOKUP($A280,'SegEnds_NonXtal_Prot#'!$A:$AL,8,FALSE)</f>
        <v>66</v>
      </c>
      <c r="AF280" s="5">
        <f>VLOOKUP($A280,'SegEnds_NonXtal_Prot#'!$A:$AL,11,FALSE)</f>
        <v>97</v>
      </c>
      <c r="AG280" s="5">
        <f>VLOOKUP($A280,'SegEnds_NonXtal_Prot#'!$A:$AL,14,FALSE)</f>
        <v>102</v>
      </c>
      <c r="AH280" s="5">
        <f>VLOOKUP($A280,'SegEnds_NonXtal_Prot#'!$A:$AL,17,FALSE)</f>
        <v>138</v>
      </c>
      <c r="AI280" s="5">
        <f>VLOOKUP($A280,'SegEnds_NonXtal_Prot#'!$A:$AL,20,FALSE)</f>
        <v>146</v>
      </c>
      <c r="AJ280" s="5">
        <f>VLOOKUP($A280,'SegEnds_NonXtal_Prot#'!$A:$AL,23,FALSE)</f>
        <v>172</v>
      </c>
      <c r="AK280" s="5">
        <f>VLOOKUP($A280,'SegEnds_NonXtal_Prot#'!$A:$AL,26,FALSE)</f>
        <v>194</v>
      </c>
      <c r="AL280" s="5">
        <f>VLOOKUP($A280,'SegEnds_NonXtal_Prot#'!$A:$AL,29,FALSE)</f>
        <v>234</v>
      </c>
      <c r="AM280" s="5">
        <f>VLOOKUP($A280,'SegEnds_NonXtal_Prot#'!$A:$AL,32,FALSE)</f>
        <v>278</v>
      </c>
      <c r="AN280" s="5">
        <f>VLOOKUP($A280,'SegEnds_NonXtal_Prot#'!$A:$AL,35,FALSE)</f>
        <v>308</v>
      </c>
      <c r="AO280" s="5">
        <f>VLOOKUP($A280,'SegEnds_NonXtal_Prot#'!$A:$AL,38,FALSE)</f>
        <v>320</v>
      </c>
      <c r="AP280" s="5">
        <f t="shared" si="113"/>
        <v>31</v>
      </c>
      <c r="AQ280" s="4">
        <f t="shared" si="114"/>
        <v>3</v>
      </c>
      <c r="AR280" s="4">
        <f t="shared" si="115"/>
        <v>30</v>
      </c>
      <c r="AS280" s="4">
        <f t="shared" si="116"/>
        <v>3</v>
      </c>
      <c r="AT280" s="4">
        <f t="shared" si="117"/>
        <v>35</v>
      </c>
      <c r="AU280" s="4">
        <f t="shared" si="118"/>
        <v>7</v>
      </c>
      <c r="AV280" s="4">
        <f t="shared" si="119"/>
        <v>25</v>
      </c>
      <c r="AW280" s="4">
        <f t="shared" si="120"/>
        <v>2</v>
      </c>
      <c r="AX280" s="4">
        <f t="shared" si="121"/>
        <v>38</v>
      </c>
      <c r="AY280" s="4">
        <f t="shared" si="122"/>
        <v>39</v>
      </c>
      <c r="AZ280" s="4">
        <f t="shared" si="123"/>
        <v>25</v>
      </c>
      <c r="BA280" s="4">
        <f t="shared" si="124"/>
        <v>11</v>
      </c>
    </row>
    <row r="281" spans="1:53" x14ac:dyDescent="0.2">
      <c r="A281" s="1" t="str">
        <f>'SegEnds_NonXtal_Prot#'!A270</f>
        <v>taar6_human</v>
      </c>
      <c r="B281" s="1" t="str">
        <f t="shared" si="100"/>
        <v>PGSRVILYIVFGFGAVLAVFGNLLVMISILHFSPTNFLVASLACADFLVGVTVMPFSMVRTVEGRSFCTFHTCCDVAFCYSSLFHLCFISIDRYIAVTDTVSVSGICISVSWILPLMYSGAVFYTVNQNWVLTDFLSFFIPTFIMIILYGNIFLVARRQAKKIENSYKARVARRERKAAKTLGVTVVAFMISWLPYSIDSLIDAFMPACIYEICCWCAYYNSAMNPLIYALFYPWFRKAIKVIV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81" s="5" t="str">
        <f t="shared" si="101"/>
        <v>PGSRVILYIVFGFGAVLAVFGNLLVMISILHF</v>
      </c>
      <c r="G281" s="4" t="str">
        <f t="shared" si="102"/>
        <v>KQLH</v>
      </c>
      <c r="H281" s="4" t="str">
        <f t="shared" si="103"/>
        <v>SPTNFLVASLACADFLVGVTVMPFSMVRTVE</v>
      </c>
      <c r="I281" s="4" t="str">
        <f t="shared" si="104"/>
        <v>CWYF</v>
      </c>
      <c r="J281" s="4" t="str">
        <f t="shared" si="105"/>
        <v>GRSFCTFHTCCDVAFCYSSLFHLCFISIDRYIAVTD</v>
      </c>
      <c r="K281" s="4" t="str">
        <f t="shared" si="106"/>
        <v>PLVYPTKF</v>
      </c>
      <c r="L281" s="4" t="str">
        <f t="shared" si="107"/>
        <v>TVSVSGICISVSWILPLMYSGAVFYT</v>
      </c>
      <c r="M281" s="4" t="str">
        <f t="shared" si="108"/>
        <v>CQT</v>
      </c>
      <c r="N281" s="4" t="str">
        <f t="shared" si="109"/>
        <v>VNQNWVLTDFLSFFIPTFIMIILYGNIFLVARRQAKKIEN</v>
      </c>
      <c r="O281" s="4" t="str">
        <f t="shared" si="110"/>
        <v>SYKARVARRERKAAKTLGVTVVAFMISWLPYSIDSLIDAFM</v>
      </c>
      <c r="P281" s="4" t="str">
        <f t="shared" si="111"/>
        <v>PACIYEICCWCAYYNSAMNPLIYALF</v>
      </c>
      <c r="Q281" s="4" t="str">
        <f t="shared" si="112"/>
        <v>YPWFRKAIKVIV</v>
      </c>
      <c r="R281" s="5">
        <f>VLOOKUP($A281,'SegEnds_NonXtal_Prot#'!$A:$AL,3,FALSE)</f>
        <v>29</v>
      </c>
      <c r="S281" s="5">
        <f>VLOOKUP($A281,'SegEnds_NonXtal_Prot#'!$A:$AL,6,FALSE)</f>
        <v>61</v>
      </c>
      <c r="T281" s="5">
        <f>VLOOKUP($A281,'SegEnds_NonXtal_Prot#'!$A:$AL,9,FALSE)</f>
        <v>65</v>
      </c>
      <c r="U281" s="5">
        <f>VLOOKUP($A281,'SegEnds_NonXtal_Prot#'!$A:$AL,12,FALSE)</f>
        <v>97</v>
      </c>
      <c r="V281" s="5">
        <f>VLOOKUP($A281,'SegEnds_NonXtal_Prot#'!$A:$AL,15,FALSE)</f>
        <v>101</v>
      </c>
      <c r="W281" s="5">
        <f>VLOOKUP($A281,'SegEnds_NonXtal_Prot#'!$A:$AL,18,FALSE)</f>
        <v>137</v>
      </c>
      <c r="X281" s="5">
        <f>VLOOKUP($A281,'SegEnds_NonXtal_Prot#'!$A:$AL,21,FALSE)</f>
        <v>145</v>
      </c>
      <c r="Y281" s="5">
        <f>VLOOKUP($A281,'SegEnds_NonXtal_Prot#'!$A:$AL,24,FALSE)</f>
        <v>190</v>
      </c>
      <c r="Z281" s="5">
        <f>VLOOKUP($A281,'SegEnds_NonXtal_Prot#'!$A:$AL,27,FALSE)</f>
        <v>194</v>
      </c>
      <c r="AA281" s="5">
        <f>VLOOKUP($A281,'SegEnds_NonXtal_Prot#'!$A:$AL,30,FALSE)</f>
        <v>244</v>
      </c>
      <c r="AB281" s="5">
        <f>VLOOKUP($A281,'SegEnds_NonXtal_Prot#'!$A:$AL,33,FALSE)</f>
        <v>289</v>
      </c>
      <c r="AC281" s="5">
        <f>VLOOKUP($A281,'SegEnds_NonXtal_Prot#'!$A:$AL,36,FALSE)</f>
        <v>315</v>
      </c>
      <c r="AD281" s="5">
        <f>VLOOKUP($A281,'SegEnds_NonXtal_Prot#'!$A:$AL,5,FALSE)</f>
        <v>60</v>
      </c>
      <c r="AE281" s="5">
        <f>VLOOKUP($A281,'SegEnds_NonXtal_Prot#'!$A:$AL,8,FALSE)</f>
        <v>64</v>
      </c>
      <c r="AF281" s="5">
        <f>VLOOKUP($A281,'SegEnds_NonXtal_Prot#'!$A:$AL,11,FALSE)</f>
        <v>95</v>
      </c>
      <c r="AG281" s="5">
        <f>VLOOKUP($A281,'SegEnds_NonXtal_Prot#'!$A:$AL,14,FALSE)</f>
        <v>100</v>
      </c>
      <c r="AH281" s="5">
        <f>VLOOKUP($A281,'SegEnds_NonXtal_Prot#'!$A:$AL,17,FALSE)</f>
        <v>136</v>
      </c>
      <c r="AI281" s="5">
        <f>VLOOKUP($A281,'SegEnds_NonXtal_Prot#'!$A:$AL,20,FALSE)</f>
        <v>144</v>
      </c>
      <c r="AJ281" s="5">
        <f>VLOOKUP($A281,'SegEnds_NonXtal_Prot#'!$A:$AL,23,FALSE)</f>
        <v>170</v>
      </c>
      <c r="AK281" s="5">
        <f>VLOOKUP($A281,'SegEnds_NonXtal_Prot#'!$A:$AL,26,FALSE)</f>
        <v>192</v>
      </c>
      <c r="AL281" s="5">
        <f>VLOOKUP($A281,'SegEnds_NonXtal_Prot#'!$A:$AL,29,FALSE)</f>
        <v>233</v>
      </c>
      <c r="AM281" s="5">
        <f>VLOOKUP($A281,'SegEnds_NonXtal_Prot#'!$A:$AL,32,FALSE)</f>
        <v>284</v>
      </c>
      <c r="AN281" s="5">
        <f>VLOOKUP($A281,'SegEnds_NonXtal_Prot#'!$A:$AL,35,FALSE)</f>
        <v>314</v>
      </c>
      <c r="AO281" s="5">
        <f>VLOOKUP($A281,'SegEnds_NonXtal_Prot#'!$A:$AL,38,FALSE)</f>
        <v>326</v>
      </c>
      <c r="AP281" s="5">
        <f t="shared" si="113"/>
        <v>31</v>
      </c>
      <c r="AQ281" s="4">
        <f t="shared" si="114"/>
        <v>3</v>
      </c>
      <c r="AR281" s="4">
        <f t="shared" si="115"/>
        <v>30</v>
      </c>
      <c r="AS281" s="4">
        <f t="shared" si="116"/>
        <v>3</v>
      </c>
      <c r="AT281" s="4">
        <f t="shared" si="117"/>
        <v>35</v>
      </c>
      <c r="AU281" s="4">
        <f t="shared" si="118"/>
        <v>7</v>
      </c>
      <c r="AV281" s="4">
        <f t="shared" si="119"/>
        <v>25</v>
      </c>
      <c r="AW281" s="4">
        <f t="shared" si="120"/>
        <v>2</v>
      </c>
      <c r="AX281" s="4">
        <f t="shared" si="121"/>
        <v>39</v>
      </c>
      <c r="AY281" s="4">
        <f t="shared" si="122"/>
        <v>40</v>
      </c>
      <c r="AZ281" s="4">
        <f t="shared" si="123"/>
        <v>25</v>
      </c>
      <c r="BA281" s="4">
        <f t="shared" si="124"/>
        <v>11</v>
      </c>
    </row>
    <row r="282" spans="1:53" x14ac:dyDescent="0.2">
      <c r="A282" s="1" t="str">
        <f>'SegEnds_NonXtal_Prot#'!A271</f>
        <v>taar8_human</v>
      </c>
      <c r="B282" s="1" t="str">
        <f t="shared" si="100"/>
        <v>PGSRVILYTAFSFGSLLAVFGNLLVMTSVLHFSPTNFLIASLACADFLVGVTVMLFSMVRTVEGAKFCTLHSCCDVAFCYSSVLHLCFICIDRYIVVTDTVSVSGICISVSWILPLTYSGAVFYTVSQGWVLIDFLLFFIPTLVMIILYSKIFLIAKQQAIKIETSYKIRVAKRERKAAKTLGVTVLAFVISWLPYTVDILIDAFMPAYIYEICCWSAYYNSAMNPLIYALFYPWFRKAIKLIL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82" s="5" t="str">
        <f t="shared" si="101"/>
        <v>PGSRVILYTAFSFGSLLAVFGNLLVMTSVLHF</v>
      </c>
      <c r="G282" s="4" t="str">
        <f t="shared" si="102"/>
        <v>KQLH</v>
      </c>
      <c r="H282" s="4" t="str">
        <f t="shared" si="103"/>
        <v>SPTNFLIASLACADFLVGVTVMLFSMVRTVE</v>
      </c>
      <c r="I282" s="4" t="str">
        <f t="shared" si="104"/>
        <v>CWYF</v>
      </c>
      <c r="J282" s="4" t="str">
        <f t="shared" si="105"/>
        <v>GAKFCTLHSCCDVAFCYSSVLHLCFICIDRYIVVTD</v>
      </c>
      <c r="K282" s="4" t="str">
        <f t="shared" si="106"/>
        <v>PLVYATKF</v>
      </c>
      <c r="L282" s="4" t="str">
        <f t="shared" si="107"/>
        <v>TVSVSGICISVSWILPLTYSGAVFYT</v>
      </c>
      <c r="M282" s="4" t="str">
        <f t="shared" si="108"/>
        <v>CQI</v>
      </c>
      <c r="N282" s="4" t="str">
        <f t="shared" si="109"/>
        <v>VSQGWVLIDFLLFFIPTLVMIILYSKIFLIAKQQAIKIET</v>
      </c>
      <c r="O282" s="4" t="str">
        <f t="shared" si="110"/>
        <v>SYKIRVAKRERKAAKTLGVTVLAFVISWLPYTVDILIDAFM</v>
      </c>
      <c r="P282" s="4" t="str">
        <f t="shared" si="111"/>
        <v>PAYIYEICCWSAYYNSAMNPLIYALF</v>
      </c>
      <c r="Q282" s="4" t="str">
        <f t="shared" si="112"/>
        <v>YPWFRKAIKLIL</v>
      </c>
      <c r="R282" s="5">
        <f>VLOOKUP($A282,'SegEnds_NonXtal_Prot#'!$A:$AL,3,FALSE)</f>
        <v>28</v>
      </c>
      <c r="S282" s="5">
        <f>VLOOKUP($A282,'SegEnds_NonXtal_Prot#'!$A:$AL,6,FALSE)</f>
        <v>60</v>
      </c>
      <c r="T282" s="5">
        <f>VLOOKUP($A282,'SegEnds_NonXtal_Prot#'!$A:$AL,9,FALSE)</f>
        <v>64</v>
      </c>
      <c r="U282" s="5">
        <f>VLOOKUP($A282,'SegEnds_NonXtal_Prot#'!$A:$AL,12,FALSE)</f>
        <v>96</v>
      </c>
      <c r="V282" s="5">
        <f>VLOOKUP($A282,'SegEnds_NonXtal_Prot#'!$A:$AL,15,FALSE)</f>
        <v>100</v>
      </c>
      <c r="W282" s="5">
        <f>VLOOKUP($A282,'SegEnds_NonXtal_Prot#'!$A:$AL,18,FALSE)</f>
        <v>136</v>
      </c>
      <c r="X282" s="5">
        <f>VLOOKUP($A282,'SegEnds_NonXtal_Prot#'!$A:$AL,21,FALSE)</f>
        <v>144</v>
      </c>
      <c r="Y282" s="5">
        <f>VLOOKUP($A282,'SegEnds_NonXtal_Prot#'!$A:$AL,24,FALSE)</f>
        <v>189</v>
      </c>
      <c r="Z282" s="5">
        <f>VLOOKUP($A282,'SegEnds_NonXtal_Prot#'!$A:$AL,27,FALSE)</f>
        <v>193</v>
      </c>
      <c r="AA282" s="5">
        <f>VLOOKUP($A282,'SegEnds_NonXtal_Prot#'!$A:$AL,30,FALSE)</f>
        <v>243</v>
      </c>
      <c r="AB282" s="5">
        <f>VLOOKUP($A282,'SegEnds_NonXtal_Prot#'!$A:$AL,33,FALSE)</f>
        <v>288</v>
      </c>
      <c r="AC282" s="5">
        <f>VLOOKUP($A282,'SegEnds_NonXtal_Prot#'!$A:$AL,36,FALSE)</f>
        <v>314</v>
      </c>
      <c r="AD282" s="5">
        <f>VLOOKUP($A282,'SegEnds_NonXtal_Prot#'!$A:$AL,5,FALSE)</f>
        <v>59</v>
      </c>
      <c r="AE282" s="5">
        <f>VLOOKUP($A282,'SegEnds_NonXtal_Prot#'!$A:$AL,8,FALSE)</f>
        <v>63</v>
      </c>
      <c r="AF282" s="5">
        <f>VLOOKUP($A282,'SegEnds_NonXtal_Prot#'!$A:$AL,11,FALSE)</f>
        <v>94</v>
      </c>
      <c r="AG282" s="5">
        <f>VLOOKUP($A282,'SegEnds_NonXtal_Prot#'!$A:$AL,14,FALSE)</f>
        <v>99</v>
      </c>
      <c r="AH282" s="5">
        <f>VLOOKUP($A282,'SegEnds_NonXtal_Prot#'!$A:$AL,17,FALSE)</f>
        <v>135</v>
      </c>
      <c r="AI282" s="5">
        <f>VLOOKUP($A282,'SegEnds_NonXtal_Prot#'!$A:$AL,20,FALSE)</f>
        <v>143</v>
      </c>
      <c r="AJ282" s="5">
        <f>VLOOKUP($A282,'SegEnds_NonXtal_Prot#'!$A:$AL,23,FALSE)</f>
        <v>169</v>
      </c>
      <c r="AK282" s="5">
        <f>VLOOKUP($A282,'SegEnds_NonXtal_Prot#'!$A:$AL,26,FALSE)</f>
        <v>191</v>
      </c>
      <c r="AL282" s="5">
        <f>VLOOKUP($A282,'SegEnds_NonXtal_Prot#'!$A:$AL,29,FALSE)</f>
        <v>232</v>
      </c>
      <c r="AM282" s="5">
        <f>VLOOKUP($A282,'SegEnds_NonXtal_Prot#'!$A:$AL,32,FALSE)</f>
        <v>283</v>
      </c>
      <c r="AN282" s="5">
        <f>VLOOKUP($A282,'SegEnds_NonXtal_Prot#'!$A:$AL,35,FALSE)</f>
        <v>313</v>
      </c>
      <c r="AO282" s="5">
        <f>VLOOKUP($A282,'SegEnds_NonXtal_Prot#'!$A:$AL,38,FALSE)</f>
        <v>325</v>
      </c>
      <c r="AP282" s="5">
        <f t="shared" si="113"/>
        <v>31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35</v>
      </c>
      <c r="AU282" s="4">
        <f t="shared" si="118"/>
        <v>7</v>
      </c>
      <c r="AV282" s="4">
        <f t="shared" si="119"/>
        <v>25</v>
      </c>
      <c r="AW282" s="4">
        <f t="shared" si="120"/>
        <v>2</v>
      </c>
      <c r="AX282" s="4">
        <f t="shared" si="121"/>
        <v>39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'SegEnds_NonXtal_Prot#'!A272</f>
        <v>taar9_human</v>
      </c>
      <c r="B283" s="1" t="str">
        <f t="shared" si="100"/>
        <v>PGPRSILYAVLGFGAVLAAFGNLLVMIAILHFTPTNFLIASLACADFLVGVTVMPFSTVRSVEGDSYCKFHTCFDTSFCFASLFHLCCISVDRYIAVTDTVSVSGICIVLSWFFSVTYSFSIFYTLNQNWVLLCFLLFFIPNVAMVFIYSKIFLVAKHQARKIESSYKERVAKRERKAAKTLGIAMAAFLVSWLPYLVDAVIDAYMPPYVYEILVWCVYYNSAMNPLIYAFFYQWFGKAIKLIV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83" s="5" t="str">
        <f t="shared" si="101"/>
        <v>PGPRSILYAVLGFGAVLAAFGNLLVMIAILHF</v>
      </c>
      <c r="G283" s="4" t="str">
        <f t="shared" si="102"/>
        <v>KQLH</v>
      </c>
      <c r="H283" s="4" t="str">
        <f t="shared" si="103"/>
        <v>TPTNFLIASLACADFLVGVTVMPFSTVRSVE</v>
      </c>
      <c r="I283" s="4" t="str">
        <f t="shared" si="104"/>
        <v>CWYF</v>
      </c>
      <c r="J283" s="4" t="str">
        <f t="shared" si="105"/>
        <v>GDSYCKFHTCFDTSFCFASLFHLCCISVDRYIAVTD</v>
      </c>
      <c r="K283" s="4" t="str">
        <f t="shared" si="106"/>
        <v>PLTYPTKF</v>
      </c>
      <c r="L283" s="4" t="str">
        <f t="shared" si="107"/>
        <v>TVSVSGICIVLSWFFSVTYSFSIFYT</v>
      </c>
      <c r="M283" s="4" t="str">
        <f t="shared" si="108"/>
        <v>CQA</v>
      </c>
      <c r="N283" s="4" t="str">
        <f t="shared" si="109"/>
        <v>LNQNWVLLCFLLFFIPNVAMVFIYSKIFLVAKHQARKIES</v>
      </c>
      <c r="O283" s="4" t="str">
        <f t="shared" si="110"/>
        <v>SYKERVAKRERKAAKTLGIAMAAFLVSWLPYLVDAVIDAYM</v>
      </c>
      <c r="P283" s="4" t="str">
        <f t="shared" si="111"/>
        <v>PPYVYEILVWCVYYNSAMNPLIYAFF</v>
      </c>
      <c r="Q283" s="4" t="str">
        <f t="shared" si="112"/>
        <v>YQWFGKAIKLIV</v>
      </c>
      <c r="R283" s="5">
        <f>VLOOKUP($A283,'SegEnds_NonXtal_Prot#'!$A:$AL,3,FALSE)</f>
        <v>29</v>
      </c>
      <c r="S283" s="5">
        <f>VLOOKUP($A283,'SegEnds_NonXtal_Prot#'!$A:$AL,6,FALSE)</f>
        <v>61</v>
      </c>
      <c r="T283" s="5">
        <f>VLOOKUP($A283,'SegEnds_NonXtal_Prot#'!$A:$AL,9,FALSE)</f>
        <v>65</v>
      </c>
      <c r="U283" s="5">
        <f>VLOOKUP($A283,'SegEnds_NonXtal_Prot#'!$A:$AL,12,FALSE)</f>
        <v>97</v>
      </c>
      <c r="V283" s="5">
        <f>VLOOKUP($A283,'SegEnds_NonXtal_Prot#'!$A:$AL,15,FALSE)</f>
        <v>101</v>
      </c>
      <c r="W283" s="5">
        <f>VLOOKUP($A283,'SegEnds_NonXtal_Prot#'!$A:$AL,18,FALSE)</f>
        <v>137</v>
      </c>
      <c r="X283" s="5">
        <f>VLOOKUP($A283,'SegEnds_NonXtal_Prot#'!$A:$AL,21,FALSE)</f>
        <v>145</v>
      </c>
      <c r="Y283" s="5">
        <f>VLOOKUP($A283,'SegEnds_NonXtal_Prot#'!$A:$AL,24,FALSE)</f>
        <v>190</v>
      </c>
      <c r="Z283" s="5">
        <f>VLOOKUP($A283,'SegEnds_NonXtal_Prot#'!$A:$AL,27,FALSE)</f>
        <v>194</v>
      </c>
      <c r="AA283" s="5">
        <f>VLOOKUP($A283,'SegEnds_NonXtal_Prot#'!$A:$AL,30,FALSE)</f>
        <v>244</v>
      </c>
      <c r="AB283" s="5">
        <f>VLOOKUP($A283,'SegEnds_NonXtal_Prot#'!$A:$AL,33,FALSE)</f>
        <v>289</v>
      </c>
      <c r="AC283" s="5">
        <f>VLOOKUP($A283,'SegEnds_NonXtal_Prot#'!$A:$AL,36,FALSE)</f>
        <v>315</v>
      </c>
      <c r="AD283" s="5">
        <f>VLOOKUP($A283,'SegEnds_NonXtal_Prot#'!$A:$AL,5,FALSE)</f>
        <v>60</v>
      </c>
      <c r="AE283" s="5">
        <f>VLOOKUP($A283,'SegEnds_NonXtal_Prot#'!$A:$AL,8,FALSE)</f>
        <v>64</v>
      </c>
      <c r="AF283" s="5">
        <f>VLOOKUP($A283,'SegEnds_NonXtal_Prot#'!$A:$AL,11,FALSE)</f>
        <v>95</v>
      </c>
      <c r="AG283" s="5">
        <f>VLOOKUP($A283,'SegEnds_NonXtal_Prot#'!$A:$AL,14,FALSE)</f>
        <v>100</v>
      </c>
      <c r="AH283" s="5">
        <f>VLOOKUP($A283,'SegEnds_NonXtal_Prot#'!$A:$AL,17,FALSE)</f>
        <v>136</v>
      </c>
      <c r="AI283" s="5">
        <f>VLOOKUP($A283,'SegEnds_NonXtal_Prot#'!$A:$AL,20,FALSE)</f>
        <v>144</v>
      </c>
      <c r="AJ283" s="5">
        <f>VLOOKUP($A283,'SegEnds_NonXtal_Prot#'!$A:$AL,23,FALSE)</f>
        <v>170</v>
      </c>
      <c r="AK283" s="5">
        <f>VLOOKUP($A283,'SegEnds_NonXtal_Prot#'!$A:$AL,26,FALSE)</f>
        <v>192</v>
      </c>
      <c r="AL283" s="5">
        <f>VLOOKUP($A283,'SegEnds_NonXtal_Prot#'!$A:$AL,29,FALSE)</f>
        <v>233</v>
      </c>
      <c r="AM283" s="5">
        <f>VLOOKUP($A283,'SegEnds_NonXtal_Prot#'!$A:$AL,32,FALSE)</f>
        <v>284</v>
      </c>
      <c r="AN283" s="5">
        <f>VLOOKUP($A283,'SegEnds_NonXtal_Prot#'!$A:$AL,35,FALSE)</f>
        <v>314</v>
      </c>
      <c r="AO283" s="5">
        <f>VLOOKUP($A283,'SegEnds_NonXtal_Prot#'!$A:$AL,38,FALSE)</f>
        <v>326</v>
      </c>
      <c r="AP283" s="5">
        <f t="shared" si="113"/>
        <v>31</v>
      </c>
      <c r="AQ283" s="4">
        <f t="shared" si="114"/>
        <v>3</v>
      </c>
      <c r="AR283" s="4">
        <f t="shared" si="115"/>
        <v>30</v>
      </c>
      <c r="AS283" s="4">
        <f t="shared" si="116"/>
        <v>3</v>
      </c>
      <c r="AT283" s="4">
        <f t="shared" si="117"/>
        <v>35</v>
      </c>
      <c r="AU283" s="4">
        <f t="shared" si="118"/>
        <v>7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25</v>
      </c>
      <c r="BA283" s="4">
        <f t="shared" si="124"/>
        <v>11</v>
      </c>
    </row>
    <row r="284" spans="1:53" x14ac:dyDescent="0.2">
      <c r="A284" s="1" t="str">
        <f>'SegEnds_NonXtal_Prot#'!A273</f>
        <v>trfr_human</v>
      </c>
      <c r="B284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84" s="5" t="str">
        <f t="shared" si="101"/>
        <v>LEYQVVTILLVLIICGLGIVGNIMVVLVVMRT</v>
      </c>
      <c r="G284" s="4" t="str">
        <f t="shared" si="102"/>
        <v>KHMR</v>
      </c>
      <c r="H284" s="4" t="str">
        <f t="shared" si="103"/>
        <v>TPTNCYLVSLAVADLMVLVAAGLPNITDSI</v>
      </c>
      <c r="I284" s="4" t="str">
        <f t="shared" si="104"/>
        <v>SWVY</v>
      </c>
      <c r="J284" s="4" t="str">
        <f t="shared" si="105"/>
        <v>GYVGCLCITYLQYLGINASSCSITAFTIERYIAICH</v>
      </c>
      <c r="K284" s="4" t="str">
        <f t="shared" si="106"/>
        <v>PIKAQFLC</v>
      </c>
      <c r="L284" s="4" t="str">
        <f t="shared" si="107"/>
        <v>TFSRAKKIIIFVWAFTSLYCMLWFFLL</v>
      </c>
      <c r="M284" s="4" t="str">
        <f t="shared" si="108"/>
        <v>CGY</v>
      </c>
      <c r="N284" s="4" t="str">
        <f t="shared" si="109"/>
        <v>SRNYYSPIYLMDFGVFYVVPMILATVLYGFIARILFLNPIPSDPKE</v>
      </c>
      <c r="O284" s="4" t="str">
        <f t="shared" si="110"/>
        <v>NSTVSSRKQVTKMLAVVVILFALLWMPYRTLVVVNSFL</v>
      </c>
      <c r="P284" s="4" t="str">
        <f t="shared" si="111"/>
        <v>ENWFLLFCRICIYLNSAINPVIYNLM</v>
      </c>
      <c r="Q284" s="4" t="str">
        <f t="shared" si="112"/>
        <v>SQKFRAAFRKLCN</v>
      </c>
      <c r="R284" s="5">
        <f>VLOOKUP($A284,'SegEnds_NonXtal_Prot#'!$A:$AL,3,FALSE)</f>
        <v>22</v>
      </c>
      <c r="S284" s="5">
        <f>VLOOKUP($A284,'SegEnds_NonXtal_Prot#'!$A:$AL,6,FALSE)</f>
        <v>54</v>
      </c>
      <c r="T284" s="5">
        <f>VLOOKUP($A284,'SegEnds_NonXtal_Prot#'!$A:$AL,9,FALSE)</f>
        <v>58</v>
      </c>
      <c r="U284" s="5">
        <f>VLOOKUP($A284,'SegEnds_NonXtal_Prot#'!$A:$AL,12,FALSE)</f>
        <v>90</v>
      </c>
      <c r="V284" s="5">
        <f>VLOOKUP($A284,'SegEnds_NonXtal_Prot#'!$A:$AL,15,FALSE)</f>
        <v>94</v>
      </c>
      <c r="W284" s="5">
        <f>VLOOKUP($A284,'SegEnds_NonXtal_Prot#'!$A:$AL,18,FALSE)</f>
        <v>130</v>
      </c>
      <c r="X284" s="5">
        <f>VLOOKUP($A284,'SegEnds_NonXtal_Prot#'!$A:$AL,21,FALSE)</f>
        <v>138</v>
      </c>
      <c r="Y284" s="5">
        <f>VLOOKUP($A284,'SegEnds_NonXtal_Prot#'!$A:$AL,24,FALSE)</f>
        <v>179</v>
      </c>
      <c r="Z284" s="5">
        <f>VLOOKUP($A284,'SegEnds_NonXtal_Prot#'!$A:$AL,27,FALSE)</f>
        <v>184</v>
      </c>
      <c r="AA284" s="5">
        <f>VLOOKUP($A284,'SegEnds_NonXtal_Prot#'!$A:$AL,30,FALSE)</f>
        <v>255</v>
      </c>
      <c r="AB284" s="5">
        <f>VLOOKUP($A284,'SegEnds_NonXtal_Prot#'!$A:$AL,33,FALSE)</f>
        <v>298</v>
      </c>
      <c r="AC284" s="5">
        <f>VLOOKUP($A284,'SegEnds_NonXtal_Prot#'!$A:$AL,36,FALSE)</f>
        <v>324</v>
      </c>
      <c r="AD284" s="5">
        <f>VLOOKUP($A284,'SegEnds_NonXtal_Prot#'!$A:$AL,5,FALSE)</f>
        <v>53</v>
      </c>
      <c r="AE284" s="5">
        <f>VLOOKUP($A284,'SegEnds_NonXtal_Prot#'!$A:$AL,8,FALSE)</f>
        <v>57</v>
      </c>
      <c r="AF284" s="5">
        <f>VLOOKUP($A284,'SegEnds_NonXtal_Prot#'!$A:$AL,11,FALSE)</f>
        <v>87</v>
      </c>
      <c r="AG284" s="5">
        <f>VLOOKUP($A284,'SegEnds_NonXtal_Prot#'!$A:$AL,14,FALSE)</f>
        <v>93</v>
      </c>
      <c r="AH284" s="5">
        <f>VLOOKUP($A284,'SegEnds_NonXtal_Prot#'!$A:$AL,17,FALSE)</f>
        <v>129</v>
      </c>
      <c r="AI284" s="5">
        <f>VLOOKUP($A284,'SegEnds_NonXtal_Prot#'!$A:$AL,20,FALSE)</f>
        <v>137</v>
      </c>
      <c r="AJ284" s="5">
        <f>VLOOKUP($A284,'SegEnds_NonXtal_Prot#'!$A:$AL,23,FALSE)</f>
        <v>164</v>
      </c>
      <c r="AK284" s="5">
        <f>VLOOKUP($A284,'SegEnds_NonXtal_Prot#'!$A:$AL,26,FALSE)</f>
        <v>181</v>
      </c>
      <c r="AL284" s="5">
        <f>VLOOKUP($A284,'SegEnds_NonXtal_Prot#'!$A:$AL,29,FALSE)</f>
        <v>229</v>
      </c>
      <c r="AM284" s="5">
        <f>VLOOKUP($A284,'SegEnds_NonXtal_Prot#'!$A:$AL,32,FALSE)</f>
        <v>292</v>
      </c>
      <c r="AN284" s="5">
        <f>VLOOKUP($A284,'SegEnds_NonXtal_Prot#'!$A:$AL,35,FALSE)</f>
        <v>323</v>
      </c>
      <c r="AO284" s="5">
        <f>VLOOKUP($A284,'SegEnds_NonXtal_Prot#'!$A:$AL,38,FALSE)</f>
        <v>336</v>
      </c>
      <c r="AP284" s="5">
        <f t="shared" si="113"/>
        <v>31</v>
      </c>
      <c r="AQ284" s="4">
        <f t="shared" si="114"/>
        <v>3</v>
      </c>
      <c r="AR284" s="4">
        <f t="shared" si="115"/>
        <v>29</v>
      </c>
      <c r="AS284" s="4">
        <f t="shared" si="116"/>
        <v>3</v>
      </c>
      <c r="AT284" s="4">
        <f t="shared" si="117"/>
        <v>35</v>
      </c>
      <c r="AU284" s="4">
        <f t="shared" si="118"/>
        <v>7</v>
      </c>
      <c r="AV284" s="4">
        <f t="shared" si="119"/>
        <v>26</v>
      </c>
      <c r="AW284" s="4">
        <f t="shared" si="120"/>
        <v>2</v>
      </c>
      <c r="AX284" s="4">
        <f t="shared" si="121"/>
        <v>45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'SegEnds_NonXtal_Prot#'!A274</f>
        <v>tshr_human</v>
      </c>
      <c r="B285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85" s="5" t="str">
        <f t="shared" si="101"/>
        <v>EDIMGYKFLRIVVWFVSLLALLGNVFVLLILLTS</v>
      </c>
      <c r="G285" s="4" t="str">
        <f t="shared" si="102"/>
        <v>YKLN</v>
      </c>
      <c r="H285" s="4" t="str">
        <f t="shared" si="103"/>
        <v>VPRFLMCNLAFADFCMGMYLLLIASVDLYT</v>
      </c>
      <c r="I285" s="4" t="str">
        <f t="shared" si="104"/>
        <v>DWQT</v>
      </c>
      <c r="J285" s="4" t="str">
        <f t="shared" si="105"/>
        <v>GPGCNTAGFFTVFASELSVYTLTVITLERWYAITF</v>
      </c>
      <c r="K285" s="4" t="str">
        <f t="shared" si="106"/>
        <v>AMRLDRKI</v>
      </c>
      <c r="L285" s="4" t="str">
        <f t="shared" si="107"/>
        <v>RLRHACAIMVGGWVCCFLLALLPLVG</v>
      </c>
      <c r="M285" s="4" t="str">
        <f t="shared" si="108"/>
        <v>CLP</v>
      </c>
      <c r="N285" s="4" t="str">
        <f t="shared" si="109"/>
        <v>PLALAYIVFVLTLNIVAFVIVCCCYVKIYITVRN</v>
      </c>
      <c r="O285" s="4" t="str">
        <f t="shared" si="110"/>
        <v>PGDKDTKIAKRMAVLIFTDFICMAPISFYALSAILN</v>
      </c>
      <c r="P285" s="4" t="str">
        <f t="shared" si="111"/>
        <v>VSNSKILLVLFYPLNSCANPFLYAIF</v>
      </c>
      <c r="Q285" s="4" t="str">
        <f t="shared" si="112"/>
        <v>TKAFQRDVFILLSKFGICKRQAQ</v>
      </c>
      <c r="R285" s="5">
        <f>VLOOKUP($A285,'SegEnds_NonXtal_Prot#'!$A:$AL,3,FALSE)</f>
        <v>409</v>
      </c>
      <c r="S285" s="5">
        <f>VLOOKUP($A285,'SegEnds_NonXtal_Prot#'!$A:$AL,6,FALSE)</f>
        <v>444</v>
      </c>
      <c r="T285" s="5">
        <f>VLOOKUP($A285,'SegEnds_NonXtal_Prot#'!$A:$AL,9,FALSE)</f>
        <v>448</v>
      </c>
      <c r="U285" s="5">
        <f>VLOOKUP($A285,'SegEnds_NonXtal_Prot#'!$A:$AL,12,FALSE)</f>
        <v>487</v>
      </c>
      <c r="V285" s="5">
        <f>VLOOKUP($A285,'SegEnds_NonXtal_Prot#'!$A:$AL,15,FALSE)</f>
        <v>491</v>
      </c>
      <c r="W285" s="5">
        <f>VLOOKUP($A285,'SegEnds_NonXtal_Prot#'!$A:$AL,18,FALSE)</f>
        <v>526</v>
      </c>
      <c r="X285" s="5">
        <f>VLOOKUP($A285,'SegEnds_NonXtal_Prot#'!$A:$AL,21,FALSE)</f>
        <v>534</v>
      </c>
      <c r="Y285" s="5">
        <f>VLOOKUP($A285,'SegEnds_NonXtal_Prot#'!$A:$AL,24,FALSE)</f>
        <v>569</v>
      </c>
      <c r="Z285" s="5">
        <f>VLOOKUP($A285,'SegEnds_NonXtal_Prot#'!$A:$AL,27,FALSE)</f>
        <v>577</v>
      </c>
      <c r="AA285" s="5">
        <f>VLOOKUP($A285,'SegEnds_NonXtal_Prot#'!$A:$AL,30,FALSE)</f>
        <v>615</v>
      </c>
      <c r="AB285" s="5">
        <f>VLOOKUP($A285,'SegEnds_NonXtal_Prot#'!$A:$AL,33,FALSE)</f>
        <v>656</v>
      </c>
      <c r="AC285" s="5">
        <f>VLOOKUP($A285,'SegEnds_NonXtal_Prot#'!$A:$AL,36,FALSE)</f>
        <v>682</v>
      </c>
      <c r="AD285" s="5">
        <f>VLOOKUP($A285,'SegEnds_NonXtal_Prot#'!$A:$AL,5,FALSE)</f>
        <v>442</v>
      </c>
      <c r="AE285" s="5">
        <f>VLOOKUP($A285,'SegEnds_NonXtal_Prot#'!$A:$AL,8,FALSE)</f>
        <v>447</v>
      </c>
      <c r="AF285" s="5">
        <f>VLOOKUP($A285,'SegEnds_NonXtal_Prot#'!$A:$AL,11,FALSE)</f>
        <v>477</v>
      </c>
      <c r="AG285" s="5">
        <f>VLOOKUP($A285,'SegEnds_NonXtal_Prot#'!$A:$AL,14,FALSE)</f>
        <v>490</v>
      </c>
      <c r="AH285" s="5">
        <f>VLOOKUP($A285,'SegEnds_NonXtal_Prot#'!$A:$AL,17,FALSE)</f>
        <v>525</v>
      </c>
      <c r="AI285" s="5">
        <f>VLOOKUP($A285,'SegEnds_NonXtal_Prot#'!$A:$AL,20,FALSE)</f>
        <v>533</v>
      </c>
      <c r="AJ285" s="5">
        <f>VLOOKUP($A285,'SegEnds_NonXtal_Prot#'!$A:$AL,23,FALSE)</f>
        <v>559</v>
      </c>
      <c r="AK285" s="5">
        <f>VLOOKUP($A285,'SegEnds_NonXtal_Prot#'!$A:$AL,26,FALSE)</f>
        <v>571</v>
      </c>
      <c r="AL285" s="5">
        <f>VLOOKUP($A285,'SegEnds_NonXtal_Prot#'!$A:$AL,29,FALSE)</f>
        <v>610</v>
      </c>
      <c r="AM285" s="5">
        <f>VLOOKUP($A285,'SegEnds_NonXtal_Prot#'!$A:$AL,32,FALSE)</f>
        <v>650</v>
      </c>
      <c r="AN285" s="5">
        <f>VLOOKUP($A285,'SegEnds_NonXtal_Prot#'!$A:$AL,35,FALSE)</f>
        <v>681</v>
      </c>
      <c r="AO285" s="5">
        <f>VLOOKUP($A285,'SegEnds_NonXtal_Prot#'!$A:$AL,38,FALSE)</f>
        <v>704</v>
      </c>
      <c r="AP285" s="5">
        <f t="shared" si="113"/>
        <v>33</v>
      </c>
      <c r="AQ285" s="4">
        <f t="shared" si="114"/>
        <v>3</v>
      </c>
      <c r="AR285" s="4">
        <f t="shared" si="115"/>
        <v>29</v>
      </c>
      <c r="AS285" s="4">
        <f t="shared" si="116"/>
        <v>3</v>
      </c>
      <c r="AT285" s="4">
        <f t="shared" si="117"/>
        <v>34</v>
      </c>
      <c r="AU285" s="4">
        <f t="shared" si="118"/>
        <v>7</v>
      </c>
      <c r="AV285" s="4">
        <f t="shared" si="119"/>
        <v>25</v>
      </c>
      <c r="AW285" s="4">
        <f t="shared" si="120"/>
        <v>2</v>
      </c>
      <c r="AX285" s="4">
        <f t="shared" si="121"/>
        <v>33</v>
      </c>
      <c r="AY285" s="4">
        <f t="shared" si="122"/>
        <v>35</v>
      </c>
      <c r="AZ285" s="4">
        <f t="shared" si="123"/>
        <v>25</v>
      </c>
      <c r="BA285" s="4">
        <f t="shared" si="124"/>
        <v>22</v>
      </c>
    </row>
    <row r="286" spans="1:53" x14ac:dyDescent="0.2">
      <c r="A286" s="1" t="str">
        <f>'SegEnds_NonXtal_Prot#'!A275</f>
        <v>v2r_human</v>
      </c>
      <c r="B286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86" s="5" t="str">
        <f t="shared" si="101"/>
        <v>PLLARAELALLSIVFVAVALSNGLVLAALARR</v>
      </c>
      <c r="G286" s="4" t="str">
        <f t="shared" si="102"/>
        <v>RRGH</v>
      </c>
      <c r="H286" s="4" t="str">
        <f t="shared" si="103"/>
        <v>WAPIHVFIGHLCLADLAVALFQVLPQLAWKA</v>
      </c>
      <c r="I286" s="4" t="str">
        <f t="shared" si="104"/>
        <v>TDRF</v>
      </c>
      <c r="J286" s="4" t="str">
        <f t="shared" si="105"/>
        <v>RGPDALCRAVKYLQMVGMYASSYMILAMTLDRHRAICR</v>
      </c>
      <c r="K286" s="4" t="str">
        <f t="shared" si="106"/>
        <v>PMLAYRHG</v>
      </c>
      <c r="L286" s="4" t="str">
        <f t="shared" si="107"/>
        <v>SGAHWNRPVLVAWAFSLLLSLPQLFIF</v>
      </c>
      <c r="M286" s="4" t="str">
        <f t="shared" si="108"/>
        <v>CWA</v>
      </c>
      <c r="N286" s="4" t="str">
        <f t="shared" si="109"/>
        <v>PWGRRTYVTWIALMVFVAPTLGIAACQVLIFREIHASLVPGPSER</v>
      </c>
      <c r="O286" s="4" t="str">
        <f t="shared" si="110"/>
        <v>AHVSAAVAKTVRMTLVIVVVYVLCWAPFFLVQLWAAWD</v>
      </c>
      <c r="P286" s="4" t="str">
        <f t="shared" si="111"/>
        <v>EGAPFVLLMLLASLNSCTNPWIYASF</v>
      </c>
      <c r="Q286" s="4" t="str">
        <f t="shared" si="112"/>
        <v>SSSVSSELRSLL</v>
      </c>
      <c r="R286" s="5">
        <f>VLOOKUP($A286,'SegEnds_NonXtal_Prot#'!$A:$AL,3,FALSE)</f>
        <v>34</v>
      </c>
      <c r="S286" s="5">
        <f>VLOOKUP($A286,'SegEnds_NonXtal_Prot#'!$A:$AL,6,FALSE)</f>
        <v>67</v>
      </c>
      <c r="T286" s="5">
        <f>VLOOKUP($A286,'SegEnds_NonXtal_Prot#'!$A:$AL,9,FALSE)</f>
        <v>71</v>
      </c>
      <c r="U286" s="5">
        <f>VLOOKUP($A286,'SegEnds_NonXtal_Prot#'!$A:$AL,12,FALSE)</f>
        <v>102</v>
      </c>
      <c r="V286" s="5">
        <f>VLOOKUP($A286,'SegEnds_NonXtal_Prot#'!$A:$AL,15,FALSE)</f>
        <v>106</v>
      </c>
      <c r="W286" s="5">
        <f>VLOOKUP($A286,'SegEnds_NonXtal_Prot#'!$A:$AL,18,FALSE)</f>
        <v>144</v>
      </c>
      <c r="X286" s="5">
        <f>VLOOKUP($A286,'SegEnds_NonXtal_Prot#'!$A:$AL,21,FALSE)</f>
        <v>152</v>
      </c>
      <c r="Y286" s="5">
        <f>VLOOKUP($A286,'SegEnds_NonXtal_Prot#'!$A:$AL,24,FALSE)</f>
        <v>192</v>
      </c>
      <c r="Z286" s="5">
        <f>VLOOKUP($A286,'SegEnds_NonXtal_Prot#'!$A:$AL,27,FALSE)</f>
        <v>199</v>
      </c>
      <c r="AA286" s="5">
        <f>VLOOKUP($A286,'SegEnds_NonXtal_Prot#'!$A:$AL,30,FALSE)</f>
        <v>260</v>
      </c>
      <c r="AB286" s="5">
        <f>VLOOKUP($A286,'SegEnds_NonXtal_Prot#'!$A:$AL,33,FALSE)</f>
        <v>303</v>
      </c>
      <c r="AC286" s="5">
        <f>VLOOKUP($A286,'SegEnds_NonXtal_Prot#'!$A:$AL,36,FALSE)</f>
        <v>329</v>
      </c>
      <c r="AD286" s="5">
        <f>VLOOKUP($A286,'SegEnds_NonXtal_Prot#'!$A:$AL,5,FALSE)</f>
        <v>65</v>
      </c>
      <c r="AE286" s="5">
        <f>VLOOKUP($A286,'SegEnds_NonXtal_Prot#'!$A:$AL,8,FALSE)</f>
        <v>70</v>
      </c>
      <c r="AF286" s="5">
        <f>VLOOKUP($A286,'SegEnds_NonXtal_Prot#'!$A:$AL,11,FALSE)</f>
        <v>101</v>
      </c>
      <c r="AG286" s="5">
        <f>VLOOKUP($A286,'SegEnds_NonXtal_Prot#'!$A:$AL,14,FALSE)</f>
        <v>105</v>
      </c>
      <c r="AH286" s="5">
        <f>VLOOKUP($A286,'SegEnds_NonXtal_Prot#'!$A:$AL,17,FALSE)</f>
        <v>143</v>
      </c>
      <c r="AI286" s="5">
        <f>VLOOKUP($A286,'SegEnds_NonXtal_Prot#'!$A:$AL,20,FALSE)</f>
        <v>151</v>
      </c>
      <c r="AJ286" s="5">
        <f>VLOOKUP($A286,'SegEnds_NonXtal_Prot#'!$A:$AL,23,FALSE)</f>
        <v>178</v>
      </c>
      <c r="AK286" s="5">
        <f>VLOOKUP($A286,'SegEnds_NonXtal_Prot#'!$A:$AL,26,FALSE)</f>
        <v>194</v>
      </c>
      <c r="AL286" s="5">
        <f>VLOOKUP($A286,'SegEnds_NonXtal_Prot#'!$A:$AL,29,FALSE)</f>
        <v>243</v>
      </c>
      <c r="AM286" s="5">
        <f>VLOOKUP($A286,'SegEnds_NonXtal_Prot#'!$A:$AL,32,FALSE)</f>
        <v>297</v>
      </c>
      <c r="AN286" s="5">
        <f>VLOOKUP($A286,'SegEnds_NonXtal_Prot#'!$A:$AL,35,FALSE)</f>
        <v>328</v>
      </c>
      <c r="AO286" s="5">
        <f>VLOOKUP($A286,'SegEnds_NonXtal_Prot#'!$A:$AL,38,FALSE)</f>
        <v>340</v>
      </c>
      <c r="AP286" s="5">
        <f t="shared" si="113"/>
        <v>31</v>
      </c>
      <c r="AQ286" s="4">
        <f t="shared" si="114"/>
        <v>3</v>
      </c>
      <c r="AR286" s="4">
        <f t="shared" si="115"/>
        <v>30</v>
      </c>
      <c r="AS286" s="4">
        <f t="shared" si="116"/>
        <v>3</v>
      </c>
      <c r="AT286" s="4">
        <f t="shared" si="117"/>
        <v>37</v>
      </c>
      <c r="AU286" s="4">
        <f t="shared" si="118"/>
        <v>7</v>
      </c>
      <c r="AV286" s="4">
        <f t="shared" si="119"/>
        <v>26</v>
      </c>
      <c r="AW286" s="4">
        <f t="shared" si="120"/>
        <v>2</v>
      </c>
      <c r="AX286" s="4">
        <f t="shared" si="121"/>
        <v>44</v>
      </c>
      <c r="AY286" s="4">
        <f t="shared" si="122"/>
        <v>37</v>
      </c>
      <c r="AZ286" s="4">
        <f t="shared" si="123"/>
        <v>25</v>
      </c>
      <c r="BA286" s="4">
        <f t="shared" si="124"/>
        <v>11</v>
      </c>
    </row>
    <row r="287" spans="1:53" x14ac:dyDescent="0.2">
      <c r="A287" s="1" t="str">
        <f>'SegEnds_NonXtal_Prot#'!A277</f>
        <v>ccrl2_human</v>
      </c>
      <c r="B287" s="1" t="str">
        <f t="shared" si="100"/>
        <v>KYDAQALSAQLVPSLCSAVFVIGVLDNLLVVLILVKYRVENIYLLNLAVSNLCFLLTLPFWAHAKILIGLYFVGLYSETFFNCLLTVQRYLVFLHRVPCGIITSVLAWVTAILATLPEFVVYDETFWKHFLTLKMNISVLVLPLFIFTFLYVQMRKTLRFRYSLFKLVFAIMVVFLLMWAPYNIAFFLSTFKEHFDCKSSYNLDKSVHITKLIATTHCCINPLLYAFLDGTFSKYLCRCFH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87" s="5" t="str">
        <f t="shared" si="101"/>
        <v>KYDAQALSAQLVPSLCSAVFVIGVLDNLLVVLILVKY</v>
      </c>
      <c r="G287" s="4" t="str">
        <f t="shared" si="102"/>
        <v>KGLK</v>
      </c>
      <c r="H287" s="4" t="str">
        <f t="shared" si="103"/>
        <v>RVENIYLLNLAVSNLCFLLTLPFWAHA</v>
      </c>
      <c r="I287" s="4" t="str">
        <f t="shared" si="104"/>
        <v/>
      </c>
      <c r="J287" s="4" t="str">
        <f t="shared" si="105"/>
        <v>KILIGLYFVGLYSETFFNCLLTVQRYLVFLH</v>
      </c>
      <c r="K287" s="4" t="str">
        <f t="shared" si="106"/>
        <v>KGNFFSARR</v>
      </c>
      <c r="L287" s="4" t="str">
        <f t="shared" si="107"/>
        <v>RVPCGIITSVLAWVTAILATLPEFVVY</v>
      </c>
      <c r="M287" s="4" t="str">
        <f t="shared" si="108"/>
        <v>CAF</v>
      </c>
      <c r="N287" s="4" t="str">
        <f t="shared" si="109"/>
        <v>DETFWKHFLTLKMNISVLVLPLFIFTFLYVQMRKTLRF</v>
      </c>
      <c r="O287" s="4" t="str">
        <f t="shared" si="110"/>
        <v>RYSLFKLVFAIMVVFLLMWAPYNIAFFLSTFKEHF</v>
      </c>
      <c r="P287" s="4" t="str">
        <f t="shared" si="111"/>
        <v>DCKSSYNLDKSVHITKLIATTHCCINPLLYAFL</v>
      </c>
      <c r="Q287" s="4" t="str">
        <f t="shared" si="112"/>
        <v>DGTFSKYLCRCFH</v>
      </c>
      <c r="R287" s="5">
        <f>VLOOKUP($A287,'SegEnds_NonXtal_Prot#'!$A:$AL,3,FALSE)</f>
        <v>30</v>
      </c>
      <c r="S287" s="5">
        <f>VLOOKUP($A287,'SegEnds_NonXtal_Prot#'!$A:$AL,6,FALSE)</f>
        <v>67</v>
      </c>
      <c r="T287" s="5">
        <f>VLOOKUP($A287,'SegEnds_NonXtal_Prot#'!$A:$AL,9,FALSE)</f>
        <v>71</v>
      </c>
      <c r="U287" s="5" t="str">
        <f>VLOOKUP($A287,'SegEnds_NonXtal_Prot#'!$A:$AL,12,FALSE)</f>
        <v>-</v>
      </c>
      <c r="V287" s="5">
        <f>VLOOKUP($A287,'SegEnds_NonXtal_Prot#'!$A:$AL,15,FALSE)</f>
        <v>104</v>
      </c>
      <c r="W287" s="5">
        <f>VLOOKUP($A287,'SegEnds_NonXtal_Prot#'!$A:$AL,18,FALSE)</f>
        <v>135</v>
      </c>
      <c r="X287" s="5">
        <f>VLOOKUP($A287,'SegEnds_NonXtal_Prot#'!$A:$AL,21,FALSE)</f>
        <v>144</v>
      </c>
      <c r="Y287" s="5">
        <f>VLOOKUP($A287,'SegEnds_NonXtal_Prot#'!$A:$AL,24,FALSE)</f>
        <v>181</v>
      </c>
      <c r="Z287" s="5">
        <f>VLOOKUP($A287,'SegEnds_NonXtal_Prot#'!$A:$AL,27,FALSE)</f>
        <v>192</v>
      </c>
      <c r="AA287" s="5">
        <f>VLOOKUP($A287,'SegEnds_NonXtal_Prot#'!$A:$AL,30,FALSE)</f>
        <v>233</v>
      </c>
      <c r="AB287" s="5">
        <f>VLOOKUP($A287,'SegEnds_NonXtal_Prot#'!$A:$AL,33,FALSE)</f>
        <v>271</v>
      </c>
      <c r="AC287" s="5">
        <f>VLOOKUP($A287,'SegEnds_NonXtal_Prot#'!$A:$AL,36,FALSE)</f>
        <v>304</v>
      </c>
      <c r="AD287" s="5">
        <f>VLOOKUP($A287,'SegEnds_NonXtal_Prot#'!$A:$AL,5,FALSE)</f>
        <v>66</v>
      </c>
      <c r="AE287" s="5">
        <f>VLOOKUP($A287,'SegEnds_NonXtal_Prot#'!$A:$AL,8,FALSE)</f>
        <v>70</v>
      </c>
      <c r="AF287" s="5">
        <f>VLOOKUP($A287,'SegEnds_NonXtal_Prot#'!$A:$AL,11,FALSE)</f>
        <v>97</v>
      </c>
      <c r="AG287" s="5" t="str">
        <f>VLOOKUP($A287,'SegEnds_NonXtal_Prot#'!$A:$AL,14,FALSE)</f>
        <v>-</v>
      </c>
      <c r="AH287" s="5">
        <f>VLOOKUP($A287,'SegEnds_NonXtal_Prot#'!$A:$AL,17,FALSE)</f>
        <v>134</v>
      </c>
      <c r="AI287" s="5">
        <f>VLOOKUP($A287,'SegEnds_NonXtal_Prot#'!$A:$AL,20,FALSE)</f>
        <v>143</v>
      </c>
      <c r="AJ287" s="5">
        <f>VLOOKUP($A287,'SegEnds_NonXtal_Prot#'!$A:$AL,23,FALSE)</f>
        <v>170</v>
      </c>
      <c r="AK287" s="5">
        <f>VLOOKUP($A287,'SegEnds_NonXtal_Prot#'!$A:$AL,26,FALSE)</f>
        <v>183</v>
      </c>
      <c r="AL287" s="5">
        <f>VLOOKUP($A287,'SegEnds_NonXtal_Prot#'!$A:$AL,29,FALSE)</f>
        <v>229</v>
      </c>
      <c r="AM287" s="5">
        <f>VLOOKUP($A287,'SegEnds_NonXtal_Prot#'!$A:$AL,32,FALSE)</f>
        <v>267</v>
      </c>
      <c r="AN287" s="5">
        <f>VLOOKUP($A287,'SegEnds_NonXtal_Prot#'!$A:$AL,35,FALSE)</f>
        <v>303</v>
      </c>
      <c r="AO287" s="5">
        <f>VLOOKUP($A287,'SegEnds_NonXtal_Prot#'!$A:$AL,38,FALSE)</f>
        <v>316</v>
      </c>
      <c r="AP287" s="5">
        <f t="shared" si="113"/>
        <v>36</v>
      </c>
      <c r="AQ287" s="4">
        <f t="shared" si="114"/>
        <v>3</v>
      </c>
      <c r="AR287" s="4">
        <f t="shared" si="115"/>
        <v>26</v>
      </c>
      <c r="AS287" s="4" t="str">
        <f t="shared" si="116"/>
        <v>-</v>
      </c>
      <c r="AT287" s="4">
        <f t="shared" si="117"/>
        <v>30</v>
      </c>
      <c r="AU287" s="4">
        <f t="shared" si="118"/>
        <v>8</v>
      </c>
      <c r="AV287" s="4">
        <f t="shared" si="119"/>
        <v>26</v>
      </c>
      <c r="AW287" s="4">
        <f t="shared" si="120"/>
        <v>2</v>
      </c>
      <c r="AX287" s="4">
        <f t="shared" si="121"/>
        <v>37</v>
      </c>
      <c r="AY287" s="4">
        <f t="shared" si="122"/>
        <v>34</v>
      </c>
      <c r="AZ287" s="4">
        <f t="shared" si="123"/>
        <v>32</v>
      </c>
      <c r="BA287" s="4">
        <f t="shared" si="124"/>
        <v>12</v>
      </c>
    </row>
    <row r="288" spans="1:53" x14ac:dyDescent="0.2">
      <c r="A288" s="1" t="str">
        <f>'SegEnds_NonXtal_Prot#'!A278</f>
        <v>drd2_human</v>
      </c>
      <c r="B288" s="1" t="str">
        <f t="shared" si="100"/>
        <v>RPHYNYYATLLTLLIAVIVFGNVLVCMAVSRETTTNYLIVSLAVADLLVATLVMPWVVYLEVVSRIHCDIFVTLDVMMCTASILNLCAISIDRYTAVAMSKRRVTVMISIVWVLSFTISCPLLFGNPAFVVYSSIVSFYVPFIVTLLVYIKIYIVLRRRRKRVNTKKLSQQKEKKATQMLAIVLGVFIICWLPFFITHILNIHCPPVLYSAFTWLGYVNSAVNPIIYTTFNIEFRKAFLKILH</v>
      </c>
      <c r="C288" s="29" t="str">
        <f>IF(ISERROR(MATCH(A288,'SegEnds_Xtal_Prot#'!B:B, 0)), "NoXtal", "Xtal")</f>
        <v>NoXtal</v>
      </c>
      <c r="D288" s="4" t="str">
        <f>VLOOKUP(A288,Classification!A:D,2,FALSE)</f>
        <v>A</v>
      </c>
      <c r="E288" s="5" t="str">
        <f>VLOOKUP(A288,Seqs!A:B,2,FALSE)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88" s="5" t="str">
        <f t="shared" si="101"/>
        <v>RPHYNYYATLLTLLIAVIVFGNVLVCMAVSRE</v>
      </c>
      <c r="G288" s="4" t="str">
        <f t="shared" si="102"/>
        <v>KALQ</v>
      </c>
      <c r="H288" s="4" t="str">
        <f t="shared" si="103"/>
        <v>TTTNYLIVSLAVADLLVATLVMPWVVYLEVV</v>
      </c>
      <c r="I288" s="4" t="str">
        <f t="shared" si="104"/>
        <v>EWKF</v>
      </c>
      <c r="J288" s="4" t="str">
        <f t="shared" si="105"/>
        <v>SRIHCDIFVTLDVMMCTASILNLCAISIDRYTAVAM</v>
      </c>
      <c r="K288" s="4" t="str">
        <f t="shared" si="106"/>
        <v>PMLYNTRYS</v>
      </c>
      <c r="L288" s="4" t="str">
        <f t="shared" si="107"/>
        <v>SKRRVTVMISIVWVLSFTISCPLLFG</v>
      </c>
      <c r="M288" s="4" t="str">
        <f t="shared" si="108"/>
        <v>CII</v>
      </c>
      <c r="N288" s="4" t="str">
        <f t="shared" si="109"/>
        <v>NPAFVVYSSIVSFYVPFIVTLLVYIKIYIVLRRRRKRVNTK</v>
      </c>
      <c r="O288" s="4" t="str">
        <f t="shared" si="110"/>
        <v>KLSQQKEKKATQMLAIVLGVFIICWLPFFITHILNIHC</v>
      </c>
      <c r="P288" s="4" t="str">
        <f t="shared" si="111"/>
        <v>PPVLYSAFTWLGYVNSAVNPIIYTTF</v>
      </c>
      <c r="Q288" s="4" t="str">
        <f t="shared" si="112"/>
        <v>NIEFRKAFLKILH</v>
      </c>
      <c r="R288" s="5">
        <f>VLOOKUP($A288,'SegEnds_NonXtal_Prot#'!$A:$AL,3,FALSE)</f>
        <v>31</v>
      </c>
      <c r="S288" s="5">
        <f>VLOOKUP($A288,'SegEnds_NonXtal_Prot#'!$A:$AL,6,FALSE)</f>
        <v>63</v>
      </c>
      <c r="T288" s="5">
        <f>VLOOKUP($A288,'SegEnds_NonXtal_Prot#'!$A:$AL,9,FALSE)</f>
        <v>67</v>
      </c>
      <c r="U288" s="5">
        <f>VLOOKUP($A288,'SegEnds_NonXtal_Prot#'!$A:$AL,12,FALSE)</f>
        <v>99</v>
      </c>
      <c r="V288" s="5">
        <f>VLOOKUP($A288,'SegEnds_NonXtal_Prot#'!$A:$AL,15,FALSE)</f>
        <v>103</v>
      </c>
      <c r="W288" s="5">
        <f>VLOOKUP($A288,'SegEnds_NonXtal_Prot#'!$A:$AL,18,FALSE)</f>
        <v>139</v>
      </c>
      <c r="X288" s="5">
        <f>VLOOKUP($A288,'SegEnds_NonXtal_Prot#'!$A:$AL,21,FALSE)</f>
        <v>148</v>
      </c>
      <c r="Y288" s="5">
        <f>VLOOKUP($A288,'SegEnds_NonXtal_Prot#'!$A:$AL,24,FALSE)</f>
        <v>182</v>
      </c>
      <c r="Z288" s="5">
        <f>VLOOKUP($A288,'SegEnds_NonXtal_Prot#'!$A:$AL,27,FALSE)</f>
        <v>186</v>
      </c>
      <c r="AA288" s="5">
        <f>VLOOKUP($A288,'SegEnds_NonXtal_Prot#'!$A:$AL,30,FALSE)</f>
        <v>362</v>
      </c>
      <c r="AB288" s="5">
        <f>VLOOKUP($A288,'SegEnds_NonXtal_Prot#'!$A:$AL,33,FALSE)</f>
        <v>404</v>
      </c>
      <c r="AC288" s="5">
        <f>VLOOKUP($A288,'SegEnds_NonXtal_Prot#'!$A:$AL,36,FALSE)</f>
        <v>430</v>
      </c>
      <c r="AD288" s="5">
        <f>VLOOKUP($A288,'SegEnds_NonXtal_Prot#'!$A:$AL,5,FALSE)</f>
        <v>62</v>
      </c>
      <c r="AE288" s="5">
        <f>VLOOKUP($A288,'SegEnds_NonXtal_Prot#'!$A:$AL,8,FALSE)</f>
        <v>66</v>
      </c>
      <c r="AF288" s="5">
        <f>VLOOKUP($A288,'SegEnds_NonXtal_Prot#'!$A:$AL,11,FALSE)</f>
        <v>97</v>
      </c>
      <c r="AG288" s="5">
        <f>VLOOKUP($A288,'SegEnds_NonXtal_Prot#'!$A:$AL,14,FALSE)</f>
        <v>102</v>
      </c>
      <c r="AH288" s="5">
        <f>VLOOKUP($A288,'SegEnds_NonXtal_Prot#'!$A:$AL,17,FALSE)</f>
        <v>138</v>
      </c>
      <c r="AI288" s="5">
        <f>VLOOKUP($A288,'SegEnds_NonXtal_Prot#'!$A:$AL,20,FALSE)</f>
        <v>147</v>
      </c>
      <c r="AJ288" s="5">
        <f>VLOOKUP($A288,'SegEnds_NonXtal_Prot#'!$A:$AL,23,FALSE)</f>
        <v>173</v>
      </c>
      <c r="AK288" s="5">
        <f>VLOOKUP($A288,'SegEnds_NonXtal_Prot#'!$A:$AL,26,FALSE)</f>
        <v>184</v>
      </c>
      <c r="AL288" s="5">
        <f>VLOOKUP($A288,'SegEnds_NonXtal_Prot#'!$A:$AL,29,FALSE)</f>
        <v>226</v>
      </c>
      <c r="AM288" s="5">
        <f>VLOOKUP($A288,'SegEnds_NonXtal_Prot#'!$A:$AL,32,FALSE)</f>
        <v>399</v>
      </c>
      <c r="AN288" s="5">
        <f>VLOOKUP($A288,'SegEnds_NonXtal_Prot#'!$A:$AL,35,FALSE)</f>
        <v>429</v>
      </c>
      <c r="AO288" s="5">
        <f>VLOOKUP($A288,'SegEnds_NonXtal_Prot#'!$A:$AL,38,FALSE)</f>
        <v>442</v>
      </c>
      <c r="AP288" s="5">
        <f t="shared" si="113"/>
        <v>31</v>
      </c>
      <c r="AQ288" s="4">
        <f t="shared" si="114"/>
        <v>3</v>
      </c>
      <c r="AR288" s="4">
        <f t="shared" si="115"/>
        <v>30</v>
      </c>
      <c r="AS288" s="4">
        <f t="shared" si="116"/>
        <v>3</v>
      </c>
      <c r="AT288" s="4">
        <f t="shared" si="117"/>
        <v>35</v>
      </c>
      <c r="AU288" s="4">
        <f t="shared" si="118"/>
        <v>8</v>
      </c>
      <c r="AV288" s="4">
        <f t="shared" si="119"/>
        <v>25</v>
      </c>
      <c r="AW288" s="4">
        <f t="shared" si="120"/>
        <v>2</v>
      </c>
      <c r="AX288" s="4">
        <f t="shared" si="121"/>
        <v>40</v>
      </c>
      <c r="AY288" s="4">
        <f t="shared" si="122"/>
        <v>37</v>
      </c>
      <c r="AZ288" s="4">
        <f t="shared" si="123"/>
        <v>25</v>
      </c>
      <c r="BA288" s="4">
        <f t="shared" si="124"/>
        <v>12</v>
      </c>
    </row>
    <row r="289" spans="1:53" x14ac:dyDescent="0.2">
      <c r="A289" s="1" t="str">
        <f>'SegEnds_NonXtal_Prot#'!A279</f>
        <v>gpr27_human</v>
      </c>
      <c r="B289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89" s="5" t="str">
        <f t="shared" si="101"/>
        <v>LGLKLATLSLLLCVSLAGNVLFALLIVRE</v>
      </c>
      <c r="G289" s="4" t="str">
        <f t="shared" si="102"/>
        <v>RSLH</v>
      </c>
      <c r="H289" s="4" t="str">
        <f t="shared" si="103"/>
        <v>RAPYYLLLDLCLADGLRALACLPAVMLAARR</v>
      </c>
      <c r="I289" s="4" t="str">
        <f t="shared" si="104"/>
        <v/>
      </c>
      <c r="J289" s="4" t="str">
        <f t="shared" si="105"/>
        <v>APPGALGCKLLAFLAALFCFHAAFLLLGVGVTRYLAIAH</v>
      </c>
      <c r="K289" s="4" t="str">
        <f t="shared" si="106"/>
        <v>HRFYAERLA</v>
      </c>
      <c r="L289" s="4" t="str">
        <f t="shared" si="107"/>
        <v>GWPCAAMLVCAAWALALAAAFPPVLDG</v>
      </c>
      <c r="M289" s="4" t="str">
        <f t="shared" si="108"/>
        <v>CAL</v>
      </c>
      <c r="N289" s="4" t="str">
        <f t="shared" si="109"/>
        <v>EQRPDGAPGALGFLLLLAVVVGATHLVYLRLLFFIHDRRKMR</v>
      </c>
      <c r="O289" s="4" t="str">
        <f t="shared" si="110"/>
        <v>LEEFKTEKRLCKMFYAVTLLFLLLWGPYVVASYLRVLV</v>
      </c>
      <c r="P289" s="4" t="str">
        <f t="shared" si="111"/>
        <v>PQAYLTASVWLTFAQAGINPVVCFLF</v>
      </c>
      <c r="Q289" s="4" t="str">
        <f t="shared" si="112"/>
        <v>NRELRDCFRAQF</v>
      </c>
      <c r="R289" s="5">
        <f>VLOOKUP($A289,'SegEnds_NonXtal_Prot#'!$A:$AL,3,FALSE)</f>
        <v>18</v>
      </c>
      <c r="S289" s="5">
        <f>VLOOKUP($A289,'SegEnds_NonXtal_Prot#'!$A:$AL,6,FALSE)</f>
        <v>47</v>
      </c>
      <c r="T289" s="5">
        <f>VLOOKUP($A289,'SegEnds_NonXtal_Prot#'!$A:$AL,9,FALSE)</f>
        <v>51</v>
      </c>
      <c r="U289" s="5" t="str">
        <f>VLOOKUP($A289,'SegEnds_NonXtal_Prot#'!$A:$AL,12,FALSE)</f>
        <v>-</v>
      </c>
      <c r="V289" s="5">
        <f>VLOOKUP($A289,'SegEnds_NonXtal_Prot#'!$A:$AL,15,FALSE)</f>
        <v>88</v>
      </c>
      <c r="W289" s="5">
        <f>VLOOKUP($A289,'SegEnds_NonXtal_Prot#'!$A:$AL,18,FALSE)</f>
        <v>127</v>
      </c>
      <c r="X289" s="5">
        <f>VLOOKUP($A289,'SegEnds_NonXtal_Prot#'!$A:$AL,21,FALSE)</f>
        <v>136</v>
      </c>
      <c r="Y289" s="5">
        <f>VLOOKUP($A289,'SegEnds_NonXtal_Prot#'!$A:$AL,24,FALSE)</f>
        <v>171</v>
      </c>
      <c r="Z289" s="5">
        <f>VLOOKUP($A289,'SegEnds_NonXtal_Prot#'!$A:$AL,27,FALSE)</f>
        <v>174</v>
      </c>
      <c r="AA289" s="5">
        <f>VLOOKUP($A289,'SegEnds_NonXtal_Prot#'!$A:$AL,30,FALSE)</f>
        <v>273</v>
      </c>
      <c r="AB289" s="5">
        <f>VLOOKUP($A289,'SegEnds_NonXtal_Prot#'!$A:$AL,33,FALSE)</f>
        <v>316</v>
      </c>
      <c r="AC289" s="5">
        <f>VLOOKUP($A289,'SegEnds_NonXtal_Prot#'!$A:$AL,36,FALSE)</f>
        <v>342</v>
      </c>
      <c r="AD289" s="5">
        <f>VLOOKUP($A289,'SegEnds_NonXtal_Prot#'!$A:$AL,5,FALSE)</f>
        <v>46</v>
      </c>
      <c r="AE289" s="5">
        <f>VLOOKUP($A289,'SegEnds_NonXtal_Prot#'!$A:$AL,8,FALSE)</f>
        <v>50</v>
      </c>
      <c r="AF289" s="5">
        <f>VLOOKUP($A289,'SegEnds_NonXtal_Prot#'!$A:$AL,11,FALSE)</f>
        <v>81</v>
      </c>
      <c r="AG289" s="5" t="str">
        <f>VLOOKUP($A289,'SegEnds_NonXtal_Prot#'!$A:$AL,14,FALSE)</f>
        <v>-</v>
      </c>
      <c r="AH289" s="5">
        <f>VLOOKUP($A289,'SegEnds_NonXtal_Prot#'!$A:$AL,17,FALSE)</f>
        <v>126</v>
      </c>
      <c r="AI289" s="5">
        <f>VLOOKUP($A289,'SegEnds_NonXtal_Prot#'!$A:$AL,20,FALSE)</f>
        <v>135</v>
      </c>
      <c r="AJ289" s="5">
        <f>VLOOKUP($A289,'SegEnds_NonXtal_Prot#'!$A:$AL,23,FALSE)</f>
        <v>162</v>
      </c>
      <c r="AK289" s="5">
        <f>VLOOKUP($A289,'SegEnds_NonXtal_Prot#'!$A:$AL,26,FALSE)</f>
        <v>173</v>
      </c>
      <c r="AL289" s="5">
        <f>VLOOKUP($A289,'SegEnds_NonXtal_Prot#'!$A:$AL,29,FALSE)</f>
        <v>215</v>
      </c>
      <c r="AM289" s="5">
        <f>VLOOKUP($A289,'SegEnds_NonXtal_Prot#'!$A:$AL,32,FALSE)</f>
        <v>310</v>
      </c>
      <c r="AN289" s="5">
        <f>VLOOKUP($A289,'SegEnds_NonXtal_Prot#'!$A:$AL,35,FALSE)</f>
        <v>341</v>
      </c>
      <c r="AO289" s="5">
        <f>VLOOKUP($A289,'SegEnds_NonXtal_Prot#'!$A:$AL,38,FALSE)</f>
        <v>353</v>
      </c>
      <c r="AP289" s="5">
        <f t="shared" si="113"/>
        <v>28</v>
      </c>
      <c r="AQ289" s="4">
        <f t="shared" si="114"/>
        <v>3</v>
      </c>
      <c r="AR289" s="4">
        <f t="shared" si="115"/>
        <v>30</v>
      </c>
      <c r="AS289" s="4" t="str">
        <f t="shared" si="116"/>
        <v>-</v>
      </c>
      <c r="AT289" s="4">
        <f t="shared" si="117"/>
        <v>38</v>
      </c>
      <c r="AU289" s="4">
        <f t="shared" si="118"/>
        <v>8</v>
      </c>
      <c r="AV289" s="4">
        <f t="shared" si="119"/>
        <v>26</v>
      </c>
      <c r="AW289" s="4">
        <f t="shared" si="120"/>
        <v>2</v>
      </c>
      <c r="AX289" s="4">
        <f t="shared" si="121"/>
        <v>41</v>
      </c>
      <c r="AY289" s="4">
        <f t="shared" si="122"/>
        <v>37</v>
      </c>
      <c r="AZ289" s="4">
        <f t="shared" si="123"/>
        <v>25</v>
      </c>
      <c r="BA289" s="4">
        <f t="shared" si="124"/>
        <v>11</v>
      </c>
    </row>
    <row r="290" spans="1:53" x14ac:dyDescent="0.2">
      <c r="A290" s="1" t="str">
        <f>'SegEnds_NonXtal_Prot#'!A280</f>
        <v>hrh3_human</v>
      </c>
      <c r="B290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90" s="5" t="str">
        <f t="shared" si="101"/>
        <v>VLAALMALLIVATVLGNALVMLAFVAD</v>
      </c>
      <c r="G290" s="4" t="str">
        <f t="shared" si="102"/>
        <v>SSLR</v>
      </c>
      <c r="H290" s="4" t="str">
        <f t="shared" si="103"/>
        <v>TQNNFFLLNLAISDFLVGAFCIPLYVPYVLT</v>
      </c>
      <c r="I290" s="4" t="str">
        <f t="shared" si="104"/>
        <v>RWTF</v>
      </c>
      <c r="J290" s="4" t="str">
        <f t="shared" si="105"/>
        <v>GRGLCKLWLVVDYLLCTSSAFNIVLISYDRFLSVTR</v>
      </c>
      <c r="K290" s="4" t="str">
        <f t="shared" si="106"/>
        <v>AVSYRAQQG</v>
      </c>
      <c r="L290" s="4" t="str">
        <f t="shared" si="107"/>
        <v>DTRRAVRKMLLVWVLAFLLYGPAILS</v>
      </c>
      <c r="M290" s="4" t="str">
        <f t="shared" si="108"/>
        <v>CYA</v>
      </c>
      <c r="N290" s="4" t="str">
        <f t="shared" si="109"/>
        <v>NWYFLITASTLEFFTPFLSVTFFNLSIYLNIQRRTRLRLDG</v>
      </c>
      <c r="O290" s="4" t="str">
        <f t="shared" si="110"/>
        <v>RFRLSRDRKVAKSLAVIVSIFGLCWAPYTLLMIIRAAC</v>
      </c>
      <c r="P290" s="4" t="str">
        <f t="shared" si="111"/>
        <v>PDYWYETSFWLLWANSAVNPVLYPLC</v>
      </c>
      <c r="Q290" s="4" t="str">
        <f t="shared" si="112"/>
        <v>HHSFRRAFTKLLC</v>
      </c>
      <c r="R290" s="5">
        <f>VLOOKUP($A290,'SegEnds_NonXtal_Prot#'!$A:$AL,3,FALSE)</f>
        <v>36</v>
      </c>
      <c r="S290" s="5">
        <f>VLOOKUP($A290,'SegEnds_NonXtal_Prot#'!$A:$AL,6,FALSE)</f>
        <v>63</v>
      </c>
      <c r="T290" s="5">
        <f>VLOOKUP($A290,'SegEnds_NonXtal_Prot#'!$A:$AL,9,FALSE)</f>
        <v>67</v>
      </c>
      <c r="U290" s="5">
        <f>VLOOKUP($A290,'SegEnds_NonXtal_Prot#'!$A:$AL,12,FALSE)</f>
        <v>99</v>
      </c>
      <c r="V290" s="5">
        <f>VLOOKUP($A290,'SegEnds_NonXtal_Prot#'!$A:$AL,15,FALSE)</f>
        <v>103</v>
      </c>
      <c r="W290" s="5">
        <f>VLOOKUP($A290,'SegEnds_NonXtal_Prot#'!$A:$AL,18,FALSE)</f>
        <v>139</v>
      </c>
      <c r="X290" s="5">
        <f>VLOOKUP($A290,'SegEnds_NonXtal_Prot#'!$A:$AL,21,FALSE)</f>
        <v>148</v>
      </c>
      <c r="Y290" s="5">
        <f>VLOOKUP($A290,'SegEnds_NonXtal_Prot#'!$A:$AL,24,FALSE)</f>
        <v>188</v>
      </c>
      <c r="Z290" s="5">
        <f>VLOOKUP($A290,'SegEnds_NonXtal_Prot#'!$A:$AL,27,FALSE)</f>
        <v>195</v>
      </c>
      <c r="AA290" s="5">
        <f>VLOOKUP($A290,'SegEnds_NonXtal_Prot#'!$A:$AL,30,FALSE)</f>
        <v>347</v>
      </c>
      <c r="AB290" s="5">
        <f>VLOOKUP($A290,'SegEnds_NonXtal_Prot#'!$A:$AL,33,FALSE)</f>
        <v>390</v>
      </c>
      <c r="AC290" s="5">
        <f>VLOOKUP($A290,'SegEnds_NonXtal_Prot#'!$A:$AL,36,FALSE)</f>
        <v>416</v>
      </c>
      <c r="AD290" s="5">
        <f>VLOOKUP($A290,'SegEnds_NonXtal_Prot#'!$A:$AL,5,FALSE)</f>
        <v>62</v>
      </c>
      <c r="AE290" s="5">
        <f>VLOOKUP($A290,'SegEnds_NonXtal_Prot#'!$A:$AL,8,FALSE)</f>
        <v>66</v>
      </c>
      <c r="AF290" s="5">
        <f>VLOOKUP($A290,'SegEnds_NonXtal_Prot#'!$A:$AL,11,FALSE)</f>
        <v>97</v>
      </c>
      <c r="AG290" s="5">
        <f>VLOOKUP($A290,'SegEnds_NonXtal_Prot#'!$A:$AL,14,FALSE)</f>
        <v>102</v>
      </c>
      <c r="AH290" s="5">
        <f>VLOOKUP($A290,'SegEnds_NonXtal_Prot#'!$A:$AL,17,FALSE)</f>
        <v>138</v>
      </c>
      <c r="AI290" s="5">
        <f>VLOOKUP($A290,'SegEnds_NonXtal_Prot#'!$A:$AL,20,FALSE)</f>
        <v>147</v>
      </c>
      <c r="AJ290" s="5">
        <f>VLOOKUP($A290,'SegEnds_NonXtal_Prot#'!$A:$AL,23,FALSE)</f>
        <v>173</v>
      </c>
      <c r="AK290" s="5">
        <f>VLOOKUP($A290,'SegEnds_NonXtal_Prot#'!$A:$AL,26,FALSE)</f>
        <v>190</v>
      </c>
      <c r="AL290" s="5">
        <f>VLOOKUP($A290,'SegEnds_NonXtal_Prot#'!$A:$AL,29,FALSE)</f>
        <v>235</v>
      </c>
      <c r="AM290" s="5">
        <f>VLOOKUP($A290,'SegEnds_NonXtal_Prot#'!$A:$AL,32,FALSE)</f>
        <v>384</v>
      </c>
      <c r="AN290" s="5">
        <f>VLOOKUP($A290,'SegEnds_NonXtal_Prot#'!$A:$AL,35,FALSE)</f>
        <v>415</v>
      </c>
      <c r="AO290" s="5">
        <f>VLOOKUP($A290,'SegEnds_NonXtal_Prot#'!$A:$AL,38,FALSE)</f>
        <v>428</v>
      </c>
      <c r="AP290" s="5">
        <f t="shared" si="113"/>
        <v>26</v>
      </c>
      <c r="AQ290" s="4">
        <f t="shared" si="114"/>
        <v>3</v>
      </c>
      <c r="AR290" s="4">
        <f t="shared" si="115"/>
        <v>30</v>
      </c>
      <c r="AS290" s="4">
        <f t="shared" si="116"/>
        <v>3</v>
      </c>
      <c r="AT290" s="4">
        <f t="shared" si="117"/>
        <v>35</v>
      </c>
      <c r="AU290" s="4">
        <f t="shared" si="118"/>
        <v>8</v>
      </c>
      <c r="AV290" s="4">
        <f t="shared" si="119"/>
        <v>25</v>
      </c>
      <c r="AW290" s="4">
        <f t="shared" si="120"/>
        <v>2</v>
      </c>
      <c r="AX290" s="4">
        <f t="shared" si="121"/>
        <v>40</v>
      </c>
      <c r="AY290" s="4">
        <f t="shared" si="122"/>
        <v>37</v>
      </c>
      <c r="AZ290" s="4">
        <f t="shared" si="123"/>
        <v>25</v>
      </c>
      <c r="BA290" s="4">
        <f t="shared" si="124"/>
        <v>12</v>
      </c>
    </row>
    <row r="291" spans="1:53" x14ac:dyDescent="0.2">
      <c r="A291" s="1" t="str">
        <f>'SegEnds_NonXtal_Prot#'!A281</f>
        <v>hrh4_human</v>
      </c>
      <c r="B291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91" s="5" t="str">
        <f t="shared" si="101"/>
        <v>LSTRVTLAFFMSLVAFAIMLGNALVILAFVVD</v>
      </c>
      <c r="G291" s="4" t="str">
        <f t="shared" si="102"/>
        <v>KNLR</v>
      </c>
      <c r="H291" s="4" t="str">
        <f t="shared" si="103"/>
        <v>HRSSYFFLNLAISDFFVGVISIPLYIPHTL</v>
      </c>
      <c r="I291" s="4" t="str">
        <f t="shared" si="104"/>
        <v>EWDF</v>
      </c>
      <c r="J291" s="4" t="str">
        <f t="shared" si="105"/>
        <v>GKEICVFWLTTDYLLCTASVYNIVLISYDRYLSVSN</v>
      </c>
      <c r="K291" s="4" t="str">
        <f t="shared" si="106"/>
        <v>AVSYRTQHT</v>
      </c>
      <c r="L291" s="4" t="str">
        <f t="shared" si="107"/>
        <v>GVLKIVTLMVAVWVLAFLVNGPMILV</v>
      </c>
      <c r="M291" s="4" t="str">
        <f t="shared" si="108"/>
        <v>CEP</v>
      </c>
      <c r="N291" s="4" t="str">
        <f t="shared" si="109"/>
        <v>EWYILAITSFLEFVIPVILVAYFNMNIYWSLWKRDHLSRCQS</v>
      </c>
      <c r="O291" s="4" t="str">
        <f t="shared" si="110"/>
        <v>HVELLRARRLAKSLAILLGVFAVCWAPYSLFTIVLSFY</v>
      </c>
      <c r="P291" s="4" t="str">
        <f t="shared" si="111"/>
        <v>KSVWYRIAFWLQWFNSFVNPLLYPLC</v>
      </c>
      <c r="Q291" s="4" t="str">
        <f t="shared" si="112"/>
        <v>HKRFQKAFLKIF</v>
      </c>
      <c r="R291" s="5">
        <f>VLOOKUP($A291,'SegEnds_NonXtal_Prot#'!$A:$AL,3,FALSE)</f>
        <v>12</v>
      </c>
      <c r="S291" s="5">
        <f>VLOOKUP($A291,'SegEnds_NonXtal_Prot#'!$A:$AL,6,FALSE)</f>
        <v>44</v>
      </c>
      <c r="T291" s="5">
        <f>VLOOKUP($A291,'SegEnds_NonXtal_Prot#'!$A:$AL,9,FALSE)</f>
        <v>48</v>
      </c>
      <c r="U291" s="5">
        <f>VLOOKUP($A291,'SegEnds_NonXtal_Prot#'!$A:$AL,12,FALSE)</f>
        <v>79</v>
      </c>
      <c r="V291" s="5">
        <f>VLOOKUP($A291,'SegEnds_NonXtal_Prot#'!$A:$AL,15,FALSE)</f>
        <v>83</v>
      </c>
      <c r="W291" s="5">
        <f>VLOOKUP($A291,'SegEnds_NonXtal_Prot#'!$A:$AL,18,FALSE)</f>
        <v>119</v>
      </c>
      <c r="X291" s="5">
        <f>VLOOKUP($A291,'SegEnds_NonXtal_Prot#'!$A:$AL,21,FALSE)</f>
        <v>128</v>
      </c>
      <c r="Y291" s="5">
        <f>VLOOKUP($A291,'SegEnds_NonXtal_Prot#'!$A:$AL,24,FALSE)</f>
        <v>164</v>
      </c>
      <c r="Z291" s="5">
        <f>VLOOKUP($A291,'SegEnds_NonXtal_Prot#'!$A:$AL,27,FALSE)</f>
        <v>171</v>
      </c>
      <c r="AA291" s="5">
        <f>VLOOKUP($A291,'SegEnds_NonXtal_Prot#'!$A:$AL,30,FALSE)</f>
        <v>292</v>
      </c>
      <c r="AB291" s="5">
        <f>VLOOKUP($A291,'SegEnds_NonXtal_Prot#'!$A:$AL,33,FALSE)</f>
        <v>336</v>
      </c>
      <c r="AC291" s="5">
        <f>VLOOKUP($A291,'SegEnds_NonXtal_Prot#'!$A:$AL,36,FALSE)</f>
        <v>362</v>
      </c>
      <c r="AD291" s="5">
        <f>VLOOKUP($A291,'SegEnds_NonXtal_Prot#'!$A:$AL,5,FALSE)</f>
        <v>43</v>
      </c>
      <c r="AE291" s="5">
        <f>VLOOKUP($A291,'SegEnds_NonXtal_Prot#'!$A:$AL,8,FALSE)</f>
        <v>47</v>
      </c>
      <c r="AF291" s="5">
        <f>VLOOKUP($A291,'SegEnds_NonXtal_Prot#'!$A:$AL,11,FALSE)</f>
        <v>77</v>
      </c>
      <c r="AG291" s="5">
        <f>VLOOKUP($A291,'SegEnds_NonXtal_Prot#'!$A:$AL,14,FALSE)</f>
        <v>82</v>
      </c>
      <c r="AH291" s="5">
        <f>VLOOKUP($A291,'SegEnds_NonXtal_Prot#'!$A:$AL,17,FALSE)</f>
        <v>118</v>
      </c>
      <c r="AI291" s="5">
        <f>VLOOKUP($A291,'SegEnds_NonXtal_Prot#'!$A:$AL,20,FALSE)</f>
        <v>127</v>
      </c>
      <c r="AJ291" s="5">
        <f>VLOOKUP($A291,'SegEnds_NonXtal_Prot#'!$A:$AL,23,FALSE)</f>
        <v>153</v>
      </c>
      <c r="AK291" s="5">
        <f>VLOOKUP($A291,'SegEnds_NonXtal_Prot#'!$A:$AL,26,FALSE)</f>
        <v>166</v>
      </c>
      <c r="AL291" s="5">
        <f>VLOOKUP($A291,'SegEnds_NonXtal_Prot#'!$A:$AL,29,FALSE)</f>
        <v>212</v>
      </c>
      <c r="AM291" s="5">
        <f>VLOOKUP($A291,'SegEnds_NonXtal_Prot#'!$A:$AL,32,FALSE)</f>
        <v>329</v>
      </c>
      <c r="AN291" s="5">
        <f>VLOOKUP($A291,'SegEnds_NonXtal_Prot#'!$A:$AL,35,FALSE)</f>
        <v>361</v>
      </c>
      <c r="AO291" s="5">
        <f>VLOOKUP($A291,'SegEnds_NonXtal_Prot#'!$A:$AL,38,FALSE)</f>
        <v>373</v>
      </c>
      <c r="AP291" s="5">
        <f t="shared" si="113"/>
        <v>31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>
        <f t="shared" si="118"/>
        <v>8</v>
      </c>
      <c r="AV291" s="4">
        <f t="shared" si="119"/>
        <v>25</v>
      </c>
      <c r="AW291" s="4">
        <f t="shared" si="120"/>
        <v>2</v>
      </c>
      <c r="AX291" s="4">
        <f t="shared" si="121"/>
        <v>41</v>
      </c>
      <c r="AY291" s="4">
        <f t="shared" si="122"/>
        <v>37</v>
      </c>
      <c r="AZ291" s="4">
        <f t="shared" si="123"/>
        <v>25</v>
      </c>
      <c r="BA291" s="4">
        <f t="shared" si="124"/>
        <v>11</v>
      </c>
    </row>
    <row r="292" spans="1:53" x14ac:dyDescent="0.2">
      <c r="A292" s="1" t="str">
        <f>'SegEnds_NonXtal_Prot#'!A282</f>
        <v>p2ry6_human</v>
      </c>
      <c r="B292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92" s="5" t="str">
        <f t="shared" si="101"/>
        <v>FKQLLLPPVYSAVLAAGLPLNICVITQICTS</v>
      </c>
      <c r="G292" s="4" t="str">
        <f t="shared" si="102"/>
        <v>RRAL</v>
      </c>
      <c r="H292" s="4" t="str">
        <f t="shared" si="103"/>
        <v>TRTAVYTLNLALADLLYACSLPLLIYNYAQ</v>
      </c>
      <c r="I292" s="4" t="str">
        <f t="shared" si="104"/>
        <v>HWPF</v>
      </c>
      <c r="J292" s="4" t="str">
        <f t="shared" si="105"/>
        <v>GDFACRLVRFLFYANLHGSILFLTCISFQRYLGICH</v>
      </c>
      <c r="K292" s="4" t="str">
        <f t="shared" si="106"/>
        <v>PLAPWHKRG</v>
      </c>
      <c r="L292" s="4" t="str">
        <f t="shared" si="107"/>
        <v>GRRAAWLVCVAVWLAVTTQCLPTAIFA</v>
      </c>
      <c r="M292" s="4" t="str">
        <f t="shared" si="108"/>
        <v>CYD</v>
      </c>
      <c r="N292" s="4" t="str">
        <f t="shared" si="109"/>
        <v>ATHYMPYGMALTVIGFLLPFAALLACYCLLACRLCRQDGPA</v>
      </c>
      <c r="O292" s="4" t="str">
        <f t="shared" si="110"/>
        <v>RRGKAARMAVVVAAAFAISFLPFHITKTAYLAVRST</v>
      </c>
      <c r="P292" s="4" t="str">
        <f t="shared" si="111"/>
        <v>PCTVLEAFAAAYKGTRPFASANSVLDPILFYFT</v>
      </c>
      <c r="Q292" s="4" t="str">
        <f t="shared" si="112"/>
        <v>QKKFRRRPHELLQ</v>
      </c>
      <c r="R292" s="5">
        <f>VLOOKUP($A292,'SegEnds_NonXtal_Prot#'!$A:$AL,3,FALSE)</f>
        <v>24</v>
      </c>
      <c r="S292" s="5">
        <f>VLOOKUP($A292,'SegEnds_NonXtal_Prot#'!$A:$AL,6,FALSE)</f>
        <v>55</v>
      </c>
      <c r="T292" s="5">
        <f>VLOOKUP($A292,'SegEnds_NonXtal_Prot#'!$A:$AL,9,FALSE)</f>
        <v>59</v>
      </c>
      <c r="U292" s="5">
        <f>VLOOKUP($A292,'SegEnds_NonXtal_Prot#'!$A:$AL,12,FALSE)</f>
        <v>91</v>
      </c>
      <c r="V292" s="5">
        <f>VLOOKUP($A292,'SegEnds_NonXtal_Prot#'!$A:$AL,15,FALSE)</f>
        <v>95</v>
      </c>
      <c r="W292" s="5">
        <f>VLOOKUP($A292,'SegEnds_NonXtal_Prot#'!$A:$AL,18,FALSE)</f>
        <v>131</v>
      </c>
      <c r="X292" s="5">
        <f>VLOOKUP($A292,'SegEnds_NonXtal_Prot#'!$A:$AL,21,FALSE)</f>
        <v>140</v>
      </c>
      <c r="Y292" s="5">
        <f>VLOOKUP($A292,'SegEnds_NonXtal_Prot#'!$A:$AL,24,FALSE)</f>
        <v>177</v>
      </c>
      <c r="Z292" s="5">
        <f>VLOOKUP($A292,'SegEnds_NonXtal_Prot#'!$A:$AL,27,FALSE)</f>
        <v>186</v>
      </c>
      <c r="AA292" s="5">
        <f>VLOOKUP($A292,'SegEnds_NonXtal_Prot#'!$A:$AL,30,FALSE)</f>
        <v>233</v>
      </c>
      <c r="AB292" s="5">
        <f>VLOOKUP($A292,'SegEnds_NonXtal_Prot#'!$A:$AL,33,FALSE)</f>
        <v>272</v>
      </c>
      <c r="AC292" s="5">
        <f>VLOOKUP($A292,'SegEnds_NonXtal_Prot#'!$A:$AL,36,FALSE)</f>
        <v>305</v>
      </c>
      <c r="AD292" s="5">
        <f>VLOOKUP($A292,'SegEnds_NonXtal_Prot#'!$A:$AL,5,FALSE)</f>
        <v>54</v>
      </c>
      <c r="AE292" s="5">
        <f>VLOOKUP($A292,'SegEnds_NonXtal_Prot#'!$A:$AL,8,FALSE)</f>
        <v>58</v>
      </c>
      <c r="AF292" s="5">
        <f>VLOOKUP($A292,'SegEnds_NonXtal_Prot#'!$A:$AL,11,FALSE)</f>
        <v>88</v>
      </c>
      <c r="AG292" s="5">
        <f>VLOOKUP($A292,'SegEnds_NonXtal_Prot#'!$A:$AL,14,FALSE)</f>
        <v>94</v>
      </c>
      <c r="AH292" s="5">
        <f>VLOOKUP($A292,'SegEnds_NonXtal_Prot#'!$A:$AL,17,FALSE)</f>
        <v>130</v>
      </c>
      <c r="AI292" s="5">
        <f>VLOOKUP($A292,'SegEnds_NonXtal_Prot#'!$A:$AL,20,FALSE)</f>
        <v>139</v>
      </c>
      <c r="AJ292" s="5">
        <f>VLOOKUP($A292,'SegEnds_NonXtal_Prot#'!$A:$AL,23,FALSE)</f>
        <v>166</v>
      </c>
      <c r="AK292" s="5">
        <f>VLOOKUP($A292,'SegEnds_NonXtal_Prot#'!$A:$AL,26,FALSE)</f>
        <v>179</v>
      </c>
      <c r="AL292" s="5">
        <f>VLOOKUP($A292,'SegEnds_NonXtal_Prot#'!$A:$AL,29,FALSE)</f>
        <v>226</v>
      </c>
      <c r="AM292" s="5">
        <f>VLOOKUP($A292,'SegEnds_NonXtal_Prot#'!$A:$AL,32,FALSE)</f>
        <v>268</v>
      </c>
      <c r="AN292" s="5">
        <f>VLOOKUP($A292,'SegEnds_NonXtal_Prot#'!$A:$AL,35,FALSE)</f>
        <v>304</v>
      </c>
      <c r="AO292" s="5">
        <f>VLOOKUP($A292,'SegEnds_NonXtal_Prot#'!$A:$AL,38,FALSE)</f>
        <v>317</v>
      </c>
      <c r="AP292" s="5">
        <f t="shared" si="113"/>
        <v>30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>
        <f t="shared" si="118"/>
        <v>8</v>
      </c>
      <c r="AV292" s="4">
        <f t="shared" si="119"/>
        <v>26</v>
      </c>
      <c r="AW292" s="4">
        <f t="shared" si="120"/>
        <v>2</v>
      </c>
      <c r="AX292" s="4">
        <f t="shared" si="121"/>
        <v>40</v>
      </c>
      <c r="AY292" s="4">
        <f t="shared" si="122"/>
        <v>35</v>
      </c>
      <c r="AZ292" s="4">
        <f t="shared" si="123"/>
        <v>32</v>
      </c>
      <c r="BA292" s="4">
        <f t="shared" si="124"/>
        <v>12</v>
      </c>
    </row>
    <row r="293" spans="1:53" x14ac:dyDescent="0.2">
      <c r="A293" s="1" t="str">
        <f>'SegEnds_NonXtal_Prot#'!A283</f>
        <v>ccr6_human</v>
      </c>
      <c r="B293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93" s="5" t="str">
        <f t="shared" si="101"/>
        <v>VRQFSRLFVPIAYSLICVFGLLGNILVVITFAFY</v>
      </c>
      <c r="G293" s="4" t="str">
        <f t="shared" si="102"/>
        <v>KKAR</v>
      </c>
      <c r="H293" s="4" t="str">
        <f t="shared" si="103"/>
        <v>SMTDVYLLNMAIADILFVLTLPFWAVSHAT</v>
      </c>
      <c r="I293" s="4" t="str">
        <f t="shared" si="104"/>
        <v>AWVF</v>
      </c>
      <c r="J293" s="4" t="str">
        <f t="shared" si="105"/>
        <v>SNATCKLLKGIYAINFNCGMLLLTCISMDRYIAIVQ</v>
      </c>
      <c r="K293" s="4" t="str">
        <f t="shared" si="106"/>
        <v>ATKSFRLRS</v>
      </c>
      <c r="L293" s="4" t="str">
        <f t="shared" si="107"/>
        <v>TLPRSKIICLVVWGLSVIISSSTFVFN</v>
      </c>
      <c r="M293" s="4" t="str">
        <f t="shared" si="108"/>
        <v>CEP</v>
      </c>
      <c r="N293" s="4" t="str">
        <f t="shared" si="109"/>
        <v>RWKLLMLGLELLFGFFIPLMFMIFCYTFIVKTLVQA</v>
      </c>
      <c r="O293" s="4" t="str">
        <f t="shared" si="110"/>
        <v>RHKAIRVIIAVVLVFLACQIPHNMVLLVTAANLGKM</v>
      </c>
      <c r="P293" s="4" t="str">
        <f t="shared" si="111"/>
        <v>SCQSEKLIGYTKTVTEVLAFLHCCLNPVLYAFI</v>
      </c>
      <c r="Q293" s="4" t="str">
        <f t="shared" si="112"/>
        <v>GQKFRNYFLKILKDLWCVRRK</v>
      </c>
      <c r="R293" s="5">
        <f>VLOOKUP($A293,'SegEnds_NonXtal_Prot#'!$A:$AL,3,FALSE)</f>
        <v>41</v>
      </c>
      <c r="S293" s="5">
        <f>VLOOKUP($A293,'SegEnds_NonXtal_Prot#'!$A:$AL,6,FALSE)</f>
        <v>75</v>
      </c>
      <c r="T293" s="5">
        <f>VLOOKUP($A293,'SegEnds_NonXtal_Prot#'!$A:$AL,9,FALSE)</f>
        <v>79</v>
      </c>
      <c r="U293" s="5">
        <f>VLOOKUP($A293,'SegEnds_NonXtal_Prot#'!$A:$AL,12,FALSE)</f>
        <v>110</v>
      </c>
      <c r="V293" s="5">
        <f>VLOOKUP($A293,'SegEnds_NonXtal_Prot#'!$A:$AL,15,FALSE)</f>
        <v>114</v>
      </c>
      <c r="W293" s="5">
        <f>VLOOKUP($A293,'SegEnds_NonXtal_Prot#'!$A:$AL,18,FALSE)</f>
        <v>150</v>
      </c>
      <c r="X293" s="5">
        <f>VLOOKUP($A293,'SegEnds_NonXtal_Prot#'!$A:$AL,21,FALSE)</f>
        <v>160</v>
      </c>
      <c r="Y293" s="5">
        <f>VLOOKUP($A293,'SegEnds_NonXtal_Prot#'!$A:$AL,24,FALSE)</f>
        <v>197</v>
      </c>
      <c r="Z293" s="5">
        <f>VLOOKUP($A293,'SegEnds_NonXtal_Prot#'!$A:$AL,27,FALSE)</f>
        <v>209</v>
      </c>
      <c r="AA293" s="5">
        <f>VLOOKUP($A293,'SegEnds_NonXtal_Prot#'!$A:$AL,30,FALSE)</f>
        <v>249</v>
      </c>
      <c r="AB293" s="5">
        <f>VLOOKUP($A293,'SegEnds_NonXtal_Prot#'!$A:$AL,33,FALSE)</f>
        <v>287</v>
      </c>
      <c r="AC293" s="5">
        <f>VLOOKUP($A293,'SegEnds_NonXtal_Prot#'!$A:$AL,36,FALSE)</f>
        <v>320</v>
      </c>
      <c r="AD293" s="5">
        <f>VLOOKUP($A293,'SegEnds_NonXtal_Prot#'!$A:$AL,5,FALSE)</f>
        <v>74</v>
      </c>
      <c r="AE293" s="5">
        <f>VLOOKUP($A293,'SegEnds_NonXtal_Prot#'!$A:$AL,8,FALSE)</f>
        <v>78</v>
      </c>
      <c r="AF293" s="5">
        <f>VLOOKUP($A293,'SegEnds_NonXtal_Prot#'!$A:$AL,11,FALSE)</f>
        <v>108</v>
      </c>
      <c r="AG293" s="5">
        <f>VLOOKUP($A293,'SegEnds_NonXtal_Prot#'!$A:$AL,14,FALSE)</f>
        <v>113</v>
      </c>
      <c r="AH293" s="5">
        <f>VLOOKUP($A293,'SegEnds_NonXtal_Prot#'!$A:$AL,17,FALSE)</f>
        <v>149</v>
      </c>
      <c r="AI293" s="5">
        <f>VLOOKUP($A293,'SegEnds_NonXtal_Prot#'!$A:$AL,20,FALSE)</f>
        <v>158</v>
      </c>
      <c r="AJ293" s="5">
        <f>VLOOKUP($A293,'SegEnds_NonXtal_Prot#'!$A:$AL,23,FALSE)</f>
        <v>186</v>
      </c>
      <c r="AK293" s="5">
        <f>VLOOKUP($A293,'SegEnds_NonXtal_Prot#'!$A:$AL,26,FALSE)</f>
        <v>199</v>
      </c>
      <c r="AL293" s="5">
        <f>VLOOKUP($A293,'SegEnds_NonXtal_Prot#'!$A:$AL,29,FALSE)</f>
        <v>244</v>
      </c>
      <c r="AM293" s="5">
        <f>VLOOKUP($A293,'SegEnds_NonXtal_Prot#'!$A:$AL,32,FALSE)</f>
        <v>284</v>
      </c>
      <c r="AN293" s="5">
        <f>VLOOKUP($A293,'SegEnds_NonXtal_Prot#'!$A:$AL,35,FALSE)</f>
        <v>319</v>
      </c>
      <c r="AO293" s="5">
        <f>VLOOKUP($A293,'SegEnds_NonXtal_Prot#'!$A:$AL,38,FALSE)</f>
        <v>340</v>
      </c>
      <c r="AP293" s="5">
        <f t="shared" si="113"/>
        <v>33</v>
      </c>
      <c r="AQ293" s="4">
        <f t="shared" si="114"/>
        <v>3</v>
      </c>
      <c r="AR293" s="4">
        <f t="shared" si="115"/>
        <v>29</v>
      </c>
      <c r="AS293" s="4">
        <f t="shared" si="116"/>
        <v>3</v>
      </c>
      <c r="AT293" s="4">
        <f t="shared" si="117"/>
        <v>35</v>
      </c>
      <c r="AU293" s="4">
        <f t="shared" si="118"/>
        <v>8</v>
      </c>
      <c r="AV293" s="4">
        <f t="shared" si="119"/>
        <v>26</v>
      </c>
      <c r="AW293" s="4">
        <f t="shared" si="120"/>
        <v>2</v>
      </c>
      <c r="AX293" s="4">
        <f t="shared" si="121"/>
        <v>35</v>
      </c>
      <c r="AY293" s="4">
        <f t="shared" si="122"/>
        <v>35</v>
      </c>
      <c r="AZ293" s="4">
        <f t="shared" si="123"/>
        <v>32</v>
      </c>
      <c r="BA293" s="4">
        <f t="shared" si="124"/>
        <v>20</v>
      </c>
    </row>
    <row r="294" spans="1:53" x14ac:dyDescent="0.2">
      <c r="A294" s="1" t="str">
        <f>'SegEnds_NonXtal_Prot#'!A284</f>
        <v>ccr7_human</v>
      </c>
      <c r="B294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94" s="5" t="str">
        <f t="shared" si="101"/>
        <v>VRNFKAWFLPIMYSIICFVGLLGNGLVVLTYIYF</v>
      </c>
      <c r="G294" s="4" t="str">
        <f t="shared" si="102"/>
        <v>KRLK</v>
      </c>
      <c r="H294" s="4" t="str">
        <f t="shared" si="103"/>
        <v>TMTDTYLLNLAVADILFLLTLPFWAYSAAK</v>
      </c>
      <c r="I294" s="4" t="str">
        <f t="shared" si="104"/>
        <v>SWVF</v>
      </c>
      <c r="J294" s="4" t="str">
        <f t="shared" si="105"/>
        <v>GVHFCKLIFAIYKMSFFSGMLLLLCISIDRYVAIVQ</v>
      </c>
      <c r="K294" s="4" t="str">
        <f t="shared" si="106"/>
        <v>AVSAHRHRA</v>
      </c>
      <c r="L294" s="4" t="str">
        <f t="shared" si="107"/>
        <v>VLLISKLSCVGIWILATVLSIPELLYS</v>
      </c>
      <c r="M294" s="4" t="str">
        <f t="shared" si="108"/>
        <v>CSL</v>
      </c>
      <c r="N294" s="4" t="str">
        <f t="shared" si="109"/>
        <v>EAFITIQVAQMVIGFLVPLLAMSFCYLVIIRTLLQA</v>
      </c>
      <c r="O294" s="4" t="str">
        <f t="shared" si="110"/>
        <v>RNKAIKVIIAVVVVFIVFQLPYNGVVLAQTVANFNI</v>
      </c>
      <c r="P294" s="4" t="str">
        <f t="shared" si="111"/>
        <v>TCELSKQLNIAYDVTYSLACVRCCVNPFLYAFI</v>
      </c>
      <c r="Q294" s="4" t="str">
        <f t="shared" si="112"/>
        <v>GVKFRNDLFKLFKDLGCLSQE</v>
      </c>
      <c r="R294" s="5">
        <f>VLOOKUP($A294,'SegEnds_NonXtal_Prot#'!$A:$AL,3,FALSE)</f>
        <v>53</v>
      </c>
      <c r="S294" s="5">
        <f>VLOOKUP($A294,'SegEnds_NonXtal_Prot#'!$A:$AL,6,FALSE)</f>
        <v>87</v>
      </c>
      <c r="T294" s="5">
        <f>VLOOKUP($A294,'SegEnds_NonXtal_Prot#'!$A:$AL,9,FALSE)</f>
        <v>91</v>
      </c>
      <c r="U294" s="5">
        <f>VLOOKUP($A294,'SegEnds_NonXtal_Prot#'!$A:$AL,12,FALSE)</f>
        <v>121</v>
      </c>
      <c r="V294" s="5">
        <f>VLOOKUP($A294,'SegEnds_NonXtal_Prot#'!$A:$AL,15,FALSE)</f>
        <v>125</v>
      </c>
      <c r="W294" s="5">
        <f>VLOOKUP($A294,'SegEnds_NonXtal_Prot#'!$A:$AL,18,FALSE)</f>
        <v>161</v>
      </c>
      <c r="X294" s="5">
        <f>VLOOKUP($A294,'SegEnds_NonXtal_Prot#'!$A:$AL,21,FALSE)</f>
        <v>171</v>
      </c>
      <c r="Y294" s="5">
        <f>VLOOKUP($A294,'SegEnds_NonXtal_Prot#'!$A:$AL,24,FALSE)</f>
        <v>210</v>
      </c>
      <c r="Z294" s="5">
        <f>VLOOKUP($A294,'SegEnds_NonXtal_Prot#'!$A:$AL,27,FALSE)</f>
        <v>218</v>
      </c>
      <c r="AA294" s="5">
        <f>VLOOKUP($A294,'SegEnds_NonXtal_Prot#'!$A:$AL,30,FALSE)</f>
        <v>258</v>
      </c>
      <c r="AB294" s="5">
        <f>VLOOKUP($A294,'SegEnds_NonXtal_Prot#'!$A:$AL,33,FALSE)</f>
        <v>297</v>
      </c>
      <c r="AC294" s="5">
        <f>VLOOKUP($A294,'SegEnds_NonXtal_Prot#'!$A:$AL,36,FALSE)</f>
        <v>330</v>
      </c>
      <c r="AD294" s="5">
        <f>VLOOKUP($A294,'SegEnds_NonXtal_Prot#'!$A:$AL,5,FALSE)</f>
        <v>86</v>
      </c>
      <c r="AE294" s="5">
        <f>VLOOKUP($A294,'SegEnds_NonXtal_Prot#'!$A:$AL,8,FALSE)</f>
        <v>90</v>
      </c>
      <c r="AF294" s="5">
        <f>VLOOKUP($A294,'SegEnds_NonXtal_Prot#'!$A:$AL,11,FALSE)</f>
        <v>120</v>
      </c>
      <c r="AG294" s="5">
        <f>VLOOKUP($A294,'SegEnds_NonXtal_Prot#'!$A:$AL,14,FALSE)</f>
        <v>124</v>
      </c>
      <c r="AH294" s="5">
        <f>VLOOKUP($A294,'SegEnds_NonXtal_Prot#'!$A:$AL,17,FALSE)</f>
        <v>160</v>
      </c>
      <c r="AI294" s="5">
        <f>VLOOKUP($A294,'SegEnds_NonXtal_Prot#'!$A:$AL,20,FALSE)</f>
        <v>169</v>
      </c>
      <c r="AJ294" s="5">
        <f>VLOOKUP($A294,'SegEnds_NonXtal_Prot#'!$A:$AL,23,FALSE)</f>
        <v>197</v>
      </c>
      <c r="AK294" s="5">
        <f>VLOOKUP($A294,'SegEnds_NonXtal_Prot#'!$A:$AL,26,FALSE)</f>
        <v>212</v>
      </c>
      <c r="AL294" s="5">
        <f>VLOOKUP($A294,'SegEnds_NonXtal_Prot#'!$A:$AL,29,FALSE)</f>
        <v>253</v>
      </c>
      <c r="AM294" s="5">
        <f>VLOOKUP($A294,'SegEnds_NonXtal_Prot#'!$A:$AL,32,FALSE)</f>
        <v>293</v>
      </c>
      <c r="AN294" s="5">
        <f>VLOOKUP($A294,'SegEnds_NonXtal_Prot#'!$A:$AL,35,FALSE)</f>
        <v>329</v>
      </c>
      <c r="AO294" s="5">
        <f>VLOOKUP($A294,'SegEnds_NonXtal_Prot#'!$A:$AL,38,FALSE)</f>
        <v>350</v>
      </c>
      <c r="AP294" s="5">
        <f t="shared" si="113"/>
        <v>33</v>
      </c>
      <c r="AQ294" s="4">
        <f t="shared" si="114"/>
        <v>3</v>
      </c>
      <c r="AR294" s="4">
        <f t="shared" si="115"/>
        <v>29</v>
      </c>
      <c r="AS294" s="4">
        <f t="shared" si="116"/>
        <v>3</v>
      </c>
      <c r="AT294" s="4">
        <f t="shared" si="117"/>
        <v>35</v>
      </c>
      <c r="AU294" s="4">
        <f t="shared" si="118"/>
        <v>8</v>
      </c>
      <c r="AV294" s="4">
        <f t="shared" si="119"/>
        <v>26</v>
      </c>
      <c r="AW294" s="4">
        <f t="shared" si="120"/>
        <v>2</v>
      </c>
      <c r="AX294" s="4">
        <f t="shared" si="121"/>
        <v>35</v>
      </c>
      <c r="AY294" s="4">
        <f t="shared" si="122"/>
        <v>35</v>
      </c>
      <c r="AZ294" s="4">
        <f t="shared" si="123"/>
        <v>32</v>
      </c>
      <c r="BA294" s="4">
        <f t="shared" si="124"/>
        <v>20</v>
      </c>
    </row>
    <row r="295" spans="1:53" x14ac:dyDescent="0.2">
      <c r="A295" s="1" t="str">
        <f>'SegEnds_NonXtal_Prot#'!A285</f>
        <v>cxcr6_human</v>
      </c>
      <c r="B295" s="1" t="str">
        <f t="shared" si="100"/>
        <v>FLQFSKVFLPCMYLVVFVCGLVGNSLVLVISIFYSLTDVFLVNLPLADLVFVCTLPFWAYAGIHGQVMCKSLLGIYTINFYTSMLILTCITVDRFIVVVKRMTWGKVTSLLIWVISLLVSLPQIIYGAISTVVLATQMTLGFFLPLLTMIVCYSVIIKTLLHAKHRSLKIIFLVMAVFLLTQMPFNLMKFIRSTHMTSFHYTIMVTEAIAYLRACLNPVLYAFVSLKFRKNFWKLVKDIGCLPYL</v>
      </c>
      <c r="C295" s="29" t="str">
        <f>IF(ISERROR(MATCH(A295,'SegEnds_Xtal_Prot#'!B:B, 0)), "NoXtal", "Xtal")</f>
        <v>NoXtal</v>
      </c>
      <c r="D295" s="4" t="str">
        <f>VLOOKUP(A295,Classification!A:D,2,FALSE)</f>
        <v>A</v>
      </c>
      <c r="E295" s="5" t="str">
        <f>VLOOKUP(A295,Seqs!A:B,2,FALSE)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95" s="5" t="str">
        <f t="shared" si="101"/>
        <v>FLQFSKVFLPCMYLVVFVCGLVGNSLVLVISIFY</v>
      </c>
      <c r="G295" s="4" t="str">
        <f t="shared" si="102"/>
        <v>HKLQ</v>
      </c>
      <c r="H295" s="4" t="str">
        <f t="shared" si="103"/>
        <v>SLTDVFLVNLPLADLVFVCTLPFWAYAGIH</v>
      </c>
      <c r="I295" s="4" t="str">
        <f t="shared" si="104"/>
        <v>EWVF</v>
      </c>
      <c r="J295" s="4" t="str">
        <f t="shared" si="105"/>
        <v>GQVMCKSLLGIYTINFYTSMLILTCITVDRFIVVVK</v>
      </c>
      <c r="K295" s="4" t="str">
        <f t="shared" si="106"/>
        <v>ATKAYNQQA</v>
      </c>
      <c r="L295" s="4" t="str">
        <f t="shared" si="107"/>
        <v>RMTWGKVTSLLIWVISLLVSLPQIIYG</v>
      </c>
      <c r="M295" s="4" t="str">
        <f t="shared" si="108"/>
        <v>CGY</v>
      </c>
      <c r="N295" s="4" t="str">
        <f t="shared" si="109"/>
        <v>AISTVVLATQMTLGFFLPLLTMIVCYSVIIKTLLHA</v>
      </c>
      <c r="O295" s="4" t="str">
        <f t="shared" si="110"/>
        <v>KHRSLKIIFLVMAVFLLTQMPFNLMKFIRSTH</v>
      </c>
      <c r="P295" s="4" t="str">
        <f t="shared" si="111"/>
        <v>MTSFHYTIMVTEAIAYLRACLNPVLYAFV</v>
      </c>
      <c r="Q295" s="4" t="str">
        <f t="shared" si="112"/>
        <v>SLKFRKNFWKLVKDIGCLPYL</v>
      </c>
      <c r="R295" s="5">
        <f>VLOOKUP($A295,'SegEnds_NonXtal_Prot#'!$A:$AL,3,FALSE)</f>
        <v>26</v>
      </c>
      <c r="S295" s="5">
        <f>VLOOKUP($A295,'SegEnds_NonXtal_Prot#'!$A:$AL,6,FALSE)</f>
        <v>60</v>
      </c>
      <c r="T295" s="5">
        <f>VLOOKUP($A295,'SegEnds_NonXtal_Prot#'!$A:$AL,9,FALSE)</f>
        <v>64</v>
      </c>
      <c r="U295" s="5">
        <f>VLOOKUP($A295,'SegEnds_NonXtal_Prot#'!$A:$AL,12,FALSE)</f>
        <v>94</v>
      </c>
      <c r="V295" s="5">
        <f>VLOOKUP($A295,'SegEnds_NonXtal_Prot#'!$A:$AL,15,FALSE)</f>
        <v>98</v>
      </c>
      <c r="W295" s="5">
        <f>VLOOKUP($A295,'SegEnds_NonXtal_Prot#'!$A:$AL,18,FALSE)</f>
        <v>134</v>
      </c>
      <c r="X295" s="5">
        <f>VLOOKUP($A295,'SegEnds_NonXtal_Prot#'!$A:$AL,21,FALSE)</f>
        <v>144</v>
      </c>
      <c r="Y295" s="5">
        <f>VLOOKUP($A295,'SegEnds_NonXtal_Prot#'!$A:$AL,24,FALSE)</f>
        <v>180</v>
      </c>
      <c r="Z295" s="5">
        <f>VLOOKUP($A295,'SegEnds_NonXtal_Prot#'!$A:$AL,27,FALSE)</f>
        <v>186</v>
      </c>
      <c r="AA295" s="5">
        <f>VLOOKUP($A295,'SegEnds_NonXtal_Prot#'!$A:$AL,30,FALSE)</f>
        <v>226</v>
      </c>
      <c r="AB295" s="5">
        <f>VLOOKUP($A295,'SegEnds_NonXtal_Prot#'!$A:$AL,33,FALSE)</f>
        <v>263</v>
      </c>
      <c r="AC295" s="5">
        <f>VLOOKUP($A295,'SegEnds_NonXtal_Prot#'!$A:$AL,36,FALSE)</f>
        <v>292</v>
      </c>
      <c r="AD295" s="5">
        <f>VLOOKUP($A295,'SegEnds_NonXtal_Prot#'!$A:$AL,5,FALSE)</f>
        <v>59</v>
      </c>
      <c r="AE295" s="5">
        <f>VLOOKUP($A295,'SegEnds_NonXtal_Prot#'!$A:$AL,8,FALSE)</f>
        <v>63</v>
      </c>
      <c r="AF295" s="5">
        <f>VLOOKUP($A295,'SegEnds_NonXtal_Prot#'!$A:$AL,11,FALSE)</f>
        <v>93</v>
      </c>
      <c r="AG295" s="5">
        <f>VLOOKUP($A295,'SegEnds_NonXtal_Prot#'!$A:$AL,14,FALSE)</f>
        <v>97</v>
      </c>
      <c r="AH295" s="5">
        <f>VLOOKUP($A295,'SegEnds_NonXtal_Prot#'!$A:$AL,17,FALSE)</f>
        <v>133</v>
      </c>
      <c r="AI295" s="5">
        <f>VLOOKUP($A295,'SegEnds_NonXtal_Prot#'!$A:$AL,20,FALSE)</f>
        <v>142</v>
      </c>
      <c r="AJ295" s="5">
        <f>VLOOKUP($A295,'SegEnds_NonXtal_Prot#'!$A:$AL,23,FALSE)</f>
        <v>170</v>
      </c>
      <c r="AK295" s="5">
        <f>VLOOKUP($A295,'SegEnds_NonXtal_Prot#'!$A:$AL,26,FALSE)</f>
        <v>182</v>
      </c>
      <c r="AL295" s="5">
        <f>VLOOKUP($A295,'SegEnds_NonXtal_Prot#'!$A:$AL,29,FALSE)</f>
        <v>221</v>
      </c>
      <c r="AM295" s="5">
        <f>VLOOKUP($A295,'SegEnds_NonXtal_Prot#'!$A:$AL,32,FALSE)</f>
        <v>257</v>
      </c>
      <c r="AN295" s="5">
        <f>VLOOKUP($A295,'SegEnds_NonXtal_Prot#'!$A:$AL,35,FALSE)</f>
        <v>291</v>
      </c>
      <c r="AO295" s="5">
        <f>VLOOKUP($A295,'SegEnds_NonXtal_Prot#'!$A:$AL,38,FALSE)</f>
        <v>312</v>
      </c>
      <c r="AP295" s="5">
        <f t="shared" si="113"/>
        <v>33</v>
      </c>
      <c r="AQ295" s="4">
        <f t="shared" si="114"/>
        <v>3</v>
      </c>
      <c r="AR295" s="4">
        <f t="shared" si="115"/>
        <v>29</v>
      </c>
      <c r="AS295" s="4">
        <f t="shared" si="116"/>
        <v>3</v>
      </c>
      <c r="AT295" s="4">
        <f t="shared" si="117"/>
        <v>35</v>
      </c>
      <c r="AU295" s="4">
        <f t="shared" si="118"/>
        <v>8</v>
      </c>
      <c r="AV295" s="4">
        <f t="shared" si="119"/>
        <v>26</v>
      </c>
      <c r="AW295" s="4">
        <f t="shared" si="120"/>
        <v>2</v>
      </c>
      <c r="AX295" s="4">
        <f t="shared" si="121"/>
        <v>35</v>
      </c>
      <c r="AY295" s="4">
        <f t="shared" si="122"/>
        <v>31</v>
      </c>
      <c r="AZ295" s="4">
        <f t="shared" si="123"/>
        <v>28</v>
      </c>
      <c r="BA295" s="4">
        <f t="shared" si="124"/>
        <v>20</v>
      </c>
    </row>
    <row r="296" spans="1:53" x14ac:dyDescent="0.2">
      <c r="A296" s="1" t="str">
        <f>'SegEnds_NonXtal_Prot#'!A286</f>
        <v>drd3_human</v>
      </c>
      <c r="B296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96" s="29" t="str">
        <f>IF(ISERROR(MATCH(A296,'SegEnds_Xtal_Prot#'!B:B, 0)), "NoXtal", "Xtal")</f>
        <v>Xtal</v>
      </c>
      <c r="D296" s="4" t="str">
        <f>VLOOKUP(A296,Classification!A:D,2,FALSE)</f>
        <v>A</v>
      </c>
      <c r="E296" s="5" t="str">
        <f>VLOOKUP(A296,Seqs!A:B,2,FALSE)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96" s="5" t="str">
        <f t="shared" si="101"/>
        <v>ARPHAYYALSYCALILAIVFGNGLVCMAVLKE</v>
      </c>
      <c r="G296" s="4" t="str">
        <f t="shared" si="102"/>
        <v>RALQ</v>
      </c>
      <c r="H296" s="4" t="str">
        <f t="shared" si="103"/>
        <v>TTTNYLVVSLAVADLLVATLVMPWVVYLEVT</v>
      </c>
      <c r="I296" s="4" t="str">
        <f t="shared" si="104"/>
        <v>VWNF</v>
      </c>
      <c r="J296" s="4" t="str">
        <f t="shared" si="105"/>
        <v>SRICCDVFVTLDVMMCTASILNLCAISIDRYTAVVM</v>
      </c>
      <c r="K296" s="4" t="str">
        <f t="shared" si="106"/>
        <v>PVHYQHGTG</v>
      </c>
      <c r="L296" s="4" t="str">
        <f t="shared" si="107"/>
        <v>SCRRVALMITAVWVLAFAVSCPLLFG</v>
      </c>
      <c r="M296" s="4" t="str">
        <f t="shared" si="108"/>
        <v>CSI</v>
      </c>
      <c r="N296" s="4" t="str">
        <f t="shared" si="109"/>
        <v>NPDFVIYSSVVSFYLPFGVTVLVYARIYVVLKQRRRKRILTR</v>
      </c>
      <c r="O296" s="4" t="str">
        <f t="shared" si="110"/>
        <v>RGVPLREKKATQMVAIVLGAFIVCWLPFFLTHVLNTH</v>
      </c>
      <c r="P296" s="4" t="str">
        <f t="shared" si="111"/>
        <v>SPELYSATTWLGYVNSALNPVIYTTF</v>
      </c>
      <c r="Q296" s="4" t="str">
        <f t="shared" si="112"/>
        <v>NIEFRKAFLKILS</v>
      </c>
      <c r="R296" s="5">
        <f>VLOOKUP($A296,'SegEnds_NonXtal_Prot#'!$A:$AL,3,FALSE)</f>
        <v>26</v>
      </c>
      <c r="S296" s="5">
        <f>VLOOKUP($A296,'SegEnds_NonXtal_Prot#'!$A:$AL,6,FALSE)</f>
        <v>58</v>
      </c>
      <c r="T296" s="5">
        <f>VLOOKUP($A296,'SegEnds_NonXtal_Prot#'!$A:$AL,9,FALSE)</f>
        <v>62</v>
      </c>
      <c r="U296" s="5">
        <f>VLOOKUP($A296,'SegEnds_NonXtal_Prot#'!$A:$AL,12,FALSE)</f>
        <v>95</v>
      </c>
      <c r="V296" s="5">
        <f>VLOOKUP($A296,'SegEnds_NonXtal_Prot#'!$A:$AL,15,FALSE)</f>
        <v>99</v>
      </c>
      <c r="W296" s="5">
        <f>VLOOKUP($A296,'SegEnds_NonXtal_Prot#'!$A:$AL,18,FALSE)</f>
        <v>135</v>
      </c>
      <c r="X296" s="5">
        <f>VLOOKUP($A296,'SegEnds_NonXtal_Prot#'!$A:$AL,21,FALSE)</f>
        <v>146</v>
      </c>
      <c r="Y296" s="5">
        <f>VLOOKUP($A296,'SegEnds_NonXtal_Prot#'!$A:$AL,24,FALSE)</f>
        <v>181</v>
      </c>
      <c r="Z296" s="5">
        <f>VLOOKUP($A296,'SegEnds_NonXtal_Prot#'!$A:$AL,27,FALSE)</f>
        <v>185</v>
      </c>
      <c r="AA296" s="5">
        <f>VLOOKUP($A296,'SegEnds_NonXtal_Prot#'!$A:$AL,30,FALSE)</f>
        <v>318</v>
      </c>
      <c r="AB296" s="5">
        <f>VLOOKUP($A296,'SegEnds_NonXtal_Prot#'!$A:$AL,33,FALSE)</f>
        <v>361</v>
      </c>
      <c r="AC296" s="5">
        <f>VLOOKUP($A296,'SegEnds_NonXtal_Prot#'!$A:$AL,36,FALSE)</f>
        <v>387</v>
      </c>
      <c r="AD296" s="5">
        <f>VLOOKUP($A296,'SegEnds_NonXtal_Prot#'!$A:$AL,5,FALSE)</f>
        <v>57</v>
      </c>
      <c r="AE296" s="5">
        <f>VLOOKUP($A296,'SegEnds_NonXtal_Prot#'!$A:$AL,8,FALSE)</f>
        <v>61</v>
      </c>
      <c r="AF296" s="5">
        <f>VLOOKUP($A296,'SegEnds_NonXtal_Prot#'!$A:$AL,11,FALSE)</f>
        <v>92</v>
      </c>
      <c r="AG296" s="5">
        <f>VLOOKUP($A296,'SegEnds_NonXtal_Prot#'!$A:$AL,14,FALSE)</f>
        <v>98</v>
      </c>
      <c r="AH296" s="5">
        <f>VLOOKUP($A296,'SegEnds_NonXtal_Prot#'!$A:$AL,17,FALSE)</f>
        <v>134</v>
      </c>
      <c r="AI296" s="5">
        <f>VLOOKUP($A296,'SegEnds_NonXtal_Prot#'!$A:$AL,20,FALSE)</f>
        <v>143</v>
      </c>
      <c r="AJ296" s="5">
        <f>VLOOKUP($A296,'SegEnds_NonXtal_Prot#'!$A:$AL,23,FALSE)</f>
        <v>171</v>
      </c>
      <c r="AK296" s="5">
        <f>VLOOKUP($A296,'SegEnds_NonXtal_Prot#'!$A:$AL,26,FALSE)</f>
        <v>183</v>
      </c>
      <c r="AL296" s="5">
        <f>VLOOKUP($A296,'SegEnds_NonXtal_Prot#'!$A:$AL,29,FALSE)</f>
        <v>226</v>
      </c>
      <c r="AM296" s="5">
        <f>VLOOKUP($A296,'SegEnds_NonXtal_Prot#'!$A:$AL,32,FALSE)</f>
        <v>354</v>
      </c>
      <c r="AN296" s="5">
        <f>VLOOKUP($A296,'SegEnds_NonXtal_Prot#'!$A:$AL,35,FALSE)</f>
        <v>386</v>
      </c>
      <c r="AO296" s="5">
        <f>VLOOKUP($A296,'SegEnds_NonXtal_Prot#'!$A:$AL,38,FALSE)</f>
        <v>399</v>
      </c>
      <c r="AP296" s="5">
        <f t="shared" si="113"/>
        <v>31</v>
      </c>
      <c r="AQ296" s="4">
        <f t="shared" si="114"/>
        <v>3</v>
      </c>
      <c r="AR296" s="4">
        <f t="shared" si="115"/>
        <v>30</v>
      </c>
      <c r="AS296" s="4">
        <f t="shared" si="116"/>
        <v>3</v>
      </c>
      <c r="AT296" s="4">
        <f t="shared" si="117"/>
        <v>35</v>
      </c>
      <c r="AU296" s="4">
        <f t="shared" si="118"/>
        <v>8</v>
      </c>
      <c r="AV296" s="4">
        <f t="shared" si="119"/>
        <v>25</v>
      </c>
      <c r="AW296" s="4">
        <f t="shared" si="120"/>
        <v>2</v>
      </c>
      <c r="AX296" s="4">
        <f t="shared" si="121"/>
        <v>41</v>
      </c>
      <c r="AY296" s="4">
        <f t="shared" si="122"/>
        <v>36</v>
      </c>
      <c r="AZ296" s="4">
        <f t="shared" si="123"/>
        <v>25</v>
      </c>
      <c r="BA296" s="4">
        <f t="shared" si="124"/>
        <v>12</v>
      </c>
    </row>
    <row r="297" spans="1:53" x14ac:dyDescent="0.2">
      <c r="A297" s="1" t="str">
        <f>'SegEnds_NonXtal_Prot#'!A287</f>
        <v>ackr1_human</v>
      </c>
      <c r="B297" s="1" t="str">
        <f t="shared" si="100"/>
        <v>SCNLLDDSALPFFILTSVLGILASSTVLFMLFRPCPGWPVLAQLAVGSALFSIVVPVLAPGLGSLCSLGYCVWYGSAFAQALLLGCHASLGHRLGAGVPGLTLGLTVGIWGVAALLTLPVTLASTELKALQATHTVACLAIFVLLPLGLFGAKGLKPGPWMNILWAWFIFWWPHGVVLGLDFLVRSKTCLAQQALDLLLNLAEALAILHCVATPLLLALFCHQATRTLLPSLPLPEGWSSH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97" s="5" t="str">
        <f t="shared" si="101"/>
        <v>SCNLLDDSALPFFILTSVLGILASSTVLFMLFRP</v>
      </c>
      <c r="G297" s="4" t="str">
        <f t="shared" si="102"/>
        <v/>
      </c>
      <c r="H297" s="4" t="str">
        <f t="shared" si="103"/>
        <v>CPGWPVLAQLAVGSALFSIVVPVLAPGLGS</v>
      </c>
      <c r="I297" s="4" t="str">
        <f t="shared" si="104"/>
        <v/>
      </c>
      <c r="J297" s="4" t="str">
        <f t="shared" si="105"/>
        <v>LCSLGYCVWYGSAFAQALLLGCHASLGHRLGAG</v>
      </c>
      <c r="K297" s="4" t="str">
        <f t="shared" si="106"/>
        <v/>
      </c>
      <c r="L297" s="4" t="str">
        <f t="shared" si="107"/>
        <v>VPGLTLGLTVGIWGVAALLTLPVTLAS</v>
      </c>
      <c r="M297" s="4" t="str">
        <f t="shared" si="108"/>
        <v>CTL</v>
      </c>
      <c r="N297" s="4" t="str">
        <f t="shared" si="109"/>
        <v>TELKALQATHTVACLAIFVLLPLGLFGAKGLK</v>
      </c>
      <c r="O297" s="4" t="str">
        <f t="shared" si="110"/>
        <v>PGPWMNILWAWFIFWWPHGVVLGLDFLVRSK</v>
      </c>
      <c r="P297" s="4" t="str">
        <f t="shared" si="111"/>
        <v>TCLAQQALDLLLNLAEALAILHCVATPLLLALF</v>
      </c>
      <c r="Q297" s="4" t="str">
        <f t="shared" si="112"/>
        <v>CHQATRTLLPSLPLPEGWSSH</v>
      </c>
      <c r="R297" s="5">
        <f>VLOOKUP($A297,'SegEnds_NonXtal_Prot#'!$A:$AL,3,FALSE)</f>
        <v>53</v>
      </c>
      <c r="S297" s="5" t="str">
        <f>VLOOKUP($A297,'SegEnds_NonXtal_Prot#'!$A:$AL,6,FALSE)</f>
        <v>-</v>
      </c>
      <c r="T297" s="5">
        <f>VLOOKUP($A297,'SegEnds_NonXtal_Prot#'!$A:$AL,9,FALSE)</f>
        <v>93</v>
      </c>
      <c r="U297" s="5" t="str">
        <f>VLOOKUP($A297,'SegEnds_NonXtal_Prot#'!$A:$AL,12,FALSE)</f>
        <v>-</v>
      </c>
      <c r="V297" s="5">
        <f>VLOOKUP($A297,'SegEnds_NonXtal_Prot#'!$A:$AL,15,FALSE)</f>
        <v>128</v>
      </c>
      <c r="W297" s="5" t="str">
        <f>VLOOKUP($A297,'SegEnds_NonXtal_Prot#'!$A:$AL,18,FALSE)</f>
        <v>-</v>
      </c>
      <c r="X297" s="5">
        <f>VLOOKUP($A297,'SegEnds_NonXtal_Prot#'!$A:$AL,21,FALSE)</f>
        <v>162</v>
      </c>
      <c r="Y297" s="5">
        <f>VLOOKUP($A297,'SegEnds_NonXtal_Prot#'!$A:$AL,24,FALSE)</f>
        <v>195</v>
      </c>
      <c r="Z297" s="5">
        <f>VLOOKUP($A297,'SegEnds_NonXtal_Prot#'!$A:$AL,27,FALSE)</f>
        <v>201</v>
      </c>
      <c r="AA297" s="5">
        <f>VLOOKUP($A297,'SegEnds_NonXtal_Prot#'!$A:$AL,30,FALSE)</f>
        <v>239</v>
      </c>
      <c r="AB297" s="5">
        <f>VLOOKUP($A297,'SegEnds_NonXtal_Prot#'!$A:$AL,33,FALSE)</f>
        <v>275</v>
      </c>
      <c r="AC297" s="5">
        <f>VLOOKUP($A297,'SegEnds_NonXtal_Prot#'!$A:$AL,36,FALSE)</f>
        <v>308</v>
      </c>
      <c r="AD297" s="5">
        <f>VLOOKUP($A297,'SegEnds_NonXtal_Prot#'!$A:$AL,5,FALSE)</f>
        <v>86</v>
      </c>
      <c r="AE297" s="5" t="str">
        <f>VLOOKUP($A297,'SegEnds_NonXtal_Prot#'!$A:$AL,8,FALSE)</f>
        <v>-</v>
      </c>
      <c r="AF297" s="5">
        <f>VLOOKUP($A297,'SegEnds_NonXtal_Prot#'!$A:$AL,11,FALSE)</f>
        <v>122</v>
      </c>
      <c r="AG297" s="5" t="str">
        <f>VLOOKUP($A297,'SegEnds_NonXtal_Prot#'!$A:$AL,14,FALSE)</f>
        <v>-</v>
      </c>
      <c r="AH297" s="5">
        <f>VLOOKUP($A297,'SegEnds_NonXtal_Prot#'!$A:$AL,17,FALSE)</f>
        <v>160</v>
      </c>
      <c r="AI297" s="5" t="str">
        <f>VLOOKUP($A297,'SegEnds_NonXtal_Prot#'!$A:$AL,20,FALSE)</f>
        <v>-</v>
      </c>
      <c r="AJ297" s="5">
        <f>VLOOKUP($A297,'SegEnds_NonXtal_Prot#'!$A:$AL,23,FALSE)</f>
        <v>188</v>
      </c>
      <c r="AK297" s="5">
        <f>VLOOKUP($A297,'SegEnds_NonXtal_Prot#'!$A:$AL,26,FALSE)</f>
        <v>197</v>
      </c>
      <c r="AL297" s="5">
        <f>VLOOKUP($A297,'SegEnds_NonXtal_Prot#'!$A:$AL,29,FALSE)</f>
        <v>232</v>
      </c>
      <c r="AM297" s="5">
        <f>VLOOKUP($A297,'SegEnds_NonXtal_Prot#'!$A:$AL,32,FALSE)</f>
        <v>269</v>
      </c>
      <c r="AN297" s="5">
        <f>VLOOKUP($A297,'SegEnds_NonXtal_Prot#'!$A:$AL,35,FALSE)</f>
        <v>307</v>
      </c>
      <c r="AO297" s="5">
        <f>VLOOKUP($A297,'SegEnds_NonXtal_Prot#'!$A:$AL,38,FALSE)</f>
        <v>328</v>
      </c>
      <c r="AP297" s="5">
        <f t="shared" si="113"/>
        <v>33</v>
      </c>
      <c r="AQ297" s="4" t="str">
        <f t="shared" si="114"/>
        <v>-</v>
      </c>
      <c r="AR297" s="4">
        <f t="shared" si="115"/>
        <v>29</v>
      </c>
      <c r="AS297" s="4" t="str">
        <f t="shared" si="116"/>
        <v>-</v>
      </c>
      <c r="AT297" s="4">
        <f t="shared" si="117"/>
        <v>32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31</v>
      </c>
      <c r="AY297" s="4">
        <f t="shared" si="122"/>
        <v>30</v>
      </c>
      <c r="AZ297" s="4">
        <f t="shared" si="123"/>
        <v>32</v>
      </c>
      <c r="BA297" s="4">
        <f t="shared" si="124"/>
        <v>20</v>
      </c>
    </row>
    <row r="298" spans="1:53" x14ac:dyDescent="0.2">
      <c r="A298" s="1" t="str">
        <f>'SegEnds_NonXtal_Prot#'!A288</f>
        <v>ackr3_human</v>
      </c>
      <c r="B298" s="1" t="str">
        <f t="shared" si="100"/>
        <v>VLLYTLSFIYIFIFVIGMIANSVVVWVNIQAYDTHCYILNLAIADLWVVLTIPVWVVSLVQGELTCKVTHLIFSINLFGSIFFLTCMSVDRYLSITYKKMVRRVVCILVWLLAFCVSLPDTYYLWLIGMELVSVVLGFAVPFSIIAVFYFLLARAISASKHSSRKIIFSYVVVFLVCWLPYHVAVLLDIFSILHTCRLEHALFTALHVTQCLSLVHCCVNPVLYSFINRNYRYELMKAFIFK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98" s="5" t="str">
        <f t="shared" si="101"/>
        <v>VLLYTLSFIYIFIFVIGMIANSVVVWVNIQA</v>
      </c>
      <c r="G298" s="4" t="str">
        <f t="shared" si="102"/>
        <v>KTTG</v>
      </c>
      <c r="H298" s="4" t="str">
        <f t="shared" si="103"/>
        <v>YDTHCYILNLAIADLWVVLTIPVWVVSLVQ</v>
      </c>
      <c r="I298" s="4" t="str">
        <f t="shared" si="104"/>
        <v>QWPM</v>
      </c>
      <c r="J298" s="4" t="str">
        <f t="shared" si="105"/>
        <v>GELTCKVTHLIFSINLFGSIFFLTCMSVDRYLSITY</v>
      </c>
      <c r="K298" s="4" t="str">
        <f t="shared" si="106"/>
        <v/>
      </c>
      <c r="L298" s="4" t="str">
        <f t="shared" si="107"/>
        <v>KKMVRRVVCILVWLLAFCVSLPDTYYL</v>
      </c>
      <c r="M298" s="4" t="str">
        <f t="shared" si="108"/>
        <v>CRS</v>
      </c>
      <c r="N298" s="4" t="str">
        <f t="shared" si="109"/>
        <v>WLIGMELVSVVLGFAVPFSIIAVFYFLLARAISAS</v>
      </c>
      <c r="O298" s="4" t="str">
        <f t="shared" si="110"/>
        <v>KHSSRKIIFSYVVVFLVCWLPYHVAVLLDIFSILH</v>
      </c>
      <c r="P298" s="4" t="str">
        <f t="shared" si="111"/>
        <v>TCRLEHALFTALHVTQCLSLVHCCVNPVLYSFI</v>
      </c>
      <c r="Q298" s="4" t="str">
        <f t="shared" si="112"/>
        <v>NRNYRYELMKAFIFK</v>
      </c>
      <c r="R298" s="5">
        <f>VLOOKUP($A298,'SegEnds_NonXtal_Prot#'!$A:$AL,3,FALSE)</f>
        <v>42</v>
      </c>
      <c r="S298" s="5">
        <f>VLOOKUP($A298,'SegEnds_NonXtal_Prot#'!$A:$AL,6,FALSE)</f>
        <v>73</v>
      </c>
      <c r="T298" s="5">
        <f>VLOOKUP($A298,'SegEnds_NonXtal_Prot#'!$A:$AL,9,FALSE)</f>
        <v>77</v>
      </c>
      <c r="U298" s="5">
        <f>VLOOKUP($A298,'SegEnds_NonXtal_Prot#'!$A:$AL,12,FALSE)</f>
        <v>109</v>
      </c>
      <c r="V298" s="5">
        <f>VLOOKUP($A298,'SegEnds_NonXtal_Prot#'!$A:$AL,15,FALSE)</f>
        <v>113</v>
      </c>
      <c r="W298" s="5" t="str">
        <f>VLOOKUP($A298,'SegEnds_NonXtal_Prot#'!$A:$AL,18,FALSE)</f>
        <v>-</v>
      </c>
      <c r="X298" s="5">
        <f>VLOOKUP($A298,'SegEnds_NonXtal_Prot#'!$A:$AL,21,FALSE)</f>
        <v>157</v>
      </c>
      <c r="Y298" s="5">
        <f>VLOOKUP($A298,'SegEnds_NonXtal_Prot#'!$A:$AL,24,FALSE)</f>
        <v>196</v>
      </c>
      <c r="Z298" s="5">
        <f>VLOOKUP($A298,'SegEnds_NonXtal_Prot#'!$A:$AL,27,FALSE)</f>
        <v>208</v>
      </c>
      <c r="AA298" s="5">
        <f>VLOOKUP($A298,'SegEnds_NonXtal_Prot#'!$A:$AL,30,FALSE)</f>
        <v>247</v>
      </c>
      <c r="AB298" s="5">
        <f>VLOOKUP($A298,'SegEnds_NonXtal_Prot#'!$A:$AL,33,FALSE)</f>
        <v>286</v>
      </c>
      <c r="AC298" s="5">
        <f>VLOOKUP($A298,'SegEnds_NonXtal_Prot#'!$A:$AL,36,FALSE)</f>
        <v>319</v>
      </c>
      <c r="AD298" s="5">
        <f>VLOOKUP($A298,'SegEnds_NonXtal_Prot#'!$A:$AL,5,FALSE)</f>
        <v>72</v>
      </c>
      <c r="AE298" s="5">
        <f>VLOOKUP($A298,'SegEnds_NonXtal_Prot#'!$A:$AL,8,FALSE)</f>
        <v>76</v>
      </c>
      <c r="AF298" s="5">
        <f>VLOOKUP($A298,'SegEnds_NonXtal_Prot#'!$A:$AL,11,FALSE)</f>
        <v>106</v>
      </c>
      <c r="AG298" s="5">
        <f>VLOOKUP($A298,'SegEnds_NonXtal_Prot#'!$A:$AL,14,FALSE)</f>
        <v>112</v>
      </c>
      <c r="AH298" s="5">
        <f>VLOOKUP($A298,'SegEnds_NonXtal_Prot#'!$A:$AL,17,FALSE)</f>
        <v>148</v>
      </c>
      <c r="AI298" s="5" t="str">
        <f>VLOOKUP($A298,'SegEnds_NonXtal_Prot#'!$A:$AL,20,FALSE)</f>
        <v>-</v>
      </c>
      <c r="AJ298" s="5">
        <f>VLOOKUP($A298,'SegEnds_NonXtal_Prot#'!$A:$AL,23,FALSE)</f>
        <v>183</v>
      </c>
      <c r="AK298" s="5">
        <f>VLOOKUP($A298,'SegEnds_NonXtal_Prot#'!$A:$AL,26,FALSE)</f>
        <v>198</v>
      </c>
      <c r="AL298" s="5">
        <f>VLOOKUP($A298,'SegEnds_NonXtal_Prot#'!$A:$AL,29,FALSE)</f>
        <v>242</v>
      </c>
      <c r="AM298" s="5">
        <f>VLOOKUP($A298,'SegEnds_NonXtal_Prot#'!$A:$AL,32,FALSE)</f>
        <v>281</v>
      </c>
      <c r="AN298" s="5">
        <f>VLOOKUP($A298,'SegEnds_NonXtal_Prot#'!$A:$AL,35,FALSE)</f>
        <v>318</v>
      </c>
      <c r="AO298" s="5">
        <f>VLOOKUP($A298,'SegEnds_NonXtal_Prot#'!$A:$AL,38,FALSE)</f>
        <v>333</v>
      </c>
      <c r="AP298" s="5">
        <f t="shared" si="113"/>
        <v>30</v>
      </c>
      <c r="AQ298" s="4">
        <f t="shared" si="114"/>
        <v>3</v>
      </c>
      <c r="AR298" s="4">
        <f t="shared" si="115"/>
        <v>29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34</v>
      </c>
      <c r="AY298" s="4">
        <f t="shared" si="122"/>
        <v>34</v>
      </c>
      <c r="AZ298" s="4">
        <f t="shared" si="123"/>
        <v>32</v>
      </c>
      <c r="BA298" s="4">
        <f t="shared" si="124"/>
        <v>14</v>
      </c>
    </row>
    <row r="299" spans="1:53" x14ac:dyDescent="0.2">
      <c r="A299" s="1" t="str">
        <f>'SegEnds_NonXtal_Prot#'!A289</f>
        <v>ackr4_human</v>
      </c>
      <c r="B299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99" s="5" t="str">
        <f t="shared" si="101"/>
        <v>VREFAKVFLPVFLTIVFVIGLAGNSMVVAIYAYY</v>
      </c>
      <c r="G299" s="4" t="str">
        <f t="shared" si="102"/>
        <v>KKQR</v>
      </c>
      <c r="H299" s="4" t="str">
        <f t="shared" si="103"/>
        <v>TKTDVYILNLAVADLLLLFTLPFWAVNAVH</v>
      </c>
      <c r="I299" s="4" t="str">
        <f t="shared" si="104"/>
        <v>GWVL</v>
      </c>
      <c r="J299" s="4" t="str">
        <f t="shared" si="105"/>
        <v>GKIMCKITSALYTLNFVSGMQFLACISIDRYVAVTK</v>
      </c>
      <c r="K299" s="4" t="str">
        <f t="shared" si="106"/>
        <v/>
      </c>
      <c r="L299" s="4" t="str">
        <f t="shared" si="107"/>
        <v>VGKPCWIICFCVWMAAILLSIPQLVFY</v>
      </c>
      <c r="M299" s="4" t="str">
        <f t="shared" si="108"/>
        <v>CIP</v>
      </c>
      <c r="N299" s="4" t="str">
        <f t="shared" si="109"/>
        <v>SMKALIQMLEICIGFVVPFLIMGVCYFITARTLMKM</v>
      </c>
      <c r="O299" s="4" t="str">
        <f t="shared" si="110"/>
        <v>ISRPLKVLLTVVIVFIVTQLPYNIVKFCRAIDIIY</v>
      </c>
      <c r="P299" s="4" t="str">
        <f t="shared" si="111"/>
        <v>SCNMSKRMDIAIQVTESIALFHSCLNPILYVFM</v>
      </c>
      <c r="Q299" s="4" t="str">
        <f t="shared" si="112"/>
        <v>GASFKNYVMKVAKKYGSWRRQ</v>
      </c>
      <c r="R299" s="5">
        <f>VLOOKUP($A299,'SegEnds_NonXtal_Prot#'!$A:$AL,3,FALSE)</f>
        <v>36</v>
      </c>
      <c r="S299" s="5">
        <f>VLOOKUP($A299,'SegEnds_NonXtal_Prot#'!$A:$AL,6,FALSE)</f>
        <v>70</v>
      </c>
      <c r="T299" s="5">
        <f>VLOOKUP($A299,'SegEnds_NonXtal_Prot#'!$A:$AL,9,FALSE)</f>
        <v>74</v>
      </c>
      <c r="U299" s="5">
        <f>VLOOKUP($A299,'SegEnds_NonXtal_Prot#'!$A:$AL,12,FALSE)</f>
        <v>104</v>
      </c>
      <c r="V299" s="5">
        <f>VLOOKUP($A299,'SegEnds_NonXtal_Prot#'!$A:$AL,15,FALSE)</f>
        <v>108</v>
      </c>
      <c r="W299" s="5" t="str">
        <f>VLOOKUP($A299,'SegEnds_NonXtal_Prot#'!$A:$AL,18,FALSE)</f>
        <v>-</v>
      </c>
      <c r="X299" s="5">
        <f>VLOOKUP($A299,'SegEnds_NonXtal_Prot#'!$A:$AL,21,FALSE)</f>
        <v>150</v>
      </c>
      <c r="Y299" s="5">
        <f>VLOOKUP($A299,'SegEnds_NonXtal_Prot#'!$A:$AL,24,FALSE)</f>
        <v>184</v>
      </c>
      <c r="Z299" s="5">
        <f>VLOOKUP($A299,'SegEnds_NonXtal_Prot#'!$A:$AL,27,FALSE)</f>
        <v>195</v>
      </c>
      <c r="AA299" s="5">
        <f>VLOOKUP($A299,'SegEnds_NonXtal_Prot#'!$A:$AL,30,FALSE)</f>
        <v>235</v>
      </c>
      <c r="AB299" s="5">
        <f>VLOOKUP($A299,'SegEnds_NonXtal_Prot#'!$A:$AL,33,FALSE)</f>
        <v>274</v>
      </c>
      <c r="AC299" s="5">
        <f>VLOOKUP($A299,'SegEnds_NonXtal_Prot#'!$A:$AL,36,FALSE)</f>
        <v>307</v>
      </c>
      <c r="AD299" s="5">
        <f>VLOOKUP($A299,'SegEnds_NonXtal_Prot#'!$A:$AL,5,FALSE)</f>
        <v>69</v>
      </c>
      <c r="AE299" s="5">
        <f>VLOOKUP($A299,'SegEnds_NonXtal_Prot#'!$A:$AL,8,FALSE)</f>
        <v>73</v>
      </c>
      <c r="AF299" s="5">
        <f>VLOOKUP($A299,'SegEnds_NonXtal_Prot#'!$A:$AL,11,FALSE)</f>
        <v>103</v>
      </c>
      <c r="AG299" s="5">
        <f>VLOOKUP($A299,'SegEnds_NonXtal_Prot#'!$A:$AL,14,FALSE)</f>
        <v>107</v>
      </c>
      <c r="AH299" s="5">
        <f>VLOOKUP($A299,'SegEnds_NonXtal_Prot#'!$A:$AL,17,FALSE)</f>
        <v>143</v>
      </c>
      <c r="AI299" s="5" t="str">
        <f>VLOOKUP($A299,'SegEnds_NonXtal_Prot#'!$A:$AL,20,FALSE)</f>
        <v>-</v>
      </c>
      <c r="AJ299" s="5">
        <f>VLOOKUP($A299,'SegEnds_NonXtal_Prot#'!$A:$AL,23,FALSE)</f>
        <v>176</v>
      </c>
      <c r="AK299" s="5">
        <f>VLOOKUP($A299,'SegEnds_NonXtal_Prot#'!$A:$AL,26,FALSE)</f>
        <v>186</v>
      </c>
      <c r="AL299" s="5">
        <f>VLOOKUP($A299,'SegEnds_NonXtal_Prot#'!$A:$AL,29,FALSE)</f>
        <v>230</v>
      </c>
      <c r="AM299" s="5">
        <f>VLOOKUP($A299,'SegEnds_NonXtal_Prot#'!$A:$AL,32,FALSE)</f>
        <v>269</v>
      </c>
      <c r="AN299" s="5">
        <f>VLOOKUP($A299,'SegEnds_NonXtal_Prot#'!$A:$AL,35,FALSE)</f>
        <v>306</v>
      </c>
      <c r="AO299" s="5">
        <f>VLOOKUP($A299,'SegEnds_NonXtal_Prot#'!$A:$AL,38,FALSE)</f>
        <v>327</v>
      </c>
      <c r="AP299" s="5">
        <f t="shared" si="113"/>
        <v>33</v>
      </c>
      <c r="AQ299" s="4">
        <f t="shared" si="114"/>
        <v>3</v>
      </c>
      <c r="AR299" s="4">
        <f t="shared" si="115"/>
        <v>29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>
        <f t="shared" si="120"/>
        <v>2</v>
      </c>
      <c r="AX299" s="4">
        <f t="shared" si="121"/>
        <v>35</v>
      </c>
      <c r="AY299" s="4">
        <f t="shared" si="122"/>
        <v>34</v>
      </c>
      <c r="AZ299" s="4">
        <f t="shared" si="123"/>
        <v>32</v>
      </c>
      <c r="BA299" s="4">
        <f t="shared" si="124"/>
        <v>20</v>
      </c>
    </row>
    <row r="300" spans="1:53" x14ac:dyDescent="0.2">
      <c r="A300" s="1" t="str">
        <f>'SegEnds_NonXtal_Prot#'!A290</f>
        <v>agra1_human</v>
      </c>
      <c r="B300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00" s="29" t="str">
        <f>IF(ISERROR(MATCH(A300,'SegEnds_Xtal_Prot#'!B:B, 0)), "NoXtal", "Xtal")</f>
        <v>NoXtal</v>
      </c>
      <c r="D300" s="4" t="str">
        <f>VLOOKUP(A300,Classification!A:D,2,FALSE)</f>
        <v>B2</v>
      </c>
      <c r="E300" s="5" t="str">
        <f>VLOOKUP(A300,Seqs!A:B,2,FALSE)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00" s="5" t="str">
        <f t="shared" si="101"/>
        <v>SLPRYPGEFLHPVVYACTAVMLLCLLASFVTYIVHQSA</v>
      </c>
      <c r="G300" s="4" t="str">
        <f t="shared" si="102"/>
        <v/>
      </c>
      <c r="H300" s="4" t="str">
        <f t="shared" si="103"/>
        <v>ISRKGRHTLLNFCFHAALTFTVFAGGI</v>
      </c>
      <c r="I300" s="4" t="str">
        <f t="shared" si="104"/>
        <v/>
      </c>
      <c r="J300" s="4" t="str">
        <f t="shared" si="105"/>
        <v>ILCQAVGIVLHYSTLSTMLWIGVTARNIYKQVTK</v>
      </c>
      <c r="K300" s="4" t="str">
        <f t="shared" si="106"/>
        <v/>
      </c>
      <c r="L300" s="4" t="str">
        <f t="shared" si="107"/>
        <v>QPLLRFYLVSGGVPFIICGVTAATNIRNY</v>
      </c>
      <c r="M300" s="4" t="str">
        <f t="shared" si="108"/>
        <v>CWM</v>
      </c>
      <c r="N300" s="4" t="str">
        <f t="shared" si="109"/>
        <v>WEPSLGAFYGPAAIITLVTCVYFLGTYVQLRRHP</v>
      </c>
      <c r="O300" s="4" t="str">
        <f t="shared" si="110"/>
        <v>SFQAQLRAAAFTLFLFTATWAFGAL</v>
      </c>
      <c r="P300" s="4" t="str">
        <f t="shared" si="111"/>
        <v>FLDMVFSCLYGAFCVTLGLFVLIHHCAK</v>
      </c>
      <c r="Q300" s="4" t="str">
        <f t="shared" si="112"/>
        <v>REDVWQCWWACCPPRKD</v>
      </c>
      <c r="R300" s="5">
        <f>VLOOKUP($A300,'SegEnds_NonXtal_Prot#'!$A:$AL,3,FALSE)</f>
        <v>8</v>
      </c>
      <c r="S300" s="5" t="str">
        <f>VLOOKUP($A300,'SegEnds_NonXtal_Prot#'!$A:$AL,6,FALSE)</f>
        <v>-</v>
      </c>
      <c r="T300" s="5">
        <f>VLOOKUP($A300,'SegEnds_NonXtal_Prot#'!$A:$AL,9,FALSE)</f>
        <v>48</v>
      </c>
      <c r="U300" s="5" t="str">
        <f>VLOOKUP($A300,'SegEnds_NonXtal_Prot#'!$A:$AL,12,FALSE)</f>
        <v>-</v>
      </c>
      <c r="V300" s="5">
        <f>VLOOKUP($A300,'SegEnds_NonXtal_Prot#'!$A:$AL,15,FALSE)</f>
        <v>81</v>
      </c>
      <c r="W300" s="5" t="str">
        <f>VLOOKUP($A300,'SegEnds_NonXtal_Prot#'!$A:$AL,18,FALSE)</f>
        <v>-</v>
      </c>
      <c r="X300" s="5">
        <f>VLOOKUP($A300,'SegEnds_NonXtal_Prot#'!$A:$AL,21,FALSE)</f>
        <v>130</v>
      </c>
      <c r="Y300" s="5">
        <f>VLOOKUP($A300,'SegEnds_NonXtal_Prot#'!$A:$AL,24,FALSE)</f>
        <v>168</v>
      </c>
      <c r="Z300" s="5">
        <f>VLOOKUP($A300,'SegEnds_NonXtal_Prot#'!$A:$AL,27,FALSE)</f>
        <v>172</v>
      </c>
      <c r="AA300" s="5">
        <f>VLOOKUP($A300,'SegEnds_NonXtal_Prot#'!$A:$AL,30,FALSE)</f>
        <v>251</v>
      </c>
      <c r="AB300" s="5">
        <f>VLOOKUP($A300,'SegEnds_NonXtal_Prot#'!$A:$AL,33,FALSE)</f>
        <v>282</v>
      </c>
      <c r="AC300" s="5">
        <f>VLOOKUP($A300,'SegEnds_NonXtal_Prot#'!$A:$AL,36,FALSE)</f>
        <v>310</v>
      </c>
      <c r="AD300" s="5">
        <f>VLOOKUP($A300,'SegEnds_NonXtal_Prot#'!$A:$AL,5,FALSE)</f>
        <v>45</v>
      </c>
      <c r="AE300" s="5" t="str">
        <f>VLOOKUP($A300,'SegEnds_NonXtal_Prot#'!$A:$AL,8,FALSE)</f>
        <v>-</v>
      </c>
      <c r="AF300" s="5">
        <f>VLOOKUP($A300,'SegEnds_NonXtal_Prot#'!$A:$AL,11,FALSE)</f>
        <v>74</v>
      </c>
      <c r="AG300" s="5" t="str">
        <f>VLOOKUP($A300,'SegEnds_NonXtal_Prot#'!$A:$AL,14,FALSE)</f>
        <v>-</v>
      </c>
      <c r="AH300" s="5">
        <f>VLOOKUP($A300,'SegEnds_NonXtal_Prot#'!$A:$AL,17,FALSE)</f>
        <v>114</v>
      </c>
      <c r="AI300" s="5" t="str">
        <f>VLOOKUP($A300,'SegEnds_NonXtal_Prot#'!$A:$AL,20,FALSE)</f>
        <v>-</v>
      </c>
      <c r="AJ300" s="5">
        <f>VLOOKUP($A300,'SegEnds_NonXtal_Prot#'!$A:$AL,23,FALSE)</f>
        <v>158</v>
      </c>
      <c r="AK300" s="5">
        <f>VLOOKUP($A300,'SegEnds_NonXtal_Prot#'!$A:$AL,26,FALSE)</f>
        <v>170</v>
      </c>
      <c r="AL300" s="5">
        <f>VLOOKUP($A300,'SegEnds_NonXtal_Prot#'!$A:$AL,29,FALSE)</f>
        <v>205</v>
      </c>
      <c r="AM300" s="5">
        <f>VLOOKUP($A300,'SegEnds_NonXtal_Prot#'!$A:$AL,32,FALSE)</f>
        <v>275</v>
      </c>
      <c r="AN300" s="5">
        <f>VLOOKUP($A300,'SegEnds_NonXtal_Prot#'!$A:$AL,35,FALSE)</f>
        <v>309</v>
      </c>
      <c r="AO300" s="5">
        <f>VLOOKUP($A300,'SegEnds_NonXtal_Prot#'!$A:$AL,38,FALSE)</f>
        <v>326</v>
      </c>
      <c r="AP300" s="5">
        <f t="shared" si="113"/>
        <v>37</v>
      </c>
      <c r="AQ300" s="4" t="str">
        <f t="shared" si="114"/>
        <v>-</v>
      </c>
      <c r="AR300" s="4">
        <f t="shared" si="115"/>
        <v>26</v>
      </c>
      <c r="AS300" s="4" t="str">
        <f t="shared" si="116"/>
        <v>-</v>
      </c>
      <c r="AT300" s="4">
        <f t="shared" si="117"/>
        <v>33</v>
      </c>
      <c r="AU300" s="4" t="str">
        <f t="shared" si="118"/>
        <v>-</v>
      </c>
      <c r="AV300" s="4">
        <f t="shared" si="119"/>
        <v>28</v>
      </c>
      <c r="AW300" s="4">
        <f t="shared" si="120"/>
        <v>2</v>
      </c>
      <c r="AX300" s="4">
        <f t="shared" si="121"/>
        <v>33</v>
      </c>
      <c r="AY300" s="4">
        <f t="shared" si="122"/>
        <v>24</v>
      </c>
      <c r="AZ300" s="4">
        <f t="shared" si="123"/>
        <v>27</v>
      </c>
      <c r="BA300" s="4">
        <f t="shared" si="124"/>
        <v>16</v>
      </c>
    </row>
    <row r="301" spans="1:53" x14ac:dyDescent="0.2">
      <c r="A301" s="1" t="str">
        <f>'SegEnds_NonXtal_Prot#'!A291</f>
        <v>agra2_human</v>
      </c>
      <c r="B301" s="1" t="str">
        <f t="shared" si="100"/>
        <v>REVGGAGAGLHPVVYPCTALLLLCLFATIITYILNHSSVSRKGWHMLLNLCFHIAMTSAVFAGGIMVCQAVGITLHYSSLSTLLWMGVKARVLHKELTWSPMLRFYLIAGGIPLIICGITAAVNIHNYWRPSLGAFYIPVALILLITWIYFLCAGLRLRGPLSPGVQLGALVTTHFLYLAMWACGALLPRVVCSCLYGVAASALGLFVFTHHCARRRDVRASWRACCPPASP</v>
      </c>
      <c r="C301" s="29" t="str">
        <f>IF(ISERROR(MATCH(A301,'SegEnds_Xtal_Prot#'!B:B, 0)), "NoXtal", "Xtal")</f>
        <v>NoXtal</v>
      </c>
      <c r="D301" s="4" t="str">
        <f>VLOOKUP(A301,Classification!A:D,2,FALSE)</f>
        <v>B2</v>
      </c>
      <c r="E301" s="5" t="str">
        <f>VLOOKUP(A301,Seqs!A:B,2,FALSE)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01" s="5" t="str">
        <f t="shared" si="101"/>
        <v>REVGGAGAGLHPVVYPCTALLLLCLFATIITYILNHSS</v>
      </c>
      <c r="G301" s="4" t="str">
        <f t="shared" si="102"/>
        <v/>
      </c>
      <c r="H301" s="4" t="str">
        <f t="shared" si="103"/>
        <v>VSRKGWHMLLNLCFHIAMTSAVFAGGI</v>
      </c>
      <c r="I301" s="4" t="str">
        <f t="shared" si="104"/>
        <v/>
      </c>
      <c r="J301" s="4" t="str">
        <f t="shared" si="105"/>
        <v>MVCQAVGITLHYSSLSTLLWMGVKARVLHKELTW</v>
      </c>
      <c r="K301" s="4" t="str">
        <f t="shared" si="106"/>
        <v/>
      </c>
      <c r="L301" s="4" t="str">
        <f t="shared" si="107"/>
        <v>SPMLRFYLIAGGIPLIICGITAAVNIHNY</v>
      </c>
      <c r="M301" s="4" t="str">
        <f t="shared" si="108"/>
        <v>CWL</v>
      </c>
      <c r="N301" s="4" t="str">
        <f t="shared" si="109"/>
        <v>WRPSLGAFYIPVALILLITWIYFLCAGLRLRGPL</v>
      </c>
      <c r="O301" s="4" t="str">
        <f t="shared" si="110"/>
        <v>SPGVQLGALVTTHFLYLAMWACGAL</v>
      </c>
      <c r="P301" s="4" t="str">
        <f t="shared" si="111"/>
        <v>LPRVVCSCLYGVAASALGLFVFTHHCAR</v>
      </c>
      <c r="Q301" s="4" t="str">
        <f t="shared" si="112"/>
        <v>RRDVRASWRACCPPASP</v>
      </c>
      <c r="R301" s="5">
        <f>VLOOKUP($A301,'SegEnds_NonXtal_Prot#'!$A:$AL,3,FALSE)</f>
        <v>760</v>
      </c>
      <c r="S301" s="5" t="str">
        <f>VLOOKUP($A301,'SegEnds_NonXtal_Prot#'!$A:$AL,6,FALSE)</f>
        <v>-</v>
      </c>
      <c r="T301" s="5">
        <f>VLOOKUP($A301,'SegEnds_NonXtal_Prot#'!$A:$AL,9,FALSE)</f>
        <v>800</v>
      </c>
      <c r="U301" s="5" t="str">
        <f>VLOOKUP($A301,'SegEnds_NonXtal_Prot#'!$A:$AL,12,FALSE)</f>
        <v>-</v>
      </c>
      <c r="V301" s="5">
        <f>VLOOKUP($A301,'SegEnds_NonXtal_Prot#'!$A:$AL,15,FALSE)</f>
        <v>833</v>
      </c>
      <c r="W301" s="5" t="str">
        <f>VLOOKUP($A301,'SegEnds_NonXtal_Prot#'!$A:$AL,18,FALSE)</f>
        <v>-</v>
      </c>
      <c r="X301" s="5">
        <f>VLOOKUP($A301,'SegEnds_NonXtal_Prot#'!$A:$AL,21,FALSE)</f>
        <v>882</v>
      </c>
      <c r="Y301" s="5">
        <f>VLOOKUP($A301,'SegEnds_NonXtal_Prot#'!$A:$AL,24,FALSE)</f>
        <v>917</v>
      </c>
      <c r="Z301" s="5">
        <f>VLOOKUP($A301,'SegEnds_NonXtal_Prot#'!$A:$AL,27,FALSE)</f>
        <v>921</v>
      </c>
      <c r="AA301" s="5">
        <f>VLOOKUP($A301,'SegEnds_NonXtal_Prot#'!$A:$AL,30,FALSE)</f>
        <v>1014</v>
      </c>
      <c r="AB301" s="5">
        <f>VLOOKUP($A301,'SegEnds_NonXtal_Prot#'!$A:$AL,33,FALSE)</f>
        <v>1045</v>
      </c>
      <c r="AC301" s="5">
        <f>VLOOKUP($A301,'SegEnds_NonXtal_Prot#'!$A:$AL,36,FALSE)</f>
        <v>1073</v>
      </c>
      <c r="AD301" s="5">
        <f>VLOOKUP($A301,'SegEnds_NonXtal_Prot#'!$A:$AL,5,FALSE)</f>
        <v>797</v>
      </c>
      <c r="AE301" s="5" t="str">
        <f>VLOOKUP($A301,'SegEnds_NonXtal_Prot#'!$A:$AL,8,FALSE)</f>
        <v>-</v>
      </c>
      <c r="AF301" s="5">
        <f>VLOOKUP($A301,'SegEnds_NonXtal_Prot#'!$A:$AL,11,FALSE)</f>
        <v>826</v>
      </c>
      <c r="AG301" s="5" t="str">
        <f>VLOOKUP($A301,'SegEnds_NonXtal_Prot#'!$A:$AL,14,FALSE)</f>
        <v>-</v>
      </c>
      <c r="AH301" s="5">
        <f>VLOOKUP($A301,'SegEnds_NonXtal_Prot#'!$A:$AL,17,FALSE)</f>
        <v>866</v>
      </c>
      <c r="AI301" s="5" t="str">
        <f>VLOOKUP($A301,'SegEnds_NonXtal_Prot#'!$A:$AL,20,FALSE)</f>
        <v>-</v>
      </c>
      <c r="AJ301" s="5">
        <f>VLOOKUP($A301,'SegEnds_NonXtal_Prot#'!$A:$AL,23,FALSE)</f>
        <v>910</v>
      </c>
      <c r="AK301" s="5">
        <f>VLOOKUP($A301,'SegEnds_NonXtal_Prot#'!$A:$AL,26,FALSE)</f>
        <v>919</v>
      </c>
      <c r="AL301" s="5">
        <f>VLOOKUP($A301,'SegEnds_NonXtal_Prot#'!$A:$AL,29,FALSE)</f>
        <v>954</v>
      </c>
      <c r="AM301" s="5">
        <f>VLOOKUP($A301,'SegEnds_NonXtal_Prot#'!$A:$AL,32,FALSE)</f>
        <v>1038</v>
      </c>
      <c r="AN301" s="5">
        <f>VLOOKUP($A301,'SegEnds_NonXtal_Prot#'!$A:$AL,35,FALSE)</f>
        <v>1072</v>
      </c>
      <c r="AO301" s="5">
        <f>VLOOKUP($A301,'SegEnds_NonXtal_Prot#'!$A:$AL,38,FALSE)</f>
        <v>1089</v>
      </c>
      <c r="AP301" s="5">
        <f t="shared" si="113"/>
        <v>37</v>
      </c>
      <c r="AQ301" s="4" t="str">
        <f t="shared" si="114"/>
        <v>-</v>
      </c>
      <c r="AR301" s="4">
        <f t="shared" si="115"/>
        <v>26</v>
      </c>
      <c r="AS301" s="4" t="str">
        <f t="shared" si="116"/>
        <v>-</v>
      </c>
      <c r="AT301" s="4">
        <f t="shared" si="117"/>
        <v>33</v>
      </c>
      <c r="AU301" s="4" t="str">
        <f t="shared" si="118"/>
        <v>-</v>
      </c>
      <c r="AV301" s="4">
        <f t="shared" si="119"/>
        <v>28</v>
      </c>
      <c r="AW301" s="4">
        <f t="shared" si="120"/>
        <v>2</v>
      </c>
      <c r="AX301" s="4">
        <f t="shared" si="121"/>
        <v>33</v>
      </c>
      <c r="AY301" s="4">
        <f t="shared" si="122"/>
        <v>24</v>
      </c>
      <c r="AZ301" s="4">
        <f t="shared" si="123"/>
        <v>27</v>
      </c>
      <c r="BA301" s="4">
        <f t="shared" si="124"/>
        <v>16</v>
      </c>
    </row>
    <row r="302" spans="1:53" x14ac:dyDescent="0.2">
      <c r="A302" s="1" t="str">
        <f>'SegEnds_NonXtal_Prot#'!A292</f>
        <v>agra3_human</v>
      </c>
      <c r="B302" s="1" t="str">
        <f t="shared" si="100"/>
        <v>ELYTQAASLLHPVVYTTAIILLLCLLAVIVSYIYHHSLISLKSWHMLVNLCFHIFLTCVVFVGGISICQAVGIILHYSTLATVLWVGVTARNIYKQVTKRPMLRFYLIGGGIPIIVCGITAAANIKNYWEPSLGAFYGPASFITFVNCMYFLSIFIQLKRHPTFHSQLLGASLTLLLYVALWMFGALPLDLVFSFVFGATSLSFSAFFVVHHCVNREDVRLAWIMTCCPGRS</v>
      </c>
      <c r="C302" s="29" t="str">
        <f>IF(ISERROR(MATCH(A302,'SegEnds_Xtal_Prot#'!B:B, 0)), "NoXtal", "Xtal")</f>
        <v>NoXtal</v>
      </c>
      <c r="D302" s="4" t="str">
        <f>VLOOKUP(A302,Classification!A:D,2,FALSE)</f>
        <v>B2</v>
      </c>
      <c r="E302" s="5" t="str">
        <f>VLOOKUP(A302,Seqs!A:B,2,FALSE)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02" s="5" t="str">
        <f t="shared" si="101"/>
        <v>ELYTQAASLLHPVVYTTAIILLLCLLAVIVSYIYHHSL</v>
      </c>
      <c r="G302" s="4" t="str">
        <f t="shared" si="102"/>
        <v/>
      </c>
      <c r="H302" s="4" t="str">
        <f t="shared" si="103"/>
        <v>ISLKSWHMLVNLCFHIFLTCVVFVGGI</v>
      </c>
      <c r="I302" s="4" t="str">
        <f t="shared" si="104"/>
        <v/>
      </c>
      <c r="J302" s="4" t="str">
        <f t="shared" si="105"/>
        <v>SICQAVGIILHYSTLATVLWVGVTARNIYKQVTK</v>
      </c>
      <c r="K302" s="4" t="str">
        <f t="shared" si="106"/>
        <v/>
      </c>
      <c r="L302" s="4" t="str">
        <f t="shared" si="107"/>
        <v>RPMLRFYLIGGGIPIIVCGITAAANIKNY</v>
      </c>
      <c r="M302" s="4" t="str">
        <f t="shared" si="108"/>
        <v>CWM</v>
      </c>
      <c r="N302" s="4" t="str">
        <f t="shared" si="109"/>
        <v>WEPSLGAFYGPASFITFVNCMYFLSIFIQLKRHP</v>
      </c>
      <c r="O302" s="4" t="str">
        <f t="shared" si="110"/>
        <v>TFHSQLLGASLTLLLYVALWMFGAL</v>
      </c>
      <c r="P302" s="4" t="str">
        <f t="shared" si="111"/>
        <v>PLDLVFSFVFGATSLSFSAFFVVHHCVN</v>
      </c>
      <c r="Q302" s="4" t="str">
        <f t="shared" si="112"/>
        <v>REDVRLAWIMTCCPGRS</v>
      </c>
      <c r="R302" s="5">
        <f>VLOOKUP($A302,'SegEnds_NonXtal_Prot#'!$A:$AL,3,FALSE)</f>
        <v>750</v>
      </c>
      <c r="S302" s="5" t="str">
        <f>VLOOKUP($A302,'SegEnds_NonXtal_Prot#'!$A:$AL,6,FALSE)</f>
        <v>-</v>
      </c>
      <c r="T302" s="5">
        <f>VLOOKUP($A302,'SegEnds_NonXtal_Prot#'!$A:$AL,9,FALSE)</f>
        <v>790</v>
      </c>
      <c r="U302" s="5" t="str">
        <f>VLOOKUP($A302,'SegEnds_NonXtal_Prot#'!$A:$AL,12,FALSE)</f>
        <v>-</v>
      </c>
      <c r="V302" s="5">
        <f>VLOOKUP($A302,'SegEnds_NonXtal_Prot#'!$A:$AL,15,FALSE)</f>
        <v>823</v>
      </c>
      <c r="W302" s="5" t="str">
        <f>VLOOKUP($A302,'SegEnds_NonXtal_Prot#'!$A:$AL,18,FALSE)</f>
        <v>-</v>
      </c>
      <c r="X302" s="5">
        <f>VLOOKUP($A302,'SegEnds_NonXtal_Prot#'!$A:$AL,21,FALSE)</f>
        <v>872</v>
      </c>
      <c r="Y302" s="5">
        <f>VLOOKUP($A302,'SegEnds_NonXtal_Prot#'!$A:$AL,24,FALSE)</f>
        <v>909</v>
      </c>
      <c r="Z302" s="5">
        <f>VLOOKUP($A302,'SegEnds_NonXtal_Prot#'!$A:$AL,27,FALSE)</f>
        <v>913</v>
      </c>
      <c r="AA302" s="5">
        <f>VLOOKUP($A302,'SegEnds_NonXtal_Prot#'!$A:$AL,30,FALSE)</f>
        <v>991</v>
      </c>
      <c r="AB302" s="5">
        <f>VLOOKUP($A302,'SegEnds_NonXtal_Prot#'!$A:$AL,33,FALSE)</f>
        <v>1022</v>
      </c>
      <c r="AC302" s="5">
        <f>VLOOKUP($A302,'SegEnds_NonXtal_Prot#'!$A:$AL,36,FALSE)</f>
        <v>1050</v>
      </c>
      <c r="AD302" s="5">
        <f>VLOOKUP($A302,'SegEnds_NonXtal_Prot#'!$A:$AL,5,FALSE)</f>
        <v>787</v>
      </c>
      <c r="AE302" s="5" t="str">
        <f>VLOOKUP($A302,'SegEnds_NonXtal_Prot#'!$A:$AL,8,FALSE)</f>
        <v>-</v>
      </c>
      <c r="AF302" s="5">
        <f>VLOOKUP($A302,'SegEnds_NonXtal_Prot#'!$A:$AL,11,FALSE)</f>
        <v>816</v>
      </c>
      <c r="AG302" s="5" t="str">
        <f>VLOOKUP($A302,'SegEnds_NonXtal_Prot#'!$A:$AL,14,FALSE)</f>
        <v>-</v>
      </c>
      <c r="AH302" s="5">
        <f>VLOOKUP($A302,'SegEnds_NonXtal_Prot#'!$A:$AL,17,FALSE)</f>
        <v>856</v>
      </c>
      <c r="AI302" s="5" t="str">
        <f>VLOOKUP($A302,'SegEnds_NonXtal_Prot#'!$A:$AL,20,FALSE)</f>
        <v>-</v>
      </c>
      <c r="AJ302" s="5">
        <f>VLOOKUP($A302,'SegEnds_NonXtal_Prot#'!$A:$AL,23,FALSE)</f>
        <v>900</v>
      </c>
      <c r="AK302" s="5">
        <f>VLOOKUP($A302,'SegEnds_NonXtal_Prot#'!$A:$AL,26,FALSE)</f>
        <v>911</v>
      </c>
      <c r="AL302" s="5">
        <f>VLOOKUP($A302,'SegEnds_NonXtal_Prot#'!$A:$AL,29,FALSE)</f>
        <v>946</v>
      </c>
      <c r="AM302" s="5">
        <f>VLOOKUP($A302,'SegEnds_NonXtal_Prot#'!$A:$AL,32,FALSE)</f>
        <v>1015</v>
      </c>
      <c r="AN302" s="5">
        <f>VLOOKUP($A302,'SegEnds_NonXtal_Prot#'!$A:$AL,35,FALSE)</f>
        <v>1049</v>
      </c>
      <c r="AO302" s="5">
        <f>VLOOKUP($A302,'SegEnds_NonXtal_Prot#'!$A:$AL,38,FALSE)</f>
        <v>1066</v>
      </c>
      <c r="AP302" s="5">
        <f t="shared" si="113"/>
        <v>37</v>
      </c>
      <c r="AQ302" s="4" t="str">
        <f t="shared" si="114"/>
        <v>-</v>
      </c>
      <c r="AR302" s="4">
        <f t="shared" si="115"/>
        <v>26</v>
      </c>
      <c r="AS302" s="4" t="str">
        <f t="shared" si="116"/>
        <v>-</v>
      </c>
      <c r="AT302" s="4">
        <f t="shared" si="117"/>
        <v>33</v>
      </c>
      <c r="AU302" s="4" t="str">
        <f t="shared" si="118"/>
        <v>-</v>
      </c>
      <c r="AV302" s="4">
        <f t="shared" si="119"/>
        <v>28</v>
      </c>
      <c r="AW302" s="4">
        <f t="shared" si="120"/>
        <v>2</v>
      </c>
      <c r="AX302" s="4">
        <f t="shared" si="121"/>
        <v>33</v>
      </c>
      <c r="AY302" s="4">
        <f t="shared" si="122"/>
        <v>24</v>
      </c>
      <c r="AZ302" s="4">
        <f t="shared" si="123"/>
        <v>27</v>
      </c>
      <c r="BA302" s="4">
        <f t="shared" si="124"/>
        <v>16</v>
      </c>
    </row>
    <row r="303" spans="1:53" x14ac:dyDescent="0.2">
      <c r="A303" s="1" t="str">
        <f>'SegEnds_NonXtal_Prot#'!A294</f>
        <v>agrb3_human</v>
      </c>
      <c r="B303" s="1" t="str">
        <f t="shared" si="100"/>
        <v>QPREIIMESSGTPSVTLIVGSGLSCLALITLAVVYAALSERSIILINFCLSIISSNILILVGQTQSICTTTTAFLHFFFLASFCWVLTEAWQSYMAVTGLIRKRFLCLGWGLPALVVATSVGFTRTKGEGGLLYAFVGPAAAVVLVNMVIGILVFNKLVSRDNAMASLWSSCVVLPLLALTWMSAVLSILFQILFAVFDSLQGFVIVMVHCILRREVQDAFRCRLRNCQD</v>
      </c>
      <c r="C303" s="29" t="str">
        <f>IF(ISERROR(MATCH(A303,'SegEnds_Xtal_Prot#'!B:B, 0)), "NoXtal", "Xtal")</f>
        <v>NoXtal</v>
      </c>
      <c r="D303" s="4" t="str">
        <f>VLOOKUP(A303,Classification!A:D,2,FALSE)</f>
        <v>B2</v>
      </c>
      <c r="E303" s="5" t="str">
        <f>VLOOKUP(A303,Seqs!A:B,2,FALSE)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03" s="5" t="str">
        <f t="shared" si="101"/>
        <v>QPREIIMESSGTPSVTLIVGSGLSCLALITLAVVYAAL</v>
      </c>
      <c r="G303" s="4" t="str">
        <f t="shared" si="102"/>
        <v/>
      </c>
      <c r="H303" s="4" t="str">
        <f t="shared" si="103"/>
        <v>SERSIILINFCLSIISSNILILVGQTQ</v>
      </c>
      <c r="I303" s="4" t="str">
        <f t="shared" si="104"/>
        <v/>
      </c>
      <c r="J303" s="4" t="str">
        <f t="shared" si="105"/>
        <v>SICTTTTAFLHFFFLASFCWVLTEAWQSYMAVTG</v>
      </c>
      <c r="K303" s="4" t="str">
        <f t="shared" si="106"/>
        <v/>
      </c>
      <c r="L303" s="4" t="str">
        <f t="shared" si="107"/>
        <v>LIRKRFLCLGWGLPALVVATSVGFTRTKG</v>
      </c>
      <c r="M303" s="4" t="str">
        <f t="shared" si="108"/>
        <v>CWL</v>
      </c>
      <c r="N303" s="4" t="str">
        <f t="shared" si="109"/>
        <v>EGGLLYAFVGPAAAVVLVNMVIGILVFNKLVSRD</v>
      </c>
      <c r="O303" s="4" t="str">
        <f t="shared" si="110"/>
        <v>NAMASLWSSCVVLPLLALTWMSAVL</v>
      </c>
      <c r="P303" s="4" t="str">
        <f t="shared" si="111"/>
        <v>SILFQILFAVFDSLQGFVIVMVHCIL</v>
      </c>
      <c r="Q303" s="4" t="str">
        <f t="shared" si="112"/>
        <v>RREVQDAFRCRLRNCQD</v>
      </c>
      <c r="R303" s="5">
        <f>VLOOKUP($A303,'SegEnds_NonXtal_Prot#'!$A:$AL,3,FALSE)</f>
        <v>865</v>
      </c>
      <c r="S303" s="5" t="str">
        <f>VLOOKUP($A303,'SegEnds_NonXtal_Prot#'!$A:$AL,6,FALSE)</f>
        <v>-</v>
      </c>
      <c r="T303" s="5">
        <f>VLOOKUP($A303,'SegEnds_NonXtal_Prot#'!$A:$AL,9,FALSE)</f>
        <v>908</v>
      </c>
      <c r="U303" s="5" t="str">
        <f>VLOOKUP($A303,'SegEnds_NonXtal_Prot#'!$A:$AL,12,FALSE)</f>
        <v>-</v>
      </c>
      <c r="V303" s="5">
        <f>VLOOKUP($A303,'SegEnds_NonXtal_Prot#'!$A:$AL,15,FALSE)</f>
        <v>939</v>
      </c>
      <c r="W303" s="5" t="str">
        <f>VLOOKUP($A303,'SegEnds_NonXtal_Prot#'!$A:$AL,18,FALSE)</f>
        <v>-</v>
      </c>
      <c r="X303" s="5">
        <f>VLOOKUP($A303,'SegEnds_NonXtal_Prot#'!$A:$AL,21,FALSE)</f>
        <v>978</v>
      </c>
      <c r="Y303" s="5">
        <f>VLOOKUP($A303,'SegEnds_NonXtal_Prot#'!$A:$AL,24,FALSE)</f>
        <v>1013</v>
      </c>
      <c r="Z303" s="5">
        <f>VLOOKUP($A303,'SegEnds_NonXtal_Prot#'!$A:$AL,27,FALSE)</f>
        <v>1018</v>
      </c>
      <c r="AA303" s="5">
        <f>VLOOKUP($A303,'SegEnds_NonXtal_Prot#'!$A:$AL,30,FALSE)</f>
        <v>1094</v>
      </c>
      <c r="AB303" s="5">
        <f>VLOOKUP($A303,'SegEnds_NonXtal_Prot#'!$A:$AL,33,FALSE)</f>
        <v>1125</v>
      </c>
      <c r="AC303" s="5">
        <f>VLOOKUP($A303,'SegEnds_NonXtal_Prot#'!$A:$AL,36,FALSE)</f>
        <v>1151</v>
      </c>
      <c r="AD303" s="5">
        <f>VLOOKUP($A303,'SegEnds_NonXtal_Prot#'!$A:$AL,5,FALSE)</f>
        <v>902</v>
      </c>
      <c r="AE303" s="5" t="str">
        <f>VLOOKUP($A303,'SegEnds_NonXtal_Prot#'!$A:$AL,8,FALSE)</f>
        <v>-</v>
      </c>
      <c r="AF303" s="5">
        <f>VLOOKUP($A303,'SegEnds_NonXtal_Prot#'!$A:$AL,11,FALSE)</f>
        <v>934</v>
      </c>
      <c r="AG303" s="5" t="str">
        <f>VLOOKUP($A303,'SegEnds_NonXtal_Prot#'!$A:$AL,14,FALSE)</f>
        <v>-</v>
      </c>
      <c r="AH303" s="5">
        <f>VLOOKUP($A303,'SegEnds_NonXtal_Prot#'!$A:$AL,17,FALSE)</f>
        <v>972</v>
      </c>
      <c r="AI303" s="5" t="str">
        <f>VLOOKUP($A303,'SegEnds_NonXtal_Prot#'!$A:$AL,20,FALSE)</f>
        <v>-</v>
      </c>
      <c r="AJ303" s="5">
        <f>VLOOKUP($A303,'SegEnds_NonXtal_Prot#'!$A:$AL,23,FALSE)</f>
        <v>1006</v>
      </c>
      <c r="AK303" s="5">
        <f>VLOOKUP($A303,'SegEnds_NonXtal_Prot#'!$A:$AL,26,FALSE)</f>
        <v>1015</v>
      </c>
      <c r="AL303" s="5">
        <f>VLOOKUP($A303,'SegEnds_NonXtal_Prot#'!$A:$AL,29,FALSE)</f>
        <v>1051</v>
      </c>
      <c r="AM303" s="5">
        <f>VLOOKUP($A303,'SegEnds_NonXtal_Prot#'!$A:$AL,32,FALSE)</f>
        <v>1118</v>
      </c>
      <c r="AN303" s="5">
        <f>VLOOKUP($A303,'SegEnds_NonXtal_Prot#'!$A:$AL,35,FALSE)</f>
        <v>1150</v>
      </c>
      <c r="AO303" s="5">
        <f>VLOOKUP($A303,'SegEnds_NonXtal_Prot#'!$A:$AL,38,FALSE)</f>
        <v>1167</v>
      </c>
      <c r="AP303" s="5">
        <f t="shared" si="113"/>
        <v>37</v>
      </c>
      <c r="AQ303" s="4" t="str">
        <f t="shared" si="114"/>
        <v>-</v>
      </c>
      <c r="AR303" s="4">
        <f t="shared" si="115"/>
        <v>26</v>
      </c>
      <c r="AS303" s="4" t="str">
        <f t="shared" si="116"/>
        <v>-</v>
      </c>
      <c r="AT303" s="4">
        <f t="shared" si="117"/>
        <v>33</v>
      </c>
      <c r="AU303" s="4" t="str">
        <f t="shared" si="118"/>
        <v>-</v>
      </c>
      <c r="AV303" s="4">
        <f t="shared" si="119"/>
        <v>28</v>
      </c>
      <c r="AW303" s="4">
        <f t="shared" si="120"/>
        <v>2</v>
      </c>
      <c r="AX303" s="4">
        <f t="shared" si="121"/>
        <v>33</v>
      </c>
      <c r="AY303" s="4">
        <f t="shared" si="122"/>
        <v>24</v>
      </c>
      <c r="AZ303" s="4">
        <f t="shared" si="123"/>
        <v>25</v>
      </c>
      <c r="BA303" s="4">
        <f t="shared" si="124"/>
        <v>16</v>
      </c>
    </row>
    <row r="304" spans="1:53" x14ac:dyDescent="0.2">
      <c r="A304" s="1" t="str">
        <f>'SegEnds_NonXtal_Prot#'!A295</f>
        <v>agrd1_human</v>
      </c>
      <c r="B304" s="1" t="str">
        <f t="shared" si="100"/>
        <v>VPLELARGHQVALSSISYVGCSLSVLCLVATLVTFAVLTIRNQRYHIHANLSFAVLVAQVLLLISFRLTPCQVMAVLLHYFFLSAFAWMLVEGLHLYSMVIKSKHRYYYGMGWGFPLLICIISLSFAMDSYASGAIWAFVAPALFVIVVNIGILIAVTRVISQISAFKLTAKAVAVLLPILGTSWVFGVLAVVFQYMFATLNSLQGLFIFLFHCLLNSEVRAAFKHKTKVWSL</v>
      </c>
      <c r="C304" s="29" t="str">
        <f>IF(ISERROR(MATCH(A304,'SegEnds_Xtal_Prot#'!B:B, 0)), "NoXtal", "Xtal")</f>
        <v>NoXtal</v>
      </c>
      <c r="D304" s="4" t="str">
        <f>VLOOKUP(A304,Classification!A:D,2,FALSE)</f>
        <v>B2</v>
      </c>
      <c r="E304" s="5" t="str">
        <f>VLOOKUP(A304,Seqs!A:B,2,FALSE)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04" s="5" t="str">
        <f t="shared" si="101"/>
        <v>VPLELARGHQVALSSISYVGCSLSVLCLVATLVTFAVL</v>
      </c>
      <c r="G304" s="4" t="str">
        <f t="shared" si="102"/>
        <v>SSVS</v>
      </c>
      <c r="H304" s="4" t="str">
        <f t="shared" si="103"/>
        <v>TIRNQRYHIHANLSFAVLVAQVLLLISFRL</v>
      </c>
      <c r="I304" s="4" t="str">
        <f t="shared" si="104"/>
        <v/>
      </c>
      <c r="J304" s="4" t="str">
        <f t="shared" si="105"/>
        <v>TPCQVMAVLLHYFFLSAFAWMLVEGLHLYSMVIK</v>
      </c>
      <c r="K304" s="4" t="str">
        <f t="shared" si="106"/>
        <v/>
      </c>
      <c r="L304" s="4" t="str">
        <f t="shared" si="107"/>
        <v>SKHRYYYGMGWGFPLLICIISLSFAMDSY</v>
      </c>
      <c r="M304" s="4" t="str">
        <f t="shared" si="108"/>
        <v>CWL</v>
      </c>
      <c r="N304" s="4" t="str">
        <f t="shared" si="109"/>
        <v>ASGAIWAFVAPALFVIVVNIGILIAVTRVISQIS</v>
      </c>
      <c r="O304" s="4" t="str">
        <f t="shared" si="110"/>
        <v>AFKLTAKAVAVLLPILGTSWVFGVL</v>
      </c>
      <c r="P304" s="4" t="str">
        <f t="shared" si="111"/>
        <v>AVVFQYMFATLNSLQGLFIFLFHCLL</v>
      </c>
      <c r="Q304" s="4" t="str">
        <f t="shared" si="112"/>
        <v>NSEVRAAFKHKTKVWSL</v>
      </c>
      <c r="R304" s="5">
        <f>VLOOKUP($A304,'SegEnds_NonXtal_Prot#'!$A:$AL,3,FALSE)</f>
        <v>554</v>
      </c>
      <c r="S304" s="5">
        <f>VLOOKUP($A304,'SegEnds_NonXtal_Prot#'!$A:$AL,6,FALSE)</f>
        <v>592</v>
      </c>
      <c r="T304" s="5">
        <f>VLOOKUP($A304,'SegEnds_NonXtal_Prot#'!$A:$AL,9,FALSE)</f>
        <v>596</v>
      </c>
      <c r="U304" s="5" t="str">
        <f>VLOOKUP($A304,'SegEnds_NonXtal_Prot#'!$A:$AL,12,FALSE)</f>
        <v>-</v>
      </c>
      <c r="V304" s="5">
        <f>VLOOKUP($A304,'SegEnds_NonXtal_Prot#'!$A:$AL,15,FALSE)</f>
        <v>630</v>
      </c>
      <c r="W304" s="5" t="str">
        <f>VLOOKUP($A304,'SegEnds_NonXtal_Prot#'!$A:$AL,18,FALSE)</f>
        <v>-</v>
      </c>
      <c r="X304" s="5">
        <f>VLOOKUP($A304,'SegEnds_NonXtal_Prot#'!$A:$AL,21,FALSE)</f>
        <v>670</v>
      </c>
      <c r="Y304" s="5">
        <f>VLOOKUP($A304,'SegEnds_NonXtal_Prot#'!$A:$AL,24,FALSE)</f>
        <v>704</v>
      </c>
      <c r="Z304" s="5">
        <f>VLOOKUP($A304,'SegEnds_NonXtal_Prot#'!$A:$AL,27,FALSE)</f>
        <v>709</v>
      </c>
      <c r="AA304" s="5">
        <f>VLOOKUP($A304,'SegEnds_NonXtal_Prot#'!$A:$AL,30,FALSE)</f>
        <v>754</v>
      </c>
      <c r="AB304" s="5">
        <f>VLOOKUP($A304,'SegEnds_NonXtal_Prot#'!$A:$AL,33,FALSE)</f>
        <v>784</v>
      </c>
      <c r="AC304" s="5">
        <f>VLOOKUP($A304,'SegEnds_NonXtal_Prot#'!$A:$AL,36,FALSE)</f>
        <v>810</v>
      </c>
      <c r="AD304" s="5">
        <f>VLOOKUP($A304,'SegEnds_NonXtal_Prot#'!$A:$AL,5,FALSE)</f>
        <v>591</v>
      </c>
      <c r="AE304" s="5">
        <f>VLOOKUP($A304,'SegEnds_NonXtal_Prot#'!$A:$AL,8,FALSE)</f>
        <v>595</v>
      </c>
      <c r="AF304" s="5">
        <f>VLOOKUP($A304,'SegEnds_NonXtal_Prot#'!$A:$AL,11,FALSE)</f>
        <v>625</v>
      </c>
      <c r="AG304" s="5" t="str">
        <f>VLOOKUP($A304,'SegEnds_NonXtal_Prot#'!$A:$AL,14,FALSE)</f>
        <v>-</v>
      </c>
      <c r="AH304" s="5">
        <f>VLOOKUP($A304,'SegEnds_NonXtal_Prot#'!$A:$AL,17,FALSE)</f>
        <v>663</v>
      </c>
      <c r="AI304" s="5" t="str">
        <f>VLOOKUP($A304,'SegEnds_NonXtal_Prot#'!$A:$AL,20,FALSE)</f>
        <v>-</v>
      </c>
      <c r="AJ304" s="5">
        <f>VLOOKUP($A304,'SegEnds_NonXtal_Prot#'!$A:$AL,23,FALSE)</f>
        <v>698</v>
      </c>
      <c r="AK304" s="5">
        <f>VLOOKUP($A304,'SegEnds_NonXtal_Prot#'!$A:$AL,26,FALSE)</f>
        <v>706</v>
      </c>
      <c r="AL304" s="5">
        <f>VLOOKUP($A304,'SegEnds_NonXtal_Prot#'!$A:$AL,29,FALSE)</f>
        <v>742</v>
      </c>
      <c r="AM304" s="5">
        <f>VLOOKUP($A304,'SegEnds_NonXtal_Prot#'!$A:$AL,32,FALSE)</f>
        <v>778</v>
      </c>
      <c r="AN304" s="5">
        <f>VLOOKUP($A304,'SegEnds_NonXtal_Prot#'!$A:$AL,35,FALSE)</f>
        <v>809</v>
      </c>
      <c r="AO304" s="5">
        <f>VLOOKUP($A304,'SegEnds_NonXtal_Prot#'!$A:$AL,38,FALSE)</f>
        <v>826</v>
      </c>
      <c r="AP304" s="5">
        <f t="shared" si="113"/>
        <v>37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33</v>
      </c>
      <c r="AU304" s="4" t="str">
        <f t="shared" si="118"/>
        <v>-</v>
      </c>
      <c r="AV304" s="4">
        <f t="shared" si="119"/>
        <v>28</v>
      </c>
      <c r="AW304" s="4">
        <f t="shared" si="120"/>
        <v>2</v>
      </c>
      <c r="AX304" s="4">
        <f t="shared" si="121"/>
        <v>33</v>
      </c>
      <c r="AY304" s="4">
        <f t="shared" si="122"/>
        <v>24</v>
      </c>
      <c r="AZ304" s="4">
        <f t="shared" si="123"/>
        <v>25</v>
      </c>
      <c r="BA304" s="4">
        <f t="shared" si="124"/>
        <v>16</v>
      </c>
    </row>
    <row r="305" spans="1:53" x14ac:dyDescent="0.2">
      <c r="A305" s="1" t="str">
        <f>'SegEnds_NonXtal_Prot#'!A296</f>
        <v>agrd2_human</v>
      </c>
      <c r="B305" s="1" t="str">
        <f t="shared" si="100"/>
        <v>YEVQRGPEEESLLRTLSFVGCGVSFCALTTTFLLFLVASERTTVHKNLTFSLASAEGFLMTSEWAVACVAVTVAMHFLFLVAFSWMLVEGLLLWRKVVAPGMRLYHATGWGVPVGIVAVTLAMLPHDYHTNAIWAFVGPVLFVLTANTCILARVVMITVSSAKPVLVLLPVLGLTWLAGILVHLAWAYAAVGLNSIQGLYIFLVYAACNEEVRSALQRMAEKKVA</v>
      </c>
      <c r="C305" s="29" t="str">
        <f>IF(ISERROR(MATCH(A305,'SegEnds_Xtal_Prot#'!B:B, 0)), "NoXtal", "Xtal")</f>
        <v>NoXtal</v>
      </c>
      <c r="D305" s="4" t="str">
        <f>VLOOKUP(A305,Classification!A:D,2,FALSE)</f>
        <v>B2</v>
      </c>
      <c r="E305" s="5" t="str">
        <f>VLOOKUP(A305,Seqs!A:B,2,FALSE)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5" s="5" t="str">
        <f t="shared" si="101"/>
        <v>YEVQRGPEEESLLRTLSFVGCGVSFCALTTTFLLFLVA</v>
      </c>
      <c r="G305" s="4" t="str">
        <f t="shared" si="102"/>
        <v/>
      </c>
      <c r="H305" s="4" t="str">
        <f t="shared" si="103"/>
        <v>SERTTVHKNLTFSLASAEGFLMTSEWA</v>
      </c>
      <c r="I305" s="4" t="str">
        <f t="shared" si="104"/>
        <v/>
      </c>
      <c r="J305" s="4" t="str">
        <f t="shared" si="105"/>
        <v>VACVAVTVAMHFLFLVAFSWMLVEGLLLWRKVVA</v>
      </c>
      <c r="K305" s="4" t="str">
        <f t="shared" si="106"/>
        <v/>
      </c>
      <c r="L305" s="4" t="str">
        <f t="shared" si="107"/>
        <v>PGMRLYHATGWGVPVGIVAVTLAMLPHDY</v>
      </c>
      <c r="M305" s="4" t="str">
        <f t="shared" si="108"/>
        <v>CWL</v>
      </c>
      <c r="N305" s="4" t="str">
        <f t="shared" si="109"/>
        <v>HTNAIWAFVGPVLFVLTANTCILARVVMITVSSA</v>
      </c>
      <c r="O305" s="4" t="str">
        <f t="shared" si="110"/>
        <v>KPVLVLLPVLGLTWLAGILVHL</v>
      </c>
      <c r="P305" s="4" t="str">
        <f t="shared" si="111"/>
        <v>AWAYAAVGLNSIQGLYIFLVYAAC</v>
      </c>
      <c r="Q305" s="4" t="str">
        <f t="shared" si="112"/>
        <v>NEEVRSALQRMAEKKVA</v>
      </c>
      <c r="R305" s="5">
        <f>VLOOKUP($A305,'SegEnds_NonXtal_Prot#'!$A:$AL,3,FALSE)</f>
        <v>646</v>
      </c>
      <c r="S305" s="5" t="str">
        <f>VLOOKUP($A305,'SegEnds_NonXtal_Prot#'!$A:$AL,6,FALSE)</f>
        <v>-</v>
      </c>
      <c r="T305" s="5">
        <f>VLOOKUP($A305,'SegEnds_NonXtal_Prot#'!$A:$AL,9,FALSE)</f>
        <v>688</v>
      </c>
      <c r="U305" s="5" t="str">
        <f>VLOOKUP($A305,'SegEnds_NonXtal_Prot#'!$A:$AL,12,FALSE)</f>
        <v>-</v>
      </c>
      <c r="V305" s="5">
        <f>VLOOKUP($A305,'SegEnds_NonXtal_Prot#'!$A:$AL,15,FALSE)</f>
        <v>719</v>
      </c>
      <c r="W305" s="5" t="str">
        <f>VLOOKUP($A305,'SegEnds_NonXtal_Prot#'!$A:$AL,18,FALSE)</f>
        <v>-</v>
      </c>
      <c r="X305" s="5">
        <f>VLOOKUP($A305,'SegEnds_NonXtal_Prot#'!$A:$AL,21,FALSE)</f>
        <v>759</v>
      </c>
      <c r="Y305" s="5">
        <f>VLOOKUP($A305,'SegEnds_NonXtal_Prot#'!$A:$AL,24,FALSE)</f>
        <v>793</v>
      </c>
      <c r="Z305" s="5">
        <f>VLOOKUP($A305,'SegEnds_NonXtal_Prot#'!$A:$AL,27,FALSE)</f>
        <v>798</v>
      </c>
      <c r="AA305" s="5">
        <f>VLOOKUP($A305,'SegEnds_NonXtal_Prot#'!$A:$AL,30,FALSE)</f>
        <v>857</v>
      </c>
      <c r="AB305" s="5">
        <f>VLOOKUP($A305,'SegEnds_NonXtal_Prot#'!$A:$AL,33,FALSE)</f>
        <v>881</v>
      </c>
      <c r="AC305" s="5">
        <f>VLOOKUP($A305,'SegEnds_NonXtal_Prot#'!$A:$AL,36,FALSE)</f>
        <v>905</v>
      </c>
      <c r="AD305" s="5">
        <f>VLOOKUP($A305,'SegEnds_NonXtal_Prot#'!$A:$AL,5,FALSE)</f>
        <v>683</v>
      </c>
      <c r="AE305" s="5" t="str">
        <f>VLOOKUP($A305,'SegEnds_NonXtal_Prot#'!$A:$AL,8,FALSE)</f>
        <v>-</v>
      </c>
      <c r="AF305" s="5">
        <f>VLOOKUP($A305,'SegEnds_NonXtal_Prot#'!$A:$AL,11,FALSE)</f>
        <v>714</v>
      </c>
      <c r="AG305" s="5" t="str">
        <f>VLOOKUP($A305,'SegEnds_NonXtal_Prot#'!$A:$AL,14,FALSE)</f>
        <v>-</v>
      </c>
      <c r="AH305" s="5">
        <f>VLOOKUP($A305,'SegEnds_NonXtal_Prot#'!$A:$AL,17,FALSE)</f>
        <v>752</v>
      </c>
      <c r="AI305" s="5" t="str">
        <f>VLOOKUP($A305,'SegEnds_NonXtal_Prot#'!$A:$AL,20,FALSE)</f>
        <v>-</v>
      </c>
      <c r="AJ305" s="5">
        <f>VLOOKUP($A305,'SegEnds_NonXtal_Prot#'!$A:$AL,23,FALSE)</f>
        <v>787</v>
      </c>
      <c r="AK305" s="5">
        <f>VLOOKUP($A305,'SegEnds_NonXtal_Prot#'!$A:$AL,26,FALSE)</f>
        <v>795</v>
      </c>
      <c r="AL305" s="5">
        <f>VLOOKUP($A305,'SegEnds_NonXtal_Prot#'!$A:$AL,29,FALSE)</f>
        <v>831</v>
      </c>
      <c r="AM305" s="5">
        <f>VLOOKUP($A305,'SegEnds_NonXtal_Prot#'!$A:$AL,32,FALSE)</f>
        <v>878</v>
      </c>
      <c r="AN305" s="5">
        <f>VLOOKUP($A305,'SegEnds_NonXtal_Prot#'!$A:$AL,35,FALSE)</f>
        <v>904</v>
      </c>
      <c r="AO305" s="5">
        <f>VLOOKUP($A305,'SegEnds_NonXtal_Prot#'!$A:$AL,38,FALSE)</f>
        <v>921</v>
      </c>
      <c r="AP305" s="5">
        <f t="shared" si="113"/>
        <v>37</v>
      </c>
      <c r="AQ305" s="4" t="str">
        <f t="shared" si="114"/>
        <v>-</v>
      </c>
      <c r="AR305" s="4">
        <f t="shared" si="115"/>
        <v>26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28</v>
      </c>
      <c r="AW305" s="4">
        <f t="shared" si="120"/>
        <v>2</v>
      </c>
      <c r="AX305" s="4">
        <f t="shared" si="121"/>
        <v>33</v>
      </c>
      <c r="AY305" s="4">
        <f t="shared" si="122"/>
        <v>21</v>
      </c>
      <c r="AZ305" s="4">
        <f t="shared" si="123"/>
        <v>23</v>
      </c>
      <c r="BA305" s="4">
        <f t="shared" si="124"/>
        <v>16</v>
      </c>
    </row>
    <row r="306" spans="1:53" x14ac:dyDescent="0.2">
      <c r="A306" s="1" t="str">
        <f>'SegEnds_NonXtal_Prot#'!A297</f>
        <v>agre1_human</v>
      </c>
      <c r="B306" s="1" t="str">
        <f t="shared" si="100"/>
        <v>IMASGELTMDFSLYIISHVGIIISLVCLVLAIATFLLCNHNTYLHLHLCVCLLLAKTLFLAGIHKMGCAIIAGFLHYLFLACFFWMLVEAVILFLMVRNKMLHICAFGYGLPMLVVVISASVQPQGYETGFIWSFLGPVCTVIVINSLLLTWTLWILRQRLDTRLLTFKAFAQLFILGCSWVLGIFAGVMAYLFTIINSLQGAFIFLIHCLLNGQVREEYKRWITGKTK</v>
      </c>
      <c r="C306" s="29" t="str">
        <f>IF(ISERROR(MATCH(A306,'SegEnds_Xtal_Prot#'!B:B, 0)), "NoXtal", "Xtal")</f>
        <v>NoXtal</v>
      </c>
      <c r="D306" s="4" t="str">
        <f>VLOOKUP(A306,Classification!A:D,2,FALSE)</f>
        <v>B2</v>
      </c>
      <c r="E306" s="5" t="str">
        <f>VLOOKUP(A306,Seqs!A:B,2,FALSE)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06" s="5" t="str">
        <f t="shared" si="101"/>
        <v>IMASGELTMDFSLYIISHVGIIISLVCLVLAIATFLLC</v>
      </c>
      <c r="G306" s="4" t="str">
        <f t="shared" si="102"/>
        <v/>
      </c>
      <c r="H306" s="4" t="str">
        <f t="shared" si="103"/>
        <v>NHNTYLHLHLCVCLLLAKTLFLAGIHK</v>
      </c>
      <c r="I306" s="4" t="str">
        <f t="shared" si="104"/>
        <v/>
      </c>
      <c r="J306" s="4" t="str">
        <f t="shared" si="105"/>
        <v>MGCAIIAGFLHYLFLACFFWMLVEAVILFLMVRN</v>
      </c>
      <c r="K306" s="4" t="str">
        <f t="shared" si="106"/>
        <v/>
      </c>
      <c r="L306" s="4" t="str">
        <f t="shared" si="107"/>
        <v>KMLHICAFGYGLPMLVVVISASVQPQGY</v>
      </c>
      <c r="M306" s="4" t="str">
        <f t="shared" si="108"/>
        <v>CWL</v>
      </c>
      <c r="N306" s="4" t="str">
        <f t="shared" si="109"/>
        <v>ETGFIWSFLGPVCTVIVINSLLLTWTLWILRQRL</v>
      </c>
      <c r="O306" s="4" t="str">
        <f t="shared" si="110"/>
        <v>DTRLLTFKAFAQLFILGCSWVLGIF</v>
      </c>
      <c r="P306" s="4" t="str">
        <f t="shared" si="111"/>
        <v>AGVMAYLFTIINSLQGAFIFLIHCLL</v>
      </c>
      <c r="Q306" s="4" t="str">
        <f t="shared" si="112"/>
        <v>NGQVREEYKRWITGKTK</v>
      </c>
      <c r="R306" s="5">
        <f>VLOOKUP($A306,'SegEnds_NonXtal_Prot#'!$A:$AL,3,FALSE)</f>
        <v>590</v>
      </c>
      <c r="S306" s="5" t="str">
        <f>VLOOKUP($A306,'SegEnds_NonXtal_Prot#'!$A:$AL,6,FALSE)</f>
        <v>-</v>
      </c>
      <c r="T306" s="5">
        <f>VLOOKUP($A306,'SegEnds_NonXtal_Prot#'!$A:$AL,9,FALSE)</f>
        <v>632</v>
      </c>
      <c r="U306" s="5" t="str">
        <f>VLOOKUP($A306,'SegEnds_NonXtal_Prot#'!$A:$AL,12,FALSE)</f>
        <v>-</v>
      </c>
      <c r="V306" s="5">
        <f>VLOOKUP($A306,'SegEnds_NonXtal_Prot#'!$A:$AL,15,FALSE)</f>
        <v>663</v>
      </c>
      <c r="W306" s="5" t="str">
        <f>VLOOKUP($A306,'SegEnds_NonXtal_Prot#'!$A:$AL,18,FALSE)</f>
        <v>-</v>
      </c>
      <c r="X306" s="5">
        <f>VLOOKUP($A306,'SegEnds_NonXtal_Prot#'!$A:$AL,21,FALSE)</f>
        <v>709</v>
      </c>
      <c r="Y306" s="5">
        <f>VLOOKUP($A306,'SegEnds_NonXtal_Prot#'!$A:$AL,24,FALSE)</f>
        <v>742</v>
      </c>
      <c r="Z306" s="5">
        <f>VLOOKUP($A306,'SegEnds_NonXtal_Prot#'!$A:$AL,27,FALSE)</f>
        <v>747</v>
      </c>
      <c r="AA306" s="5">
        <f>VLOOKUP($A306,'SegEnds_NonXtal_Prot#'!$A:$AL,30,FALSE)</f>
        <v>792</v>
      </c>
      <c r="AB306" s="5">
        <f>VLOOKUP($A306,'SegEnds_NonXtal_Prot#'!$A:$AL,33,FALSE)</f>
        <v>822</v>
      </c>
      <c r="AC306" s="5">
        <f>VLOOKUP($A306,'SegEnds_NonXtal_Prot#'!$A:$AL,36,FALSE)</f>
        <v>848</v>
      </c>
      <c r="AD306" s="5">
        <f>VLOOKUP($A306,'SegEnds_NonXtal_Prot#'!$A:$AL,5,FALSE)</f>
        <v>627</v>
      </c>
      <c r="AE306" s="5" t="str">
        <f>VLOOKUP($A306,'SegEnds_NonXtal_Prot#'!$A:$AL,8,FALSE)</f>
        <v>-</v>
      </c>
      <c r="AF306" s="5">
        <f>VLOOKUP($A306,'SegEnds_NonXtal_Prot#'!$A:$AL,11,FALSE)</f>
        <v>658</v>
      </c>
      <c r="AG306" s="5" t="str">
        <f>VLOOKUP($A306,'SegEnds_NonXtal_Prot#'!$A:$AL,14,FALSE)</f>
        <v>-</v>
      </c>
      <c r="AH306" s="5">
        <f>VLOOKUP($A306,'SegEnds_NonXtal_Prot#'!$A:$AL,17,FALSE)</f>
        <v>696</v>
      </c>
      <c r="AI306" s="5" t="str">
        <f>VLOOKUP($A306,'SegEnds_NonXtal_Prot#'!$A:$AL,20,FALSE)</f>
        <v>-</v>
      </c>
      <c r="AJ306" s="5">
        <f>VLOOKUP($A306,'SegEnds_NonXtal_Prot#'!$A:$AL,23,FALSE)</f>
        <v>736</v>
      </c>
      <c r="AK306" s="5">
        <f>VLOOKUP($A306,'SegEnds_NonXtal_Prot#'!$A:$AL,26,FALSE)</f>
        <v>744</v>
      </c>
      <c r="AL306" s="5">
        <f>VLOOKUP($A306,'SegEnds_NonXtal_Prot#'!$A:$AL,29,FALSE)</f>
        <v>780</v>
      </c>
      <c r="AM306" s="5">
        <f>VLOOKUP($A306,'SegEnds_NonXtal_Prot#'!$A:$AL,32,FALSE)</f>
        <v>816</v>
      </c>
      <c r="AN306" s="5">
        <f>VLOOKUP($A306,'SegEnds_NonXtal_Prot#'!$A:$AL,35,FALSE)</f>
        <v>847</v>
      </c>
      <c r="AO306" s="5">
        <f>VLOOKUP($A306,'SegEnds_NonXtal_Prot#'!$A:$AL,38,FALSE)</f>
        <v>864</v>
      </c>
      <c r="AP306" s="5">
        <f t="shared" si="113"/>
        <v>37</v>
      </c>
      <c r="AQ306" s="4" t="str">
        <f t="shared" si="114"/>
        <v>-</v>
      </c>
      <c r="AR306" s="4">
        <f t="shared" si="115"/>
        <v>26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27</v>
      </c>
      <c r="AW306" s="4">
        <f t="shared" si="120"/>
        <v>2</v>
      </c>
      <c r="AX306" s="4">
        <f t="shared" si="121"/>
        <v>33</v>
      </c>
      <c r="AY306" s="4">
        <f t="shared" si="122"/>
        <v>24</v>
      </c>
      <c r="AZ306" s="4">
        <f t="shared" si="123"/>
        <v>25</v>
      </c>
      <c r="BA306" s="4">
        <f t="shared" si="124"/>
        <v>16</v>
      </c>
    </row>
    <row r="307" spans="1:53" x14ac:dyDescent="0.2">
      <c r="A307" s="1" t="str">
        <f>'SegEnds_NonXtal_Prot#'!A298</f>
        <v>agre2_human</v>
      </c>
      <c r="B307" s="1" t="str">
        <f t="shared" si="100"/>
        <v>MAHYDVQEEDPVLTVITYMGLSVSLLCLLLAALTFLLCNTSTSLHLQLSLCLFLAHLLFLVAIDQVLCSIIAGTLHYLYLATLTWMLLEALYLFLTARNNRFMKKLMFPVGYGVPAVTVAISAASRPHLYEKGFIWGFLGPVCAIFSVNLVLFLVTLWILKNRLNTRMLAFKATAQLFILGCTWCLGILQVGPAARVMAYLFTIINSLQGVFIFLVYCLLSQQVREQYGKWSKGIRK</v>
      </c>
      <c r="C307" s="29" t="str">
        <f>IF(ISERROR(MATCH(A307,'SegEnds_Xtal_Prot#'!B:B, 0)), "NoXtal", "Xtal")</f>
        <v>NoXtal</v>
      </c>
      <c r="D307" s="4" t="str">
        <f>VLOOKUP(A307,Classification!A:D,2,FALSE)</f>
        <v>B2</v>
      </c>
      <c r="E307" s="5" t="str">
        <f>VLOOKUP(A307,Seqs!A:B,2,FALSE)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07" s="5" t="str">
        <f t="shared" si="101"/>
        <v>MAHYDVQEEDPVLTVITYMGLSVSLLCLLLAALTFLLC</v>
      </c>
      <c r="G307" s="4" t="str">
        <f t="shared" si="102"/>
        <v>KAIQ</v>
      </c>
      <c r="H307" s="4" t="str">
        <f t="shared" si="103"/>
        <v>NTSTSLHLQLSLCLFLAHLLFLVAIDQ</v>
      </c>
      <c r="I307" s="4" t="str">
        <f t="shared" si="104"/>
        <v/>
      </c>
      <c r="J307" s="4" t="str">
        <f t="shared" si="105"/>
        <v>VLCSIIAGTLHYLYLATLTWMLLEALYLFLTARN</v>
      </c>
      <c r="K307" s="4" t="str">
        <f t="shared" si="106"/>
        <v/>
      </c>
      <c r="L307" s="4" t="str">
        <f t="shared" si="107"/>
        <v>NRFMKKLMFPVGYGVPAVTVAISAASRPHLY</v>
      </c>
      <c r="M307" s="4" t="str">
        <f t="shared" si="108"/>
        <v>CWL</v>
      </c>
      <c r="N307" s="4" t="str">
        <f t="shared" si="109"/>
        <v>EKGFIWGFLGPVCAIFSVNLVLFLVTLWILKNRL</v>
      </c>
      <c r="O307" s="4" t="str">
        <f t="shared" si="110"/>
        <v>NTRMLAFKATAQLFILGCTWCLGILQVGPA</v>
      </c>
      <c r="P307" s="4" t="str">
        <f t="shared" si="111"/>
        <v>ARVMAYLFTIINSLQGVFIFLVYCLL</v>
      </c>
      <c r="Q307" s="4" t="str">
        <f t="shared" si="112"/>
        <v>SQQVREQYGKWSKGIRK</v>
      </c>
      <c r="R307" s="5">
        <f>VLOOKUP($A307,'SegEnds_NonXtal_Prot#'!$A:$AL,3,FALSE)</f>
        <v>524</v>
      </c>
      <c r="S307" s="5">
        <f>VLOOKUP($A307,'SegEnds_NonXtal_Prot#'!$A:$AL,6,FALSE)</f>
        <v>562</v>
      </c>
      <c r="T307" s="5">
        <f>VLOOKUP($A307,'SegEnds_NonXtal_Prot#'!$A:$AL,9,FALSE)</f>
        <v>566</v>
      </c>
      <c r="U307" s="5" t="str">
        <f>VLOOKUP($A307,'SegEnds_NonXtal_Prot#'!$A:$AL,12,FALSE)</f>
        <v>-</v>
      </c>
      <c r="V307" s="5">
        <f>VLOOKUP($A307,'SegEnds_NonXtal_Prot#'!$A:$AL,15,FALSE)</f>
        <v>597</v>
      </c>
      <c r="W307" s="5" t="str">
        <f>VLOOKUP($A307,'SegEnds_NonXtal_Prot#'!$A:$AL,18,FALSE)</f>
        <v>-</v>
      </c>
      <c r="X307" s="5">
        <f>VLOOKUP($A307,'SegEnds_NonXtal_Prot#'!$A:$AL,21,FALSE)</f>
        <v>640</v>
      </c>
      <c r="Y307" s="5">
        <f>VLOOKUP($A307,'SegEnds_NonXtal_Prot#'!$A:$AL,24,FALSE)</f>
        <v>676</v>
      </c>
      <c r="Z307" s="5">
        <f>VLOOKUP($A307,'SegEnds_NonXtal_Prot#'!$A:$AL,27,FALSE)</f>
        <v>681</v>
      </c>
      <c r="AA307" s="5">
        <f>VLOOKUP($A307,'SegEnds_NonXtal_Prot#'!$A:$AL,30,FALSE)</f>
        <v>726</v>
      </c>
      <c r="AB307" s="5">
        <f>VLOOKUP($A307,'SegEnds_NonXtal_Prot#'!$A:$AL,33,FALSE)</f>
        <v>756</v>
      </c>
      <c r="AC307" s="5">
        <f>VLOOKUP($A307,'SegEnds_NonXtal_Prot#'!$A:$AL,36,FALSE)</f>
        <v>782</v>
      </c>
      <c r="AD307" s="5">
        <f>VLOOKUP($A307,'SegEnds_NonXtal_Prot#'!$A:$AL,5,FALSE)</f>
        <v>561</v>
      </c>
      <c r="AE307" s="5">
        <f>VLOOKUP($A307,'SegEnds_NonXtal_Prot#'!$A:$AL,8,FALSE)</f>
        <v>565</v>
      </c>
      <c r="AF307" s="5">
        <f>VLOOKUP($A307,'SegEnds_NonXtal_Prot#'!$A:$AL,11,FALSE)</f>
        <v>592</v>
      </c>
      <c r="AG307" s="5" t="str">
        <f>VLOOKUP($A307,'SegEnds_NonXtal_Prot#'!$A:$AL,14,FALSE)</f>
        <v>-</v>
      </c>
      <c r="AH307" s="5">
        <f>VLOOKUP($A307,'SegEnds_NonXtal_Prot#'!$A:$AL,17,FALSE)</f>
        <v>630</v>
      </c>
      <c r="AI307" s="5" t="str">
        <f>VLOOKUP($A307,'SegEnds_NonXtal_Prot#'!$A:$AL,20,FALSE)</f>
        <v>-</v>
      </c>
      <c r="AJ307" s="5">
        <f>VLOOKUP($A307,'SegEnds_NonXtal_Prot#'!$A:$AL,23,FALSE)</f>
        <v>670</v>
      </c>
      <c r="AK307" s="5">
        <f>VLOOKUP($A307,'SegEnds_NonXtal_Prot#'!$A:$AL,26,FALSE)</f>
        <v>678</v>
      </c>
      <c r="AL307" s="5">
        <f>VLOOKUP($A307,'SegEnds_NonXtal_Prot#'!$A:$AL,29,FALSE)</f>
        <v>714</v>
      </c>
      <c r="AM307" s="5">
        <f>VLOOKUP($A307,'SegEnds_NonXtal_Prot#'!$A:$AL,32,FALSE)</f>
        <v>755</v>
      </c>
      <c r="AN307" s="5">
        <f>VLOOKUP($A307,'SegEnds_NonXtal_Prot#'!$A:$AL,35,FALSE)</f>
        <v>781</v>
      </c>
      <c r="AO307" s="5">
        <f>VLOOKUP($A307,'SegEnds_NonXtal_Prot#'!$A:$AL,38,FALSE)</f>
        <v>798</v>
      </c>
      <c r="AP307" s="5">
        <f t="shared" si="113"/>
        <v>37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33</v>
      </c>
      <c r="AU307" s="4" t="str">
        <f t="shared" si="118"/>
        <v>-</v>
      </c>
      <c r="AV307" s="4">
        <f t="shared" si="119"/>
        <v>30</v>
      </c>
      <c r="AW307" s="4">
        <f t="shared" si="120"/>
        <v>2</v>
      </c>
      <c r="AX307" s="4">
        <f t="shared" si="121"/>
        <v>33</v>
      </c>
      <c r="AY307" s="4">
        <f t="shared" si="122"/>
        <v>29</v>
      </c>
      <c r="AZ307" s="4">
        <f t="shared" si="123"/>
        <v>25</v>
      </c>
      <c r="BA307" s="4">
        <f t="shared" si="124"/>
        <v>16</v>
      </c>
    </row>
    <row r="308" spans="1:53" x14ac:dyDescent="0.2">
      <c r="A308" s="1" t="str">
        <f>'SegEnds_NonXtal_Prot#'!A299</f>
        <v>agre3_human</v>
      </c>
      <c r="B308" s="1" t="str">
        <f t="shared" si="100"/>
        <v>LMALTSQEEDPVLTVITYVGLSVSLLCLLLAALTFLLCNTSTSLHLQLSLCLFLAHLLFLVGIDRVLCSIIAGALHYLYLAAFTWMLLEGVHLFLTARNLMKWIMFPVGYGVPAVTVAISAASWPHLYDQGFMWSFLGPVCAIFSANLVLFILVFWILKRKLNTRMLAFKATAQLFILGCTWCLGLLAQVMAYLFTIINSLQGFFIFLVYCLLSQQVQKQYQKWFREIVK</v>
      </c>
      <c r="C308" s="29" t="str">
        <f>IF(ISERROR(MATCH(A308,'SegEnds_Xtal_Prot#'!B:B, 0)), "NoXtal", "Xtal")</f>
        <v>NoXtal</v>
      </c>
      <c r="D308" s="4" t="str">
        <f>VLOOKUP(A308,Classification!A:D,2,FALSE)</f>
        <v>B2</v>
      </c>
      <c r="E308" s="5" t="str">
        <f>VLOOKUP(A308,Seqs!A:B,2,FALSE)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08" s="5" t="str">
        <f t="shared" si="101"/>
        <v>LMALTSQEEDPVLTVITYVGLSVSLLCLLLAALTFLLC</v>
      </c>
      <c r="G308" s="4" t="str">
        <f t="shared" si="102"/>
        <v>KAIR</v>
      </c>
      <c r="H308" s="4" t="str">
        <f t="shared" si="103"/>
        <v>NTSTSLHLQLSLCLFLAHLLFLVGIDR</v>
      </c>
      <c r="I308" s="4" t="str">
        <f t="shared" si="104"/>
        <v/>
      </c>
      <c r="J308" s="4" t="str">
        <f t="shared" si="105"/>
        <v>VLCSIIAGALHYLYLAAFTWMLLEGVHLFLTARN</v>
      </c>
      <c r="K308" s="4" t="str">
        <f t="shared" si="106"/>
        <v/>
      </c>
      <c r="L308" s="4" t="str">
        <f t="shared" si="107"/>
        <v>LMKWIMFPVGYGVPAVTVAISAASWPHLY</v>
      </c>
      <c r="M308" s="4" t="str">
        <f t="shared" si="108"/>
        <v>CWL</v>
      </c>
      <c r="N308" s="4" t="str">
        <f t="shared" si="109"/>
        <v>DQGFMWSFLGPVCAIFSANLVLFILVFWILKRKL</v>
      </c>
      <c r="O308" s="4" t="str">
        <f t="shared" si="110"/>
        <v>NTRMLAFKATAQLFILGCTWCLGLL</v>
      </c>
      <c r="P308" s="4" t="str">
        <f t="shared" si="111"/>
        <v>AQVMAYLFTIINSLQGFFIFLVYCLL</v>
      </c>
      <c r="Q308" s="4" t="str">
        <f t="shared" si="112"/>
        <v>SQQVQKQYQKWFREIVK</v>
      </c>
      <c r="R308" s="5">
        <f>VLOOKUP($A308,'SegEnds_NonXtal_Prot#'!$A:$AL,3,FALSE)</f>
        <v>344</v>
      </c>
      <c r="S308" s="5">
        <f>VLOOKUP($A308,'SegEnds_NonXtal_Prot#'!$A:$AL,6,FALSE)</f>
        <v>382</v>
      </c>
      <c r="T308" s="5">
        <f>VLOOKUP($A308,'SegEnds_NonXtal_Prot#'!$A:$AL,9,FALSE)</f>
        <v>386</v>
      </c>
      <c r="U308" s="5" t="str">
        <f>VLOOKUP($A308,'SegEnds_NonXtal_Prot#'!$A:$AL,12,FALSE)</f>
        <v>-</v>
      </c>
      <c r="V308" s="5">
        <f>VLOOKUP($A308,'SegEnds_NonXtal_Prot#'!$A:$AL,15,FALSE)</f>
        <v>417</v>
      </c>
      <c r="W308" s="5" t="str">
        <f>VLOOKUP($A308,'SegEnds_NonXtal_Prot#'!$A:$AL,18,FALSE)</f>
        <v>-</v>
      </c>
      <c r="X308" s="5">
        <f>VLOOKUP($A308,'SegEnds_NonXtal_Prot#'!$A:$AL,21,FALSE)</f>
        <v>462</v>
      </c>
      <c r="Y308" s="5">
        <f>VLOOKUP($A308,'SegEnds_NonXtal_Prot#'!$A:$AL,24,FALSE)</f>
        <v>496</v>
      </c>
      <c r="Z308" s="5">
        <f>VLOOKUP($A308,'SegEnds_NonXtal_Prot#'!$A:$AL,27,FALSE)</f>
        <v>501</v>
      </c>
      <c r="AA308" s="5">
        <f>VLOOKUP($A308,'SegEnds_NonXtal_Prot#'!$A:$AL,30,FALSE)</f>
        <v>546</v>
      </c>
      <c r="AB308" s="5">
        <f>VLOOKUP($A308,'SegEnds_NonXtal_Prot#'!$A:$AL,33,FALSE)</f>
        <v>576</v>
      </c>
      <c r="AC308" s="5">
        <f>VLOOKUP($A308,'SegEnds_NonXtal_Prot#'!$A:$AL,36,FALSE)</f>
        <v>602</v>
      </c>
      <c r="AD308" s="5">
        <f>VLOOKUP($A308,'SegEnds_NonXtal_Prot#'!$A:$AL,5,FALSE)</f>
        <v>381</v>
      </c>
      <c r="AE308" s="5">
        <f>VLOOKUP($A308,'SegEnds_NonXtal_Prot#'!$A:$AL,8,FALSE)</f>
        <v>385</v>
      </c>
      <c r="AF308" s="5">
        <f>VLOOKUP($A308,'SegEnds_NonXtal_Prot#'!$A:$AL,11,FALSE)</f>
        <v>412</v>
      </c>
      <c r="AG308" s="5" t="str">
        <f>VLOOKUP($A308,'SegEnds_NonXtal_Prot#'!$A:$AL,14,FALSE)</f>
        <v>-</v>
      </c>
      <c r="AH308" s="5">
        <f>VLOOKUP($A308,'SegEnds_NonXtal_Prot#'!$A:$AL,17,FALSE)</f>
        <v>450</v>
      </c>
      <c r="AI308" s="5" t="str">
        <f>VLOOKUP($A308,'SegEnds_NonXtal_Prot#'!$A:$AL,20,FALSE)</f>
        <v>-</v>
      </c>
      <c r="AJ308" s="5">
        <f>VLOOKUP($A308,'SegEnds_NonXtal_Prot#'!$A:$AL,23,FALSE)</f>
        <v>490</v>
      </c>
      <c r="AK308" s="5">
        <f>VLOOKUP($A308,'SegEnds_NonXtal_Prot#'!$A:$AL,26,FALSE)</f>
        <v>498</v>
      </c>
      <c r="AL308" s="5">
        <f>VLOOKUP($A308,'SegEnds_NonXtal_Prot#'!$A:$AL,29,FALSE)</f>
        <v>534</v>
      </c>
      <c r="AM308" s="5">
        <f>VLOOKUP($A308,'SegEnds_NonXtal_Prot#'!$A:$AL,32,FALSE)</f>
        <v>570</v>
      </c>
      <c r="AN308" s="5">
        <f>VLOOKUP($A308,'SegEnds_NonXtal_Prot#'!$A:$AL,35,FALSE)</f>
        <v>601</v>
      </c>
      <c r="AO308" s="5">
        <f>VLOOKUP($A308,'SegEnds_NonXtal_Prot#'!$A:$AL,38,FALSE)</f>
        <v>618</v>
      </c>
      <c r="AP308" s="5">
        <f t="shared" si="113"/>
        <v>37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33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33</v>
      </c>
      <c r="AY308" s="4">
        <f t="shared" si="122"/>
        <v>24</v>
      </c>
      <c r="AZ308" s="4">
        <f t="shared" si="123"/>
        <v>25</v>
      </c>
      <c r="BA308" s="4">
        <f t="shared" si="124"/>
        <v>16</v>
      </c>
    </row>
    <row r="309" spans="1:53" x14ac:dyDescent="0.2">
      <c r="A309" s="1" t="str">
        <f>'SegEnds_NonXtal_Prot#'!A300</f>
        <v>agre4_human</v>
      </c>
      <c r="B309" s="1" t="str">
        <f t="shared" si="100"/>
        <v>VLVALAPKEDPVLTVITQVGLTISLLCLFLAILTFLLCNTSTSLHLELSLCLFLAHLLFLTGINRVLCSIIAGLLHFLYLACFTWMLLEGLHLFLTVRNGRFKKRFMYPVGYGIPAVIIAVSAIVGPQNYDKGFIWSFMGPVAVIILINLVFYFQVLWILRSKLDTRVMTFKAISQLFILGCSWGLGFFMVEEVGKTIGSIIAYSFTIINTLQGVLLFVVHCLLNRQVRLIILSVISLVPK</v>
      </c>
      <c r="C309" s="29" t="str">
        <f>IF(ISERROR(MATCH(A309,'SegEnds_Xtal_Prot#'!B:B, 0)), "NoXtal", "Xtal")</f>
        <v>NoXtal</v>
      </c>
      <c r="D309" s="4" t="str">
        <f>VLOOKUP(A309,Classification!A:D,2,FALSE)</f>
        <v>B2</v>
      </c>
      <c r="E309" s="5" t="str">
        <f>VLOOKUP(A309,Seqs!A:B,2,FALSE)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09" s="5" t="str">
        <f t="shared" si="101"/>
        <v>VLVALAPKEDPVLTVITQVGLTISLLCLFLAILTFLLC</v>
      </c>
      <c r="G309" s="4" t="str">
        <f t="shared" si="102"/>
        <v>RPIQ</v>
      </c>
      <c r="H309" s="4" t="str">
        <f t="shared" si="103"/>
        <v>NTSTSLHLELSLCLFLAHLLFLTGINR</v>
      </c>
      <c r="I309" s="4" t="str">
        <f t="shared" si="104"/>
        <v/>
      </c>
      <c r="J309" s="4" t="str">
        <f t="shared" si="105"/>
        <v>VLCSIIAGLLHFLYLACFTWMLLEGLHLFLTVRN</v>
      </c>
      <c r="K309" s="4" t="str">
        <f t="shared" si="106"/>
        <v/>
      </c>
      <c r="L309" s="4" t="str">
        <f t="shared" si="107"/>
        <v>GRFKKRFMYPVGYGIPAVIIAVSAIVGPQNY</v>
      </c>
      <c r="M309" s="4" t="str">
        <f t="shared" si="108"/>
        <v>CWL</v>
      </c>
      <c r="N309" s="4" t="str">
        <f t="shared" si="109"/>
        <v>DKGFIWSFMGPVAVIILINLVFYFQVLWILRSKL</v>
      </c>
      <c r="O309" s="4" t="str">
        <f t="shared" si="110"/>
        <v>DTRVMTFKAISQLFILGCSWGLGFFMVEEV</v>
      </c>
      <c r="P309" s="4" t="str">
        <f t="shared" si="111"/>
        <v>GKTIGSIIAYSFTIINTLQGVLLFVVHCLL</v>
      </c>
      <c r="Q309" s="4" t="str">
        <f t="shared" si="112"/>
        <v>NRQVRLIILSVISLVPK</v>
      </c>
      <c r="R309" s="5">
        <f>VLOOKUP($A309,'SegEnds_NonXtal_Prot#'!$A:$AL,3,FALSE)</f>
        <v>178</v>
      </c>
      <c r="S309" s="5">
        <f>VLOOKUP($A309,'SegEnds_NonXtal_Prot#'!$A:$AL,6,FALSE)</f>
        <v>216</v>
      </c>
      <c r="T309" s="5">
        <f>VLOOKUP($A309,'SegEnds_NonXtal_Prot#'!$A:$AL,9,FALSE)</f>
        <v>220</v>
      </c>
      <c r="U309" s="5" t="str">
        <f>VLOOKUP($A309,'SegEnds_NonXtal_Prot#'!$A:$AL,12,FALSE)</f>
        <v>-</v>
      </c>
      <c r="V309" s="5">
        <f>VLOOKUP($A309,'SegEnds_NonXtal_Prot#'!$A:$AL,15,FALSE)</f>
        <v>251</v>
      </c>
      <c r="W309" s="5" t="str">
        <f>VLOOKUP($A309,'SegEnds_NonXtal_Prot#'!$A:$AL,18,FALSE)</f>
        <v>-</v>
      </c>
      <c r="X309" s="5">
        <f>VLOOKUP($A309,'SegEnds_NonXtal_Prot#'!$A:$AL,21,FALSE)</f>
        <v>294</v>
      </c>
      <c r="Y309" s="5">
        <f>VLOOKUP($A309,'SegEnds_NonXtal_Prot#'!$A:$AL,24,FALSE)</f>
        <v>329</v>
      </c>
      <c r="Z309" s="5">
        <f>VLOOKUP($A309,'SegEnds_NonXtal_Prot#'!$A:$AL,27,FALSE)</f>
        <v>334</v>
      </c>
      <c r="AA309" s="5">
        <f>VLOOKUP($A309,'SegEnds_NonXtal_Prot#'!$A:$AL,30,FALSE)</f>
        <v>379</v>
      </c>
      <c r="AB309" s="5">
        <f>VLOOKUP($A309,'SegEnds_NonXtal_Prot#'!$A:$AL,33,FALSE)</f>
        <v>409</v>
      </c>
      <c r="AC309" s="5">
        <f>VLOOKUP($A309,'SegEnds_NonXtal_Prot#'!$A:$AL,36,FALSE)</f>
        <v>439</v>
      </c>
      <c r="AD309" s="5">
        <f>VLOOKUP($A309,'SegEnds_NonXtal_Prot#'!$A:$AL,5,FALSE)</f>
        <v>215</v>
      </c>
      <c r="AE309" s="5">
        <f>VLOOKUP($A309,'SegEnds_NonXtal_Prot#'!$A:$AL,8,FALSE)</f>
        <v>219</v>
      </c>
      <c r="AF309" s="5">
        <f>VLOOKUP($A309,'SegEnds_NonXtal_Prot#'!$A:$AL,11,FALSE)</f>
        <v>246</v>
      </c>
      <c r="AG309" s="5" t="str">
        <f>VLOOKUP($A309,'SegEnds_NonXtal_Prot#'!$A:$AL,14,FALSE)</f>
        <v>-</v>
      </c>
      <c r="AH309" s="5">
        <f>VLOOKUP($A309,'SegEnds_NonXtal_Prot#'!$A:$AL,17,FALSE)</f>
        <v>284</v>
      </c>
      <c r="AI309" s="5" t="str">
        <f>VLOOKUP($A309,'SegEnds_NonXtal_Prot#'!$A:$AL,20,FALSE)</f>
        <v>-</v>
      </c>
      <c r="AJ309" s="5">
        <f>VLOOKUP($A309,'SegEnds_NonXtal_Prot#'!$A:$AL,23,FALSE)</f>
        <v>324</v>
      </c>
      <c r="AK309" s="5">
        <f>VLOOKUP($A309,'SegEnds_NonXtal_Prot#'!$A:$AL,26,FALSE)</f>
        <v>331</v>
      </c>
      <c r="AL309" s="5">
        <f>VLOOKUP($A309,'SegEnds_NonXtal_Prot#'!$A:$AL,29,FALSE)</f>
        <v>367</v>
      </c>
      <c r="AM309" s="5">
        <f>VLOOKUP($A309,'SegEnds_NonXtal_Prot#'!$A:$AL,32,FALSE)</f>
        <v>408</v>
      </c>
      <c r="AN309" s="5">
        <f>VLOOKUP($A309,'SegEnds_NonXtal_Prot#'!$A:$AL,35,FALSE)</f>
        <v>438</v>
      </c>
      <c r="AO309" s="5">
        <f>VLOOKUP($A309,'SegEnds_NonXtal_Prot#'!$A:$AL,38,FALSE)</f>
        <v>455</v>
      </c>
      <c r="AP309" s="5">
        <f t="shared" si="113"/>
        <v>37</v>
      </c>
      <c r="AQ309" s="4">
        <f t="shared" si="114"/>
        <v>3</v>
      </c>
      <c r="AR309" s="4">
        <f t="shared" si="115"/>
        <v>26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30</v>
      </c>
      <c r="AW309" s="4">
        <f t="shared" si="120"/>
        <v>2</v>
      </c>
      <c r="AX309" s="4">
        <f t="shared" si="121"/>
        <v>33</v>
      </c>
      <c r="AY309" s="4">
        <f t="shared" si="122"/>
        <v>29</v>
      </c>
      <c r="AZ309" s="4">
        <f t="shared" si="123"/>
        <v>29</v>
      </c>
      <c r="BA309" s="4">
        <f t="shared" si="124"/>
        <v>16</v>
      </c>
    </row>
    <row r="310" spans="1:53" x14ac:dyDescent="0.2">
      <c r="A310" s="1" t="str">
        <f>'SegEnds_NonXtal_Prot#'!A301</f>
        <v>agrf1_human</v>
      </c>
      <c r="B310" s="1" t="str">
        <f t="shared" si="100"/>
        <v>MSPFVPSTIFPVVKWITYVGLGISIGSLILCLIIEALFQTSHTRRICMVNIALSLLIADVWFIVGGVCTAAVFFTHFFYLSLFFWMLMLGILLAYRIILLMMAVGFCLGYGCPLIISVITIAVTQPSNGSKPLLAFVVPALAIVAVNFVVVLLVLTKLWRPTTIIRVGKSLLILTPLLGLTWGFGIGNLAWHVIFALLNAFQGFFILCFGILLDSKLRQLLFNKLSALSS</v>
      </c>
      <c r="C310" s="29" t="str">
        <f>IF(ISERROR(MATCH(A310,'SegEnds_Xtal_Prot#'!B:B, 0)), "NoXtal", "Xtal")</f>
        <v>NoXtal</v>
      </c>
      <c r="D310" s="4" t="str">
        <f>VLOOKUP(A310,Classification!A:D,2,FALSE)</f>
        <v>B2</v>
      </c>
      <c r="E310" s="5" t="str">
        <f>VLOOKUP(A310,Seqs!A:B,2,FALSE)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10" s="5" t="str">
        <f t="shared" si="101"/>
        <v>MSPFVPSTIFPVVKWITYVGLGISIGSLILCLIIEALF</v>
      </c>
      <c r="G310" s="4" t="str">
        <f t="shared" si="102"/>
        <v/>
      </c>
      <c r="H310" s="4" t="str">
        <f t="shared" si="103"/>
        <v>QTSHTRRICMVNIALSLLIADVWFIVG</v>
      </c>
      <c r="I310" s="4" t="str">
        <f t="shared" si="104"/>
        <v/>
      </c>
      <c r="J310" s="4" t="str">
        <f t="shared" si="105"/>
        <v>GVCTAAVFFTHFFYLSLFFWMLMLGILLAYRIIL</v>
      </c>
      <c r="K310" s="4" t="str">
        <f t="shared" si="106"/>
        <v/>
      </c>
      <c r="L310" s="4" t="str">
        <f t="shared" si="107"/>
        <v>LMMAVGFCLGYGCPLIISVITIAVTQPSN</v>
      </c>
      <c r="M310" s="4" t="str">
        <f t="shared" si="108"/>
        <v>CWL</v>
      </c>
      <c r="N310" s="4" t="str">
        <f t="shared" si="109"/>
        <v>GSKPLLAFVVPALAIVAVNFVVVLLVLTKLWRPT</v>
      </c>
      <c r="O310" s="4" t="str">
        <f t="shared" si="110"/>
        <v>TIIRVGKSLLILTPLLGLTWGFGIG</v>
      </c>
      <c r="P310" s="4" t="str">
        <f t="shared" si="111"/>
        <v>NLAWHVIFALLNAFQGFFILCFGILL</v>
      </c>
      <c r="Q310" s="4" t="str">
        <f t="shared" si="112"/>
        <v>DSKLRQLLFNKLSALSS</v>
      </c>
      <c r="R310" s="5">
        <f>VLOOKUP($A310,'SegEnds_NonXtal_Prot#'!$A:$AL,3,FALSE)</f>
        <v>573</v>
      </c>
      <c r="S310" s="5" t="str">
        <f>VLOOKUP($A310,'SegEnds_NonXtal_Prot#'!$A:$AL,6,FALSE)</f>
        <v>-</v>
      </c>
      <c r="T310" s="5">
        <f>VLOOKUP($A310,'SegEnds_NonXtal_Prot#'!$A:$AL,9,FALSE)</f>
        <v>618</v>
      </c>
      <c r="U310" s="5" t="str">
        <f>VLOOKUP($A310,'SegEnds_NonXtal_Prot#'!$A:$AL,12,FALSE)</f>
        <v>-</v>
      </c>
      <c r="V310" s="5">
        <f>VLOOKUP($A310,'SegEnds_NonXtal_Prot#'!$A:$AL,15,FALSE)</f>
        <v>655</v>
      </c>
      <c r="W310" s="5" t="str">
        <f>VLOOKUP($A310,'SegEnds_NonXtal_Prot#'!$A:$AL,18,FALSE)</f>
        <v>-</v>
      </c>
      <c r="X310" s="5">
        <f>VLOOKUP($A310,'SegEnds_NonXtal_Prot#'!$A:$AL,21,FALSE)</f>
        <v>697</v>
      </c>
      <c r="Y310" s="5">
        <f>VLOOKUP($A310,'SegEnds_NonXtal_Prot#'!$A:$AL,24,FALSE)</f>
        <v>733</v>
      </c>
      <c r="Z310" s="5">
        <f>VLOOKUP($A310,'SegEnds_NonXtal_Prot#'!$A:$AL,27,FALSE)</f>
        <v>740</v>
      </c>
      <c r="AA310" s="5">
        <f>VLOOKUP($A310,'SegEnds_NonXtal_Prot#'!$A:$AL,30,FALSE)</f>
        <v>785</v>
      </c>
      <c r="AB310" s="5">
        <f>VLOOKUP($A310,'SegEnds_NonXtal_Prot#'!$A:$AL,33,FALSE)</f>
        <v>816</v>
      </c>
      <c r="AC310" s="5">
        <f>VLOOKUP($A310,'SegEnds_NonXtal_Prot#'!$A:$AL,36,FALSE)</f>
        <v>842</v>
      </c>
      <c r="AD310" s="5">
        <f>VLOOKUP($A310,'SegEnds_NonXtal_Prot#'!$A:$AL,5,FALSE)</f>
        <v>610</v>
      </c>
      <c r="AE310" s="5" t="str">
        <f>VLOOKUP($A310,'SegEnds_NonXtal_Prot#'!$A:$AL,8,FALSE)</f>
        <v>-</v>
      </c>
      <c r="AF310" s="5">
        <f>VLOOKUP($A310,'SegEnds_NonXtal_Prot#'!$A:$AL,11,FALSE)</f>
        <v>644</v>
      </c>
      <c r="AG310" s="5" t="str">
        <f>VLOOKUP($A310,'SegEnds_NonXtal_Prot#'!$A:$AL,14,FALSE)</f>
        <v>-</v>
      </c>
      <c r="AH310" s="5">
        <f>VLOOKUP($A310,'SegEnds_NonXtal_Prot#'!$A:$AL,17,FALSE)</f>
        <v>688</v>
      </c>
      <c r="AI310" s="5" t="str">
        <f>VLOOKUP($A310,'SegEnds_NonXtal_Prot#'!$A:$AL,20,FALSE)</f>
        <v>-</v>
      </c>
      <c r="AJ310" s="5">
        <f>VLOOKUP($A310,'SegEnds_NonXtal_Prot#'!$A:$AL,23,FALSE)</f>
        <v>725</v>
      </c>
      <c r="AK310" s="5">
        <f>VLOOKUP($A310,'SegEnds_NonXtal_Prot#'!$A:$AL,26,FALSE)</f>
        <v>735</v>
      </c>
      <c r="AL310" s="5">
        <f>VLOOKUP($A310,'SegEnds_NonXtal_Prot#'!$A:$AL,29,FALSE)</f>
        <v>773</v>
      </c>
      <c r="AM310" s="5">
        <f>VLOOKUP($A310,'SegEnds_NonXtal_Prot#'!$A:$AL,32,FALSE)</f>
        <v>809</v>
      </c>
      <c r="AN310" s="5">
        <f>VLOOKUP($A310,'SegEnds_NonXtal_Prot#'!$A:$AL,35,FALSE)</f>
        <v>841</v>
      </c>
      <c r="AO310" s="5">
        <f>VLOOKUP($A310,'SegEnds_NonXtal_Prot#'!$A:$AL,38,FALSE)</f>
        <v>858</v>
      </c>
      <c r="AP310" s="5">
        <f t="shared" si="113"/>
        <v>37</v>
      </c>
      <c r="AQ310" s="4" t="str">
        <f t="shared" si="114"/>
        <v>-</v>
      </c>
      <c r="AR310" s="4">
        <f t="shared" si="115"/>
        <v>26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28</v>
      </c>
      <c r="AW310" s="4">
        <f t="shared" si="120"/>
        <v>2</v>
      </c>
      <c r="AX310" s="4">
        <f t="shared" si="121"/>
        <v>33</v>
      </c>
      <c r="AY310" s="4">
        <f t="shared" si="122"/>
        <v>24</v>
      </c>
      <c r="AZ310" s="4">
        <f t="shared" si="123"/>
        <v>25</v>
      </c>
      <c r="BA310" s="4">
        <f t="shared" si="124"/>
        <v>16</v>
      </c>
    </row>
    <row r="311" spans="1:53" x14ac:dyDescent="0.2">
      <c r="A311" s="1" t="str">
        <f>'SegEnds_NonXtal_Prot#'!A302</f>
        <v>agrf2_human</v>
      </c>
      <c r="B311" s="1" t="str">
        <f t="shared" si="100"/>
        <v>ILMSPHILESLILTYITYVGLGISICSLILCLSIEVLVEITYLRHVCIVNIAATLLMADVWFIVAKGCVAATFFVHFFYLSVFFWMLAKALLILYGIMILVASLFSVGYGCPLAIAAITVAATEPGKMTKALLAFVIPALAIVVVNLITVTLVIVKTQRAAKNIAILTPLLGLTWGFGVATVIDDRSLAFHIIFSLLNAFQVSPDASDQVQS</v>
      </c>
      <c r="C311" s="29" t="str">
        <f>IF(ISERROR(MATCH(A311,'SegEnds_Xtal_Prot#'!B:B, 0)), "NoXtal", "Xtal")</f>
        <v>NoXtal</v>
      </c>
      <c r="D311" s="4" t="str">
        <f>VLOOKUP(A311,Classification!A:D,2,FALSE)</f>
        <v>B2</v>
      </c>
      <c r="E311" s="5" t="str">
        <f>VLOOKUP(A311,Seqs!A:B,2,FALSE)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1" s="5" t="str">
        <f t="shared" si="101"/>
        <v>ILMSPHILESLILTYITYVGLGISICSLILCLSIEVLV</v>
      </c>
      <c r="G311" s="4" t="str">
        <f t="shared" si="102"/>
        <v/>
      </c>
      <c r="H311" s="4" t="str">
        <f t="shared" si="103"/>
        <v>EITYLRHVCIVNIAATLLMADVWFIVA</v>
      </c>
      <c r="I311" s="4" t="str">
        <f t="shared" si="104"/>
        <v/>
      </c>
      <c r="J311" s="4" t="str">
        <f t="shared" si="105"/>
        <v>KGCVAATFFVHFFYLSVFFWMLAKALLILYGIMI</v>
      </c>
      <c r="K311" s="4" t="str">
        <f t="shared" si="106"/>
        <v/>
      </c>
      <c r="L311" s="4" t="str">
        <f t="shared" si="107"/>
        <v>LVASLFSVGYGCPLAIAAITVAATEPGK</v>
      </c>
      <c r="M311" s="4" t="str">
        <f t="shared" si="108"/>
        <v>CWL</v>
      </c>
      <c r="N311" s="4" t="str">
        <f t="shared" si="109"/>
        <v>MTKALLAFVIPALAIVVVNLITVTLVIVKTQRAA</v>
      </c>
      <c r="O311" s="4" t="str">
        <f t="shared" si="110"/>
        <v>KNIAILTPLLGLTWGFGVATVIDDR</v>
      </c>
      <c r="P311" s="4" t="str">
        <f t="shared" si="111"/>
        <v>SLAFHIIFSLLNAFQVSPDASDQVQS</v>
      </c>
      <c r="Q311" s="4" t="str">
        <f t="shared" si="112"/>
        <v/>
      </c>
      <c r="R311" s="5">
        <f>VLOOKUP($A311,'SegEnds_NonXtal_Prot#'!$A:$AL,3,FALSE)</f>
        <v>434</v>
      </c>
      <c r="S311" s="5" t="str">
        <f>VLOOKUP($A311,'SegEnds_NonXtal_Prot#'!$A:$AL,6,FALSE)</f>
        <v>-</v>
      </c>
      <c r="T311" s="5">
        <f>VLOOKUP($A311,'SegEnds_NonXtal_Prot#'!$A:$AL,9,FALSE)</f>
        <v>479</v>
      </c>
      <c r="U311" s="5" t="str">
        <f>VLOOKUP($A311,'SegEnds_NonXtal_Prot#'!$A:$AL,12,FALSE)</f>
        <v>-</v>
      </c>
      <c r="V311" s="5">
        <f>VLOOKUP($A311,'SegEnds_NonXtal_Prot#'!$A:$AL,15,FALSE)</f>
        <v>516</v>
      </c>
      <c r="W311" s="5" t="str">
        <f>VLOOKUP($A311,'SegEnds_NonXtal_Prot#'!$A:$AL,18,FALSE)</f>
        <v>-</v>
      </c>
      <c r="X311" s="5">
        <f>VLOOKUP($A311,'SegEnds_NonXtal_Prot#'!$A:$AL,21,FALSE)</f>
        <v>559</v>
      </c>
      <c r="Y311" s="5">
        <f>VLOOKUP($A311,'SegEnds_NonXtal_Prot#'!$A:$AL,24,FALSE)</f>
        <v>594</v>
      </c>
      <c r="Z311" s="5">
        <f>VLOOKUP($A311,'SegEnds_NonXtal_Prot#'!$A:$AL,27,FALSE)</f>
        <v>600</v>
      </c>
      <c r="AA311" s="5">
        <f>VLOOKUP($A311,'SegEnds_NonXtal_Prot#'!$A:$AL,30,FALSE)</f>
        <v>650</v>
      </c>
      <c r="AB311" s="5">
        <f>VLOOKUP($A311,'SegEnds_NonXtal_Prot#'!$A:$AL,33,FALSE)</f>
        <v>675</v>
      </c>
      <c r="AC311" s="5" t="str">
        <f>VLOOKUP($A311,'SegEnds_NonXtal_Prot#'!$A:$AL,36,FALSE)</f>
        <v>-</v>
      </c>
      <c r="AD311" s="5">
        <f>VLOOKUP($A311,'SegEnds_NonXtal_Prot#'!$A:$AL,5,FALSE)</f>
        <v>471</v>
      </c>
      <c r="AE311" s="5" t="str">
        <f>VLOOKUP($A311,'SegEnds_NonXtal_Prot#'!$A:$AL,8,FALSE)</f>
        <v>-</v>
      </c>
      <c r="AF311" s="5">
        <f>VLOOKUP($A311,'SegEnds_NonXtal_Prot#'!$A:$AL,11,FALSE)</f>
        <v>505</v>
      </c>
      <c r="AG311" s="5" t="str">
        <f>VLOOKUP($A311,'SegEnds_NonXtal_Prot#'!$A:$AL,14,FALSE)</f>
        <v>-</v>
      </c>
      <c r="AH311" s="5">
        <f>VLOOKUP($A311,'SegEnds_NonXtal_Prot#'!$A:$AL,17,FALSE)</f>
        <v>549</v>
      </c>
      <c r="AI311" s="5" t="str">
        <f>VLOOKUP($A311,'SegEnds_NonXtal_Prot#'!$A:$AL,20,FALSE)</f>
        <v>-</v>
      </c>
      <c r="AJ311" s="5">
        <f>VLOOKUP($A311,'SegEnds_NonXtal_Prot#'!$A:$AL,23,FALSE)</f>
        <v>586</v>
      </c>
      <c r="AK311" s="5">
        <f>VLOOKUP($A311,'SegEnds_NonXtal_Prot#'!$A:$AL,26,FALSE)</f>
        <v>596</v>
      </c>
      <c r="AL311" s="5">
        <f>VLOOKUP($A311,'SegEnds_NonXtal_Prot#'!$A:$AL,29,FALSE)</f>
        <v>633</v>
      </c>
      <c r="AM311" s="5">
        <f>VLOOKUP($A311,'SegEnds_NonXtal_Prot#'!$A:$AL,32,FALSE)</f>
        <v>674</v>
      </c>
      <c r="AN311" s="5">
        <f>VLOOKUP($A311,'SegEnds_NonXtal_Prot#'!$A:$AL,35,FALSE)</f>
        <v>700</v>
      </c>
      <c r="AO311" s="5" t="str">
        <f>VLOOKUP($A311,'SegEnds_NonXtal_Prot#'!$A:$AL,38,FALSE)</f>
        <v>-</v>
      </c>
      <c r="AP311" s="5">
        <f t="shared" si="113"/>
        <v>37</v>
      </c>
      <c r="AQ311" s="4" t="str">
        <f t="shared" si="114"/>
        <v>-</v>
      </c>
      <c r="AR311" s="4">
        <f t="shared" si="115"/>
        <v>26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27</v>
      </c>
      <c r="AW311" s="4">
        <f t="shared" si="120"/>
        <v>2</v>
      </c>
      <c r="AX311" s="4">
        <f t="shared" si="121"/>
        <v>33</v>
      </c>
      <c r="AY311" s="4">
        <f t="shared" si="122"/>
        <v>24</v>
      </c>
      <c r="AZ311" s="4">
        <f t="shared" si="123"/>
        <v>25</v>
      </c>
      <c r="BA311" s="4" t="str">
        <f t="shared" si="124"/>
        <v>-</v>
      </c>
    </row>
    <row r="312" spans="1:53" x14ac:dyDescent="0.2">
      <c r="A312" s="1" t="str">
        <f>'SegEnds_NonXtal_Prot#'!A303</f>
        <v>agrf3_human</v>
      </c>
      <c r="B312" s="1" t="str">
        <f t="shared" si="100"/>
        <v>LMSPHTVPEEPALALLTQVGLGASILALLVCLGVYWLVKISYFRHAALLNMVFCLLAADTCFLGAPLCLAAAFLCHFLYLATFFWMLAQALVLAHQLLFRVLPLMVLLGYLCPLGLAGVTLGLYLPQGKGGALYTFVGPVLAIIGVNGLVLAMAMLKLLRPSALLGVIKALLILTPIFGLTWGLGLASTVPHYIFTILNTLQGVFILLFGCLMDRKIQEALRKRFCRAQA</v>
      </c>
      <c r="C312" s="29" t="str">
        <f>IF(ISERROR(MATCH(A312,'SegEnds_Xtal_Prot#'!B:B, 0)), "NoXtal", "Xtal")</f>
        <v>NoXtal</v>
      </c>
      <c r="D312" s="4" t="str">
        <f>VLOOKUP(A312,Classification!A:D,2,FALSE)</f>
        <v>B2</v>
      </c>
      <c r="E312" s="5" t="str">
        <f>VLOOKUP(A312,Seqs!A:B,2,FALSE)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12" s="5" t="str">
        <f t="shared" si="101"/>
        <v>LMSPHTVPEEPALALLTQVGLGASILALLVCLGVYWLV</v>
      </c>
      <c r="G312" s="4" t="str">
        <f t="shared" si="102"/>
        <v/>
      </c>
      <c r="H312" s="4" t="str">
        <f t="shared" si="103"/>
        <v>KISYFRHAALLNMVFCLLAADTCFLGA</v>
      </c>
      <c r="I312" s="4" t="str">
        <f t="shared" si="104"/>
        <v/>
      </c>
      <c r="J312" s="4" t="str">
        <f t="shared" si="105"/>
        <v>PLCLAAAFLCHFLYLATFFWMLAQALVLAHQLLF</v>
      </c>
      <c r="K312" s="4" t="str">
        <f t="shared" si="106"/>
        <v/>
      </c>
      <c r="L312" s="4" t="str">
        <f t="shared" si="107"/>
        <v>RVLPLMVLLGYLCPLGLAGVTLGLYLPQG</v>
      </c>
      <c r="M312" s="4" t="str">
        <f t="shared" si="108"/>
        <v>CWL</v>
      </c>
      <c r="N312" s="4" t="str">
        <f t="shared" si="109"/>
        <v>KGGALYTFVGPVLAIIGVNGLVLAMAMLKLLRPS</v>
      </c>
      <c r="O312" s="4" t="str">
        <f t="shared" si="110"/>
        <v>ALLGVIKALLILTPIFGLTWGLGLA</v>
      </c>
      <c r="P312" s="4" t="str">
        <f t="shared" si="111"/>
        <v>STVPHYIFTILNTLQGVFILLFGCLM</v>
      </c>
      <c r="Q312" s="4" t="str">
        <f t="shared" si="112"/>
        <v>DRKIQEALRKRFCRAQA</v>
      </c>
      <c r="R312" s="5">
        <f>VLOOKUP($A312,'SegEnds_NonXtal_Prot#'!$A:$AL,3,FALSE)</f>
        <v>758</v>
      </c>
      <c r="S312" s="5" t="str">
        <f>VLOOKUP($A312,'SegEnds_NonXtal_Prot#'!$A:$AL,6,FALSE)</f>
        <v>-</v>
      </c>
      <c r="T312" s="5">
        <f>VLOOKUP($A312,'SegEnds_NonXtal_Prot#'!$A:$AL,9,FALSE)</f>
        <v>803</v>
      </c>
      <c r="U312" s="5" t="str">
        <f>VLOOKUP($A312,'SegEnds_NonXtal_Prot#'!$A:$AL,12,FALSE)</f>
        <v>-</v>
      </c>
      <c r="V312" s="5">
        <f>VLOOKUP($A312,'SegEnds_NonXtal_Prot#'!$A:$AL,15,FALSE)</f>
        <v>839</v>
      </c>
      <c r="W312" s="5" t="str">
        <f>VLOOKUP($A312,'SegEnds_NonXtal_Prot#'!$A:$AL,18,FALSE)</f>
        <v>-</v>
      </c>
      <c r="X312" s="5">
        <f>VLOOKUP($A312,'SegEnds_NonXtal_Prot#'!$A:$AL,21,FALSE)</f>
        <v>881</v>
      </c>
      <c r="Y312" s="5">
        <f>VLOOKUP($A312,'SegEnds_NonXtal_Prot#'!$A:$AL,24,FALSE)</f>
        <v>917</v>
      </c>
      <c r="Z312" s="5">
        <f>VLOOKUP($A312,'SegEnds_NonXtal_Prot#'!$A:$AL,27,FALSE)</f>
        <v>922</v>
      </c>
      <c r="AA312" s="5">
        <f>VLOOKUP($A312,'SegEnds_NonXtal_Prot#'!$A:$AL,30,FALSE)</f>
        <v>967</v>
      </c>
      <c r="AB312" s="5">
        <f>VLOOKUP($A312,'SegEnds_NonXtal_Prot#'!$A:$AL,33,FALSE)</f>
        <v>998</v>
      </c>
      <c r="AC312" s="5">
        <f>VLOOKUP($A312,'SegEnds_NonXtal_Prot#'!$A:$AL,36,FALSE)</f>
        <v>1024</v>
      </c>
      <c r="AD312" s="5">
        <f>VLOOKUP($A312,'SegEnds_NonXtal_Prot#'!$A:$AL,5,FALSE)</f>
        <v>795</v>
      </c>
      <c r="AE312" s="5" t="str">
        <f>VLOOKUP($A312,'SegEnds_NonXtal_Prot#'!$A:$AL,8,FALSE)</f>
        <v>-</v>
      </c>
      <c r="AF312" s="5">
        <f>VLOOKUP($A312,'SegEnds_NonXtal_Prot#'!$A:$AL,11,FALSE)</f>
        <v>829</v>
      </c>
      <c r="AG312" s="5" t="str">
        <f>VLOOKUP($A312,'SegEnds_NonXtal_Prot#'!$A:$AL,14,FALSE)</f>
        <v>-</v>
      </c>
      <c r="AH312" s="5">
        <f>VLOOKUP($A312,'SegEnds_NonXtal_Prot#'!$A:$AL,17,FALSE)</f>
        <v>872</v>
      </c>
      <c r="AI312" s="5" t="str">
        <f>VLOOKUP($A312,'SegEnds_NonXtal_Prot#'!$A:$AL,20,FALSE)</f>
        <v>-</v>
      </c>
      <c r="AJ312" s="5">
        <f>VLOOKUP($A312,'SegEnds_NonXtal_Prot#'!$A:$AL,23,FALSE)</f>
        <v>909</v>
      </c>
      <c r="AK312" s="5">
        <f>VLOOKUP($A312,'SegEnds_NonXtal_Prot#'!$A:$AL,26,FALSE)</f>
        <v>919</v>
      </c>
      <c r="AL312" s="5">
        <f>VLOOKUP($A312,'SegEnds_NonXtal_Prot#'!$A:$AL,29,FALSE)</f>
        <v>955</v>
      </c>
      <c r="AM312" s="5">
        <f>VLOOKUP($A312,'SegEnds_NonXtal_Prot#'!$A:$AL,32,FALSE)</f>
        <v>991</v>
      </c>
      <c r="AN312" s="5">
        <f>VLOOKUP($A312,'SegEnds_NonXtal_Prot#'!$A:$AL,35,FALSE)</f>
        <v>1023</v>
      </c>
      <c r="AO312" s="5">
        <f>VLOOKUP($A312,'SegEnds_NonXtal_Prot#'!$A:$AL,38,FALSE)</f>
        <v>1040</v>
      </c>
      <c r="AP312" s="5">
        <f t="shared" si="113"/>
        <v>37</v>
      </c>
      <c r="AQ312" s="4" t="str">
        <f t="shared" si="114"/>
        <v>-</v>
      </c>
      <c r="AR312" s="4">
        <f t="shared" si="115"/>
        <v>26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28</v>
      </c>
      <c r="AW312" s="4">
        <f t="shared" si="120"/>
        <v>2</v>
      </c>
      <c r="AX312" s="4">
        <f t="shared" si="121"/>
        <v>33</v>
      </c>
      <c r="AY312" s="4">
        <f t="shared" si="122"/>
        <v>24</v>
      </c>
      <c r="AZ312" s="4">
        <f t="shared" si="123"/>
        <v>25</v>
      </c>
      <c r="BA312" s="4">
        <f t="shared" si="124"/>
        <v>16</v>
      </c>
    </row>
    <row r="313" spans="1:53" x14ac:dyDescent="0.2">
      <c r="A313" s="1" t="str">
        <f>'SegEnds_NonXtal_Prot#'!A304</f>
        <v>agrf4_human</v>
      </c>
      <c r="B313" s="1" t="str">
        <f t="shared" si="100"/>
        <v>ILMSSKSMTDKVLDYITCIGLSVSILSLVLCLIIEATVEISYMRHVCIVNIAVSLLTANVWFIIGNMCVAVTFFSHFFYLSLFFWMLFKALLIIYGILVRMMVIGFAIGYGCPLIIAVTTVAITEPEKNTKALLAFAIPAFVIVAVNLIVVLVVAVNTQRPSIIMRISKNVAILTPLLGLTWGFGIASLTFHIIFALLNAFQGFFILLFGTIMDHKIRDALRMRMSSLKG</v>
      </c>
      <c r="C313" s="29" t="str">
        <f>IF(ISERROR(MATCH(A313,'SegEnds_Xtal_Prot#'!B:B, 0)), "NoXtal", "Xtal")</f>
        <v>NoXtal</v>
      </c>
      <c r="D313" s="4" t="str">
        <f>VLOOKUP(A313,Classification!A:D,2,FALSE)</f>
        <v>B2</v>
      </c>
      <c r="E313" s="5" t="str">
        <f>VLOOKUP(A313,Seqs!A:B,2,FALSE)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13" s="5" t="str">
        <f t="shared" si="101"/>
        <v>ILMSSKSMTDKVLDYITCIGLSVSILSLVLCLIIEATV</v>
      </c>
      <c r="G313" s="4" t="str">
        <f t="shared" si="102"/>
        <v/>
      </c>
      <c r="H313" s="4" t="str">
        <f t="shared" si="103"/>
        <v>EISYMRHVCIVNIAVSLLTANVWFIIG</v>
      </c>
      <c r="I313" s="4" t="str">
        <f t="shared" si="104"/>
        <v/>
      </c>
      <c r="J313" s="4" t="str">
        <f t="shared" si="105"/>
        <v>NMCVAVTFFSHFFYLSLFFWMLFKALLIIYGILV</v>
      </c>
      <c r="K313" s="4" t="str">
        <f t="shared" si="106"/>
        <v/>
      </c>
      <c r="L313" s="4" t="str">
        <f t="shared" si="107"/>
        <v>RMMVIGFAIGYGCPLIIAVTTVAITEPEK</v>
      </c>
      <c r="M313" s="4" t="str">
        <f t="shared" si="108"/>
        <v>CWL</v>
      </c>
      <c r="N313" s="4" t="str">
        <f t="shared" si="109"/>
        <v>NTKALLAFAIPAFVIVAVNLIVVLVVAVNTQRPS</v>
      </c>
      <c r="O313" s="4" t="str">
        <f t="shared" si="110"/>
        <v>IIMRISKNVAILTPLLGLTWGFGIA</v>
      </c>
      <c r="P313" s="4" t="str">
        <f t="shared" si="111"/>
        <v>SLTFHIIFALLNAFQGFFILLFGTIM</v>
      </c>
      <c r="Q313" s="4" t="str">
        <f t="shared" si="112"/>
        <v>DHKIRDALRMRMSSLKG</v>
      </c>
      <c r="R313" s="5">
        <f>VLOOKUP($A313,'SegEnds_NonXtal_Prot#'!$A:$AL,3,FALSE)</f>
        <v>389</v>
      </c>
      <c r="S313" s="5" t="str">
        <f>VLOOKUP($A313,'SegEnds_NonXtal_Prot#'!$A:$AL,6,FALSE)</f>
        <v>-</v>
      </c>
      <c r="T313" s="5">
        <f>VLOOKUP($A313,'SegEnds_NonXtal_Prot#'!$A:$AL,9,FALSE)</f>
        <v>434</v>
      </c>
      <c r="U313" s="5" t="str">
        <f>VLOOKUP($A313,'SegEnds_NonXtal_Prot#'!$A:$AL,12,FALSE)</f>
        <v>-</v>
      </c>
      <c r="V313" s="5">
        <f>VLOOKUP($A313,'SegEnds_NonXtal_Prot#'!$A:$AL,15,FALSE)</f>
        <v>471</v>
      </c>
      <c r="W313" s="5" t="str">
        <f>VLOOKUP($A313,'SegEnds_NonXtal_Prot#'!$A:$AL,18,FALSE)</f>
        <v>-</v>
      </c>
      <c r="X313" s="5">
        <f>VLOOKUP($A313,'SegEnds_NonXtal_Prot#'!$A:$AL,21,FALSE)</f>
        <v>513</v>
      </c>
      <c r="Y313" s="5">
        <f>VLOOKUP($A313,'SegEnds_NonXtal_Prot#'!$A:$AL,24,FALSE)</f>
        <v>549</v>
      </c>
      <c r="Z313" s="5">
        <f>VLOOKUP($A313,'SegEnds_NonXtal_Prot#'!$A:$AL,27,FALSE)</f>
        <v>555</v>
      </c>
      <c r="AA313" s="5">
        <f>VLOOKUP($A313,'SegEnds_NonXtal_Prot#'!$A:$AL,30,FALSE)</f>
        <v>599</v>
      </c>
      <c r="AB313" s="5">
        <f>VLOOKUP($A313,'SegEnds_NonXtal_Prot#'!$A:$AL,33,FALSE)</f>
        <v>630</v>
      </c>
      <c r="AC313" s="5">
        <f>VLOOKUP($A313,'SegEnds_NonXtal_Prot#'!$A:$AL,36,FALSE)</f>
        <v>656</v>
      </c>
      <c r="AD313" s="5">
        <f>VLOOKUP($A313,'SegEnds_NonXtal_Prot#'!$A:$AL,5,FALSE)</f>
        <v>426</v>
      </c>
      <c r="AE313" s="5" t="str">
        <f>VLOOKUP($A313,'SegEnds_NonXtal_Prot#'!$A:$AL,8,FALSE)</f>
        <v>-</v>
      </c>
      <c r="AF313" s="5">
        <f>VLOOKUP($A313,'SegEnds_NonXtal_Prot#'!$A:$AL,11,FALSE)</f>
        <v>460</v>
      </c>
      <c r="AG313" s="5" t="str">
        <f>VLOOKUP($A313,'SegEnds_NonXtal_Prot#'!$A:$AL,14,FALSE)</f>
        <v>-</v>
      </c>
      <c r="AH313" s="5">
        <f>VLOOKUP($A313,'SegEnds_NonXtal_Prot#'!$A:$AL,17,FALSE)</f>
        <v>504</v>
      </c>
      <c r="AI313" s="5" t="str">
        <f>VLOOKUP($A313,'SegEnds_NonXtal_Prot#'!$A:$AL,20,FALSE)</f>
        <v>-</v>
      </c>
      <c r="AJ313" s="5">
        <f>VLOOKUP($A313,'SegEnds_NonXtal_Prot#'!$A:$AL,23,FALSE)</f>
        <v>541</v>
      </c>
      <c r="AK313" s="5">
        <f>VLOOKUP($A313,'SegEnds_NonXtal_Prot#'!$A:$AL,26,FALSE)</f>
        <v>551</v>
      </c>
      <c r="AL313" s="5">
        <f>VLOOKUP($A313,'SegEnds_NonXtal_Prot#'!$A:$AL,29,FALSE)</f>
        <v>588</v>
      </c>
      <c r="AM313" s="5">
        <f>VLOOKUP($A313,'SegEnds_NonXtal_Prot#'!$A:$AL,32,FALSE)</f>
        <v>623</v>
      </c>
      <c r="AN313" s="5">
        <f>VLOOKUP($A313,'SegEnds_NonXtal_Prot#'!$A:$AL,35,FALSE)</f>
        <v>655</v>
      </c>
      <c r="AO313" s="5">
        <f>VLOOKUP($A313,'SegEnds_NonXtal_Prot#'!$A:$AL,38,FALSE)</f>
        <v>672</v>
      </c>
      <c r="AP313" s="5">
        <f t="shared" si="113"/>
        <v>37</v>
      </c>
      <c r="AQ313" s="4" t="str">
        <f t="shared" si="114"/>
        <v>-</v>
      </c>
      <c r="AR313" s="4">
        <f t="shared" si="115"/>
        <v>26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33</v>
      </c>
      <c r="AY313" s="4">
        <f t="shared" si="122"/>
        <v>24</v>
      </c>
      <c r="AZ313" s="4">
        <f t="shared" si="123"/>
        <v>25</v>
      </c>
      <c r="BA313" s="4">
        <f t="shared" si="124"/>
        <v>16</v>
      </c>
    </row>
    <row r="314" spans="1:53" x14ac:dyDescent="0.2">
      <c r="A314" s="1" t="str">
        <f>'SegEnds_NonXtal_Prot#'!A305</f>
        <v>agrf5_human</v>
      </c>
      <c r="B314" s="1" t="str">
        <f t="shared" si="100"/>
        <v>DSPDPSSLLGILLDIISYVGVGFSILSLAACLVVEAVVKNRTSYMRHTCIVNIAASLLVANTWFIVVTACVAATFFIHFFYLSVFFWMLTLGLMLFYRLVFTQKAIAFCLGYGCPLAISVITLGATQPREDTKALLAFAIPALIIVVVNITITIVVITKILRPSSLFQISKSIGVLTPLLGLTWGFGLTNLVFHIIFAILNVFQGLFILLFGCLWDLKVQEALLNKFSLSRW</v>
      </c>
      <c r="C314" s="29" t="str">
        <f>IF(ISERROR(MATCH(A314,'SegEnds_Xtal_Prot#'!B:B, 0)), "NoXtal", "Xtal")</f>
        <v>NoXtal</v>
      </c>
      <c r="D314" s="4" t="str">
        <f>VLOOKUP(A314,Classification!A:D,2,FALSE)</f>
        <v>B2</v>
      </c>
      <c r="E314" s="5" t="str">
        <f>VLOOKUP(A314,Seqs!A:B,2,FALSE)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14" s="5" t="str">
        <f t="shared" si="101"/>
        <v>DSPDPSSLLGILLDIISYVGVGFSILSLAACLVVEAVV</v>
      </c>
      <c r="G314" s="4" t="str">
        <f t="shared" si="102"/>
        <v>KSVT</v>
      </c>
      <c r="H314" s="4" t="str">
        <f t="shared" si="103"/>
        <v>KNRTSYMRHTCIVNIAASLLVANTWFIVV</v>
      </c>
      <c r="I314" s="4" t="str">
        <f t="shared" si="104"/>
        <v/>
      </c>
      <c r="J314" s="4" t="str">
        <f t="shared" si="105"/>
        <v>TACVAATFFIHFFYLSVFFWMLTLGLMLFYRLVF</v>
      </c>
      <c r="K314" s="4" t="str">
        <f t="shared" si="106"/>
        <v/>
      </c>
      <c r="L314" s="4" t="str">
        <f t="shared" si="107"/>
        <v>TQKAIAFCLGYGCPLAISVITLGATQPRE</v>
      </c>
      <c r="M314" s="4" t="str">
        <f t="shared" si="108"/>
        <v>CWL</v>
      </c>
      <c r="N314" s="4" t="str">
        <f t="shared" si="109"/>
        <v>DTKALLAFAIPALIIVVVNITITIVVITKILRPS</v>
      </c>
      <c r="O314" s="4" t="str">
        <f t="shared" si="110"/>
        <v>SLFQISKSIGVLTPLLGLTWGFGLT</v>
      </c>
      <c r="P314" s="4" t="str">
        <f t="shared" si="111"/>
        <v>NLVFHIIFAILNVFQGLFILLFGCLW</v>
      </c>
      <c r="Q314" s="4" t="str">
        <f t="shared" si="112"/>
        <v>DLKVQEALLNKFSLSRW</v>
      </c>
      <c r="R314" s="5">
        <f>VLOOKUP($A314,'SegEnds_NonXtal_Prot#'!$A:$AL,3,FALSE)</f>
        <v>1000</v>
      </c>
      <c r="S314" s="5">
        <f>VLOOKUP($A314,'SegEnds_NonXtal_Prot#'!$A:$AL,6,FALSE)</f>
        <v>1039</v>
      </c>
      <c r="T314" s="5">
        <f>VLOOKUP($A314,'SegEnds_NonXtal_Prot#'!$A:$AL,9,FALSE)</f>
        <v>1043</v>
      </c>
      <c r="U314" s="5" t="str">
        <f>VLOOKUP($A314,'SegEnds_NonXtal_Prot#'!$A:$AL,12,FALSE)</f>
        <v>-</v>
      </c>
      <c r="V314" s="5">
        <f>VLOOKUP($A314,'SegEnds_NonXtal_Prot#'!$A:$AL,15,FALSE)</f>
        <v>1084</v>
      </c>
      <c r="W314" s="5" t="str">
        <f>VLOOKUP($A314,'SegEnds_NonXtal_Prot#'!$A:$AL,18,FALSE)</f>
        <v>-</v>
      </c>
      <c r="X314" s="5">
        <f>VLOOKUP($A314,'SegEnds_NonXtal_Prot#'!$A:$AL,21,FALSE)</f>
        <v>1126</v>
      </c>
      <c r="Y314" s="5">
        <f>VLOOKUP($A314,'SegEnds_NonXtal_Prot#'!$A:$AL,24,FALSE)</f>
        <v>1162</v>
      </c>
      <c r="Z314" s="5">
        <f>VLOOKUP($A314,'SegEnds_NonXtal_Prot#'!$A:$AL,27,FALSE)</f>
        <v>1168</v>
      </c>
      <c r="AA314" s="5">
        <f>VLOOKUP($A314,'SegEnds_NonXtal_Prot#'!$A:$AL,30,FALSE)</f>
        <v>1213</v>
      </c>
      <c r="AB314" s="5">
        <f>VLOOKUP($A314,'SegEnds_NonXtal_Prot#'!$A:$AL,33,FALSE)</f>
        <v>1244</v>
      </c>
      <c r="AC314" s="5">
        <f>VLOOKUP($A314,'SegEnds_NonXtal_Prot#'!$A:$AL,36,FALSE)</f>
        <v>1270</v>
      </c>
      <c r="AD314" s="5">
        <f>VLOOKUP($A314,'SegEnds_NonXtal_Prot#'!$A:$AL,5,FALSE)</f>
        <v>1037</v>
      </c>
      <c r="AE314" s="5">
        <f>VLOOKUP($A314,'SegEnds_NonXtal_Prot#'!$A:$AL,8,FALSE)</f>
        <v>1042</v>
      </c>
      <c r="AF314" s="5">
        <f>VLOOKUP($A314,'SegEnds_NonXtal_Prot#'!$A:$AL,11,FALSE)</f>
        <v>1071</v>
      </c>
      <c r="AG314" s="5" t="str">
        <f>VLOOKUP($A314,'SegEnds_NonXtal_Prot#'!$A:$AL,14,FALSE)</f>
        <v>-</v>
      </c>
      <c r="AH314" s="5">
        <f>VLOOKUP($A314,'SegEnds_NonXtal_Prot#'!$A:$AL,17,FALSE)</f>
        <v>1117</v>
      </c>
      <c r="AI314" s="5" t="str">
        <f>VLOOKUP($A314,'SegEnds_NonXtal_Prot#'!$A:$AL,20,FALSE)</f>
        <v>-</v>
      </c>
      <c r="AJ314" s="5">
        <f>VLOOKUP($A314,'SegEnds_NonXtal_Prot#'!$A:$AL,23,FALSE)</f>
        <v>1154</v>
      </c>
      <c r="AK314" s="5">
        <f>VLOOKUP($A314,'SegEnds_NonXtal_Prot#'!$A:$AL,26,FALSE)</f>
        <v>1164</v>
      </c>
      <c r="AL314" s="5">
        <f>VLOOKUP($A314,'SegEnds_NonXtal_Prot#'!$A:$AL,29,FALSE)</f>
        <v>1201</v>
      </c>
      <c r="AM314" s="5">
        <f>VLOOKUP($A314,'SegEnds_NonXtal_Prot#'!$A:$AL,32,FALSE)</f>
        <v>1237</v>
      </c>
      <c r="AN314" s="5">
        <f>VLOOKUP($A314,'SegEnds_NonXtal_Prot#'!$A:$AL,35,FALSE)</f>
        <v>1269</v>
      </c>
      <c r="AO314" s="5">
        <f>VLOOKUP($A314,'SegEnds_NonXtal_Prot#'!$A:$AL,38,FALSE)</f>
        <v>1286</v>
      </c>
      <c r="AP314" s="5">
        <f t="shared" si="113"/>
        <v>37</v>
      </c>
      <c r="AQ314" s="4">
        <f t="shared" si="114"/>
        <v>3</v>
      </c>
      <c r="AR314" s="4">
        <f t="shared" si="115"/>
        <v>28</v>
      </c>
      <c r="AS314" s="4" t="str">
        <f t="shared" si="116"/>
        <v>-</v>
      </c>
      <c r="AT314" s="4">
        <f t="shared" si="117"/>
        <v>33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33</v>
      </c>
      <c r="AY314" s="4">
        <f t="shared" si="122"/>
        <v>24</v>
      </c>
      <c r="AZ314" s="4">
        <f t="shared" si="123"/>
        <v>25</v>
      </c>
      <c r="BA314" s="4">
        <f t="shared" si="124"/>
        <v>16</v>
      </c>
    </row>
    <row r="315" spans="1:53" x14ac:dyDescent="0.2">
      <c r="A315" s="1" t="str">
        <f>'SegEnds_NonXtal_Prot#'!A306</f>
        <v>agrg1_human</v>
      </c>
      <c r="B315" s="1" t="str">
        <f t="shared" si="100"/>
        <v>SSVEVDAVHKHYLSLLSYVGCVVSALACLVTIAAYLCSCRRKPRDYTIKVHMNLLLAVFLLDTSFLLSEPVAGCRASAIFLHFSLLTCLSWMGLEGYNLYRLVVEGYLLKLSAMGWGFPIFLVTLVALVDVDNYSLVSYITNLGLFSLVFLFNMAMLATMVVQILRLRQKWSHVLTLLGLSLVLGLPWALIFFFQLVVLYLFSIITSFQGFLIFIWYWSMRLQARGGPSPLKSNSDS</v>
      </c>
      <c r="C315" s="29" t="str">
        <f>IF(ISERROR(MATCH(A315,'SegEnds_Xtal_Prot#'!B:B, 0)), "NoXtal", "Xtal")</f>
        <v>NoXtal</v>
      </c>
      <c r="D315" s="4" t="str">
        <f>VLOOKUP(A315,Classification!A:D,2,FALSE)</f>
        <v>B2</v>
      </c>
      <c r="E315" s="5" t="str">
        <f>VLOOKUP(A315,Seqs!A:B,2,FALSE)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15" s="5" t="str">
        <f t="shared" si="101"/>
        <v>SSVEVDAVHKHYLSLLSYVGCVVSALACLVTIAAYLCS</v>
      </c>
      <c r="G315" s="4" t="str">
        <f t="shared" si="102"/>
        <v>VPLP</v>
      </c>
      <c r="H315" s="4" t="str">
        <f t="shared" si="103"/>
        <v>CRRKPRDYTIKVHMNLLLAVFLLDTSFLLSEPV</v>
      </c>
      <c r="I315" s="4" t="str">
        <f t="shared" si="104"/>
        <v/>
      </c>
      <c r="J315" s="4" t="str">
        <f t="shared" si="105"/>
        <v>AGCRASAIFLHFSLLTCLSWMGLEGYNLYRLVVE</v>
      </c>
      <c r="K315" s="4" t="str">
        <f t="shared" si="106"/>
        <v/>
      </c>
      <c r="L315" s="4" t="str">
        <f t="shared" si="107"/>
        <v>GYLLKLSAMGWGFPIFLVTLVALVDVDNY</v>
      </c>
      <c r="M315" s="4" t="str">
        <f t="shared" si="108"/>
        <v>CWI</v>
      </c>
      <c r="N315" s="4" t="str">
        <f t="shared" si="109"/>
        <v>SLVSYITNLGLFSLVFLFNMAMLATMVVQILRLR</v>
      </c>
      <c r="O315" s="4" t="str">
        <f t="shared" si="110"/>
        <v>QKWSHVLTLLGLSLVLGLPWALIFF</v>
      </c>
      <c r="P315" s="4" t="str">
        <f t="shared" si="111"/>
        <v>FQLVVLYLFSIITSFQGFLIFIWYWSM</v>
      </c>
      <c r="Q315" s="4" t="str">
        <f t="shared" si="112"/>
        <v>RLQARGGPSPLKSNSDS</v>
      </c>
      <c r="R315" s="5">
        <f>VLOOKUP($A315,'SegEnds_NonXtal_Prot#'!$A:$AL,3,FALSE)</f>
        <v>391</v>
      </c>
      <c r="S315" s="5">
        <f>VLOOKUP($A315,'SegEnds_NonXtal_Prot#'!$A:$AL,6,FALSE)</f>
        <v>430</v>
      </c>
      <c r="T315" s="5">
        <f>VLOOKUP($A315,'SegEnds_NonXtal_Prot#'!$A:$AL,9,FALSE)</f>
        <v>434</v>
      </c>
      <c r="U315" s="5" t="str">
        <f>VLOOKUP($A315,'SegEnds_NonXtal_Prot#'!$A:$AL,12,FALSE)</f>
        <v>-</v>
      </c>
      <c r="V315" s="5">
        <f>VLOOKUP($A315,'SegEnds_NonXtal_Prot#'!$A:$AL,15,FALSE)</f>
        <v>473</v>
      </c>
      <c r="W315" s="5" t="str">
        <f>VLOOKUP($A315,'SegEnds_NonXtal_Prot#'!$A:$AL,18,FALSE)</f>
        <v>-</v>
      </c>
      <c r="X315" s="5">
        <f>VLOOKUP($A315,'SegEnds_NonXtal_Prot#'!$A:$AL,21,FALSE)</f>
        <v>514</v>
      </c>
      <c r="Y315" s="5">
        <f>VLOOKUP($A315,'SegEnds_NonXtal_Prot#'!$A:$AL,24,FALSE)</f>
        <v>562</v>
      </c>
      <c r="Z315" s="5">
        <f>VLOOKUP($A315,'SegEnds_NonXtal_Prot#'!$A:$AL,27,FALSE)</f>
        <v>567</v>
      </c>
      <c r="AA315" s="5">
        <f>VLOOKUP($A315,'SegEnds_NonXtal_Prot#'!$A:$AL,30,FALSE)</f>
        <v>604</v>
      </c>
      <c r="AB315" s="5">
        <f>VLOOKUP($A315,'SegEnds_NonXtal_Prot#'!$A:$AL,33,FALSE)</f>
        <v>635</v>
      </c>
      <c r="AC315" s="5">
        <f>VLOOKUP($A315,'SegEnds_NonXtal_Prot#'!$A:$AL,36,FALSE)</f>
        <v>662</v>
      </c>
      <c r="AD315" s="5">
        <f>VLOOKUP($A315,'SegEnds_NonXtal_Prot#'!$A:$AL,5,FALSE)</f>
        <v>428</v>
      </c>
      <c r="AE315" s="5">
        <f>VLOOKUP($A315,'SegEnds_NonXtal_Prot#'!$A:$AL,8,FALSE)</f>
        <v>433</v>
      </c>
      <c r="AF315" s="5">
        <f>VLOOKUP($A315,'SegEnds_NonXtal_Prot#'!$A:$AL,11,FALSE)</f>
        <v>466</v>
      </c>
      <c r="AG315" s="5" t="str">
        <f>VLOOKUP($A315,'SegEnds_NonXtal_Prot#'!$A:$AL,14,FALSE)</f>
        <v>-</v>
      </c>
      <c r="AH315" s="5">
        <f>VLOOKUP($A315,'SegEnds_NonXtal_Prot#'!$A:$AL,17,FALSE)</f>
        <v>506</v>
      </c>
      <c r="AI315" s="5" t="str">
        <f>VLOOKUP($A315,'SegEnds_NonXtal_Prot#'!$A:$AL,20,FALSE)</f>
        <v>-</v>
      </c>
      <c r="AJ315" s="5">
        <f>VLOOKUP($A315,'SegEnds_NonXtal_Prot#'!$A:$AL,23,FALSE)</f>
        <v>542</v>
      </c>
      <c r="AK315" s="5">
        <f>VLOOKUP($A315,'SegEnds_NonXtal_Prot#'!$A:$AL,26,FALSE)</f>
        <v>564</v>
      </c>
      <c r="AL315" s="5">
        <f>VLOOKUP($A315,'SegEnds_NonXtal_Prot#'!$A:$AL,29,FALSE)</f>
        <v>600</v>
      </c>
      <c r="AM315" s="5">
        <f>VLOOKUP($A315,'SegEnds_NonXtal_Prot#'!$A:$AL,32,FALSE)</f>
        <v>628</v>
      </c>
      <c r="AN315" s="5">
        <f>VLOOKUP($A315,'SegEnds_NonXtal_Prot#'!$A:$AL,35,FALSE)</f>
        <v>661</v>
      </c>
      <c r="AO315" s="5">
        <f>VLOOKUP($A315,'SegEnds_NonXtal_Prot#'!$A:$AL,38,FALSE)</f>
        <v>678</v>
      </c>
      <c r="AP315" s="5">
        <f t="shared" si="113"/>
        <v>37</v>
      </c>
      <c r="AQ315" s="4">
        <f t="shared" si="114"/>
        <v>3</v>
      </c>
      <c r="AR315" s="4">
        <f t="shared" si="115"/>
        <v>32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28</v>
      </c>
      <c r="AW315" s="4">
        <f t="shared" si="120"/>
        <v>2</v>
      </c>
      <c r="AX315" s="4">
        <f t="shared" si="121"/>
        <v>33</v>
      </c>
      <c r="AY315" s="4">
        <f t="shared" si="122"/>
        <v>24</v>
      </c>
      <c r="AZ315" s="4">
        <f t="shared" si="123"/>
        <v>26</v>
      </c>
      <c r="BA315" s="4">
        <f t="shared" si="124"/>
        <v>16</v>
      </c>
    </row>
    <row r="316" spans="1:53" x14ac:dyDescent="0.2">
      <c r="A316" s="1" t="str">
        <f>'SegEnds_NonXtal_Prot#'!A307</f>
        <v>agrg2_human</v>
      </c>
      <c r="B316" s="1" t="str">
        <f t="shared" si="100"/>
        <v>SRTSVLPAQMMALTFITYIGCGLSSIFLSVTLVTYIAFDYPSKILIQLCAALLLLNLVFLLDSWIGLCISVAVFLHYFLLVSFTWMGLEAFHMYLALVKKYILKFCIVGWGVPAVVVTIILTISPDNYNAVFYITVVGYFCVIFLLNVSMFIVVLVQLCRIKTSIQDLRSIAGLTFLLGITWGFAFFNVTFMYLFAIFNTLQGFFIFIFYCVAKENVRKQWRRYLCCGKL</v>
      </c>
      <c r="C316" s="29" t="str">
        <f>IF(ISERROR(MATCH(A316,'SegEnds_Xtal_Prot#'!B:B, 0)), "NoXtal", "Xtal")</f>
        <v>NoXtal</v>
      </c>
      <c r="D316" s="4" t="str">
        <f>VLOOKUP(A316,Classification!A:D,2,FALSE)</f>
        <v>B2</v>
      </c>
      <c r="E316" s="5" t="str">
        <f>VLOOKUP(A316,Seqs!A:B,2,FALSE)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16" s="5" t="str">
        <f t="shared" si="101"/>
        <v>SRTSVLPAQMMALTFITYIGCGLSSIFLSVTLVTYIAF</v>
      </c>
      <c r="G316" s="4" t="str">
        <f t="shared" si="102"/>
        <v/>
      </c>
      <c r="H316" s="4" t="str">
        <f t="shared" si="103"/>
        <v>DYPSKILIQLCAALLLLNLVFLLDSWI</v>
      </c>
      <c r="I316" s="4" t="str">
        <f t="shared" si="104"/>
        <v/>
      </c>
      <c r="J316" s="4" t="str">
        <f t="shared" si="105"/>
        <v>GLCISVAVFLHYFLLVSFTWMGLEAFHMYLALVK</v>
      </c>
      <c r="K316" s="4" t="str">
        <f t="shared" si="106"/>
        <v/>
      </c>
      <c r="L316" s="4" t="str">
        <f t="shared" si="107"/>
        <v>KYILKFCIVGWGVPAVVVTIILTISPDNY</v>
      </c>
      <c r="M316" s="4" t="str">
        <f t="shared" si="108"/>
        <v>CWI</v>
      </c>
      <c r="N316" s="4" t="str">
        <f t="shared" si="109"/>
        <v>NAVFYITVVGYFCVIFLLNVSMFIVVLVQLCRIK</v>
      </c>
      <c r="O316" s="4" t="str">
        <f t="shared" si="110"/>
        <v>TSIQDLRSIAGLTFLLGITWGFAFF</v>
      </c>
      <c r="P316" s="4" t="str">
        <f t="shared" si="111"/>
        <v>NVTFMYLFAIFNTLQGFFIFIFYCVA</v>
      </c>
      <c r="Q316" s="4" t="str">
        <f t="shared" si="112"/>
        <v>KENVRKQWRRYLCCGKL</v>
      </c>
      <c r="R316" s="5">
        <f>VLOOKUP($A316,'SegEnds_NonXtal_Prot#'!$A:$AL,3,FALSE)</f>
        <v>616</v>
      </c>
      <c r="S316" s="5" t="str">
        <f>VLOOKUP($A316,'SegEnds_NonXtal_Prot#'!$A:$AL,6,FALSE)</f>
        <v>-</v>
      </c>
      <c r="T316" s="5">
        <f>VLOOKUP($A316,'SegEnds_NonXtal_Prot#'!$A:$AL,9,FALSE)</f>
        <v>659</v>
      </c>
      <c r="U316" s="5" t="str">
        <f>VLOOKUP($A316,'SegEnds_NonXtal_Prot#'!$A:$AL,12,FALSE)</f>
        <v>-</v>
      </c>
      <c r="V316" s="5">
        <f>VLOOKUP($A316,'SegEnds_NonXtal_Prot#'!$A:$AL,15,FALSE)</f>
        <v>692</v>
      </c>
      <c r="W316" s="5" t="str">
        <f>VLOOKUP($A316,'SegEnds_NonXtal_Prot#'!$A:$AL,18,FALSE)</f>
        <v>-</v>
      </c>
      <c r="X316" s="5">
        <f>VLOOKUP($A316,'SegEnds_NonXtal_Prot#'!$A:$AL,21,FALSE)</f>
        <v>733</v>
      </c>
      <c r="Y316" s="5">
        <f>VLOOKUP($A316,'SegEnds_NonXtal_Prot#'!$A:$AL,24,FALSE)</f>
        <v>778</v>
      </c>
      <c r="Z316" s="5">
        <f>VLOOKUP($A316,'SegEnds_NonXtal_Prot#'!$A:$AL,27,FALSE)</f>
        <v>783</v>
      </c>
      <c r="AA316" s="5">
        <f>VLOOKUP($A316,'SegEnds_NonXtal_Prot#'!$A:$AL,30,FALSE)</f>
        <v>827</v>
      </c>
      <c r="AB316" s="5">
        <f>VLOOKUP($A316,'SegEnds_NonXtal_Prot#'!$A:$AL,33,FALSE)</f>
        <v>857</v>
      </c>
      <c r="AC316" s="5">
        <f>VLOOKUP($A316,'SegEnds_NonXtal_Prot#'!$A:$AL,36,FALSE)</f>
        <v>883</v>
      </c>
      <c r="AD316" s="5">
        <f>VLOOKUP($A316,'SegEnds_NonXtal_Prot#'!$A:$AL,5,FALSE)</f>
        <v>653</v>
      </c>
      <c r="AE316" s="5" t="str">
        <f>VLOOKUP($A316,'SegEnds_NonXtal_Prot#'!$A:$AL,8,FALSE)</f>
        <v>-</v>
      </c>
      <c r="AF316" s="5">
        <f>VLOOKUP($A316,'SegEnds_NonXtal_Prot#'!$A:$AL,11,FALSE)</f>
        <v>685</v>
      </c>
      <c r="AG316" s="5" t="str">
        <f>VLOOKUP($A316,'SegEnds_NonXtal_Prot#'!$A:$AL,14,FALSE)</f>
        <v>-</v>
      </c>
      <c r="AH316" s="5">
        <f>VLOOKUP($A316,'SegEnds_NonXtal_Prot#'!$A:$AL,17,FALSE)</f>
        <v>725</v>
      </c>
      <c r="AI316" s="5" t="str">
        <f>VLOOKUP($A316,'SegEnds_NonXtal_Prot#'!$A:$AL,20,FALSE)</f>
        <v>-</v>
      </c>
      <c r="AJ316" s="5">
        <f>VLOOKUP($A316,'SegEnds_NonXtal_Prot#'!$A:$AL,23,FALSE)</f>
        <v>761</v>
      </c>
      <c r="AK316" s="5">
        <f>VLOOKUP($A316,'SegEnds_NonXtal_Prot#'!$A:$AL,26,FALSE)</f>
        <v>780</v>
      </c>
      <c r="AL316" s="5">
        <f>VLOOKUP($A316,'SegEnds_NonXtal_Prot#'!$A:$AL,29,FALSE)</f>
        <v>816</v>
      </c>
      <c r="AM316" s="5">
        <f>VLOOKUP($A316,'SegEnds_NonXtal_Prot#'!$A:$AL,32,FALSE)</f>
        <v>851</v>
      </c>
      <c r="AN316" s="5">
        <f>VLOOKUP($A316,'SegEnds_NonXtal_Prot#'!$A:$AL,35,FALSE)</f>
        <v>882</v>
      </c>
      <c r="AO316" s="5">
        <f>VLOOKUP($A316,'SegEnds_NonXtal_Prot#'!$A:$AL,38,FALSE)</f>
        <v>899</v>
      </c>
      <c r="AP316" s="5">
        <f t="shared" si="113"/>
        <v>37</v>
      </c>
      <c r="AQ316" s="4" t="str">
        <f t="shared" si="114"/>
        <v>-</v>
      </c>
      <c r="AR316" s="4">
        <f t="shared" si="115"/>
        <v>26</v>
      </c>
      <c r="AS316" s="4" t="str">
        <f t="shared" si="116"/>
        <v>-</v>
      </c>
      <c r="AT316" s="4">
        <f t="shared" si="117"/>
        <v>33</v>
      </c>
      <c r="AU316" s="4" t="str">
        <f t="shared" si="118"/>
        <v>-</v>
      </c>
      <c r="AV316" s="4">
        <f t="shared" si="119"/>
        <v>28</v>
      </c>
      <c r="AW316" s="4">
        <f t="shared" si="120"/>
        <v>2</v>
      </c>
      <c r="AX316" s="4">
        <f t="shared" si="121"/>
        <v>33</v>
      </c>
      <c r="AY316" s="4">
        <f t="shared" si="122"/>
        <v>24</v>
      </c>
      <c r="AZ316" s="4">
        <f t="shared" si="123"/>
        <v>25</v>
      </c>
      <c r="BA316" s="4">
        <f t="shared" si="124"/>
        <v>16</v>
      </c>
    </row>
    <row r="317" spans="1:53" x14ac:dyDescent="0.2">
      <c r="A317" s="1" t="str">
        <f>'SegEnds_NonXtal_Prot#'!A308</f>
        <v>agrg3_human</v>
      </c>
      <c r="B317" s="1" t="str">
        <f t="shared" si="100"/>
        <v>LRPTLDQSTVHILTRISQAGCGVSMIFLAFTIILYAFLEDAPKIHVALGGSLFLLNLAFLVNVGSAACWARGAVFHYFLLCAFTWMGLEAFHLYLLAVRHYFLKLSLVGWGLPALMVIGTGSANSYGLEGTTMYALYITVHGYFLITFLFGMVVLALVVWKIKNRKKVLTLLGLSSLVGVTWGLGLSTVYIFALFNSLQGVFICCWFTILYLPSQSTTVSSSTARLD</v>
      </c>
      <c r="C317" s="29" t="str">
        <f>IF(ISERROR(MATCH(A317,'SegEnds_Xtal_Prot#'!B:B, 0)), "NoXtal", "Xtal")</f>
        <v>NoXtal</v>
      </c>
      <c r="D317" s="4" t="str">
        <f>VLOOKUP(A317,Classification!A:D,2,FALSE)</f>
        <v>B2</v>
      </c>
      <c r="E317" s="5" t="str">
        <f>VLOOKUP(A317,Seqs!A:B,2,FALSE)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17" s="5" t="str">
        <f t="shared" si="101"/>
        <v>LRPTLDQSTVHILTRISQAGCGVSMIFLAFTIILYAFL</v>
      </c>
      <c r="G317" s="4" t="str">
        <f t="shared" si="102"/>
        <v/>
      </c>
      <c r="H317" s="4" t="str">
        <f t="shared" si="103"/>
        <v>EDAPKIHVALGGSLFLLNLAFLVNVGS</v>
      </c>
      <c r="I317" s="4" t="str">
        <f t="shared" si="104"/>
        <v/>
      </c>
      <c r="J317" s="4" t="str">
        <f t="shared" si="105"/>
        <v>AACWARGAVFHYFLLCAFTWMGLEAFHLYLLAVR</v>
      </c>
      <c r="K317" s="4" t="str">
        <f t="shared" si="106"/>
        <v/>
      </c>
      <c r="L317" s="4" t="str">
        <f t="shared" si="107"/>
        <v>HYFLKLSLVGWGLPALMVIGTGSANSYGL</v>
      </c>
      <c r="M317" s="4" t="str">
        <f t="shared" si="108"/>
        <v>CWF</v>
      </c>
      <c r="N317" s="4" t="str">
        <f t="shared" si="109"/>
        <v>EGTTMYALYITVHGYFLITFLFGMVVLALVVWKI</v>
      </c>
      <c r="O317" s="4" t="str">
        <f t="shared" si="110"/>
        <v>KNRKKVLTLLGLSSLVGVTWGL</v>
      </c>
      <c r="P317" s="4" t="str">
        <f t="shared" si="111"/>
        <v>GLSTVYIFALFNSLQGVFICCWFTIL</v>
      </c>
      <c r="Q317" s="4" t="str">
        <f t="shared" si="112"/>
        <v>YLPSQSTTVSSSTARLD</v>
      </c>
      <c r="R317" s="5">
        <f>VLOOKUP($A317,'SegEnds_NonXtal_Prot#'!$A:$AL,3,FALSE)</f>
        <v>256</v>
      </c>
      <c r="S317" s="5" t="str">
        <f>VLOOKUP($A317,'SegEnds_NonXtal_Prot#'!$A:$AL,6,FALSE)</f>
        <v>-</v>
      </c>
      <c r="T317" s="5">
        <f>VLOOKUP($A317,'SegEnds_NonXtal_Prot#'!$A:$AL,9,FALSE)</f>
        <v>303</v>
      </c>
      <c r="U317" s="5" t="str">
        <f>VLOOKUP($A317,'SegEnds_NonXtal_Prot#'!$A:$AL,12,FALSE)</f>
        <v>-</v>
      </c>
      <c r="V317" s="5">
        <f>VLOOKUP($A317,'SegEnds_NonXtal_Prot#'!$A:$AL,15,FALSE)</f>
        <v>336</v>
      </c>
      <c r="W317" s="5" t="str">
        <f>VLOOKUP($A317,'SegEnds_NonXtal_Prot#'!$A:$AL,18,FALSE)</f>
        <v>-</v>
      </c>
      <c r="X317" s="5">
        <f>VLOOKUP($A317,'SegEnds_NonXtal_Prot#'!$A:$AL,21,FALSE)</f>
        <v>377</v>
      </c>
      <c r="Y317" s="5">
        <f>VLOOKUP($A317,'SegEnds_NonXtal_Prot#'!$A:$AL,24,FALSE)</f>
        <v>420</v>
      </c>
      <c r="Z317" s="5">
        <f>VLOOKUP($A317,'SegEnds_NonXtal_Prot#'!$A:$AL,27,FALSE)</f>
        <v>424</v>
      </c>
      <c r="AA317" s="5">
        <f>VLOOKUP($A317,'SegEnds_NonXtal_Prot#'!$A:$AL,30,FALSE)</f>
        <v>471</v>
      </c>
      <c r="AB317" s="5">
        <f>VLOOKUP($A317,'SegEnds_NonXtal_Prot#'!$A:$AL,33,FALSE)</f>
        <v>499</v>
      </c>
      <c r="AC317" s="5">
        <f>VLOOKUP($A317,'SegEnds_NonXtal_Prot#'!$A:$AL,36,FALSE)</f>
        <v>525</v>
      </c>
      <c r="AD317" s="5">
        <f>VLOOKUP($A317,'SegEnds_NonXtal_Prot#'!$A:$AL,5,FALSE)</f>
        <v>293</v>
      </c>
      <c r="AE317" s="5" t="str">
        <f>VLOOKUP($A317,'SegEnds_NonXtal_Prot#'!$A:$AL,8,FALSE)</f>
        <v>-</v>
      </c>
      <c r="AF317" s="5">
        <f>VLOOKUP($A317,'SegEnds_NonXtal_Prot#'!$A:$AL,11,FALSE)</f>
        <v>329</v>
      </c>
      <c r="AG317" s="5" t="str">
        <f>VLOOKUP($A317,'SegEnds_NonXtal_Prot#'!$A:$AL,14,FALSE)</f>
        <v>-</v>
      </c>
      <c r="AH317" s="5">
        <f>VLOOKUP($A317,'SegEnds_NonXtal_Prot#'!$A:$AL,17,FALSE)</f>
        <v>369</v>
      </c>
      <c r="AI317" s="5" t="str">
        <f>VLOOKUP($A317,'SegEnds_NonXtal_Prot#'!$A:$AL,20,FALSE)</f>
        <v>-</v>
      </c>
      <c r="AJ317" s="5">
        <f>VLOOKUP($A317,'SegEnds_NonXtal_Prot#'!$A:$AL,23,FALSE)</f>
        <v>405</v>
      </c>
      <c r="AK317" s="5">
        <f>VLOOKUP($A317,'SegEnds_NonXtal_Prot#'!$A:$AL,26,FALSE)</f>
        <v>422</v>
      </c>
      <c r="AL317" s="5">
        <f>VLOOKUP($A317,'SegEnds_NonXtal_Prot#'!$A:$AL,29,FALSE)</f>
        <v>457</v>
      </c>
      <c r="AM317" s="5">
        <f>VLOOKUP($A317,'SegEnds_NonXtal_Prot#'!$A:$AL,32,FALSE)</f>
        <v>492</v>
      </c>
      <c r="AN317" s="5">
        <f>VLOOKUP($A317,'SegEnds_NonXtal_Prot#'!$A:$AL,35,FALSE)</f>
        <v>524</v>
      </c>
      <c r="AO317" s="5">
        <f>VLOOKUP($A317,'SegEnds_NonXtal_Prot#'!$A:$AL,38,FALSE)</f>
        <v>541</v>
      </c>
      <c r="AP317" s="5">
        <f t="shared" si="113"/>
        <v>37</v>
      </c>
      <c r="AQ317" s="4" t="str">
        <f t="shared" si="114"/>
        <v>-</v>
      </c>
      <c r="AR317" s="4">
        <f t="shared" si="115"/>
        <v>26</v>
      </c>
      <c r="AS317" s="4" t="str">
        <f t="shared" si="116"/>
        <v>-</v>
      </c>
      <c r="AT317" s="4">
        <f t="shared" si="117"/>
        <v>33</v>
      </c>
      <c r="AU317" s="4" t="str">
        <f t="shared" si="118"/>
        <v>-</v>
      </c>
      <c r="AV317" s="4">
        <f t="shared" si="119"/>
        <v>28</v>
      </c>
      <c r="AW317" s="4">
        <f t="shared" si="120"/>
        <v>2</v>
      </c>
      <c r="AX317" s="4">
        <f t="shared" si="121"/>
        <v>33</v>
      </c>
      <c r="AY317" s="4">
        <f t="shared" si="122"/>
        <v>21</v>
      </c>
      <c r="AZ317" s="4">
        <f t="shared" si="123"/>
        <v>25</v>
      </c>
      <c r="BA317" s="4">
        <f t="shared" si="124"/>
        <v>16</v>
      </c>
    </row>
    <row r="318" spans="1:53" x14ac:dyDescent="0.2">
      <c r="A318" s="1" t="str">
        <f>'SegEnds_NonXtal_Prot#'!A309</f>
        <v>agrg4_human</v>
      </c>
      <c r="B318" s="1" t="str">
        <f t="shared" si="100"/>
        <v>SRSTVDSVNEQILALITYTGCGISSIFLGVAVVTYIAFDYPAKILINLCTALLMLNLVFLINSWLGVCITAAVALHYFLLVSFTWMGLEAVHMYLALVKNYILKFCLVGWGIPAIMVAITVSVKKDLYDSIFYISVVAYFCLIFLMNLSMFCTVLVQLNSVKMILHDLKGTMSLTFLLGLTWGFAFFRNFFLYLFAIFNTLQGFFIFVFHCVMKESVREQWQIHLCCGWL</v>
      </c>
      <c r="C318" s="29" t="str">
        <f>IF(ISERROR(MATCH(A318,'SegEnds_Xtal_Prot#'!B:B, 0)), "NoXtal", "Xtal")</f>
        <v>NoXtal</v>
      </c>
      <c r="D318" s="4" t="str">
        <f>VLOOKUP(A318,Classification!A:D,2,FALSE)</f>
        <v>B2</v>
      </c>
      <c r="E318" s="5" t="str">
        <f>VLOOKUP(A318,Seqs!A:B,2,FALSE)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18" s="5" t="str">
        <f t="shared" si="101"/>
        <v>SRSTVDSVNEQILALITYTGCGISSIFLGVAVVTYIAF</v>
      </c>
      <c r="G318" s="4" t="str">
        <f t="shared" si="102"/>
        <v/>
      </c>
      <c r="H318" s="4" t="str">
        <f t="shared" si="103"/>
        <v>DYPAKILINLCTALLMLNLVFLINSWL</v>
      </c>
      <c r="I318" s="4" t="str">
        <f t="shared" si="104"/>
        <v/>
      </c>
      <c r="J318" s="4" t="str">
        <f t="shared" si="105"/>
        <v>GVCITAAVALHYFLLVSFTWMGLEAVHMYLALVK</v>
      </c>
      <c r="K318" s="4" t="str">
        <f t="shared" si="106"/>
        <v/>
      </c>
      <c r="L318" s="4" t="str">
        <f t="shared" si="107"/>
        <v>NYILKFCLVGWGIPAIMVAITVSVKKDLY</v>
      </c>
      <c r="M318" s="4" t="str">
        <f t="shared" si="108"/>
        <v>CWI</v>
      </c>
      <c r="N318" s="4" t="str">
        <f t="shared" si="109"/>
        <v>DSIFYISVVAYFCLIFLMNLSMFCTVLVQLNSVK</v>
      </c>
      <c r="O318" s="4" t="str">
        <f t="shared" si="110"/>
        <v>MILHDLKGTMSLTFLLGLTWGFAFF</v>
      </c>
      <c r="P318" s="4" t="str">
        <f t="shared" si="111"/>
        <v>RNFFLYLFAIFNTLQGFFIFVFHCVM</v>
      </c>
      <c r="Q318" s="4" t="str">
        <f t="shared" si="112"/>
        <v>KESVREQWQIHLCCGWL</v>
      </c>
      <c r="R318" s="5">
        <f>VLOOKUP($A318,'SegEnds_NonXtal_Prot#'!$A:$AL,3,FALSE)</f>
        <v>2731</v>
      </c>
      <c r="S318" s="5" t="str">
        <f>VLOOKUP($A318,'SegEnds_NonXtal_Prot#'!$A:$AL,6,FALSE)</f>
        <v>-</v>
      </c>
      <c r="T318" s="5">
        <f>VLOOKUP($A318,'SegEnds_NonXtal_Prot#'!$A:$AL,9,FALSE)</f>
        <v>2774</v>
      </c>
      <c r="U318" s="5" t="str">
        <f>VLOOKUP($A318,'SegEnds_NonXtal_Prot#'!$A:$AL,12,FALSE)</f>
        <v>-</v>
      </c>
      <c r="V318" s="5">
        <f>VLOOKUP($A318,'SegEnds_NonXtal_Prot#'!$A:$AL,15,FALSE)</f>
        <v>2807</v>
      </c>
      <c r="W318" s="5" t="str">
        <f>VLOOKUP($A318,'SegEnds_NonXtal_Prot#'!$A:$AL,18,FALSE)</f>
        <v>-</v>
      </c>
      <c r="X318" s="5">
        <f>VLOOKUP($A318,'SegEnds_NonXtal_Prot#'!$A:$AL,21,FALSE)</f>
        <v>2848</v>
      </c>
      <c r="Y318" s="5">
        <f>VLOOKUP($A318,'SegEnds_NonXtal_Prot#'!$A:$AL,24,FALSE)</f>
        <v>2886</v>
      </c>
      <c r="Z318" s="5">
        <f>VLOOKUP($A318,'SegEnds_NonXtal_Prot#'!$A:$AL,27,FALSE)</f>
        <v>2891</v>
      </c>
      <c r="AA318" s="5">
        <f>VLOOKUP($A318,'SegEnds_NonXtal_Prot#'!$A:$AL,30,FALSE)</f>
        <v>2934</v>
      </c>
      <c r="AB318" s="5">
        <f>VLOOKUP($A318,'SegEnds_NonXtal_Prot#'!$A:$AL,33,FALSE)</f>
        <v>2964</v>
      </c>
      <c r="AC318" s="5">
        <f>VLOOKUP($A318,'SegEnds_NonXtal_Prot#'!$A:$AL,36,FALSE)</f>
        <v>2990</v>
      </c>
      <c r="AD318" s="5">
        <f>VLOOKUP($A318,'SegEnds_NonXtal_Prot#'!$A:$AL,5,FALSE)</f>
        <v>2768</v>
      </c>
      <c r="AE318" s="5" t="str">
        <f>VLOOKUP($A318,'SegEnds_NonXtal_Prot#'!$A:$AL,8,FALSE)</f>
        <v>-</v>
      </c>
      <c r="AF318" s="5">
        <f>VLOOKUP($A318,'SegEnds_NonXtal_Prot#'!$A:$AL,11,FALSE)</f>
        <v>2800</v>
      </c>
      <c r="AG318" s="5" t="str">
        <f>VLOOKUP($A318,'SegEnds_NonXtal_Prot#'!$A:$AL,14,FALSE)</f>
        <v>-</v>
      </c>
      <c r="AH318" s="5">
        <f>VLOOKUP($A318,'SegEnds_NonXtal_Prot#'!$A:$AL,17,FALSE)</f>
        <v>2840</v>
      </c>
      <c r="AI318" s="5" t="str">
        <f>VLOOKUP($A318,'SegEnds_NonXtal_Prot#'!$A:$AL,20,FALSE)</f>
        <v>-</v>
      </c>
      <c r="AJ318" s="5">
        <f>VLOOKUP($A318,'SegEnds_NonXtal_Prot#'!$A:$AL,23,FALSE)</f>
        <v>2876</v>
      </c>
      <c r="AK318" s="5">
        <f>VLOOKUP($A318,'SegEnds_NonXtal_Prot#'!$A:$AL,26,FALSE)</f>
        <v>2888</v>
      </c>
      <c r="AL318" s="5">
        <f>VLOOKUP($A318,'SegEnds_NonXtal_Prot#'!$A:$AL,29,FALSE)</f>
        <v>2924</v>
      </c>
      <c r="AM318" s="5">
        <f>VLOOKUP($A318,'SegEnds_NonXtal_Prot#'!$A:$AL,32,FALSE)</f>
        <v>2958</v>
      </c>
      <c r="AN318" s="5">
        <f>VLOOKUP($A318,'SegEnds_NonXtal_Prot#'!$A:$AL,35,FALSE)</f>
        <v>2989</v>
      </c>
      <c r="AO318" s="5">
        <f>VLOOKUP($A318,'SegEnds_NonXtal_Prot#'!$A:$AL,38,FALSE)</f>
        <v>3006</v>
      </c>
      <c r="AP318" s="5">
        <f t="shared" si="113"/>
        <v>37</v>
      </c>
      <c r="AQ318" s="4" t="str">
        <f t="shared" si="114"/>
        <v>-</v>
      </c>
      <c r="AR318" s="4">
        <f t="shared" si="115"/>
        <v>26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28</v>
      </c>
      <c r="AW318" s="4">
        <f t="shared" si="120"/>
        <v>2</v>
      </c>
      <c r="AX318" s="4">
        <f t="shared" si="121"/>
        <v>33</v>
      </c>
      <c r="AY318" s="4">
        <f t="shared" si="122"/>
        <v>24</v>
      </c>
      <c r="AZ318" s="4">
        <f t="shared" si="123"/>
        <v>25</v>
      </c>
      <c r="BA318" s="4">
        <f t="shared" si="124"/>
        <v>16</v>
      </c>
    </row>
    <row r="319" spans="1:53" x14ac:dyDescent="0.2">
      <c r="A319" s="1" t="str">
        <f>'SegEnds_NonXtal_Prot#'!A310</f>
        <v>agrg5_human</v>
      </c>
      <c r="B319" s="1" t="str">
        <f t="shared" si="100"/>
        <v>SPALVPAELLAPLTYISLVGCSISIVASLITVLLHFHFDSLTRIHMNLHASVLLLNIAFLLSPAFSACTALAAALHYALLSCLTWMAIEGFNLYLLLGRRYVFKLGVLGWGAPALLVLLSLSVKSSVYPVVHSVLVMGYGGLTSLFNLVVLAWALWTLRRLRRACHDTVTVLGLTVLLGTTWALAFFLLPQLFLFTILNSLYGFFLFLWFCSQRCRSEAEAKAQIEAFSS</v>
      </c>
      <c r="C319" s="29" t="str">
        <f>IF(ISERROR(MATCH(A319,'SegEnds_Xtal_Prot#'!B:B, 0)), "NoXtal", "Xtal")</f>
        <v>NoXtal</v>
      </c>
      <c r="D319" s="4" t="str">
        <f>VLOOKUP(A319,Classification!A:D,2,FALSE)</f>
        <v>B2</v>
      </c>
      <c r="E319" s="5" t="str">
        <f>VLOOKUP(A319,Seqs!A:B,2,FALSE)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19" s="5" t="str">
        <f t="shared" si="101"/>
        <v>SPALVPAELLAPLTYISLVGCSISIVASLITVLLHFHF</v>
      </c>
      <c r="G319" s="4" t="str">
        <f t="shared" si="102"/>
        <v/>
      </c>
      <c r="H319" s="4" t="str">
        <f t="shared" si="103"/>
        <v>DSLTRIHMNLHASVLLLNIAFLLSPAF</v>
      </c>
      <c r="I319" s="4" t="str">
        <f t="shared" si="104"/>
        <v/>
      </c>
      <c r="J319" s="4" t="str">
        <f t="shared" si="105"/>
        <v>SACTALAAALHYALLSCLTWMAIEGFNLYLLLGR</v>
      </c>
      <c r="K319" s="4" t="str">
        <f t="shared" si="106"/>
        <v/>
      </c>
      <c r="L319" s="4" t="str">
        <f t="shared" si="107"/>
        <v>RYVFKLGVLGWGAPALLVLLSLSVKSSVY</v>
      </c>
      <c r="M319" s="4" t="str">
        <f t="shared" si="108"/>
        <v>CWV</v>
      </c>
      <c r="N319" s="4" t="str">
        <f t="shared" si="109"/>
        <v>PVVHSVLVMGYGGLTSLFNLVVLAWALWTLRRLR</v>
      </c>
      <c r="O319" s="4" t="str">
        <f t="shared" si="110"/>
        <v>RACHDTVTVLGLTVLLGTTWALAFF</v>
      </c>
      <c r="P319" s="4" t="str">
        <f t="shared" si="111"/>
        <v>LLPQLFLFTILNSLYGFFLFLWFCSQ</v>
      </c>
      <c r="Q319" s="4" t="str">
        <f t="shared" si="112"/>
        <v>RCRSEAEAKAQIEAFSS</v>
      </c>
      <c r="R319" s="5">
        <f>VLOOKUP($A319,'SegEnds_NonXtal_Prot#'!$A:$AL,3,FALSE)</f>
        <v>236</v>
      </c>
      <c r="S319" s="5" t="str">
        <f>VLOOKUP($A319,'SegEnds_NonXtal_Prot#'!$A:$AL,6,FALSE)</f>
        <v>-</v>
      </c>
      <c r="T319" s="5">
        <f>VLOOKUP($A319,'SegEnds_NonXtal_Prot#'!$A:$AL,9,FALSE)</f>
        <v>278</v>
      </c>
      <c r="U319" s="5" t="str">
        <f>VLOOKUP($A319,'SegEnds_NonXtal_Prot#'!$A:$AL,12,FALSE)</f>
        <v>-</v>
      </c>
      <c r="V319" s="5">
        <f>VLOOKUP($A319,'SegEnds_NonXtal_Prot#'!$A:$AL,15,FALSE)</f>
        <v>312</v>
      </c>
      <c r="W319" s="5" t="str">
        <f>VLOOKUP($A319,'SegEnds_NonXtal_Prot#'!$A:$AL,18,FALSE)</f>
        <v>-</v>
      </c>
      <c r="X319" s="5">
        <f>VLOOKUP($A319,'SegEnds_NonXtal_Prot#'!$A:$AL,21,FALSE)</f>
        <v>353</v>
      </c>
      <c r="Y319" s="5">
        <f>VLOOKUP($A319,'SegEnds_NonXtal_Prot#'!$A:$AL,24,FALSE)</f>
        <v>404</v>
      </c>
      <c r="Z319" s="5">
        <f>VLOOKUP($A319,'SegEnds_NonXtal_Prot#'!$A:$AL,27,FALSE)</f>
        <v>409</v>
      </c>
      <c r="AA319" s="5">
        <f>VLOOKUP($A319,'SegEnds_NonXtal_Prot#'!$A:$AL,30,FALSE)</f>
        <v>451</v>
      </c>
      <c r="AB319" s="5">
        <f>VLOOKUP($A319,'SegEnds_NonXtal_Prot#'!$A:$AL,33,FALSE)</f>
        <v>481</v>
      </c>
      <c r="AC319" s="5">
        <f>VLOOKUP($A319,'SegEnds_NonXtal_Prot#'!$A:$AL,36,FALSE)</f>
        <v>507</v>
      </c>
      <c r="AD319" s="5">
        <f>VLOOKUP($A319,'SegEnds_NonXtal_Prot#'!$A:$AL,5,FALSE)</f>
        <v>273</v>
      </c>
      <c r="AE319" s="5" t="str">
        <f>VLOOKUP($A319,'SegEnds_NonXtal_Prot#'!$A:$AL,8,FALSE)</f>
        <v>-</v>
      </c>
      <c r="AF319" s="5">
        <f>VLOOKUP($A319,'SegEnds_NonXtal_Prot#'!$A:$AL,11,FALSE)</f>
        <v>304</v>
      </c>
      <c r="AG319" s="5" t="str">
        <f>VLOOKUP($A319,'SegEnds_NonXtal_Prot#'!$A:$AL,14,FALSE)</f>
        <v>-</v>
      </c>
      <c r="AH319" s="5">
        <f>VLOOKUP($A319,'SegEnds_NonXtal_Prot#'!$A:$AL,17,FALSE)</f>
        <v>345</v>
      </c>
      <c r="AI319" s="5" t="str">
        <f>VLOOKUP($A319,'SegEnds_NonXtal_Prot#'!$A:$AL,20,FALSE)</f>
        <v>-</v>
      </c>
      <c r="AJ319" s="5">
        <f>VLOOKUP($A319,'SegEnds_NonXtal_Prot#'!$A:$AL,23,FALSE)</f>
        <v>381</v>
      </c>
      <c r="AK319" s="5">
        <f>VLOOKUP($A319,'SegEnds_NonXtal_Prot#'!$A:$AL,26,FALSE)</f>
        <v>406</v>
      </c>
      <c r="AL319" s="5">
        <f>VLOOKUP($A319,'SegEnds_NonXtal_Prot#'!$A:$AL,29,FALSE)</f>
        <v>442</v>
      </c>
      <c r="AM319" s="5">
        <f>VLOOKUP($A319,'SegEnds_NonXtal_Prot#'!$A:$AL,32,FALSE)</f>
        <v>475</v>
      </c>
      <c r="AN319" s="5">
        <f>VLOOKUP($A319,'SegEnds_NonXtal_Prot#'!$A:$AL,35,FALSE)</f>
        <v>506</v>
      </c>
      <c r="AO319" s="5">
        <f>VLOOKUP($A319,'SegEnds_NonXtal_Prot#'!$A:$AL,38,FALSE)</f>
        <v>523</v>
      </c>
      <c r="AP319" s="5">
        <f t="shared" si="113"/>
        <v>37</v>
      </c>
      <c r="AQ319" s="4" t="str">
        <f t="shared" si="114"/>
        <v>-</v>
      </c>
      <c r="AR319" s="4">
        <f t="shared" si="115"/>
        <v>26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28</v>
      </c>
      <c r="AW319" s="4">
        <f t="shared" si="120"/>
        <v>2</v>
      </c>
      <c r="AX319" s="4">
        <f t="shared" si="121"/>
        <v>33</v>
      </c>
      <c r="AY319" s="4">
        <f t="shared" si="122"/>
        <v>24</v>
      </c>
      <c r="AZ319" s="4">
        <f t="shared" si="123"/>
        <v>25</v>
      </c>
      <c r="BA319" s="4">
        <f t="shared" si="124"/>
        <v>16</v>
      </c>
    </row>
    <row r="320" spans="1:53" x14ac:dyDescent="0.2">
      <c r="A320" s="1" t="str">
        <f>'SegEnds_NonXtal_Prot#'!A311</f>
        <v>agrg7_human</v>
      </c>
      <c r="B320" s="1" t="str">
        <f t="shared" si="100"/>
        <v>MTFKKDYQYPKSLDILSNVGCALSVTGLALTVIFQIVTTSVTWVLVNLCISMLIFNLLFVFGIENSNINIPNPMCTAIAALLHYFLLVTFTWNALSAAQLYYLLIRPRHFILFISLIGWGVPAIVVAITVGVIYSQNKSPLLWSFIVPVTIILISNVVMFITISIKVLWKNSSMKKIVSTLSVAVVFGITWILAYLMLVNDSIRIVFSYIFCLFNTTQGLQIFILYTVRTKVFQSEASKVLMLLSS</v>
      </c>
      <c r="C320" s="29" t="str">
        <f>IF(ISERROR(MATCH(A320,'SegEnds_Xtal_Prot#'!B:B, 0)), "NoXtal", "Xtal")</f>
        <v>NoXtal</v>
      </c>
      <c r="D320" s="4" t="str">
        <f>VLOOKUP(A320,Classification!A:D,2,FALSE)</f>
        <v>B2</v>
      </c>
      <c r="E320" s="5" t="str">
        <f>VLOOKUP(A320,Seqs!A:B,2,FALSE)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20" s="5" t="str">
        <f t="shared" si="101"/>
        <v>MTFKKDYQYPKSLDILSNVGCALSVTGLALTVIFQIVT</v>
      </c>
      <c r="G320" s="4" t="str">
        <f t="shared" si="102"/>
        <v/>
      </c>
      <c r="H320" s="4" t="str">
        <f t="shared" si="103"/>
        <v>TSVTWVLVNLCISMLIFNLLFVFGIENSN</v>
      </c>
      <c r="I320" s="4" t="str">
        <f t="shared" si="104"/>
        <v/>
      </c>
      <c r="J320" s="4" t="str">
        <f t="shared" si="105"/>
        <v>INIPNPMCTAIAALLHYFLLVTFTWNALSAAQLYYLLIR</v>
      </c>
      <c r="K320" s="4" t="str">
        <f t="shared" si="106"/>
        <v/>
      </c>
      <c r="L320" s="4" t="str">
        <f t="shared" si="107"/>
        <v>PRHFILFISLIGWGVPAIVVAITVGVIYSQN</v>
      </c>
      <c r="M320" s="4" t="str">
        <f t="shared" si="108"/>
        <v>CWL</v>
      </c>
      <c r="N320" s="4" t="str">
        <f t="shared" si="109"/>
        <v>KSPLLWSFIVPVTIILISNVVMFITISIKVLWKN</v>
      </c>
      <c r="O320" s="4" t="str">
        <f t="shared" si="110"/>
        <v>SSMKKIVSTLSVAVVFGITWILAYLMLVND</v>
      </c>
      <c r="P320" s="4" t="str">
        <f t="shared" si="111"/>
        <v>SIRIVFSYIFCLFNTTQGLQIFILYTVR</v>
      </c>
      <c r="Q320" s="4" t="str">
        <f t="shared" si="112"/>
        <v>TKVFQSEASKVLMLLSS</v>
      </c>
      <c r="R320" s="5">
        <f>VLOOKUP($A320,'SegEnds_NonXtal_Prot#'!$A:$AL,3,FALSE)</f>
        <v>422</v>
      </c>
      <c r="S320" s="5" t="str">
        <f>VLOOKUP($A320,'SegEnds_NonXtal_Prot#'!$A:$AL,6,FALSE)</f>
        <v>-</v>
      </c>
      <c r="T320" s="5">
        <f>VLOOKUP($A320,'SegEnds_NonXtal_Prot#'!$A:$AL,9,FALSE)</f>
        <v>465</v>
      </c>
      <c r="U320" s="5" t="str">
        <f>VLOOKUP($A320,'SegEnds_NonXtal_Prot#'!$A:$AL,12,FALSE)</f>
        <v>-</v>
      </c>
      <c r="V320" s="5">
        <f>VLOOKUP($A320,'SegEnds_NonXtal_Prot#'!$A:$AL,15,FALSE)</f>
        <v>519</v>
      </c>
      <c r="W320" s="5" t="str">
        <f>VLOOKUP($A320,'SegEnds_NonXtal_Prot#'!$A:$AL,18,FALSE)</f>
        <v>-</v>
      </c>
      <c r="X320" s="5">
        <f>VLOOKUP($A320,'SegEnds_NonXtal_Prot#'!$A:$AL,21,FALSE)</f>
        <v>563</v>
      </c>
      <c r="Y320" s="5">
        <f>VLOOKUP($A320,'SegEnds_NonXtal_Prot#'!$A:$AL,24,FALSE)</f>
        <v>609</v>
      </c>
      <c r="Z320" s="5">
        <f>VLOOKUP($A320,'SegEnds_NonXtal_Prot#'!$A:$AL,27,FALSE)</f>
        <v>621</v>
      </c>
      <c r="AA320" s="5">
        <f>VLOOKUP($A320,'SegEnds_NonXtal_Prot#'!$A:$AL,30,FALSE)</f>
        <v>665</v>
      </c>
      <c r="AB320" s="5">
        <f>VLOOKUP($A320,'SegEnds_NonXtal_Prot#'!$A:$AL,33,FALSE)</f>
        <v>696</v>
      </c>
      <c r="AC320" s="5">
        <f>VLOOKUP($A320,'SegEnds_NonXtal_Prot#'!$A:$AL,36,FALSE)</f>
        <v>724</v>
      </c>
      <c r="AD320" s="5">
        <f>VLOOKUP($A320,'SegEnds_NonXtal_Prot#'!$A:$AL,5,FALSE)</f>
        <v>459</v>
      </c>
      <c r="AE320" s="5" t="str">
        <f>VLOOKUP($A320,'SegEnds_NonXtal_Prot#'!$A:$AL,8,FALSE)</f>
        <v>-</v>
      </c>
      <c r="AF320" s="5">
        <f>VLOOKUP($A320,'SegEnds_NonXtal_Prot#'!$A:$AL,11,FALSE)</f>
        <v>493</v>
      </c>
      <c r="AG320" s="5" t="str">
        <f>VLOOKUP($A320,'SegEnds_NonXtal_Prot#'!$A:$AL,14,FALSE)</f>
        <v>-</v>
      </c>
      <c r="AH320" s="5">
        <f>VLOOKUP($A320,'SegEnds_NonXtal_Prot#'!$A:$AL,17,FALSE)</f>
        <v>557</v>
      </c>
      <c r="AI320" s="5" t="str">
        <f>VLOOKUP($A320,'SegEnds_NonXtal_Prot#'!$A:$AL,20,FALSE)</f>
        <v>-</v>
      </c>
      <c r="AJ320" s="5">
        <f>VLOOKUP($A320,'SegEnds_NonXtal_Prot#'!$A:$AL,23,FALSE)</f>
        <v>593</v>
      </c>
      <c r="AK320" s="5">
        <f>VLOOKUP($A320,'SegEnds_NonXtal_Prot#'!$A:$AL,26,FALSE)</f>
        <v>611</v>
      </c>
      <c r="AL320" s="5">
        <f>VLOOKUP($A320,'SegEnds_NonXtal_Prot#'!$A:$AL,29,FALSE)</f>
        <v>654</v>
      </c>
      <c r="AM320" s="5">
        <f>VLOOKUP($A320,'SegEnds_NonXtal_Prot#'!$A:$AL,32,FALSE)</f>
        <v>694</v>
      </c>
      <c r="AN320" s="5">
        <f>VLOOKUP($A320,'SegEnds_NonXtal_Prot#'!$A:$AL,35,FALSE)</f>
        <v>723</v>
      </c>
      <c r="AO320" s="5">
        <f>VLOOKUP($A320,'SegEnds_NonXtal_Prot#'!$A:$AL,38,FALSE)</f>
        <v>740</v>
      </c>
      <c r="AP320" s="5">
        <f t="shared" si="113"/>
        <v>37</v>
      </c>
      <c r="AQ320" s="4" t="str">
        <f t="shared" si="114"/>
        <v>-</v>
      </c>
      <c r="AR320" s="4">
        <f t="shared" si="115"/>
        <v>28</v>
      </c>
      <c r="AS320" s="4" t="str">
        <f t="shared" si="116"/>
        <v>-</v>
      </c>
      <c r="AT320" s="4">
        <f t="shared" si="117"/>
        <v>38</v>
      </c>
      <c r="AU320" s="4" t="str">
        <f t="shared" si="118"/>
        <v>-</v>
      </c>
      <c r="AV320" s="4">
        <f t="shared" si="119"/>
        <v>30</v>
      </c>
      <c r="AW320" s="4">
        <f t="shared" si="120"/>
        <v>2</v>
      </c>
      <c r="AX320" s="4">
        <f t="shared" si="121"/>
        <v>33</v>
      </c>
      <c r="AY320" s="4">
        <f t="shared" si="122"/>
        <v>29</v>
      </c>
      <c r="AZ320" s="4">
        <f t="shared" si="123"/>
        <v>27</v>
      </c>
      <c r="BA320" s="4">
        <f t="shared" si="124"/>
        <v>16</v>
      </c>
    </row>
    <row r="321" spans="1:53" x14ac:dyDescent="0.2">
      <c r="A321" s="1" t="str">
        <f>'SegEnds_NonXtal_Prot#'!A312</f>
        <v>agrl1_human</v>
      </c>
      <c r="B321" s="1" t="str">
        <f t="shared" si="100"/>
        <v>REIYQGRINELLLSVITWVGIVISLVCLAICISTFCFLTDRNTIHKNLCINLFLAELLFLVGIDKIACPIFAGLLHYFFLAAFSWLCLEGVHLYLLLVERTKYYYLGGYCFPALVVGIAAAIDYRSYDNYFIWSFIGPVSFVIVVNLVFLMVTLHKMIRSSNIKSWALGAIALLFLLGLTWAFGLLSVVMAYLFTTFNAFQGVFIFVFHCALQKKVHKEYSKCLRHSYC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21" s="5" t="str">
        <f t="shared" si="101"/>
        <v>REIYQGRINELLLSVITWVGIVISLVCLAICISTFCFL</v>
      </c>
      <c r="G321" s="4" t="str">
        <f t="shared" si="102"/>
        <v>RGLQ</v>
      </c>
      <c r="H321" s="4" t="str">
        <f t="shared" si="103"/>
        <v>TDRNTIHKNLCINLFLAELLFLVGIDK</v>
      </c>
      <c r="I321" s="4" t="str">
        <f t="shared" si="104"/>
        <v/>
      </c>
      <c r="J321" s="4" t="str">
        <f t="shared" si="105"/>
        <v>IACPIFAGLLHYFFLAAFSWLCLEGVHLYLLLVE</v>
      </c>
      <c r="K321" s="4" t="str">
        <f t="shared" si="106"/>
        <v/>
      </c>
      <c r="L321" s="4" t="str">
        <f t="shared" si="107"/>
        <v>RTKYYYLGGYCFPALVVGIAAAIDYRSY</v>
      </c>
      <c r="M321" s="4" t="str">
        <f t="shared" si="108"/>
        <v>CWL</v>
      </c>
      <c r="N321" s="4" t="str">
        <f t="shared" si="109"/>
        <v>DNYFIWSFIGPVSFVIVVNLVFLMVTLHKMIRSS</v>
      </c>
      <c r="O321" s="4" t="str">
        <f t="shared" si="110"/>
        <v>NIKSWALGAIALLFLLGLTWAFGLL</v>
      </c>
      <c r="P321" s="4" t="str">
        <f t="shared" si="111"/>
        <v>SVVMAYLFTTFNAFQGVFIFVFHCAL</v>
      </c>
      <c r="Q321" s="4" t="str">
        <f t="shared" si="112"/>
        <v>QKKVHKEYSKCLRHSYC</v>
      </c>
      <c r="R321" s="5">
        <f>VLOOKUP($A321,'SegEnds_NonXtal_Prot#'!$A:$AL,3,FALSE)</f>
        <v>848</v>
      </c>
      <c r="S321" s="5">
        <f>VLOOKUP($A321,'SegEnds_NonXtal_Prot#'!$A:$AL,6,FALSE)</f>
        <v>886</v>
      </c>
      <c r="T321" s="5">
        <f>VLOOKUP($A321,'SegEnds_NonXtal_Prot#'!$A:$AL,9,FALSE)</f>
        <v>890</v>
      </c>
      <c r="U321" s="5" t="str">
        <f>VLOOKUP($A321,'SegEnds_NonXtal_Prot#'!$A:$AL,12,FALSE)</f>
        <v>-</v>
      </c>
      <c r="V321" s="5">
        <f>VLOOKUP($A321,'SegEnds_NonXtal_Prot#'!$A:$AL,15,FALSE)</f>
        <v>921</v>
      </c>
      <c r="W321" s="5" t="str">
        <f>VLOOKUP($A321,'SegEnds_NonXtal_Prot#'!$A:$AL,18,FALSE)</f>
        <v>-</v>
      </c>
      <c r="X321" s="5">
        <f>VLOOKUP($A321,'SegEnds_NonXtal_Prot#'!$A:$AL,21,FALSE)</f>
        <v>962</v>
      </c>
      <c r="Y321" s="5">
        <f>VLOOKUP($A321,'SegEnds_NonXtal_Prot#'!$A:$AL,24,FALSE)</f>
        <v>995</v>
      </c>
      <c r="Z321" s="5">
        <f>VLOOKUP($A321,'SegEnds_NonXtal_Prot#'!$A:$AL,27,FALSE)</f>
        <v>1000</v>
      </c>
      <c r="AA321" s="5">
        <f>VLOOKUP($A321,'SegEnds_NonXtal_Prot#'!$A:$AL,30,FALSE)</f>
        <v>1045</v>
      </c>
      <c r="AB321" s="5">
        <f>VLOOKUP($A321,'SegEnds_NonXtal_Prot#'!$A:$AL,33,FALSE)</f>
        <v>1075</v>
      </c>
      <c r="AC321" s="5">
        <f>VLOOKUP($A321,'SegEnds_NonXtal_Prot#'!$A:$AL,36,FALSE)</f>
        <v>1101</v>
      </c>
      <c r="AD321" s="5">
        <f>VLOOKUP($A321,'SegEnds_NonXtal_Prot#'!$A:$AL,5,FALSE)</f>
        <v>885</v>
      </c>
      <c r="AE321" s="5">
        <f>VLOOKUP($A321,'SegEnds_NonXtal_Prot#'!$A:$AL,8,FALSE)</f>
        <v>889</v>
      </c>
      <c r="AF321" s="5">
        <f>VLOOKUP($A321,'SegEnds_NonXtal_Prot#'!$A:$AL,11,FALSE)</f>
        <v>916</v>
      </c>
      <c r="AG321" s="5" t="str">
        <f>VLOOKUP($A321,'SegEnds_NonXtal_Prot#'!$A:$AL,14,FALSE)</f>
        <v>-</v>
      </c>
      <c r="AH321" s="5">
        <f>VLOOKUP($A321,'SegEnds_NonXtal_Prot#'!$A:$AL,17,FALSE)</f>
        <v>954</v>
      </c>
      <c r="AI321" s="5" t="str">
        <f>VLOOKUP($A321,'SegEnds_NonXtal_Prot#'!$A:$AL,20,FALSE)</f>
        <v>-</v>
      </c>
      <c r="AJ321" s="5">
        <f>VLOOKUP($A321,'SegEnds_NonXtal_Prot#'!$A:$AL,23,FALSE)</f>
        <v>989</v>
      </c>
      <c r="AK321" s="5">
        <f>VLOOKUP($A321,'SegEnds_NonXtal_Prot#'!$A:$AL,26,FALSE)</f>
        <v>997</v>
      </c>
      <c r="AL321" s="5">
        <f>VLOOKUP($A321,'SegEnds_NonXtal_Prot#'!$A:$AL,29,FALSE)</f>
        <v>1033</v>
      </c>
      <c r="AM321" s="5">
        <f>VLOOKUP($A321,'SegEnds_NonXtal_Prot#'!$A:$AL,32,FALSE)</f>
        <v>1069</v>
      </c>
      <c r="AN321" s="5">
        <f>VLOOKUP($A321,'SegEnds_NonXtal_Prot#'!$A:$AL,35,FALSE)</f>
        <v>1100</v>
      </c>
      <c r="AO321" s="5">
        <f>VLOOKUP($A321,'SegEnds_NonXtal_Prot#'!$A:$AL,38,FALSE)</f>
        <v>1117</v>
      </c>
      <c r="AP321" s="5">
        <f t="shared" si="113"/>
        <v>37</v>
      </c>
      <c r="AQ321" s="4">
        <f t="shared" si="114"/>
        <v>3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27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25</v>
      </c>
      <c r="BA321" s="4">
        <f t="shared" si="124"/>
        <v>16</v>
      </c>
    </row>
    <row r="322" spans="1:53" x14ac:dyDescent="0.2">
      <c r="A322" s="1" t="str">
        <f>'SegEnds_NonXtal_Prot#'!A313</f>
        <v>agrl2_human</v>
      </c>
      <c r="B322" s="1" t="str">
        <f t="shared" ref="B322:B385" si="125">F322&amp;H322&amp;J322&amp;L322&amp;N322&amp;O322&amp;P322&amp;Q322</f>
        <v>EIAYKDGVHELLLTVITWVGIVISLVCLAICIFTFCFFSDRNTIHKNLCINLFIAEFIFLIGIDKIACPIFAGLLHFFFLAAFAWMCLEGVQLYLMLVERKKYYYVAGYLFPATVVGVSAAIDYKSYDNYFIWSFIGPVTFIILLNIIFLVITLCKMVKHSNIKSWVLGAFALLCLLGLTWSFGLLTIVMAYLFTIFNAFQGVFIFIFHCALQKKVRKEYGKCFRHSYC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22" s="5" t="str">
        <f t="shared" ref="F322:F385" si="126">IFERROR(MID($E322,R322,(AP322+1)),"")</f>
        <v>EIAYKDGVHELLLTVITWVGIVISLVCLAICIFTFCFF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SDRNTIHKNLCINLFIAEFIFLIGIDK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IACPIFAGLLHFFFLAAFAWMCLEGVQLYLMLVE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RKKYYYVAGYLFPATVVGVSAAIDYKSY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DNYFIWSFIGPVTFIILLNIIFLVITLCKMVKHS</v>
      </c>
      <c r="O322" s="4" t="str">
        <f t="shared" ref="O322:O385" si="135">IFERROR(MID($E322,AA322,(AY322+1)),"")</f>
        <v>NIKSWVLGAFALLCLLGLTWSFGLL</v>
      </c>
      <c r="P322" s="4" t="str">
        <f t="shared" ref="P322:P385" si="136">IFERROR(MID($E322,AB322,(AZ322+1)),"")</f>
        <v>TIVMAYLFTIFNAFQGVFIFIFHCAL</v>
      </c>
      <c r="Q322" s="4" t="str">
        <f t="shared" ref="Q322:Q385" si="137">IFERROR(MID($E322,AC322,(BA322+1)),"")</f>
        <v>QKKVRKEYGKCFRHSYC</v>
      </c>
      <c r="R322" s="5">
        <f>VLOOKUP($A322,'SegEnds_NonXtal_Prot#'!$A:$AL,3,FALSE)</f>
        <v>835</v>
      </c>
      <c r="S322" s="5" t="str">
        <f>VLOOKUP($A322,'SegEnds_NonXtal_Prot#'!$A:$AL,6,FALSE)</f>
        <v>-</v>
      </c>
      <c r="T322" s="5">
        <f>VLOOKUP($A322,'SegEnds_NonXtal_Prot#'!$A:$AL,9,FALSE)</f>
        <v>877</v>
      </c>
      <c r="U322" s="5" t="str">
        <f>VLOOKUP($A322,'SegEnds_NonXtal_Prot#'!$A:$AL,12,FALSE)</f>
        <v>-</v>
      </c>
      <c r="V322" s="5">
        <f>VLOOKUP($A322,'SegEnds_NonXtal_Prot#'!$A:$AL,15,FALSE)</f>
        <v>908</v>
      </c>
      <c r="W322" s="5" t="str">
        <f>VLOOKUP($A322,'SegEnds_NonXtal_Prot#'!$A:$AL,18,FALSE)</f>
        <v>-</v>
      </c>
      <c r="X322" s="5">
        <f>VLOOKUP($A322,'SegEnds_NonXtal_Prot#'!$A:$AL,21,FALSE)</f>
        <v>949</v>
      </c>
      <c r="Y322" s="5">
        <f>VLOOKUP($A322,'SegEnds_NonXtal_Prot#'!$A:$AL,24,FALSE)</f>
        <v>982</v>
      </c>
      <c r="Z322" s="5">
        <f>VLOOKUP($A322,'SegEnds_NonXtal_Prot#'!$A:$AL,27,FALSE)</f>
        <v>987</v>
      </c>
      <c r="AA322" s="5">
        <f>VLOOKUP($A322,'SegEnds_NonXtal_Prot#'!$A:$AL,30,FALSE)</f>
        <v>1032</v>
      </c>
      <c r="AB322" s="5">
        <f>VLOOKUP($A322,'SegEnds_NonXtal_Prot#'!$A:$AL,33,FALSE)</f>
        <v>1062</v>
      </c>
      <c r="AC322" s="5">
        <f>VLOOKUP($A322,'SegEnds_NonXtal_Prot#'!$A:$AL,36,FALSE)</f>
        <v>1088</v>
      </c>
      <c r="AD322" s="5">
        <f>VLOOKUP($A322,'SegEnds_NonXtal_Prot#'!$A:$AL,5,FALSE)</f>
        <v>872</v>
      </c>
      <c r="AE322" s="5" t="str">
        <f>VLOOKUP($A322,'SegEnds_NonXtal_Prot#'!$A:$AL,8,FALSE)</f>
        <v>-</v>
      </c>
      <c r="AF322" s="5">
        <f>VLOOKUP($A322,'SegEnds_NonXtal_Prot#'!$A:$AL,11,FALSE)</f>
        <v>903</v>
      </c>
      <c r="AG322" s="5" t="str">
        <f>VLOOKUP($A322,'SegEnds_NonXtal_Prot#'!$A:$AL,14,FALSE)</f>
        <v>-</v>
      </c>
      <c r="AH322" s="5">
        <f>VLOOKUP($A322,'SegEnds_NonXtal_Prot#'!$A:$AL,17,FALSE)</f>
        <v>941</v>
      </c>
      <c r="AI322" s="5" t="str">
        <f>VLOOKUP($A322,'SegEnds_NonXtal_Prot#'!$A:$AL,20,FALSE)</f>
        <v>-</v>
      </c>
      <c r="AJ322" s="5">
        <f>VLOOKUP($A322,'SegEnds_NonXtal_Prot#'!$A:$AL,23,FALSE)</f>
        <v>976</v>
      </c>
      <c r="AK322" s="5">
        <f>VLOOKUP($A322,'SegEnds_NonXtal_Prot#'!$A:$AL,26,FALSE)</f>
        <v>984</v>
      </c>
      <c r="AL322" s="5">
        <f>VLOOKUP($A322,'SegEnds_NonXtal_Prot#'!$A:$AL,29,FALSE)</f>
        <v>1020</v>
      </c>
      <c r="AM322" s="5">
        <f>VLOOKUP($A322,'SegEnds_NonXtal_Prot#'!$A:$AL,32,FALSE)</f>
        <v>1056</v>
      </c>
      <c r="AN322" s="5">
        <f>VLOOKUP($A322,'SegEnds_NonXtal_Prot#'!$A:$AL,35,FALSE)</f>
        <v>1087</v>
      </c>
      <c r="AO322" s="5">
        <f>VLOOKUP($A322,'SegEnds_NonXtal_Prot#'!$A:$AL,38,FALSE)</f>
        <v>1104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27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25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'SegEnds_NonXtal_Prot#'!A314</f>
        <v>agrl3_human</v>
      </c>
      <c r="B323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23" s="5" t="str">
        <f t="shared" si="126"/>
        <v>EVKHSDAVHDLLLDVITWVGILLSLVCLLICIFTFCFF</v>
      </c>
      <c r="G323" s="4" t="str">
        <f t="shared" si="127"/>
        <v>RGLQ</v>
      </c>
      <c r="H323" s="4" t="str">
        <f t="shared" si="128"/>
        <v>SDRNTIHKNLCISLFVAELLFLIGINR</v>
      </c>
      <c r="I323" s="4" t="str">
        <f t="shared" si="129"/>
        <v/>
      </c>
      <c r="J323" s="4" t="str">
        <f t="shared" si="130"/>
        <v>IACAVFAALLHFFFLAAFTWMFLEGVQLYIMLVE</v>
      </c>
      <c r="K323" s="4" t="str">
        <f t="shared" si="131"/>
        <v/>
      </c>
      <c r="L323" s="4" t="str">
        <f t="shared" si="132"/>
        <v>SRRKYFYLVGYGMPALIVAVSAAVDYRSY</v>
      </c>
      <c r="M323" s="4" t="str">
        <f t="shared" si="133"/>
        <v>CWL</v>
      </c>
      <c r="N323" s="4" t="str">
        <f t="shared" si="134"/>
        <v>DTYFIWSFIGPATLIIMLNVIFLGIALYKMFHHT</v>
      </c>
      <c r="O323" s="4" t="str">
        <f t="shared" si="135"/>
        <v>NIKSWVIGAIALLCLLGLTWAFGLM</v>
      </c>
      <c r="P323" s="4" t="str">
        <f t="shared" si="136"/>
        <v>TVIMAYLFTIFNSLQGMFIFIFHCVL</v>
      </c>
      <c r="Q323" s="4" t="str">
        <f t="shared" si="137"/>
        <v>QKKVRKEYGKCLRTHCC</v>
      </c>
      <c r="R323" s="5">
        <f>VLOOKUP($A323,'SegEnds_NonXtal_Prot#'!$A:$AL,3,FALSE)</f>
        <v>852</v>
      </c>
      <c r="S323" s="5">
        <f>VLOOKUP($A323,'SegEnds_NonXtal_Prot#'!$A:$AL,6,FALSE)</f>
        <v>890</v>
      </c>
      <c r="T323" s="5">
        <f>VLOOKUP($A323,'SegEnds_NonXtal_Prot#'!$A:$AL,9,FALSE)</f>
        <v>894</v>
      </c>
      <c r="U323" s="5" t="str">
        <f>VLOOKUP($A323,'SegEnds_NonXtal_Prot#'!$A:$AL,12,FALSE)</f>
        <v>-</v>
      </c>
      <c r="V323" s="5">
        <f>VLOOKUP($A323,'SegEnds_NonXtal_Prot#'!$A:$AL,15,FALSE)</f>
        <v>925</v>
      </c>
      <c r="W323" s="5" t="str">
        <f>VLOOKUP($A323,'SegEnds_NonXtal_Prot#'!$A:$AL,18,FALSE)</f>
        <v>-</v>
      </c>
      <c r="X323" s="5">
        <f>VLOOKUP($A323,'SegEnds_NonXtal_Prot#'!$A:$AL,21,FALSE)</f>
        <v>965</v>
      </c>
      <c r="Y323" s="5">
        <f>VLOOKUP($A323,'SegEnds_NonXtal_Prot#'!$A:$AL,24,FALSE)</f>
        <v>999</v>
      </c>
      <c r="Z323" s="5">
        <f>VLOOKUP($A323,'SegEnds_NonXtal_Prot#'!$A:$AL,27,FALSE)</f>
        <v>1004</v>
      </c>
      <c r="AA323" s="5">
        <f>VLOOKUP($A323,'SegEnds_NonXtal_Prot#'!$A:$AL,30,FALSE)</f>
        <v>1049</v>
      </c>
      <c r="AB323" s="5">
        <f>VLOOKUP($A323,'SegEnds_NonXtal_Prot#'!$A:$AL,33,FALSE)</f>
        <v>1079</v>
      </c>
      <c r="AC323" s="5">
        <f>VLOOKUP($A323,'SegEnds_NonXtal_Prot#'!$A:$AL,36,FALSE)</f>
        <v>1105</v>
      </c>
      <c r="AD323" s="5">
        <f>VLOOKUP($A323,'SegEnds_NonXtal_Prot#'!$A:$AL,5,FALSE)</f>
        <v>889</v>
      </c>
      <c r="AE323" s="5">
        <f>VLOOKUP($A323,'SegEnds_NonXtal_Prot#'!$A:$AL,8,FALSE)</f>
        <v>893</v>
      </c>
      <c r="AF323" s="5">
        <f>VLOOKUP($A323,'SegEnds_NonXtal_Prot#'!$A:$AL,11,FALSE)</f>
        <v>920</v>
      </c>
      <c r="AG323" s="5" t="str">
        <f>VLOOKUP($A323,'SegEnds_NonXtal_Prot#'!$A:$AL,14,FALSE)</f>
        <v>-</v>
      </c>
      <c r="AH323" s="5">
        <f>VLOOKUP($A323,'SegEnds_NonXtal_Prot#'!$A:$AL,17,FALSE)</f>
        <v>958</v>
      </c>
      <c r="AI323" s="5" t="str">
        <f>VLOOKUP($A323,'SegEnds_NonXtal_Prot#'!$A:$AL,20,FALSE)</f>
        <v>-</v>
      </c>
      <c r="AJ323" s="5">
        <f>VLOOKUP($A323,'SegEnds_NonXtal_Prot#'!$A:$AL,23,FALSE)</f>
        <v>993</v>
      </c>
      <c r="AK323" s="5">
        <f>VLOOKUP($A323,'SegEnds_NonXtal_Prot#'!$A:$AL,26,FALSE)</f>
        <v>1001</v>
      </c>
      <c r="AL323" s="5">
        <f>VLOOKUP($A323,'SegEnds_NonXtal_Prot#'!$A:$AL,29,FALSE)</f>
        <v>1037</v>
      </c>
      <c r="AM323" s="5">
        <f>VLOOKUP($A323,'SegEnds_NonXtal_Prot#'!$A:$AL,32,FALSE)</f>
        <v>1073</v>
      </c>
      <c r="AN323" s="5">
        <f>VLOOKUP($A323,'SegEnds_NonXtal_Prot#'!$A:$AL,35,FALSE)</f>
        <v>1104</v>
      </c>
      <c r="AO323" s="5">
        <f>VLOOKUP($A323,'SegEnds_NonXtal_Prot#'!$A:$AL,38,FALSE)</f>
        <v>1121</v>
      </c>
      <c r="AP323" s="5">
        <f t="shared" si="138"/>
        <v>37</v>
      </c>
      <c r="AQ323" s="4">
        <f t="shared" si="139"/>
        <v>3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25</v>
      </c>
      <c r="BA323" s="4">
        <f t="shared" si="149"/>
        <v>16</v>
      </c>
    </row>
    <row r="324" spans="1:53" x14ac:dyDescent="0.2">
      <c r="A324" s="1" t="str">
        <f>'SegEnds_NonXtal_Prot#'!A315</f>
        <v>agrl4_human</v>
      </c>
      <c r="B324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24" s="5" t="str">
        <f t="shared" si="126"/>
        <v>SGPSIGIKDYNILTRITQLGIIISLICLAICIFTFWFF</v>
      </c>
      <c r="G324" s="4" t="str">
        <f t="shared" si="127"/>
        <v/>
      </c>
      <c r="H324" s="4" t="str">
        <f t="shared" si="128"/>
        <v>STRTTIHKNLCCSLFLAELVFLVGINT</v>
      </c>
      <c r="I324" s="4" t="str">
        <f t="shared" si="129"/>
        <v/>
      </c>
      <c r="J324" s="4" t="str">
        <f t="shared" si="130"/>
        <v>LFCSIIAGLLHYFFLAAFAWMCIEGIHLYLIVVG</v>
      </c>
      <c r="K324" s="4" t="str">
        <f t="shared" si="131"/>
        <v/>
      </c>
      <c r="L324" s="4" t="str">
        <f t="shared" si="132"/>
        <v>FLHKNFYIFGYLSPAVVVGFSAALGYRYY</v>
      </c>
      <c r="M324" s="4" t="str">
        <f t="shared" si="133"/>
        <v>CWL</v>
      </c>
      <c r="N324" s="4" t="str">
        <f t="shared" si="134"/>
        <v>ENNFIWSFIGPACLIILVNLLAFGVIIYKVFRHT</v>
      </c>
      <c r="O324" s="4" t="str">
        <f t="shared" si="135"/>
        <v>NIRSCARGALALLFLLGTTWIFGVL</v>
      </c>
      <c r="P324" s="4" t="str">
        <f t="shared" si="136"/>
        <v>SVVTAYLFTVSNAFQGMFIFLFLCVL</v>
      </c>
      <c r="Q324" s="4" t="str">
        <f t="shared" si="137"/>
        <v>SRKIQEEYYRLFKNVPC</v>
      </c>
      <c r="R324" s="5">
        <f>VLOOKUP($A324,'SegEnds_NonXtal_Prot#'!$A:$AL,3,FALSE)</f>
        <v>415</v>
      </c>
      <c r="S324" s="5" t="str">
        <f>VLOOKUP($A324,'SegEnds_NonXtal_Prot#'!$A:$AL,6,FALSE)</f>
        <v>-</v>
      </c>
      <c r="T324" s="5">
        <f>VLOOKUP($A324,'SegEnds_NonXtal_Prot#'!$A:$AL,9,FALSE)</f>
        <v>457</v>
      </c>
      <c r="U324" s="5" t="str">
        <f>VLOOKUP($A324,'SegEnds_NonXtal_Prot#'!$A:$AL,12,FALSE)</f>
        <v>-</v>
      </c>
      <c r="V324" s="5">
        <f>VLOOKUP($A324,'SegEnds_NonXtal_Prot#'!$A:$AL,15,FALSE)</f>
        <v>488</v>
      </c>
      <c r="W324" s="5" t="str">
        <f>VLOOKUP($A324,'SegEnds_NonXtal_Prot#'!$A:$AL,18,FALSE)</f>
        <v>-</v>
      </c>
      <c r="X324" s="5">
        <f>VLOOKUP($A324,'SegEnds_NonXtal_Prot#'!$A:$AL,21,FALSE)</f>
        <v>528</v>
      </c>
      <c r="Y324" s="5">
        <f>VLOOKUP($A324,'SegEnds_NonXtal_Prot#'!$A:$AL,24,FALSE)</f>
        <v>562</v>
      </c>
      <c r="Z324" s="5">
        <f>VLOOKUP($A324,'SegEnds_NonXtal_Prot#'!$A:$AL,27,FALSE)</f>
        <v>567</v>
      </c>
      <c r="AA324" s="5">
        <f>VLOOKUP($A324,'SegEnds_NonXtal_Prot#'!$A:$AL,30,FALSE)</f>
        <v>612</v>
      </c>
      <c r="AB324" s="5">
        <f>VLOOKUP($A324,'SegEnds_NonXtal_Prot#'!$A:$AL,33,FALSE)</f>
        <v>642</v>
      </c>
      <c r="AC324" s="5">
        <f>VLOOKUP($A324,'SegEnds_NonXtal_Prot#'!$A:$AL,36,FALSE)</f>
        <v>668</v>
      </c>
      <c r="AD324" s="5">
        <f>VLOOKUP($A324,'SegEnds_NonXtal_Prot#'!$A:$AL,5,FALSE)</f>
        <v>452</v>
      </c>
      <c r="AE324" s="5" t="str">
        <f>VLOOKUP($A324,'SegEnds_NonXtal_Prot#'!$A:$AL,8,FALSE)</f>
        <v>-</v>
      </c>
      <c r="AF324" s="5">
        <f>VLOOKUP($A324,'SegEnds_NonXtal_Prot#'!$A:$AL,11,FALSE)</f>
        <v>483</v>
      </c>
      <c r="AG324" s="5" t="str">
        <f>VLOOKUP($A324,'SegEnds_NonXtal_Prot#'!$A:$AL,14,FALSE)</f>
        <v>-</v>
      </c>
      <c r="AH324" s="5">
        <f>VLOOKUP($A324,'SegEnds_NonXtal_Prot#'!$A:$AL,17,FALSE)</f>
        <v>521</v>
      </c>
      <c r="AI324" s="5" t="str">
        <f>VLOOKUP($A324,'SegEnds_NonXtal_Prot#'!$A:$AL,20,FALSE)</f>
        <v>-</v>
      </c>
      <c r="AJ324" s="5">
        <f>VLOOKUP($A324,'SegEnds_NonXtal_Prot#'!$A:$AL,23,FALSE)</f>
        <v>556</v>
      </c>
      <c r="AK324" s="5">
        <f>VLOOKUP($A324,'SegEnds_NonXtal_Prot#'!$A:$AL,26,FALSE)</f>
        <v>564</v>
      </c>
      <c r="AL324" s="5">
        <f>VLOOKUP($A324,'SegEnds_NonXtal_Prot#'!$A:$AL,29,FALSE)</f>
        <v>600</v>
      </c>
      <c r="AM324" s="5">
        <f>VLOOKUP($A324,'SegEnds_NonXtal_Prot#'!$A:$AL,32,FALSE)</f>
        <v>636</v>
      </c>
      <c r="AN324" s="5">
        <f>VLOOKUP($A324,'SegEnds_NonXtal_Prot#'!$A:$AL,35,FALSE)</f>
        <v>667</v>
      </c>
      <c r="AO324" s="5">
        <f>VLOOKUP($A324,'SegEnds_NonXtal_Prot#'!$A:$AL,38,FALSE)</f>
        <v>684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'SegEnds_NonXtal_Prot#'!A316</f>
        <v>bai1_human</v>
      </c>
      <c r="B325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25" s="5" t="str">
        <f t="shared" si="126"/>
        <v>LSADANMEKATLPSVTLIVGCGVSSLTLLMLVIIYVSV</v>
      </c>
      <c r="G325" s="4" t="str">
        <f t="shared" si="127"/>
        <v/>
      </c>
      <c r="H325" s="4" t="str">
        <f t="shared" si="128"/>
        <v>SERSVILINFCLSIISSNALILIGQTQ</v>
      </c>
      <c r="I325" s="4" t="str">
        <f t="shared" si="129"/>
        <v/>
      </c>
      <c r="J325" s="4" t="str">
        <f t="shared" si="130"/>
        <v>VVCTLVAAFLHFFFLSSFCWVLTEAWQSYMAVTG</v>
      </c>
      <c r="K325" s="4" t="str">
        <f t="shared" si="131"/>
        <v/>
      </c>
      <c r="L325" s="4" t="str">
        <f t="shared" si="132"/>
        <v>LIRKRFLCLGWGLPALVVAISVGFTKAKG</v>
      </c>
      <c r="M325" s="4" t="str">
        <f t="shared" si="133"/>
        <v>CWL</v>
      </c>
      <c r="N325" s="4" t="str">
        <f t="shared" si="134"/>
        <v>EGGLLYAFVGPAAAVVLVNMVIGILVFNKLVSKD</v>
      </c>
      <c r="O325" s="4" t="str">
        <f t="shared" si="135"/>
        <v>RAGASLWSSCVVLPLLALTWMSAVL</v>
      </c>
      <c r="P325" s="4" t="str">
        <f t="shared" si="136"/>
        <v>SALFQILFAVFDSLEGFVIVMVHCIL</v>
      </c>
      <c r="Q325" s="4" t="str">
        <f t="shared" si="137"/>
        <v>RREVQDAVKCRVVDRQE</v>
      </c>
      <c r="R325" s="5">
        <f>VLOOKUP($A325,'SegEnds_NonXtal_Prot#'!$A:$AL,3,FALSE)</f>
        <v>935</v>
      </c>
      <c r="S325" s="5" t="str">
        <f>VLOOKUP($A325,'SegEnds_NonXtal_Prot#'!$A:$AL,6,FALSE)</f>
        <v>-</v>
      </c>
      <c r="T325" s="5">
        <f>VLOOKUP($A325,'SegEnds_NonXtal_Prot#'!$A:$AL,9,FALSE)</f>
        <v>978</v>
      </c>
      <c r="U325" s="5" t="str">
        <f>VLOOKUP($A325,'SegEnds_NonXtal_Prot#'!$A:$AL,12,FALSE)</f>
        <v>-</v>
      </c>
      <c r="V325" s="5">
        <f>VLOOKUP($A325,'SegEnds_NonXtal_Prot#'!$A:$AL,15,FALSE)</f>
        <v>1009</v>
      </c>
      <c r="W325" s="5" t="str">
        <f>VLOOKUP($A325,'SegEnds_NonXtal_Prot#'!$A:$AL,18,FALSE)</f>
        <v>-</v>
      </c>
      <c r="X325" s="5">
        <f>VLOOKUP($A325,'SegEnds_NonXtal_Prot#'!$A:$AL,21,FALSE)</f>
        <v>1048</v>
      </c>
      <c r="Y325" s="5">
        <f>VLOOKUP($A325,'SegEnds_NonXtal_Prot#'!$A:$AL,24,FALSE)</f>
        <v>1083</v>
      </c>
      <c r="Z325" s="5">
        <f>VLOOKUP($A325,'SegEnds_NonXtal_Prot#'!$A:$AL,27,FALSE)</f>
        <v>1088</v>
      </c>
      <c r="AA325" s="5">
        <f>VLOOKUP($A325,'SegEnds_NonXtal_Prot#'!$A:$AL,30,FALSE)</f>
        <v>1131</v>
      </c>
      <c r="AB325" s="5">
        <f>VLOOKUP($A325,'SegEnds_NonXtal_Prot#'!$A:$AL,33,FALSE)</f>
        <v>1162</v>
      </c>
      <c r="AC325" s="5">
        <f>VLOOKUP($A325,'SegEnds_NonXtal_Prot#'!$A:$AL,36,FALSE)</f>
        <v>1188</v>
      </c>
      <c r="AD325" s="5">
        <f>VLOOKUP($A325,'SegEnds_NonXtal_Prot#'!$A:$AL,5,FALSE)</f>
        <v>972</v>
      </c>
      <c r="AE325" s="5" t="str">
        <f>VLOOKUP($A325,'SegEnds_NonXtal_Prot#'!$A:$AL,8,FALSE)</f>
        <v>-</v>
      </c>
      <c r="AF325" s="5">
        <f>VLOOKUP($A325,'SegEnds_NonXtal_Prot#'!$A:$AL,11,FALSE)</f>
        <v>1004</v>
      </c>
      <c r="AG325" s="5" t="str">
        <f>VLOOKUP($A325,'SegEnds_NonXtal_Prot#'!$A:$AL,14,FALSE)</f>
        <v>-</v>
      </c>
      <c r="AH325" s="5">
        <f>VLOOKUP($A325,'SegEnds_NonXtal_Prot#'!$A:$AL,17,FALSE)</f>
        <v>1042</v>
      </c>
      <c r="AI325" s="5" t="str">
        <f>VLOOKUP($A325,'SegEnds_NonXtal_Prot#'!$A:$AL,20,FALSE)</f>
        <v>-</v>
      </c>
      <c r="AJ325" s="5">
        <f>VLOOKUP($A325,'SegEnds_NonXtal_Prot#'!$A:$AL,23,FALSE)</f>
        <v>1076</v>
      </c>
      <c r="AK325" s="5">
        <f>VLOOKUP($A325,'SegEnds_NonXtal_Prot#'!$A:$AL,26,FALSE)</f>
        <v>1085</v>
      </c>
      <c r="AL325" s="5">
        <f>VLOOKUP($A325,'SegEnds_NonXtal_Prot#'!$A:$AL,29,FALSE)</f>
        <v>1121</v>
      </c>
      <c r="AM325" s="5">
        <f>VLOOKUP($A325,'SegEnds_NonXtal_Prot#'!$A:$AL,32,FALSE)</f>
        <v>1155</v>
      </c>
      <c r="AN325" s="5">
        <f>VLOOKUP($A325,'SegEnds_NonXtal_Prot#'!$A:$AL,35,FALSE)</f>
        <v>1187</v>
      </c>
      <c r="AO325" s="5">
        <f>VLOOKUP($A325,'SegEnds_NonXtal_Prot#'!$A:$AL,38,FALSE)</f>
        <v>1204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'SegEnds_NonXtal_Prot#'!A317</f>
        <v>calcr_human</v>
      </c>
      <c r="B326" s="1" t="str">
        <f t="shared" si="125"/>
        <v>TMCNAFTPEKLKNAYVLYYLAIVGHSLSIFTLVISLGIFVFFCQRVTLHKNMFLTYILNSMIIIIHLVEVDPVSCKILHFFHQYMMACNYFWMLCEGIYLHTLIVVRLRWYYLLGWGFPLVPTTIHAITRAVYFLYIIHGPVMAALVVNFFFLLNIVRVLVTKMRYLKAVKATMILVPLLGIQFVVFPWKMLGKIYDYVMHSLIHFQGFFVATIYCFCNNEVQTTVKRQWAQFKIQWNQRWGRR</v>
      </c>
      <c r="C326" s="29" t="str">
        <f>IF(ISERROR(MATCH(A326,'SegEnds_Xtal_Prot#'!B:B, 0)), "NoXtal", "Xtal")</f>
        <v>Xtal</v>
      </c>
      <c r="D326" s="4" t="str">
        <f>VLOOKUP(A326,Classification!A:D,2,FALSE)</f>
        <v>B1</v>
      </c>
      <c r="E326" s="5" t="str">
        <f>VLOOKUP(A326,Seqs!A:B,2,FALSE)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26" s="5" t="str">
        <f t="shared" si="126"/>
        <v>TMCNAFTPEKLKNAYVLYYLAIVGHSLSIFTLVISLGIFVFF</v>
      </c>
      <c r="G326" s="4" t="str">
        <f t="shared" si="127"/>
        <v>RSLG</v>
      </c>
      <c r="H326" s="4" t="str">
        <f t="shared" si="128"/>
        <v>CQRVTLHKNMFLTYILNSMIIIIHLVEV</v>
      </c>
      <c r="I326" s="4" t="str">
        <f t="shared" si="129"/>
        <v/>
      </c>
      <c r="J326" s="4" t="str">
        <f t="shared" si="130"/>
        <v>DPVSCKILHFFHQYMMACNYFWMLCEGIYLHTLIVV</v>
      </c>
      <c r="K326" s="4" t="str">
        <f t="shared" si="131"/>
        <v/>
      </c>
      <c r="L326" s="4" t="str">
        <f t="shared" si="132"/>
        <v>RLRWYYLLGWGFPLVPTTIHAITRAVYF</v>
      </c>
      <c r="M326" s="4" t="str">
        <f t="shared" si="133"/>
        <v>CWL</v>
      </c>
      <c r="N326" s="4" t="str">
        <f t="shared" si="134"/>
        <v>LYIIHGPVMAALVVNFFFLLNIVRVLVTKMR</v>
      </c>
      <c r="O326" s="4" t="str">
        <f t="shared" si="135"/>
        <v>YLKAVKATMILVPLLGIQFVVFPW</v>
      </c>
      <c r="P326" s="4" t="str">
        <f t="shared" si="136"/>
        <v>KMLGKIYDYVMHSLIHFQGFFVATIYCFC</v>
      </c>
      <c r="Q326" s="4" t="str">
        <f t="shared" si="137"/>
        <v>NNEVQTTVKRQWAQFKIQWNQRWGRR</v>
      </c>
      <c r="R326" s="5">
        <f>VLOOKUP($A326,'SegEnds_NonXtal_Prot#'!$A:$AL,3,FALSE)</f>
        <v>132</v>
      </c>
      <c r="S326" s="5">
        <f>VLOOKUP($A326,'SegEnds_NonXtal_Prot#'!$A:$AL,6,FALSE)</f>
        <v>174</v>
      </c>
      <c r="T326" s="5">
        <f>VLOOKUP($A326,'SegEnds_NonXtal_Prot#'!$A:$AL,9,FALSE)</f>
        <v>178</v>
      </c>
      <c r="U326" s="5" t="str">
        <f>VLOOKUP($A326,'SegEnds_NonXtal_Prot#'!$A:$AL,12,FALSE)</f>
        <v>-</v>
      </c>
      <c r="V326" s="5">
        <f>VLOOKUP($A326,'SegEnds_NonXtal_Prot#'!$A:$AL,15,FALSE)</f>
        <v>215</v>
      </c>
      <c r="W326" s="5" t="str">
        <f>VLOOKUP($A326,'SegEnds_NonXtal_Prot#'!$A:$AL,18,FALSE)</f>
        <v>-</v>
      </c>
      <c r="X326" s="5">
        <f>VLOOKUP($A326,'SegEnds_NonXtal_Prot#'!$A:$AL,21,FALSE)</f>
        <v>258</v>
      </c>
      <c r="Y326" s="5">
        <f>VLOOKUP($A326,'SegEnds_NonXtal_Prot#'!$A:$AL,24,FALSE)</f>
        <v>289</v>
      </c>
      <c r="Z326" s="5">
        <f>VLOOKUP($A326,'SegEnds_NonXtal_Prot#'!$A:$AL,27,FALSE)</f>
        <v>298</v>
      </c>
      <c r="AA326" s="5">
        <f>VLOOKUP($A326,'SegEnds_NonXtal_Prot#'!$A:$AL,30,FALSE)</f>
        <v>338</v>
      </c>
      <c r="AB326" s="5">
        <f>VLOOKUP($A326,'SegEnds_NonXtal_Prot#'!$A:$AL,33,FALSE)</f>
        <v>366</v>
      </c>
      <c r="AC326" s="5">
        <f>VLOOKUP($A326,'SegEnds_NonXtal_Prot#'!$A:$AL,36,FALSE)</f>
        <v>395</v>
      </c>
      <c r="AD326" s="5">
        <f>VLOOKUP($A326,'SegEnds_NonXtal_Prot#'!$A:$AL,5,FALSE)</f>
        <v>173</v>
      </c>
      <c r="AE326" s="5">
        <f>VLOOKUP($A326,'SegEnds_NonXtal_Prot#'!$A:$AL,8,FALSE)</f>
        <v>177</v>
      </c>
      <c r="AF326" s="5">
        <f>VLOOKUP($A326,'SegEnds_NonXtal_Prot#'!$A:$AL,11,FALSE)</f>
        <v>205</v>
      </c>
      <c r="AG326" s="5" t="str">
        <f>VLOOKUP($A326,'SegEnds_NonXtal_Prot#'!$A:$AL,14,FALSE)</f>
        <v>-</v>
      </c>
      <c r="AH326" s="5">
        <f>VLOOKUP($A326,'SegEnds_NonXtal_Prot#'!$A:$AL,17,FALSE)</f>
        <v>250</v>
      </c>
      <c r="AI326" s="5" t="str">
        <f>VLOOKUP($A326,'SegEnds_NonXtal_Prot#'!$A:$AL,20,FALSE)</f>
        <v>-</v>
      </c>
      <c r="AJ326" s="5">
        <f>VLOOKUP($A326,'SegEnds_NonXtal_Prot#'!$A:$AL,23,FALSE)</f>
        <v>285</v>
      </c>
      <c r="AK326" s="5">
        <f>VLOOKUP($A326,'SegEnds_NonXtal_Prot#'!$A:$AL,26,FALSE)</f>
        <v>291</v>
      </c>
      <c r="AL326" s="5">
        <f>VLOOKUP($A326,'SegEnds_NonXtal_Prot#'!$A:$AL,29,FALSE)</f>
        <v>328</v>
      </c>
      <c r="AM326" s="5">
        <f>VLOOKUP($A326,'SegEnds_NonXtal_Prot#'!$A:$AL,32,FALSE)</f>
        <v>361</v>
      </c>
      <c r="AN326" s="5">
        <f>VLOOKUP($A326,'SegEnds_NonXtal_Prot#'!$A:$AL,35,FALSE)</f>
        <v>394</v>
      </c>
      <c r="AO326" s="5">
        <f>VLOOKUP($A326,'SegEnds_NonXtal_Prot#'!$A:$AL,38,FALSE)</f>
        <v>420</v>
      </c>
      <c r="AP326" s="5">
        <f t="shared" si="138"/>
        <v>41</v>
      </c>
      <c r="AQ326" s="4">
        <f t="shared" si="139"/>
        <v>3</v>
      </c>
      <c r="AR326" s="4">
        <f t="shared" si="140"/>
        <v>27</v>
      </c>
      <c r="AS326" s="4" t="str">
        <f t="shared" si="141"/>
        <v>-</v>
      </c>
      <c r="AT326" s="4">
        <f t="shared" si="142"/>
        <v>35</v>
      </c>
      <c r="AU326" s="4" t="str">
        <f t="shared" si="143"/>
        <v>-</v>
      </c>
      <c r="AV326" s="4">
        <f t="shared" si="144"/>
        <v>27</v>
      </c>
      <c r="AW326" s="4">
        <f t="shared" si="145"/>
        <v>2</v>
      </c>
      <c r="AX326" s="4">
        <f t="shared" si="146"/>
        <v>30</v>
      </c>
      <c r="AY326" s="4">
        <f t="shared" si="147"/>
        <v>23</v>
      </c>
      <c r="AZ326" s="4">
        <f t="shared" si="148"/>
        <v>28</v>
      </c>
      <c r="BA326" s="4">
        <f t="shared" si="149"/>
        <v>25</v>
      </c>
    </row>
    <row r="327" spans="1:53" x14ac:dyDescent="0.2">
      <c r="A327" s="1" t="str">
        <f>'SegEnds_NonXtal_Prot#'!A319</f>
        <v>casr_human</v>
      </c>
      <c r="B327" s="1" t="str">
        <f t="shared" si="125"/>
        <v>PFGIALTLFAVLGIFLTAFVLGVFIKFNRELSYLLLFSLLCCFSSSLFFIDWTCRLRQPAFGISFVLCISCILVKTNRVLLVFGLNLQFLLVFLCTFMQIVICVIWLYTALMALGFLIGYTCLLAAICFFFAFKSEAKFITFSMLIFFIVWISFIPAYASVSAVEVIAILAASFGLLACIFFNKIYIILFKPSRNTIEEVRCS</v>
      </c>
      <c r="C327" s="29" t="str">
        <f>IF(ISERROR(MATCH(A327,'SegEnds_Xtal_Prot#'!B:B, 0)), "NoXtal", "Xtal")</f>
        <v>NoXtal</v>
      </c>
      <c r="D327" s="4" t="str">
        <f>VLOOKUP(A327,Classification!A:D,2,FALSE)</f>
        <v>C</v>
      </c>
      <c r="E327" s="5" t="str">
        <f>VLOOKUP(A327,Seqs!A:B,2,FALSE)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27" s="5" t="str">
        <f t="shared" si="126"/>
        <v>PFGIALTLFAVLGIFLTAFVLGVFIKF</v>
      </c>
      <c r="G327" s="4" t="str">
        <f t="shared" si="127"/>
        <v>TPIVKAT</v>
      </c>
      <c r="H327" s="4" t="str">
        <f t="shared" si="128"/>
        <v>NRELSYLLLFSLLCCFSSSLFFI</v>
      </c>
      <c r="I327" s="4" t="str">
        <f t="shared" si="129"/>
        <v/>
      </c>
      <c r="J327" s="4" t="str">
        <f t="shared" si="130"/>
        <v>DWTCRLRQPAFGISFVLCISCILVKTNRVLLVF</v>
      </c>
      <c r="K327" s="4" t="str">
        <f t="shared" si="131"/>
        <v/>
      </c>
      <c r="L327" s="4" t="str">
        <f t="shared" si="132"/>
        <v>GLNLQFLLVFLCTFMQIVICVIWLYTA</v>
      </c>
      <c r="M327" s="4" t="str">
        <f t="shared" si="133"/>
        <v>CHE</v>
      </c>
      <c r="N327" s="4" t="str">
        <f t="shared" si="134"/>
        <v>LMALGFLIGYTCLLAAICFFFAFKS</v>
      </c>
      <c r="O327" s="4" t="str">
        <f t="shared" si="135"/>
        <v>EAKFITFSMLIFFIVWISFIPAYAS</v>
      </c>
      <c r="P327" s="4" t="str">
        <f t="shared" si="136"/>
        <v>VSAVEVIAILAASFGLLACIFFNKIYIILF</v>
      </c>
      <c r="Q327" s="4" t="str">
        <f t="shared" si="137"/>
        <v>KPSRNTIEEVRCS</v>
      </c>
      <c r="R327" s="5">
        <f>VLOOKUP($A327,'SegEnds_NonXtal_Prot#'!$A:$AL,3,FALSE)</f>
        <v>611</v>
      </c>
      <c r="S327" s="5">
        <f>VLOOKUP($A327,'SegEnds_NonXtal_Prot#'!$A:$AL,6,FALSE)</f>
        <v>640</v>
      </c>
      <c r="T327" s="5">
        <f>VLOOKUP($A327,'SegEnds_NonXtal_Prot#'!$A:$AL,9,FALSE)</f>
        <v>647</v>
      </c>
      <c r="U327" s="5" t="str">
        <f>VLOOKUP($A327,'SegEnds_NonXtal_Prot#'!$A:$AL,12,FALSE)</f>
        <v>-</v>
      </c>
      <c r="V327" s="5">
        <f>VLOOKUP($A327,'SegEnds_NonXtal_Prot#'!$A:$AL,15,FALSE)</f>
        <v>674</v>
      </c>
      <c r="W327" s="5" t="str">
        <f>VLOOKUP($A327,'SegEnds_NonXtal_Prot#'!$A:$AL,18,FALSE)</f>
        <v>-</v>
      </c>
      <c r="X327" s="5">
        <f>VLOOKUP($A327,'SegEnds_NonXtal_Prot#'!$A:$AL,21,FALSE)</f>
        <v>720</v>
      </c>
      <c r="Y327" s="5">
        <f>VLOOKUP($A327,'SegEnds_NonXtal_Prot#'!$A:$AL,24,FALSE)</f>
        <v>765</v>
      </c>
      <c r="Z327" s="5">
        <f>VLOOKUP($A327,'SegEnds_NonXtal_Prot#'!$A:$AL,27,FALSE)</f>
        <v>770</v>
      </c>
      <c r="AA327" s="5">
        <f>VLOOKUP($A327,'SegEnds_NonXtal_Prot#'!$A:$AL,30,FALSE)</f>
        <v>803</v>
      </c>
      <c r="AB327" s="5">
        <f>VLOOKUP($A327,'SegEnds_NonXtal_Prot#'!$A:$AL,33,FALSE)</f>
        <v>833</v>
      </c>
      <c r="AC327" s="5">
        <f>VLOOKUP($A327,'SegEnds_NonXtal_Prot#'!$A:$AL,36,FALSE)</f>
        <v>863</v>
      </c>
      <c r="AD327" s="5">
        <f>VLOOKUP($A327,'SegEnds_NonXtal_Prot#'!$A:$AL,5,FALSE)</f>
        <v>637</v>
      </c>
      <c r="AE327" s="5">
        <f>VLOOKUP($A327,'SegEnds_NonXtal_Prot#'!$A:$AL,8,FALSE)</f>
        <v>646</v>
      </c>
      <c r="AF327" s="5">
        <f>VLOOKUP($A327,'SegEnds_NonXtal_Prot#'!$A:$AL,11,FALSE)</f>
        <v>669</v>
      </c>
      <c r="AG327" s="5" t="str">
        <f>VLOOKUP($A327,'SegEnds_NonXtal_Prot#'!$A:$AL,14,FALSE)</f>
        <v>-</v>
      </c>
      <c r="AH327" s="5">
        <f>VLOOKUP($A327,'SegEnds_NonXtal_Prot#'!$A:$AL,17,FALSE)</f>
        <v>706</v>
      </c>
      <c r="AI327" s="5" t="str">
        <f>VLOOKUP($A327,'SegEnds_NonXtal_Prot#'!$A:$AL,20,FALSE)</f>
        <v>-</v>
      </c>
      <c r="AJ327" s="5">
        <f>VLOOKUP($A327,'SegEnds_NonXtal_Prot#'!$A:$AL,23,FALSE)</f>
        <v>746</v>
      </c>
      <c r="AK327" s="5">
        <f>VLOOKUP($A327,'SegEnds_NonXtal_Prot#'!$A:$AL,26,FALSE)</f>
        <v>767</v>
      </c>
      <c r="AL327" s="5">
        <f>VLOOKUP($A327,'SegEnds_NonXtal_Prot#'!$A:$AL,29,FALSE)</f>
        <v>794</v>
      </c>
      <c r="AM327" s="5">
        <f>VLOOKUP($A327,'SegEnds_NonXtal_Prot#'!$A:$AL,32,FALSE)</f>
        <v>827</v>
      </c>
      <c r="AN327" s="5">
        <f>VLOOKUP($A327,'SegEnds_NonXtal_Prot#'!$A:$AL,35,FALSE)</f>
        <v>862</v>
      </c>
      <c r="AO327" s="5">
        <f>VLOOKUP($A327,'SegEnds_NonXtal_Prot#'!$A:$AL,38,FALSE)</f>
        <v>875</v>
      </c>
      <c r="AP327" s="5">
        <f t="shared" si="138"/>
        <v>26</v>
      </c>
      <c r="AQ327" s="4">
        <f t="shared" si="139"/>
        <v>6</v>
      </c>
      <c r="AR327" s="4">
        <f t="shared" si="140"/>
        <v>22</v>
      </c>
      <c r="AS327" s="4" t="str">
        <f t="shared" si="141"/>
        <v>-</v>
      </c>
      <c r="AT327" s="4">
        <f t="shared" si="142"/>
        <v>32</v>
      </c>
      <c r="AU327" s="4" t="str">
        <f t="shared" si="143"/>
        <v>-</v>
      </c>
      <c r="AV327" s="4">
        <f t="shared" si="144"/>
        <v>26</v>
      </c>
      <c r="AW327" s="4">
        <f t="shared" si="145"/>
        <v>2</v>
      </c>
      <c r="AX327" s="4">
        <f t="shared" si="146"/>
        <v>24</v>
      </c>
      <c r="AY327" s="4">
        <f t="shared" si="147"/>
        <v>24</v>
      </c>
      <c r="AZ327" s="4">
        <f t="shared" si="148"/>
        <v>29</v>
      </c>
      <c r="BA327" s="4">
        <f t="shared" si="149"/>
        <v>12</v>
      </c>
    </row>
    <row r="328" spans="1:53" x14ac:dyDescent="0.2">
      <c r="A328" s="1" t="str">
        <f>'SegEnds_NonXtal_Prot#'!A320</f>
        <v>ccr10_human</v>
      </c>
      <c r="B328" s="1" t="str">
        <f t="shared" si="125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328" s="29" t="str">
        <f>IF(ISERROR(MATCH(A328,'SegEnds_Xtal_Prot#'!B:B, 0)), "NoXtal", "Xtal")</f>
        <v>NoXtal</v>
      </c>
      <c r="D328" s="4" t="str">
        <f>VLOOKUP(A328,Classification!A:D,2,FALSE)</f>
        <v>A</v>
      </c>
      <c r="E328" s="5" t="str">
        <f>VLOOKUP(A328,Seqs!A:B,2,FALSE)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328" s="5" t="str">
        <f t="shared" si="126"/>
        <v>VQAFSRAFQPSVSLTVAALGLAGNGLVLATHLAA</v>
      </c>
      <c r="G328" s="4" t="str">
        <f t="shared" si="127"/>
        <v>RRAA</v>
      </c>
      <c r="H328" s="4" t="str">
        <f t="shared" si="128"/>
        <v>RSPTSAHLLQLALADLLLALTLPFAAAGALQ</v>
      </c>
      <c r="I328" s="4" t="str">
        <f t="shared" si="129"/>
        <v>GWSL</v>
      </c>
      <c r="J328" s="4" t="str">
        <f t="shared" si="130"/>
        <v>GSATCRTISGLYSASFHAGFLFLACISADRYVAIAR</v>
      </c>
      <c r="K328" s="4" t="str">
        <f t="shared" si="131"/>
        <v/>
      </c>
      <c r="L328" s="4" t="str">
        <f t="shared" si="132"/>
        <v>TPGRAHLVSVIVWLLSLLLALPALLFS</v>
      </c>
      <c r="M328" s="4" t="str">
        <f t="shared" si="133"/>
        <v>CRL</v>
      </c>
      <c r="N328" s="4" t="str">
        <f t="shared" si="134"/>
        <v>TVKGASAVAQVALGFALPLGVMVACYALLGRTLLAA</v>
      </c>
      <c r="O328" s="4" t="str">
        <f t="shared" si="135"/>
        <v>RRRALRVVVALVAAFVVLQLPYSLALLLDTADLLAA</v>
      </c>
      <c r="P328" s="4" t="str">
        <f t="shared" si="136"/>
        <v>SCPASKRKDVALLVTSGLALARCGLNPVLYAFL</v>
      </c>
      <c r="Q328" s="4" t="str">
        <f t="shared" si="137"/>
        <v>GLRFRQDLRRLLRGGSCPSGP</v>
      </c>
      <c r="R328" s="5">
        <f>VLOOKUP($A328,'SegEnds_NonXtal_Prot#'!$A:$AL,3,FALSE)</f>
        <v>36</v>
      </c>
      <c r="S328" s="5">
        <f>VLOOKUP($A328,'SegEnds_NonXtal_Prot#'!$A:$AL,6,FALSE)</f>
        <v>70</v>
      </c>
      <c r="T328" s="5">
        <f>VLOOKUP($A328,'SegEnds_NonXtal_Prot#'!$A:$AL,9,FALSE)</f>
        <v>74</v>
      </c>
      <c r="U328" s="5">
        <f>VLOOKUP($A328,'SegEnds_NonXtal_Prot#'!$A:$AL,12,FALSE)</f>
        <v>105</v>
      </c>
      <c r="V328" s="5">
        <f>VLOOKUP($A328,'SegEnds_NonXtal_Prot#'!$A:$AL,15,FALSE)</f>
        <v>109</v>
      </c>
      <c r="W328" s="5" t="str">
        <f>VLOOKUP($A328,'SegEnds_NonXtal_Prot#'!$A:$AL,18,FALSE)</f>
        <v>-</v>
      </c>
      <c r="X328" s="5">
        <f>VLOOKUP($A328,'SegEnds_NonXtal_Prot#'!$A:$AL,21,FALSE)</f>
        <v>154</v>
      </c>
      <c r="Y328" s="5">
        <f>VLOOKUP($A328,'SegEnds_NonXtal_Prot#'!$A:$AL,24,FALSE)</f>
        <v>191</v>
      </c>
      <c r="Z328" s="5">
        <f>VLOOKUP($A328,'SegEnds_NonXtal_Prot#'!$A:$AL,27,FALSE)</f>
        <v>202</v>
      </c>
      <c r="AA328" s="5">
        <f>VLOOKUP($A328,'SegEnds_NonXtal_Prot#'!$A:$AL,30,FALSE)</f>
        <v>242</v>
      </c>
      <c r="AB328" s="5">
        <f>VLOOKUP($A328,'SegEnds_NonXtal_Prot#'!$A:$AL,33,FALSE)</f>
        <v>281</v>
      </c>
      <c r="AC328" s="5">
        <f>VLOOKUP($A328,'SegEnds_NonXtal_Prot#'!$A:$AL,36,FALSE)</f>
        <v>314</v>
      </c>
      <c r="AD328" s="5">
        <f>VLOOKUP($A328,'SegEnds_NonXtal_Prot#'!$A:$AL,5,FALSE)</f>
        <v>69</v>
      </c>
      <c r="AE328" s="5">
        <f>VLOOKUP($A328,'SegEnds_NonXtal_Prot#'!$A:$AL,8,FALSE)</f>
        <v>73</v>
      </c>
      <c r="AF328" s="5">
        <f>VLOOKUP($A328,'SegEnds_NonXtal_Prot#'!$A:$AL,11,FALSE)</f>
        <v>104</v>
      </c>
      <c r="AG328" s="5">
        <f>VLOOKUP($A328,'SegEnds_NonXtal_Prot#'!$A:$AL,14,FALSE)</f>
        <v>108</v>
      </c>
      <c r="AH328" s="5">
        <f>VLOOKUP($A328,'SegEnds_NonXtal_Prot#'!$A:$AL,17,FALSE)</f>
        <v>144</v>
      </c>
      <c r="AI328" s="5" t="str">
        <f>VLOOKUP($A328,'SegEnds_NonXtal_Prot#'!$A:$AL,20,FALSE)</f>
        <v>-</v>
      </c>
      <c r="AJ328" s="5">
        <f>VLOOKUP($A328,'SegEnds_NonXtal_Prot#'!$A:$AL,23,FALSE)</f>
        <v>180</v>
      </c>
      <c r="AK328" s="5">
        <f>VLOOKUP($A328,'SegEnds_NonXtal_Prot#'!$A:$AL,26,FALSE)</f>
        <v>193</v>
      </c>
      <c r="AL328" s="5">
        <f>VLOOKUP($A328,'SegEnds_NonXtal_Prot#'!$A:$AL,29,FALSE)</f>
        <v>237</v>
      </c>
      <c r="AM328" s="5">
        <f>VLOOKUP($A328,'SegEnds_NonXtal_Prot#'!$A:$AL,32,FALSE)</f>
        <v>277</v>
      </c>
      <c r="AN328" s="5">
        <f>VLOOKUP($A328,'SegEnds_NonXtal_Prot#'!$A:$AL,35,FALSE)</f>
        <v>313</v>
      </c>
      <c r="AO328" s="5">
        <f>VLOOKUP($A328,'SegEnds_NonXtal_Prot#'!$A:$AL,38,FALSE)</f>
        <v>334</v>
      </c>
      <c r="AP328" s="5">
        <f t="shared" si="138"/>
        <v>33</v>
      </c>
      <c r="AQ328" s="4">
        <f t="shared" si="139"/>
        <v>3</v>
      </c>
      <c r="AR328" s="4">
        <f t="shared" si="140"/>
        <v>30</v>
      </c>
      <c r="AS328" s="4">
        <f t="shared" si="141"/>
        <v>3</v>
      </c>
      <c r="AT328" s="4">
        <f t="shared" si="142"/>
        <v>35</v>
      </c>
      <c r="AU328" s="4" t="str">
        <f t="shared" si="143"/>
        <v>-</v>
      </c>
      <c r="AV328" s="4">
        <f t="shared" si="144"/>
        <v>26</v>
      </c>
      <c r="AW328" s="4">
        <f t="shared" si="145"/>
        <v>2</v>
      </c>
      <c r="AX328" s="4">
        <f t="shared" si="146"/>
        <v>35</v>
      </c>
      <c r="AY328" s="4">
        <f t="shared" si="147"/>
        <v>35</v>
      </c>
      <c r="AZ328" s="4">
        <f t="shared" si="148"/>
        <v>32</v>
      </c>
      <c r="BA328" s="4">
        <f t="shared" si="149"/>
        <v>20</v>
      </c>
    </row>
    <row r="329" spans="1:53" x14ac:dyDescent="0.2">
      <c r="A329" s="1" t="str">
        <f>'SegEnds_NonXtal_Prot#'!A321</f>
        <v>cd97_human</v>
      </c>
      <c r="B329" s="1" t="str">
        <f t="shared" si="125"/>
        <v>ILMAHYDVEDWKLTLITRVGLALSLFCLLLCILTFLLVGSRTTIHLHLCICLFVGSTIFLAGIENLRCRLVAGLLHYCFLAAFCWMSLEGLELYFLVVRQGLSTRWLCLIGYGVPLLIVGVSAAIYSKGYEQGFLWSFLGPVTFIILCNAVIFVTTVWKLTQKFKARALTITAIAQLFLLGCTWVFGLFIFDDRSLVLTYVFTILNCLQGAFLYLLHCLLNKKVREEYRKWACLVAG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29" s="5" t="str">
        <f t="shared" si="126"/>
        <v>ILMAHYDVEDWKLTLITRVGLALSLFCLLLCILTFLLV</v>
      </c>
      <c r="G329" s="4" t="str">
        <f t="shared" si="127"/>
        <v/>
      </c>
      <c r="H329" s="4" t="str">
        <f t="shared" si="128"/>
        <v>GSRTTIHLHLCICLFVGSTIFLAGIEN</v>
      </c>
      <c r="I329" s="4" t="str">
        <f t="shared" si="129"/>
        <v/>
      </c>
      <c r="J329" s="4" t="str">
        <f t="shared" si="130"/>
        <v>LRCRLVAGLLHYCFLAAFCWMSLEGLELYFLVVR</v>
      </c>
      <c r="K329" s="4" t="str">
        <f t="shared" si="131"/>
        <v/>
      </c>
      <c r="L329" s="4" t="str">
        <f t="shared" si="132"/>
        <v>QGLSTRWLCLIGYGVPLLIVGVSAAIYSKGY</v>
      </c>
      <c r="M329" s="4" t="str">
        <f t="shared" si="133"/>
        <v>CWL</v>
      </c>
      <c r="N329" s="4" t="str">
        <f t="shared" si="134"/>
        <v>EQGFLWSFLGPVTFIILCNAVIFVTTVWKLTQKF</v>
      </c>
      <c r="O329" s="4" t="str">
        <f t="shared" si="135"/>
        <v>KARALTITAIAQLFLLGCTWVFGLFIFDDR</v>
      </c>
      <c r="P329" s="4" t="str">
        <f t="shared" si="136"/>
        <v>SLVLTYVFTILNCLQGAFLYLLHCLL</v>
      </c>
      <c r="Q329" s="4" t="str">
        <f t="shared" si="137"/>
        <v>NKKVREEYRKWACLVAG</v>
      </c>
      <c r="R329" s="5">
        <f>VLOOKUP($A329,'SegEnds_NonXtal_Prot#'!$A:$AL,3,FALSE)</f>
        <v>535</v>
      </c>
      <c r="S329" s="5" t="str">
        <f>VLOOKUP($A329,'SegEnds_NonXtal_Prot#'!$A:$AL,6,FALSE)</f>
        <v>-</v>
      </c>
      <c r="T329" s="5">
        <f>VLOOKUP($A329,'SegEnds_NonXtal_Prot#'!$A:$AL,9,FALSE)</f>
        <v>577</v>
      </c>
      <c r="U329" s="5" t="str">
        <f>VLOOKUP($A329,'SegEnds_NonXtal_Prot#'!$A:$AL,12,FALSE)</f>
        <v>-</v>
      </c>
      <c r="V329" s="5">
        <f>VLOOKUP($A329,'SegEnds_NonXtal_Prot#'!$A:$AL,15,FALSE)</f>
        <v>610</v>
      </c>
      <c r="W329" s="5" t="str">
        <f>VLOOKUP($A329,'SegEnds_NonXtal_Prot#'!$A:$AL,18,FALSE)</f>
        <v>-</v>
      </c>
      <c r="X329" s="5">
        <f>VLOOKUP($A329,'SegEnds_NonXtal_Prot#'!$A:$AL,21,FALSE)</f>
        <v>648</v>
      </c>
      <c r="Y329" s="5">
        <f>VLOOKUP($A329,'SegEnds_NonXtal_Prot#'!$A:$AL,24,FALSE)</f>
        <v>684</v>
      </c>
      <c r="Z329" s="5">
        <f>VLOOKUP($A329,'SegEnds_NonXtal_Prot#'!$A:$AL,27,FALSE)</f>
        <v>689</v>
      </c>
      <c r="AA329" s="5">
        <f>VLOOKUP($A329,'SegEnds_NonXtal_Prot#'!$A:$AL,30,FALSE)</f>
        <v>734</v>
      </c>
      <c r="AB329" s="5">
        <f>VLOOKUP($A329,'SegEnds_NonXtal_Prot#'!$A:$AL,33,FALSE)</f>
        <v>764</v>
      </c>
      <c r="AC329" s="5">
        <f>VLOOKUP($A329,'SegEnds_NonXtal_Prot#'!$A:$AL,36,FALSE)</f>
        <v>790</v>
      </c>
      <c r="AD329" s="5">
        <f>VLOOKUP($A329,'SegEnds_NonXtal_Prot#'!$A:$AL,5,FALSE)</f>
        <v>572</v>
      </c>
      <c r="AE329" s="5" t="str">
        <f>VLOOKUP($A329,'SegEnds_NonXtal_Prot#'!$A:$AL,8,FALSE)</f>
        <v>-</v>
      </c>
      <c r="AF329" s="5">
        <f>VLOOKUP($A329,'SegEnds_NonXtal_Prot#'!$A:$AL,11,FALSE)</f>
        <v>603</v>
      </c>
      <c r="AG329" s="5" t="str">
        <f>VLOOKUP($A329,'SegEnds_NonXtal_Prot#'!$A:$AL,14,FALSE)</f>
        <v>-</v>
      </c>
      <c r="AH329" s="5">
        <f>VLOOKUP($A329,'SegEnds_NonXtal_Prot#'!$A:$AL,17,FALSE)</f>
        <v>643</v>
      </c>
      <c r="AI329" s="5" t="str">
        <f>VLOOKUP($A329,'SegEnds_NonXtal_Prot#'!$A:$AL,20,FALSE)</f>
        <v>-</v>
      </c>
      <c r="AJ329" s="5">
        <f>VLOOKUP($A329,'SegEnds_NonXtal_Prot#'!$A:$AL,23,FALSE)</f>
        <v>678</v>
      </c>
      <c r="AK329" s="5">
        <f>VLOOKUP($A329,'SegEnds_NonXtal_Prot#'!$A:$AL,26,FALSE)</f>
        <v>686</v>
      </c>
      <c r="AL329" s="5">
        <f>VLOOKUP($A329,'SegEnds_NonXtal_Prot#'!$A:$AL,29,FALSE)</f>
        <v>722</v>
      </c>
      <c r="AM329" s="5">
        <f>VLOOKUP($A329,'SegEnds_NonXtal_Prot#'!$A:$AL,32,FALSE)</f>
        <v>763</v>
      </c>
      <c r="AN329" s="5">
        <f>VLOOKUP($A329,'SegEnds_NonXtal_Prot#'!$A:$AL,35,FALSE)</f>
        <v>789</v>
      </c>
      <c r="AO329" s="5">
        <f>VLOOKUP($A329,'SegEnds_NonXtal_Prot#'!$A:$AL,38,FALSE)</f>
        <v>806</v>
      </c>
      <c r="AP329" s="5">
        <f t="shared" si="138"/>
        <v>37</v>
      </c>
      <c r="AQ329" s="4" t="str">
        <f t="shared" si="139"/>
        <v>-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30</v>
      </c>
      <c r="AW329" s="4">
        <f t="shared" si="145"/>
        <v>2</v>
      </c>
      <c r="AX329" s="4">
        <f t="shared" si="146"/>
        <v>33</v>
      </c>
      <c r="AY329" s="4">
        <f t="shared" si="147"/>
        <v>29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'SegEnds_NonXtal_Prot#'!A322</f>
        <v>celr1_human</v>
      </c>
      <c r="B330" s="1" t="str">
        <f t="shared" si="125"/>
        <v>DISRRENGEVLPLKIVTYAAVSLSLAALLVAFVLLSLVSNLHSIHKHLAVALFLSQLVFVIGINQFLCTVVAILLHYIYMSTFAWTLVESLHVYRMLTEPMRFYYVVGWGIPAIVTGLAVGLDPQGYQDTLIWSFAGPIGAVIIINTVTSVLSAKVSCQRKGIVSLLRTAFLLLLLISATWLLGLLALSFHYLFAIFSGLQGPFVLLFHCVLNQEVRKHLKGVLGGRKL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30" s="5" t="str">
        <f t="shared" si="126"/>
        <v>DISRRENGEVLPLKIVTYAAVSLSLAALLVAFVLLSLV</v>
      </c>
      <c r="G330" s="4" t="str">
        <f t="shared" si="127"/>
        <v>RMLR</v>
      </c>
      <c r="H330" s="4" t="str">
        <f t="shared" si="128"/>
        <v>SNLHSIHKHLAVALFLSQLVFVIGINQ</v>
      </c>
      <c r="I330" s="4" t="str">
        <f t="shared" si="129"/>
        <v/>
      </c>
      <c r="J330" s="4" t="str">
        <f t="shared" si="130"/>
        <v>FLCTVVAILLHYIYMSTFAWTLVESLHVYRMLTE</v>
      </c>
      <c r="K330" s="4" t="str">
        <f t="shared" si="131"/>
        <v/>
      </c>
      <c r="L330" s="4" t="str">
        <f t="shared" si="132"/>
        <v>PMRFYYVVGWGIPAIVTGLAVGLDPQGY</v>
      </c>
      <c r="M330" s="4" t="str">
        <f t="shared" si="133"/>
        <v>CWL</v>
      </c>
      <c r="N330" s="4" t="str">
        <f t="shared" si="134"/>
        <v>QDTLIWSFAGPIGAVIIINTVTSVLSAKVSCQRK</v>
      </c>
      <c r="O330" s="4" t="str">
        <f t="shared" si="135"/>
        <v>GIVSLLRTAFLLLLLISATWLLGLL</v>
      </c>
      <c r="P330" s="4" t="str">
        <f t="shared" si="136"/>
        <v>ALSFHYLFAIFSGLQGPFVLLFHCVL</v>
      </c>
      <c r="Q330" s="4" t="str">
        <f t="shared" si="137"/>
        <v>NQEVRKHLKGVLGGRKL</v>
      </c>
      <c r="R330" s="5">
        <f>VLOOKUP($A330,'SegEnds_NonXtal_Prot#'!$A:$AL,3,FALSE)</f>
        <v>2456</v>
      </c>
      <c r="S330" s="5">
        <f>VLOOKUP($A330,'SegEnds_NonXtal_Prot#'!$A:$AL,6,FALSE)</f>
        <v>2494</v>
      </c>
      <c r="T330" s="5">
        <f>VLOOKUP($A330,'SegEnds_NonXtal_Prot#'!$A:$AL,9,FALSE)</f>
        <v>2498</v>
      </c>
      <c r="U330" s="5" t="str">
        <f>VLOOKUP($A330,'SegEnds_NonXtal_Prot#'!$A:$AL,12,FALSE)</f>
        <v>-</v>
      </c>
      <c r="V330" s="5">
        <f>VLOOKUP($A330,'SegEnds_NonXtal_Prot#'!$A:$AL,15,FALSE)</f>
        <v>2529</v>
      </c>
      <c r="W330" s="5" t="str">
        <f>VLOOKUP($A330,'SegEnds_NonXtal_Prot#'!$A:$AL,18,FALSE)</f>
        <v>-</v>
      </c>
      <c r="X330" s="5">
        <f>VLOOKUP($A330,'SegEnds_NonXtal_Prot#'!$A:$AL,21,FALSE)</f>
        <v>2570</v>
      </c>
      <c r="Y330" s="5">
        <f>VLOOKUP($A330,'SegEnds_NonXtal_Prot#'!$A:$AL,24,FALSE)</f>
        <v>2603</v>
      </c>
      <c r="Z330" s="5">
        <f>VLOOKUP($A330,'SegEnds_NonXtal_Prot#'!$A:$AL,27,FALSE)</f>
        <v>2608</v>
      </c>
      <c r="AA330" s="5">
        <f>VLOOKUP($A330,'SegEnds_NonXtal_Prot#'!$A:$AL,30,FALSE)</f>
        <v>2649</v>
      </c>
      <c r="AB330" s="5">
        <f>VLOOKUP($A330,'SegEnds_NonXtal_Prot#'!$A:$AL,33,FALSE)</f>
        <v>2679</v>
      </c>
      <c r="AC330" s="5">
        <f>VLOOKUP($A330,'SegEnds_NonXtal_Prot#'!$A:$AL,36,FALSE)</f>
        <v>2705</v>
      </c>
      <c r="AD330" s="5">
        <f>VLOOKUP($A330,'SegEnds_NonXtal_Prot#'!$A:$AL,5,FALSE)</f>
        <v>2493</v>
      </c>
      <c r="AE330" s="5">
        <f>VLOOKUP($A330,'SegEnds_NonXtal_Prot#'!$A:$AL,8,FALSE)</f>
        <v>2497</v>
      </c>
      <c r="AF330" s="5">
        <f>VLOOKUP($A330,'SegEnds_NonXtal_Prot#'!$A:$AL,11,FALSE)</f>
        <v>2524</v>
      </c>
      <c r="AG330" s="5" t="str">
        <f>VLOOKUP($A330,'SegEnds_NonXtal_Prot#'!$A:$AL,14,FALSE)</f>
        <v>-</v>
      </c>
      <c r="AH330" s="5">
        <f>VLOOKUP($A330,'SegEnds_NonXtal_Prot#'!$A:$AL,17,FALSE)</f>
        <v>2562</v>
      </c>
      <c r="AI330" s="5" t="str">
        <f>VLOOKUP($A330,'SegEnds_NonXtal_Prot#'!$A:$AL,20,FALSE)</f>
        <v>-</v>
      </c>
      <c r="AJ330" s="5">
        <f>VLOOKUP($A330,'SegEnds_NonXtal_Prot#'!$A:$AL,23,FALSE)</f>
        <v>2597</v>
      </c>
      <c r="AK330" s="5">
        <f>VLOOKUP($A330,'SegEnds_NonXtal_Prot#'!$A:$AL,26,FALSE)</f>
        <v>2605</v>
      </c>
      <c r="AL330" s="5">
        <f>VLOOKUP($A330,'SegEnds_NonXtal_Prot#'!$A:$AL,29,FALSE)</f>
        <v>2641</v>
      </c>
      <c r="AM330" s="5">
        <f>VLOOKUP($A330,'SegEnds_NonXtal_Prot#'!$A:$AL,32,FALSE)</f>
        <v>2673</v>
      </c>
      <c r="AN330" s="5">
        <f>VLOOKUP($A330,'SegEnds_NonXtal_Prot#'!$A:$AL,35,FALSE)</f>
        <v>2704</v>
      </c>
      <c r="AO330" s="5">
        <f>VLOOKUP($A330,'SegEnds_NonXtal_Prot#'!$A:$AL,38,FALSE)</f>
        <v>2721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27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25</v>
      </c>
      <c r="BA330" s="4">
        <f t="shared" si="149"/>
        <v>16</v>
      </c>
    </row>
    <row r="331" spans="1:53" x14ac:dyDescent="0.2">
      <c r="A331" s="1" t="str">
        <f>'SegEnds_NonXtal_Prot#'!A323</f>
        <v>celr2_human</v>
      </c>
      <c r="B331" s="1" t="str">
        <f t="shared" si="125"/>
        <v>DVSRRENGEILPLKTLTYVALGVTLAALLLTFFFLTLLSNQHGIRRNLTAALGLAQLVFLLGINQFACTVIAILLHFLYLCTFSWALLEALHLYRALTEPMRFYYMLGWGVPAFITGLAVGLDPEGYYDTLIWSFAGPVAFAVSMSVFLYILAARASCAAQGPVSGLQPSFAVLLLLSATWLLALLTLLFHYLFATCNCIQGPFIFLSYVVLSKEVRKALKLACSRKPS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31" s="5" t="str">
        <f t="shared" si="126"/>
        <v>DVSRRENGEILPLKTLTYVALGVTLAALLLTFFFLTLL</v>
      </c>
      <c r="G331" s="4" t="str">
        <f t="shared" si="127"/>
        <v>RILR</v>
      </c>
      <c r="H331" s="4" t="str">
        <f t="shared" si="128"/>
        <v>SNQHGIRRNLTAALGLAQLVFLLGINQ</v>
      </c>
      <c r="I331" s="4" t="str">
        <f t="shared" si="129"/>
        <v/>
      </c>
      <c r="J331" s="4" t="str">
        <f t="shared" si="130"/>
        <v>FACTVIAILLHFLYLCTFSWALLEALHLYRALTE</v>
      </c>
      <c r="K331" s="4" t="str">
        <f t="shared" si="131"/>
        <v/>
      </c>
      <c r="L331" s="4" t="str">
        <f t="shared" si="132"/>
        <v>PMRFYYMLGWGVPAFITGLAVGLDPEGY</v>
      </c>
      <c r="M331" s="4" t="str">
        <f t="shared" si="133"/>
        <v>CWL</v>
      </c>
      <c r="N331" s="4" t="str">
        <f t="shared" si="134"/>
        <v>YDTLIWSFAGPVAFAVSMSVFLYILAARASCAAQ</v>
      </c>
      <c r="O331" s="4" t="str">
        <f t="shared" si="135"/>
        <v>GPVSGLQPSFAVLLLLSATWLLALL</v>
      </c>
      <c r="P331" s="4" t="str">
        <f t="shared" si="136"/>
        <v>TLLFHYLFATCNCIQGPFIFLSYVVL</v>
      </c>
      <c r="Q331" s="4" t="str">
        <f t="shared" si="137"/>
        <v>SKEVRKALKLACSRKPS</v>
      </c>
      <c r="R331" s="5">
        <f>VLOOKUP($A331,'SegEnds_NonXtal_Prot#'!$A:$AL,3,FALSE)</f>
        <v>2364</v>
      </c>
      <c r="S331" s="5">
        <f>VLOOKUP($A331,'SegEnds_NonXtal_Prot#'!$A:$AL,6,FALSE)</f>
        <v>2402</v>
      </c>
      <c r="T331" s="5">
        <f>VLOOKUP($A331,'SegEnds_NonXtal_Prot#'!$A:$AL,9,FALSE)</f>
        <v>2406</v>
      </c>
      <c r="U331" s="5" t="str">
        <f>VLOOKUP($A331,'SegEnds_NonXtal_Prot#'!$A:$AL,12,FALSE)</f>
        <v>-</v>
      </c>
      <c r="V331" s="5">
        <f>VLOOKUP($A331,'SegEnds_NonXtal_Prot#'!$A:$AL,15,FALSE)</f>
        <v>2437</v>
      </c>
      <c r="W331" s="5" t="str">
        <f>VLOOKUP($A331,'SegEnds_NonXtal_Prot#'!$A:$AL,18,FALSE)</f>
        <v>-</v>
      </c>
      <c r="X331" s="5">
        <f>VLOOKUP($A331,'SegEnds_NonXtal_Prot#'!$A:$AL,21,FALSE)</f>
        <v>2478</v>
      </c>
      <c r="Y331" s="5">
        <f>VLOOKUP($A331,'SegEnds_NonXtal_Prot#'!$A:$AL,24,FALSE)</f>
        <v>2511</v>
      </c>
      <c r="Z331" s="5">
        <f>VLOOKUP($A331,'SegEnds_NonXtal_Prot#'!$A:$AL,27,FALSE)</f>
        <v>2516</v>
      </c>
      <c r="AA331" s="5">
        <f>VLOOKUP($A331,'SegEnds_NonXtal_Prot#'!$A:$AL,30,FALSE)</f>
        <v>2557</v>
      </c>
      <c r="AB331" s="5">
        <f>VLOOKUP($A331,'SegEnds_NonXtal_Prot#'!$A:$AL,33,FALSE)</f>
        <v>2587</v>
      </c>
      <c r="AC331" s="5">
        <f>VLOOKUP($A331,'SegEnds_NonXtal_Prot#'!$A:$AL,36,FALSE)</f>
        <v>2613</v>
      </c>
      <c r="AD331" s="5">
        <f>VLOOKUP($A331,'SegEnds_NonXtal_Prot#'!$A:$AL,5,FALSE)</f>
        <v>2401</v>
      </c>
      <c r="AE331" s="5">
        <f>VLOOKUP($A331,'SegEnds_NonXtal_Prot#'!$A:$AL,8,FALSE)</f>
        <v>2405</v>
      </c>
      <c r="AF331" s="5">
        <f>VLOOKUP($A331,'SegEnds_NonXtal_Prot#'!$A:$AL,11,FALSE)</f>
        <v>2432</v>
      </c>
      <c r="AG331" s="5" t="str">
        <f>VLOOKUP($A331,'SegEnds_NonXtal_Prot#'!$A:$AL,14,FALSE)</f>
        <v>-</v>
      </c>
      <c r="AH331" s="5">
        <f>VLOOKUP($A331,'SegEnds_NonXtal_Prot#'!$A:$AL,17,FALSE)</f>
        <v>2470</v>
      </c>
      <c r="AI331" s="5" t="str">
        <f>VLOOKUP($A331,'SegEnds_NonXtal_Prot#'!$A:$AL,20,FALSE)</f>
        <v>-</v>
      </c>
      <c r="AJ331" s="5">
        <f>VLOOKUP($A331,'SegEnds_NonXtal_Prot#'!$A:$AL,23,FALSE)</f>
        <v>2505</v>
      </c>
      <c r="AK331" s="5">
        <f>VLOOKUP($A331,'SegEnds_NonXtal_Prot#'!$A:$AL,26,FALSE)</f>
        <v>2513</v>
      </c>
      <c r="AL331" s="5">
        <f>VLOOKUP($A331,'SegEnds_NonXtal_Prot#'!$A:$AL,29,FALSE)</f>
        <v>2549</v>
      </c>
      <c r="AM331" s="5">
        <f>VLOOKUP($A331,'SegEnds_NonXtal_Prot#'!$A:$AL,32,FALSE)</f>
        <v>2581</v>
      </c>
      <c r="AN331" s="5">
        <f>VLOOKUP($A331,'SegEnds_NonXtal_Prot#'!$A:$AL,35,FALSE)</f>
        <v>2612</v>
      </c>
      <c r="AO331" s="5">
        <f>VLOOKUP($A331,'SegEnds_NonXtal_Prot#'!$A:$AL,38,FALSE)</f>
        <v>2629</v>
      </c>
      <c r="AP331" s="5">
        <f t="shared" si="138"/>
        <v>37</v>
      </c>
      <c r="AQ331" s="4">
        <f t="shared" si="139"/>
        <v>3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27</v>
      </c>
      <c r="AW331" s="4">
        <f t="shared" si="145"/>
        <v>2</v>
      </c>
      <c r="AX331" s="4">
        <f t="shared" si="146"/>
        <v>33</v>
      </c>
      <c r="AY331" s="4">
        <f t="shared" si="147"/>
        <v>24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'SegEnds_NonXtal_Prot#'!A325</f>
        <v>crfr1_human</v>
      </c>
      <c r="B332" s="1" t="str">
        <f t="shared" si="125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32" s="29" t="str">
        <f>IF(ISERROR(MATCH(A332,'SegEnds_Xtal_Prot#'!B:B, 0)), "NoXtal", "Xtal")</f>
        <v>Xtal</v>
      </c>
      <c r="D332" s="4" t="str">
        <f>VLOOKUP(A332,Classification!A:D,2,FALSE)</f>
        <v>B1</v>
      </c>
      <c r="E332" s="5" t="str">
        <f>VLOOKUP(A332,Seqs!A:B,2,FALSE)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32" s="5" t="str">
        <f t="shared" si="126"/>
        <v>QEILNEEKKSKVHYHVAVIINYLGHCISLVALLVAFVLFLRL</v>
      </c>
      <c r="G332" s="4" t="str">
        <f t="shared" si="127"/>
        <v>RSIR</v>
      </c>
      <c r="H332" s="4" t="str">
        <f t="shared" si="128"/>
        <v>CLRNIIHWNLISAFILRNATWFVVQLT</v>
      </c>
      <c r="I332" s="4" t="str">
        <f t="shared" si="129"/>
        <v/>
      </c>
      <c r="J332" s="4" t="str">
        <f t="shared" si="130"/>
        <v>VGWCRLVTAAYNYFHVTNFFWMFGEGCYLHTAIVL</v>
      </c>
      <c r="K332" s="4" t="str">
        <f t="shared" si="131"/>
        <v/>
      </c>
      <c r="L332" s="4" t="str">
        <f t="shared" si="132"/>
        <v>LRKWMFICIGWGVPFPIIVAWAIGKLYYD</v>
      </c>
      <c r="M332" s="4" t="str">
        <f t="shared" si="133"/>
        <v>CWF</v>
      </c>
      <c r="N332" s="4" t="str">
        <f t="shared" si="134"/>
        <v>TDYIYQGPMILVLLINFIFLFNIVRILMTKL</v>
      </c>
      <c r="O332" s="4" t="str">
        <f t="shared" si="135"/>
        <v>SETIQYRKAVKATLVLLPLLGITYMLFFV</v>
      </c>
      <c r="P332" s="4" t="str">
        <f t="shared" si="136"/>
        <v>VSRVVFIYFNSFLESFQGFFVSVFYCFL</v>
      </c>
      <c r="Q332" s="4" t="str">
        <f t="shared" si="137"/>
        <v>NSEVRSAIRKRWHRWQDKHSIRARVA</v>
      </c>
      <c r="R332" s="5">
        <f>VLOOKUP($A332,'SegEnds_NonXtal_Prot#'!$A:$AL,3,FALSE)</f>
        <v>103</v>
      </c>
      <c r="S332" s="5">
        <f>VLOOKUP($A332,'SegEnds_NonXtal_Prot#'!$A:$AL,6,FALSE)</f>
        <v>145</v>
      </c>
      <c r="T332" s="5">
        <f>VLOOKUP($A332,'SegEnds_NonXtal_Prot#'!$A:$AL,9,FALSE)</f>
        <v>149</v>
      </c>
      <c r="U332" s="5" t="str">
        <f>VLOOKUP($A332,'SegEnds_NonXtal_Prot#'!$A:$AL,12,FALSE)</f>
        <v>-</v>
      </c>
      <c r="V332" s="5">
        <f>VLOOKUP($A332,'SegEnds_NonXtal_Prot#'!$A:$AL,15,FALSE)</f>
        <v>185</v>
      </c>
      <c r="W332" s="5" t="str">
        <f>VLOOKUP($A332,'SegEnds_NonXtal_Prot#'!$A:$AL,18,FALSE)</f>
        <v>-</v>
      </c>
      <c r="X332" s="5">
        <f>VLOOKUP($A332,'SegEnds_NonXtal_Prot#'!$A:$AL,21,FALSE)</f>
        <v>226</v>
      </c>
      <c r="Y332" s="5">
        <f>VLOOKUP($A332,'SegEnds_NonXtal_Prot#'!$A:$AL,24,FALSE)</f>
        <v>258</v>
      </c>
      <c r="Z332" s="5">
        <f>VLOOKUP($A332,'SegEnds_NonXtal_Prot#'!$A:$AL,27,FALSE)</f>
        <v>268</v>
      </c>
      <c r="AA332" s="5">
        <f>VLOOKUP($A332,'SegEnds_NonXtal_Prot#'!$A:$AL,30,FALSE)</f>
        <v>304</v>
      </c>
      <c r="AB332" s="5">
        <f>VLOOKUP($A332,'SegEnds_NonXtal_Prot#'!$A:$AL,33,FALSE)</f>
        <v>339</v>
      </c>
      <c r="AC332" s="5">
        <f>VLOOKUP($A332,'SegEnds_NonXtal_Prot#'!$A:$AL,36,FALSE)</f>
        <v>367</v>
      </c>
      <c r="AD332" s="5">
        <f>VLOOKUP($A332,'SegEnds_NonXtal_Prot#'!$A:$AL,5,FALSE)</f>
        <v>144</v>
      </c>
      <c r="AE332" s="5">
        <f>VLOOKUP($A332,'SegEnds_NonXtal_Prot#'!$A:$AL,8,FALSE)</f>
        <v>148</v>
      </c>
      <c r="AF332" s="5">
        <f>VLOOKUP($A332,'SegEnds_NonXtal_Prot#'!$A:$AL,11,FALSE)</f>
        <v>175</v>
      </c>
      <c r="AG332" s="5" t="str">
        <f>VLOOKUP($A332,'SegEnds_NonXtal_Prot#'!$A:$AL,14,FALSE)</f>
        <v>-</v>
      </c>
      <c r="AH332" s="5">
        <f>VLOOKUP($A332,'SegEnds_NonXtal_Prot#'!$A:$AL,17,FALSE)</f>
        <v>219</v>
      </c>
      <c r="AI332" s="5" t="str">
        <f>VLOOKUP($A332,'SegEnds_NonXtal_Prot#'!$A:$AL,20,FALSE)</f>
        <v>-</v>
      </c>
      <c r="AJ332" s="5">
        <f>VLOOKUP($A332,'SegEnds_NonXtal_Prot#'!$A:$AL,23,FALSE)</f>
        <v>254</v>
      </c>
      <c r="AK332" s="5">
        <f>VLOOKUP($A332,'SegEnds_NonXtal_Prot#'!$A:$AL,26,FALSE)</f>
        <v>260</v>
      </c>
      <c r="AL332" s="5">
        <f>VLOOKUP($A332,'SegEnds_NonXtal_Prot#'!$A:$AL,29,FALSE)</f>
        <v>298</v>
      </c>
      <c r="AM332" s="5">
        <f>VLOOKUP($A332,'SegEnds_NonXtal_Prot#'!$A:$AL,32,FALSE)</f>
        <v>332</v>
      </c>
      <c r="AN332" s="5">
        <f>VLOOKUP($A332,'SegEnds_NonXtal_Prot#'!$A:$AL,35,FALSE)</f>
        <v>366</v>
      </c>
      <c r="AO332" s="5">
        <f>VLOOKUP($A332,'SegEnds_NonXtal_Prot#'!$A:$AL,38,FALSE)</f>
        <v>392</v>
      </c>
      <c r="AP332" s="5">
        <f t="shared" si="138"/>
        <v>41</v>
      </c>
      <c r="AQ332" s="4">
        <f t="shared" si="139"/>
        <v>3</v>
      </c>
      <c r="AR332" s="4">
        <f t="shared" si="140"/>
        <v>26</v>
      </c>
      <c r="AS332" s="4" t="str">
        <f t="shared" si="141"/>
        <v>-</v>
      </c>
      <c r="AT332" s="4">
        <f t="shared" si="142"/>
        <v>34</v>
      </c>
      <c r="AU332" s="4" t="str">
        <f t="shared" si="143"/>
        <v>-</v>
      </c>
      <c r="AV332" s="4">
        <f t="shared" si="144"/>
        <v>28</v>
      </c>
      <c r="AW332" s="4">
        <f t="shared" si="145"/>
        <v>2</v>
      </c>
      <c r="AX332" s="4">
        <f t="shared" si="146"/>
        <v>30</v>
      </c>
      <c r="AY332" s="4">
        <f t="shared" si="147"/>
        <v>28</v>
      </c>
      <c r="AZ332" s="4">
        <f t="shared" si="148"/>
        <v>27</v>
      </c>
      <c r="BA332" s="4">
        <f t="shared" si="149"/>
        <v>25</v>
      </c>
    </row>
    <row r="333" spans="1:53" x14ac:dyDescent="0.2">
      <c r="A333" s="1" t="str">
        <f>'SegEnds_NonXtal_Prot#'!A326</f>
        <v>crfr2_human</v>
      </c>
      <c r="B333" s="1" t="str">
        <f t="shared" si="125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33" s="29" t="str">
        <f>IF(ISERROR(MATCH(A333,'SegEnds_Xtal_Prot#'!B:B, 0)), "NoXtal", "Xtal")</f>
        <v>NoXtal</v>
      </c>
      <c r="D333" s="4" t="str">
        <f>VLOOKUP(A333,Classification!A:D,2,FALSE)</f>
        <v>B1</v>
      </c>
      <c r="E333" s="5" t="str">
        <f>VLOOKUP(A333,Seqs!A:B,2,FALSE)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33" s="5" t="str">
        <f t="shared" si="126"/>
        <v>PILDDKQRKYDLHYRIALVVNYLGHCVSVAALVAAFLLFLAL</v>
      </c>
      <c r="G333" s="4" t="str">
        <f t="shared" si="127"/>
        <v>RSIR</v>
      </c>
      <c r="H333" s="4" t="str">
        <f t="shared" si="128"/>
        <v>CLRNVIHWNLITTFILRNVMWFLLQLV</v>
      </c>
      <c r="I333" s="4" t="str">
        <f t="shared" si="129"/>
        <v/>
      </c>
      <c r="J333" s="4" t="str">
        <f t="shared" si="130"/>
        <v>EVWCRCITTIFNYFVVTNFFWMFVEGCYLHTAIVM</v>
      </c>
      <c r="K333" s="4" t="str">
        <f t="shared" si="131"/>
        <v/>
      </c>
      <c r="L333" s="4" t="str">
        <f t="shared" si="132"/>
        <v>LRKCLFLFIGWCIPFPIIVAWAIGKLYYE</v>
      </c>
      <c r="M333" s="4" t="str">
        <f t="shared" si="133"/>
        <v>CWF</v>
      </c>
      <c r="N333" s="4" t="str">
        <f t="shared" si="134"/>
        <v>VDYIYQGPIILVLLINFVFLFNIVRILMTKL</v>
      </c>
      <c r="O333" s="4" t="str">
        <f t="shared" si="135"/>
        <v>SETIQYRKAVKATLVLLPLLGITYMLFFV</v>
      </c>
      <c r="P333" s="4" t="str">
        <f t="shared" si="136"/>
        <v>LSQIMFIYFNSFLQSFQGFFVSVFYCFF</v>
      </c>
      <c r="Q333" s="4" t="str">
        <f t="shared" si="137"/>
        <v>NGEVRSAVRKRWHRWQDHHSLRVPMA</v>
      </c>
      <c r="R333" s="5">
        <f>VLOOKUP($A333,'SegEnds_NonXtal_Prot#'!$A:$AL,3,FALSE)</f>
        <v>100</v>
      </c>
      <c r="S333" s="5">
        <f>VLOOKUP($A333,'SegEnds_NonXtal_Prot#'!$A:$AL,6,FALSE)</f>
        <v>142</v>
      </c>
      <c r="T333" s="5">
        <f>VLOOKUP($A333,'SegEnds_NonXtal_Prot#'!$A:$AL,9,FALSE)</f>
        <v>146</v>
      </c>
      <c r="U333" s="5" t="str">
        <f>VLOOKUP($A333,'SegEnds_NonXtal_Prot#'!$A:$AL,12,FALSE)</f>
        <v>-</v>
      </c>
      <c r="V333" s="5">
        <f>VLOOKUP($A333,'SegEnds_NonXtal_Prot#'!$A:$AL,15,FALSE)</f>
        <v>181</v>
      </c>
      <c r="W333" s="5" t="str">
        <f>VLOOKUP($A333,'SegEnds_NonXtal_Prot#'!$A:$AL,18,FALSE)</f>
        <v>-</v>
      </c>
      <c r="X333" s="5">
        <f>VLOOKUP($A333,'SegEnds_NonXtal_Prot#'!$A:$AL,21,FALSE)</f>
        <v>222</v>
      </c>
      <c r="Y333" s="5">
        <f>VLOOKUP($A333,'SegEnds_NonXtal_Prot#'!$A:$AL,24,FALSE)</f>
        <v>254</v>
      </c>
      <c r="Z333" s="5">
        <f>VLOOKUP($A333,'SegEnds_NonXtal_Prot#'!$A:$AL,27,FALSE)</f>
        <v>264</v>
      </c>
      <c r="AA333" s="5">
        <f>VLOOKUP($A333,'SegEnds_NonXtal_Prot#'!$A:$AL,30,FALSE)</f>
        <v>300</v>
      </c>
      <c r="AB333" s="5">
        <f>VLOOKUP($A333,'SegEnds_NonXtal_Prot#'!$A:$AL,33,FALSE)</f>
        <v>335</v>
      </c>
      <c r="AC333" s="5">
        <f>VLOOKUP($A333,'SegEnds_NonXtal_Prot#'!$A:$AL,36,FALSE)</f>
        <v>363</v>
      </c>
      <c r="AD333" s="5">
        <f>VLOOKUP($A333,'SegEnds_NonXtal_Prot#'!$A:$AL,5,FALSE)</f>
        <v>141</v>
      </c>
      <c r="AE333" s="5">
        <f>VLOOKUP($A333,'SegEnds_NonXtal_Prot#'!$A:$AL,8,FALSE)</f>
        <v>145</v>
      </c>
      <c r="AF333" s="5">
        <f>VLOOKUP($A333,'SegEnds_NonXtal_Prot#'!$A:$AL,11,FALSE)</f>
        <v>172</v>
      </c>
      <c r="AG333" s="5" t="str">
        <f>VLOOKUP($A333,'SegEnds_NonXtal_Prot#'!$A:$AL,14,FALSE)</f>
        <v>-</v>
      </c>
      <c r="AH333" s="5">
        <f>VLOOKUP($A333,'SegEnds_NonXtal_Prot#'!$A:$AL,17,FALSE)</f>
        <v>215</v>
      </c>
      <c r="AI333" s="5" t="str">
        <f>VLOOKUP($A333,'SegEnds_NonXtal_Prot#'!$A:$AL,20,FALSE)</f>
        <v>-</v>
      </c>
      <c r="AJ333" s="5">
        <f>VLOOKUP($A333,'SegEnds_NonXtal_Prot#'!$A:$AL,23,FALSE)</f>
        <v>250</v>
      </c>
      <c r="AK333" s="5">
        <f>VLOOKUP($A333,'SegEnds_NonXtal_Prot#'!$A:$AL,26,FALSE)</f>
        <v>256</v>
      </c>
      <c r="AL333" s="5">
        <f>VLOOKUP($A333,'SegEnds_NonXtal_Prot#'!$A:$AL,29,FALSE)</f>
        <v>294</v>
      </c>
      <c r="AM333" s="5">
        <f>VLOOKUP($A333,'SegEnds_NonXtal_Prot#'!$A:$AL,32,FALSE)</f>
        <v>328</v>
      </c>
      <c r="AN333" s="5">
        <f>VLOOKUP($A333,'SegEnds_NonXtal_Prot#'!$A:$AL,35,FALSE)</f>
        <v>362</v>
      </c>
      <c r="AO333" s="5">
        <f>VLOOKUP($A333,'SegEnds_NonXtal_Prot#'!$A:$AL,38,FALSE)</f>
        <v>388</v>
      </c>
      <c r="AP333" s="5">
        <f t="shared" si="138"/>
        <v>41</v>
      </c>
      <c r="AQ333" s="4">
        <f t="shared" si="139"/>
        <v>3</v>
      </c>
      <c r="AR333" s="4">
        <f t="shared" si="140"/>
        <v>26</v>
      </c>
      <c r="AS333" s="4" t="str">
        <f t="shared" si="141"/>
        <v>-</v>
      </c>
      <c r="AT333" s="4">
        <f t="shared" si="142"/>
        <v>34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30</v>
      </c>
      <c r="AY333" s="4">
        <f t="shared" si="147"/>
        <v>28</v>
      </c>
      <c r="AZ333" s="4">
        <f t="shared" si="148"/>
        <v>27</v>
      </c>
      <c r="BA333" s="4">
        <f t="shared" si="149"/>
        <v>25</v>
      </c>
    </row>
    <row r="334" spans="1:53" x14ac:dyDescent="0.2">
      <c r="A334" s="1" t="str">
        <f>'SegEnds_NonXtal_Prot#'!A327</f>
        <v>fzd1_human</v>
      </c>
      <c r="B334" s="1" t="str">
        <f t="shared" si="125"/>
        <v>PEELRFSRTWIGIWSVLCCASTLFTVLTYLVDYPERPIIFLSGCYTAVAVAYIAGFEGCTILFMMLYFFSMASSIWWVILSLTWFLAAGMKWGIEANSQYFHLAAWAVPAIKTITILALVDALRGFVLAPLFVYLFIGTSFLLAGFVSLFRIRTIMTEKLEKLMVRIGVFSVLYTVPATIVIACYFYEQAFRDQWERSWVAQSCKSYAIPCFTVFMIKYLMTLIVGITSGFWIWSGKTLNSWRKFYTRLT</v>
      </c>
      <c r="C334" s="29" t="str">
        <f>IF(ISERROR(MATCH(A334,'SegEnds_Xtal_Prot#'!B:B, 0)), "NoXtal", "Xtal")</f>
        <v>NoXtal</v>
      </c>
      <c r="D334" s="4" t="str">
        <f>VLOOKUP(A334,Classification!A:D,2,FALSE)</f>
        <v>F</v>
      </c>
      <c r="E334" s="5" t="str">
        <f>VLOOKUP(A334,Seqs!A:B,2,FALSE)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34" s="5" t="str">
        <f t="shared" si="126"/>
        <v>PEELRFSRTWIGIWSVLCCASTLFTVLTYLVD</v>
      </c>
      <c r="G334" s="4" t="str">
        <f t="shared" si="127"/>
        <v>MRRFS</v>
      </c>
      <c r="H334" s="4" t="str">
        <f t="shared" si="128"/>
        <v>YPERPIIFLSGCYTAVAVAYIAGF</v>
      </c>
      <c r="I334" s="4" t="str">
        <f t="shared" si="129"/>
        <v/>
      </c>
      <c r="J334" s="4" t="str">
        <f t="shared" si="130"/>
        <v>EGCTILFMMLYFFSMASSIWWVILSLTWFLAAGMKWG</v>
      </c>
      <c r="K334" s="4" t="str">
        <f t="shared" si="131"/>
        <v/>
      </c>
      <c r="L334" s="4" t="str">
        <f t="shared" si="132"/>
        <v>IEANSQYFHLAAWAVPAIKTITILAL</v>
      </c>
      <c r="M334" s="4" t="str">
        <f t="shared" si="133"/>
        <v>CFV</v>
      </c>
      <c r="N334" s="4" t="str">
        <f t="shared" si="134"/>
        <v>VDALRGFVLAPLFVYLFIGTSFLLAGFVSLFRIRTIM</v>
      </c>
      <c r="O334" s="4" t="str">
        <f t="shared" si="135"/>
        <v>TEKLEKLMVRIGVFSVLYTVPATIVIACYFYEQAFRDQWERSWVAQSCKSYAIPC</v>
      </c>
      <c r="P334" s="4" t="str">
        <f t="shared" si="136"/>
        <v>FTVFMIKYLMTLIVGITSGFWIW</v>
      </c>
      <c r="Q334" s="4" t="str">
        <f t="shared" si="137"/>
        <v>SGKTLNSWRKFYTRLT</v>
      </c>
      <c r="R334" s="5">
        <f>VLOOKUP($A334,'SegEnds_NonXtal_Prot#'!$A:$AL,3,FALSE)</f>
        <v>313</v>
      </c>
      <c r="S334" s="5">
        <f>VLOOKUP($A334,'SegEnds_NonXtal_Prot#'!$A:$AL,6,FALSE)</f>
        <v>345</v>
      </c>
      <c r="T334" s="5">
        <f>VLOOKUP($A334,'SegEnds_NonXtal_Prot#'!$A:$AL,9,FALSE)</f>
        <v>350</v>
      </c>
      <c r="U334" s="5" t="str">
        <f>VLOOKUP($A334,'SegEnds_NonXtal_Prot#'!$A:$AL,12,FALSE)</f>
        <v>-</v>
      </c>
      <c r="V334" s="5">
        <f>VLOOKUP($A334,'SegEnds_NonXtal_Prot#'!$A:$AL,15,FALSE)</f>
        <v>400</v>
      </c>
      <c r="W334" s="5" t="str">
        <f>VLOOKUP($A334,'SegEnds_NonXtal_Prot#'!$A:$AL,18,FALSE)</f>
        <v>-</v>
      </c>
      <c r="X334" s="5">
        <f>VLOOKUP($A334,'SegEnds_NonXtal_Prot#'!$A:$AL,21,FALSE)</f>
        <v>440</v>
      </c>
      <c r="Y334" s="5">
        <f>VLOOKUP($A334,'SegEnds_NonXtal_Prot#'!$A:$AL,24,FALSE)</f>
        <v>477</v>
      </c>
      <c r="Z334" s="5">
        <f>VLOOKUP($A334,'SegEnds_NonXtal_Prot#'!$A:$AL,27,FALSE)</f>
        <v>484</v>
      </c>
      <c r="AA334" s="5">
        <f>VLOOKUP($A334,'SegEnds_NonXtal_Prot#'!$A:$AL,30,FALSE)</f>
        <v>527</v>
      </c>
      <c r="AB334" s="5">
        <f>VLOOKUP($A334,'SegEnds_NonXtal_Prot#'!$A:$AL,33,FALSE)</f>
        <v>600</v>
      </c>
      <c r="AC334" s="5">
        <f>VLOOKUP($A334,'SegEnds_NonXtal_Prot#'!$A:$AL,36,FALSE)</f>
        <v>623</v>
      </c>
      <c r="AD334" s="5">
        <f>VLOOKUP($A334,'SegEnds_NonXtal_Prot#'!$A:$AL,5,FALSE)</f>
        <v>344</v>
      </c>
      <c r="AE334" s="5">
        <f>VLOOKUP($A334,'SegEnds_NonXtal_Prot#'!$A:$AL,8,FALSE)</f>
        <v>349</v>
      </c>
      <c r="AF334" s="5">
        <f>VLOOKUP($A334,'SegEnds_NonXtal_Prot#'!$A:$AL,11,FALSE)</f>
        <v>373</v>
      </c>
      <c r="AG334" s="5" t="str">
        <f>VLOOKUP($A334,'SegEnds_NonXtal_Prot#'!$A:$AL,14,FALSE)</f>
        <v>-</v>
      </c>
      <c r="AH334" s="5">
        <f>VLOOKUP($A334,'SegEnds_NonXtal_Prot#'!$A:$AL,17,FALSE)</f>
        <v>436</v>
      </c>
      <c r="AI334" s="5" t="str">
        <f>VLOOKUP($A334,'SegEnds_NonXtal_Prot#'!$A:$AL,20,FALSE)</f>
        <v>-</v>
      </c>
      <c r="AJ334" s="5">
        <f>VLOOKUP($A334,'SegEnds_NonXtal_Prot#'!$A:$AL,23,FALSE)</f>
        <v>465</v>
      </c>
      <c r="AK334" s="5">
        <f>VLOOKUP($A334,'SegEnds_NonXtal_Prot#'!$A:$AL,26,FALSE)</f>
        <v>479</v>
      </c>
      <c r="AL334" s="5">
        <f>VLOOKUP($A334,'SegEnds_NonXtal_Prot#'!$A:$AL,29,FALSE)</f>
        <v>520</v>
      </c>
      <c r="AM334" s="5">
        <f>VLOOKUP($A334,'SegEnds_NonXtal_Prot#'!$A:$AL,32,FALSE)</f>
        <v>581</v>
      </c>
      <c r="AN334" s="5">
        <f>VLOOKUP($A334,'SegEnds_NonXtal_Prot#'!$A:$AL,35,FALSE)</f>
        <v>622</v>
      </c>
      <c r="AO334" s="5">
        <f>VLOOKUP($A334,'SegEnds_NonXtal_Prot#'!$A:$AL,38,FALSE)</f>
        <v>638</v>
      </c>
      <c r="AP334" s="5">
        <f t="shared" si="138"/>
        <v>31</v>
      </c>
      <c r="AQ334" s="4">
        <f t="shared" si="139"/>
        <v>4</v>
      </c>
      <c r="AR334" s="4">
        <f t="shared" si="140"/>
        <v>23</v>
      </c>
      <c r="AS334" s="4" t="str">
        <f t="shared" si="141"/>
        <v>-</v>
      </c>
      <c r="AT334" s="4">
        <f t="shared" si="142"/>
        <v>36</v>
      </c>
      <c r="AU334" s="4" t="str">
        <f t="shared" si="143"/>
        <v>-</v>
      </c>
      <c r="AV334" s="4">
        <f t="shared" si="144"/>
        <v>25</v>
      </c>
      <c r="AW334" s="4">
        <f t="shared" si="145"/>
        <v>2</v>
      </c>
      <c r="AX334" s="4">
        <f t="shared" si="146"/>
        <v>36</v>
      </c>
      <c r="AY334" s="4">
        <f t="shared" si="147"/>
        <v>54</v>
      </c>
      <c r="AZ334" s="4">
        <f t="shared" si="148"/>
        <v>22</v>
      </c>
      <c r="BA334" s="4">
        <f t="shared" si="149"/>
        <v>15</v>
      </c>
    </row>
    <row r="335" spans="1:53" x14ac:dyDescent="0.2">
      <c r="A335" s="1" t="str">
        <f>'SegEnds_NonXtal_Prot#'!A328</f>
        <v>fzd10_human</v>
      </c>
      <c r="B335" s="1" t="str">
        <f t="shared" si="125"/>
        <v>REDKRFAVVWLAIWAVLCFFSSAFTVLTFLIDYPERPIIFLSMCYCVYSVGYLIRLTGCTLVFLVLYYFGMASSLWWVVLTLTWFLAAGKKWGIEANSSYFHLAAWAIPAVKTILILVMVNALTGFVLIPLACYLVIGTSFILSGFVALFHIRRVMTDKLEKLMVRIGLFSVLYTVPATCVIACYFYERLNMDYWKILAAQHKCKMNNQTKVEIFMVKIFMLLVVGITSGMWIWTSKTLQSWQQVCSRRL</v>
      </c>
      <c r="C335" s="29" t="str">
        <f>IF(ISERROR(MATCH(A335,'SegEnds_Xtal_Prot#'!B:B, 0)), "NoXtal", "Xtal")</f>
        <v>NoXtal</v>
      </c>
      <c r="D335" s="4" t="str">
        <f>VLOOKUP(A335,Classification!A:D,2,FALSE)</f>
        <v>F</v>
      </c>
      <c r="E335" s="5" t="str">
        <f>VLOOKUP(A335,Seqs!A:B,2,FALSE)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35" s="5" t="str">
        <f t="shared" si="126"/>
        <v>REDKRFAVVWLAIWAVLCFFSSAFTVLTFLID</v>
      </c>
      <c r="G335" s="4" t="str">
        <f t="shared" si="127"/>
        <v>PARFR</v>
      </c>
      <c r="H335" s="4" t="str">
        <f t="shared" si="128"/>
        <v>YPERPIIFLSMCYCVYSVGYLIRL</v>
      </c>
      <c r="I335" s="4" t="str">
        <f t="shared" si="129"/>
        <v/>
      </c>
      <c r="J335" s="4" t="str">
        <f t="shared" si="130"/>
        <v>TGCTLVFLVLYYFGMASSLWWVVLTLTWFLAAGKKWG</v>
      </c>
      <c r="K335" s="4" t="str">
        <f t="shared" si="131"/>
        <v/>
      </c>
      <c r="L335" s="4" t="str">
        <f t="shared" si="132"/>
        <v>IEANSSYFHLAAWAIPAVKTILILVM</v>
      </c>
      <c r="M335" s="4" t="str">
        <f t="shared" si="133"/>
        <v>CYV</v>
      </c>
      <c r="N335" s="4" t="str">
        <f t="shared" si="134"/>
        <v>VNALTGFVLIPLACYLVIGTSFILSGFVALFHIRRVM</v>
      </c>
      <c r="O335" s="4" t="str">
        <f t="shared" si="135"/>
        <v>TDKLEKLMVRIGLFSVLYTVPATCVIACYFYERLNMDYWKILAAQHKCKMNNQTK</v>
      </c>
      <c r="P335" s="4" t="str">
        <f t="shared" si="136"/>
        <v>VEIFMVKIFMLLVVGITSGMWIW</v>
      </c>
      <c r="Q335" s="4" t="str">
        <f t="shared" si="137"/>
        <v>TSKTLQSWQQVCSRRL</v>
      </c>
      <c r="R335" s="5">
        <f>VLOOKUP($A335,'SegEnds_NonXtal_Prot#'!$A:$AL,3,FALSE)</f>
        <v>221</v>
      </c>
      <c r="S335" s="5">
        <f>VLOOKUP($A335,'SegEnds_NonXtal_Prot#'!$A:$AL,6,FALSE)</f>
        <v>253</v>
      </c>
      <c r="T335" s="5">
        <f>VLOOKUP($A335,'SegEnds_NonXtal_Prot#'!$A:$AL,9,FALSE)</f>
        <v>258</v>
      </c>
      <c r="U335" s="5" t="str">
        <f>VLOOKUP($A335,'SegEnds_NonXtal_Prot#'!$A:$AL,12,FALSE)</f>
        <v>-</v>
      </c>
      <c r="V335" s="5">
        <f>VLOOKUP($A335,'SegEnds_NonXtal_Prot#'!$A:$AL,15,FALSE)</f>
        <v>307</v>
      </c>
      <c r="W335" s="5" t="str">
        <f>VLOOKUP($A335,'SegEnds_NonXtal_Prot#'!$A:$AL,18,FALSE)</f>
        <v>-</v>
      </c>
      <c r="X335" s="5">
        <f>VLOOKUP($A335,'SegEnds_NonXtal_Prot#'!$A:$AL,21,FALSE)</f>
        <v>347</v>
      </c>
      <c r="Y335" s="5">
        <f>VLOOKUP($A335,'SegEnds_NonXtal_Prot#'!$A:$AL,24,FALSE)</f>
        <v>384</v>
      </c>
      <c r="Z335" s="5">
        <f>VLOOKUP($A335,'SegEnds_NonXtal_Prot#'!$A:$AL,27,FALSE)</f>
        <v>391</v>
      </c>
      <c r="AA335" s="5">
        <f>VLOOKUP($A335,'SegEnds_NonXtal_Prot#'!$A:$AL,30,FALSE)</f>
        <v>434</v>
      </c>
      <c r="AB335" s="5">
        <f>VLOOKUP($A335,'SegEnds_NonXtal_Prot#'!$A:$AL,33,FALSE)</f>
        <v>501</v>
      </c>
      <c r="AC335" s="5">
        <f>VLOOKUP($A335,'SegEnds_NonXtal_Prot#'!$A:$AL,36,FALSE)</f>
        <v>524</v>
      </c>
      <c r="AD335" s="5">
        <f>VLOOKUP($A335,'SegEnds_NonXtal_Prot#'!$A:$AL,5,FALSE)</f>
        <v>252</v>
      </c>
      <c r="AE335" s="5">
        <f>VLOOKUP($A335,'SegEnds_NonXtal_Prot#'!$A:$AL,8,FALSE)</f>
        <v>257</v>
      </c>
      <c r="AF335" s="5">
        <f>VLOOKUP($A335,'SegEnds_NonXtal_Prot#'!$A:$AL,11,FALSE)</f>
        <v>281</v>
      </c>
      <c r="AG335" s="5" t="str">
        <f>VLOOKUP($A335,'SegEnds_NonXtal_Prot#'!$A:$AL,14,FALSE)</f>
        <v>-</v>
      </c>
      <c r="AH335" s="5">
        <f>VLOOKUP($A335,'SegEnds_NonXtal_Prot#'!$A:$AL,17,FALSE)</f>
        <v>343</v>
      </c>
      <c r="AI335" s="5" t="str">
        <f>VLOOKUP($A335,'SegEnds_NonXtal_Prot#'!$A:$AL,20,FALSE)</f>
        <v>-</v>
      </c>
      <c r="AJ335" s="5">
        <f>VLOOKUP($A335,'SegEnds_NonXtal_Prot#'!$A:$AL,23,FALSE)</f>
        <v>372</v>
      </c>
      <c r="AK335" s="5">
        <f>VLOOKUP($A335,'SegEnds_NonXtal_Prot#'!$A:$AL,26,FALSE)</f>
        <v>386</v>
      </c>
      <c r="AL335" s="5">
        <f>VLOOKUP($A335,'SegEnds_NonXtal_Prot#'!$A:$AL,29,FALSE)</f>
        <v>427</v>
      </c>
      <c r="AM335" s="5">
        <f>VLOOKUP($A335,'SegEnds_NonXtal_Prot#'!$A:$AL,32,FALSE)</f>
        <v>488</v>
      </c>
      <c r="AN335" s="5">
        <f>VLOOKUP($A335,'SegEnds_NonXtal_Prot#'!$A:$AL,35,FALSE)</f>
        <v>523</v>
      </c>
      <c r="AO335" s="5">
        <f>VLOOKUP($A335,'SegEnds_NonXtal_Prot#'!$A:$AL,38,FALSE)</f>
        <v>539</v>
      </c>
      <c r="AP335" s="5">
        <f t="shared" si="138"/>
        <v>31</v>
      </c>
      <c r="AQ335" s="4">
        <f t="shared" si="139"/>
        <v>4</v>
      </c>
      <c r="AR335" s="4">
        <f t="shared" si="140"/>
        <v>23</v>
      </c>
      <c r="AS335" s="4" t="str">
        <f t="shared" si="141"/>
        <v>-</v>
      </c>
      <c r="AT335" s="4">
        <f t="shared" si="142"/>
        <v>36</v>
      </c>
      <c r="AU335" s="4" t="str">
        <f t="shared" si="143"/>
        <v>-</v>
      </c>
      <c r="AV335" s="4">
        <f t="shared" si="144"/>
        <v>25</v>
      </c>
      <c r="AW335" s="4">
        <f t="shared" si="145"/>
        <v>2</v>
      </c>
      <c r="AX335" s="4">
        <f t="shared" si="146"/>
        <v>36</v>
      </c>
      <c r="AY335" s="4">
        <f t="shared" si="147"/>
        <v>54</v>
      </c>
      <c r="AZ335" s="4">
        <f t="shared" si="148"/>
        <v>22</v>
      </c>
      <c r="BA335" s="4">
        <f t="shared" si="149"/>
        <v>15</v>
      </c>
    </row>
    <row r="336" spans="1:53" x14ac:dyDescent="0.2">
      <c r="A336" s="1" t="str">
        <f>'SegEnds_NonXtal_Prot#'!A329</f>
        <v>fzd2_human</v>
      </c>
      <c r="B336" s="1" t="str">
        <f t="shared" si="125"/>
        <v>QEETRFARLWILTWSVLCCASTFFTVTTYLVDYPERPIIFLSGCYTMVSVAYIAGFEGCTILFMMLYFFSMASSIWWVILSLTWFLAAGMKWGIEANSQYFHLAAWAVPAVKTITILAMLDPLRGFVLAPLFVYLFIGTSFLLAGFVSLFRIRTIMTEKLERLMVRIGVFSVLYTVPATIVIACYFYEQAFREHWERSWVSQHCKSLAIPCFTVYMIKYLMTLIVGITSGFWIWSGKTLHSWRKFYTRLT</v>
      </c>
      <c r="C336" s="29" t="str">
        <f>IF(ISERROR(MATCH(A336,'SegEnds_Xtal_Prot#'!B:B, 0)), "NoXtal", "Xtal")</f>
        <v>NoXtal</v>
      </c>
      <c r="D336" s="4" t="str">
        <f>VLOOKUP(A336,Classification!A:D,2,FALSE)</f>
        <v>F</v>
      </c>
      <c r="E336" s="5" t="str">
        <f>VLOOKUP(A336,Seqs!A:B,2,FALSE)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36" s="5" t="str">
        <f t="shared" si="126"/>
        <v>QEETRFARLWILTWSVLCCASTFFTVTTYLVD</v>
      </c>
      <c r="G336" s="4" t="str">
        <f t="shared" si="127"/>
        <v>MQRFR</v>
      </c>
      <c r="H336" s="4" t="str">
        <f t="shared" si="128"/>
        <v>YPERPIIFLSGCYTMVSVAYIAGF</v>
      </c>
      <c r="I336" s="4" t="str">
        <f t="shared" si="129"/>
        <v/>
      </c>
      <c r="J336" s="4" t="str">
        <f t="shared" si="130"/>
        <v>EGCTILFMMLYFFSMASSIWWVILSLTWFLAAGMKWG</v>
      </c>
      <c r="K336" s="4" t="str">
        <f t="shared" si="131"/>
        <v/>
      </c>
      <c r="L336" s="4" t="str">
        <f t="shared" si="132"/>
        <v>IEANSQYFHLAAWAVPAVKTITILAM</v>
      </c>
      <c r="M336" s="4" t="str">
        <f t="shared" si="133"/>
        <v>CFV</v>
      </c>
      <c r="N336" s="4" t="str">
        <f t="shared" si="134"/>
        <v>LDPLRGFVLAPLFVYLFIGTSFLLAGFVSLFRIRTIM</v>
      </c>
      <c r="O336" s="4" t="str">
        <f t="shared" si="135"/>
        <v>TEKLERLMVRIGVFSVLYTVPATIVIACYFYEQAFREHWERSWVSQHCKSLAIPC</v>
      </c>
      <c r="P336" s="4" t="str">
        <f t="shared" si="136"/>
        <v>FTVYMIKYLMTLIVGITSGFWIW</v>
      </c>
      <c r="Q336" s="4" t="str">
        <f t="shared" si="137"/>
        <v>SGKTLHSWRKFYTRLT</v>
      </c>
      <c r="R336" s="5">
        <f>VLOOKUP($A336,'SegEnds_NonXtal_Prot#'!$A:$AL,3,FALSE)</f>
        <v>238</v>
      </c>
      <c r="S336" s="5">
        <f>VLOOKUP($A336,'SegEnds_NonXtal_Prot#'!$A:$AL,6,FALSE)</f>
        <v>270</v>
      </c>
      <c r="T336" s="5">
        <f>VLOOKUP($A336,'SegEnds_NonXtal_Prot#'!$A:$AL,9,FALSE)</f>
        <v>275</v>
      </c>
      <c r="U336" s="5" t="str">
        <f>VLOOKUP($A336,'SegEnds_NonXtal_Prot#'!$A:$AL,12,FALSE)</f>
        <v>-</v>
      </c>
      <c r="V336" s="5">
        <f>VLOOKUP($A336,'SegEnds_NonXtal_Prot#'!$A:$AL,15,FALSE)</f>
        <v>325</v>
      </c>
      <c r="W336" s="5" t="str">
        <f>VLOOKUP($A336,'SegEnds_NonXtal_Prot#'!$A:$AL,18,FALSE)</f>
        <v>-</v>
      </c>
      <c r="X336" s="5">
        <f>VLOOKUP($A336,'SegEnds_NonXtal_Prot#'!$A:$AL,21,FALSE)</f>
        <v>365</v>
      </c>
      <c r="Y336" s="5">
        <f>VLOOKUP($A336,'SegEnds_NonXtal_Prot#'!$A:$AL,24,FALSE)</f>
        <v>402</v>
      </c>
      <c r="Z336" s="5">
        <f>VLOOKUP($A336,'SegEnds_NonXtal_Prot#'!$A:$AL,27,FALSE)</f>
        <v>409</v>
      </c>
      <c r="AA336" s="5">
        <f>VLOOKUP($A336,'SegEnds_NonXtal_Prot#'!$A:$AL,30,FALSE)</f>
        <v>452</v>
      </c>
      <c r="AB336" s="5">
        <f>VLOOKUP($A336,'SegEnds_NonXtal_Prot#'!$A:$AL,33,FALSE)</f>
        <v>518</v>
      </c>
      <c r="AC336" s="5">
        <f>VLOOKUP($A336,'SegEnds_NonXtal_Prot#'!$A:$AL,36,FALSE)</f>
        <v>541</v>
      </c>
      <c r="AD336" s="5">
        <f>VLOOKUP($A336,'SegEnds_NonXtal_Prot#'!$A:$AL,5,FALSE)</f>
        <v>269</v>
      </c>
      <c r="AE336" s="5">
        <f>VLOOKUP($A336,'SegEnds_NonXtal_Prot#'!$A:$AL,8,FALSE)</f>
        <v>274</v>
      </c>
      <c r="AF336" s="5">
        <f>VLOOKUP($A336,'SegEnds_NonXtal_Prot#'!$A:$AL,11,FALSE)</f>
        <v>298</v>
      </c>
      <c r="AG336" s="5" t="str">
        <f>VLOOKUP($A336,'SegEnds_NonXtal_Prot#'!$A:$AL,14,FALSE)</f>
        <v>-</v>
      </c>
      <c r="AH336" s="5">
        <f>VLOOKUP($A336,'SegEnds_NonXtal_Prot#'!$A:$AL,17,FALSE)</f>
        <v>361</v>
      </c>
      <c r="AI336" s="5" t="str">
        <f>VLOOKUP($A336,'SegEnds_NonXtal_Prot#'!$A:$AL,20,FALSE)</f>
        <v>-</v>
      </c>
      <c r="AJ336" s="5">
        <f>VLOOKUP($A336,'SegEnds_NonXtal_Prot#'!$A:$AL,23,FALSE)</f>
        <v>390</v>
      </c>
      <c r="AK336" s="5">
        <f>VLOOKUP($A336,'SegEnds_NonXtal_Prot#'!$A:$AL,26,FALSE)</f>
        <v>404</v>
      </c>
      <c r="AL336" s="5">
        <f>VLOOKUP($A336,'SegEnds_NonXtal_Prot#'!$A:$AL,29,FALSE)</f>
        <v>445</v>
      </c>
      <c r="AM336" s="5">
        <f>VLOOKUP($A336,'SegEnds_NonXtal_Prot#'!$A:$AL,32,FALSE)</f>
        <v>506</v>
      </c>
      <c r="AN336" s="5">
        <f>VLOOKUP($A336,'SegEnds_NonXtal_Prot#'!$A:$AL,35,FALSE)</f>
        <v>540</v>
      </c>
      <c r="AO336" s="5">
        <f>VLOOKUP($A336,'SegEnds_NonXtal_Prot#'!$A:$AL,38,FALSE)</f>
        <v>556</v>
      </c>
      <c r="AP336" s="5">
        <f t="shared" si="138"/>
        <v>31</v>
      </c>
      <c r="AQ336" s="4">
        <f t="shared" si="139"/>
        <v>4</v>
      </c>
      <c r="AR336" s="4">
        <f t="shared" si="140"/>
        <v>23</v>
      </c>
      <c r="AS336" s="4" t="str">
        <f t="shared" si="141"/>
        <v>-</v>
      </c>
      <c r="AT336" s="4">
        <f t="shared" si="142"/>
        <v>36</v>
      </c>
      <c r="AU336" s="4" t="str">
        <f t="shared" si="143"/>
        <v>-</v>
      </c>
      <c r="AV336" s="4">
        <f t="shared" si="144"/>
        <v>25</v>
      </c>
      <c r="AW336" s="4">
        <f t="shared" si="145"/>
        <v>2</v>
      </c>
      <c r="AX336" s="4">
        <f t="shared" si="146"/>
        <v>36</v>
      </c>
      <c r="AY336" s="4">
        <f t="shared" si="147"/>
        <v>54</v>
      </c>
      <c r="AZ336" s="4">
        <f t="shared" si="148"/>
        <v>22</v>
      </c>
      <c r="BA336" s="4">
        <f t="shared" si="149"/>
        <v>15</v>
      </c>
    </row>
    <row r="337" spans="1:53" x14ac:dyDescent="0.2">
      <c r="A337" s="1" t="str">
        <f>'SegEnds_NonXtal_Prot#'!A330</f>
        <v>fzd3_human</v>
      </c>
      <c r="B337" s="1" t="str">
        <f t="shared" si="125"/>
        <v>REELSFARYFIGLISIICLSATLFTFLTFLIDYPERPIIFYAVCYMMVSLIFFIGFKACTMLFMILYFFTMAGSVWWVILTITWFLAAVPKWGIEKKALLFHASAWGIPGTLTIILLAMVDALRYFVLAPLCLYVVVGVSLLLAGIISLNRVRIEIQDKLVKFMIRIGVFSILYLVPLLVVIGCYFYEQAYRGIWETTWIQERCREYHIPCLILFLMKYLMALIVGIPSVFWVGSKKTCFEWASFFHGRR</v>
      </c>
      <c r="C337" s="29" t="str">
        <f>IF(ISERROR(MATCH(A337,'SegEnds_Xtal_Prot#'!B:B, 0)), "NoXtal", "Xtal")</f>
        <v>NoXtal</v>
      </c>
      <c r="D337" s="4" t="str">
        <f>VLOOKUP(A337,Classification!A:D,2,FALSE)</f>
        <v>F</v>
      </c>
      <c r="E337" s="5" t="str">
        <f>VLOOKUP(A337,Seqs!A:B,2,FALSE)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37" s="5" t="str">
        <f t="shared" si="126"/>
        <v>REELSFARYFIGLISIICLSATLFTFLTFLID</v>
      </c>
      <c r="G337" s="4" t="str">
        <f t="shared" si="127"/>
        <v>VTRFR</v>
      </c>
      <c r="H337" s="4" t="str">
        <f t="shared" si="128"/>
        <v>YPERPIIFYAVCYMMVSLIFFIGF</v>
      </c>
      <c r="I337" s="4" t="str">
        <f t="shared" si="129"/>
        <v/>
      </c>
      <c r="J337" s="4" t="str">
        <f t="shared" si="130"/>
        <v>KACTMLFMILYFFTMAGSVWWVILTITWFLAAVPKWG</v>
      </c>
      <c r="K337" s="4" t="str">
        <f t="shared" si="131"/>
        <v/>
      </c>
      <c r="L337" s="4" t="str">
        <f t="shared" si="132"/>
        <v>IEKKALLFHASAWGIPGTLTIILLAM</v>
      </c>
      <c r="M337" s="4" t="str">
        <f t="shared" si="133"/>
        <v>CFV</v>
      </c>
      <c r="N337" s="4" t="str">
        <f t="shared" si="134"/>
        <v>VDALRYFVLAPLCLYVVVGVSLLLAGIISLNRVRIEI</v>
      </c>
      <c r="O337" s="4" t="str">
        <f t="shared" si="135"/>
        <v>QDKLVKFMIRIGVFSILYLVPLLVVIGCYFYEQAYRGIWETTWIQERCREYHIPC</v>
      </c>
      <c r="P337" s="4" t="str">
        <f t="shared" si="136"/>
        <v>LILFLMKYLMALIVGIPSVFWVG</v>
      </c>
      <c r="Q337" s="4" t="str">
        <f t="shared" si="137"/>
        <v>SKKTCFEWASFFHGRR</v>
      </c>
      <c r="R337" s="5">
        <f>VLOOKUP($A337,'SegEnds_NonXtal_Prot#'!$A:$AL,3,FALSE)</f>
        <v>196</v>
      </c>
      <c r="S337" s="5">
        <f>VLOOKUP($A337,'SegEnds_NonXtal_Prot#'!$A:$AL,6,FALSE)</f>
        <v>228</v>
      </c>
      <c r="T337" s="5">
        <f>VLOOKUP($A337,'SegEnds_NonXtal_Prot#'!$A:$AL,9,FALSE)</f>
        <v>233</v>
      </c>
      <c r="U337" s="5" t="str">
        <f>VLOOKUP($A337,'SegEnds_NonXtal_Prot#'!$A:$AL,12,FALSE)</f>
        <v>-</v>
      </c>
      <c r="V337" s="5">
        <f>VLOOKUP($A337,'SegEnds_NonXtal_Prot#'!$A:$AL,15,FALSE)</f>
        <v>284</v>
      </c>
      <c r="W337" s="5" t="str">
        <f>VLOOKUP($A337,'SegEnds_NonXtal_Prot#'!$A:$AL,18,FALSE)</f>
        <v>-</v>
      </c>
      <c r="X337" s="5">
        <f>VLOOKUP($A337,'SegEnds_NonXtal_Prot#'!$A:$AL,21,FALSE)</f>
        <v>324</v>
      </c>
      <c r="Y337" s="5">
        <f>VLOOKUP($A337,'SegEnds_NonXtal_Prot#'!$A:$AL,24,FALSE)</f>
        <v>361</v>
      </c>
      <c r="Z337" s="5">
        <f>VLOOKUP($A337,'SegEnds_NonXtal_Prot#'!$A:$AL,27,FALSE)</f>
        <v>368</v>
      </c>
      <c r="AA337" s="5">
        <f>VLOOKUP($A337,'SegEnds_NonXtal_Prot#'!$A:$AL,30,FALSE)</f>
        <v>411</v>
      </c>
      <c r="AB337" s="5">
        <f>VLOOKUP($A337,'SegEnds_NonXtal_Prot#'!$A:$AL,33,FALSE)</f>
        <v>477</v>
      </c>
      <c r="AC337" s="5">
        <f>VLOOKUP($A337,'SegEnds_NonXtal_Prot#'!$A:$AL,36,FALSE)</f>
        <v>500</v>
      </c>
      <c r="AD337" s="5">
        <f>VLOOKUP($A337,'SegEnds_NonXtal_Prot#'!$A:$AL,5,FALSE)</f>
        <v>227</v>
      </c>
      <c r="AE337" s="5">
        <f>VLOOKUP($A337,'SegEnds_NonXtal_Prot#'!$A:$AL,8,FALSE)</f>
        <v>232</v>
      </c>
      <c r="AF337" s="5">
        <f>VLOOKUP($A337,'SegEnds_NonXtal_Prot#'!$A:$AL,11,FALSE)</f>
        <v>256</v>
      </c>
      <c r="AG337" s="5" t="str">
        <f>VLOOKUP($A337,'SegEnds_NonXtal_Prot#'!$A:$AL,14,FALSE)</f>
        <v>-</v>
      </c>
      <c r="AH337" s="5">
        <f>VLOOKUP($A337,'SegEnds_NonXtal_Prot#'!$A:$AL,17,FALSE)</f>
        <v>320</v>
      </c>
      <c r="AI337" s="5" t="str">
        <f>VLOOKUP($A337,'SegEnds_NonXtal_Prot#'!$A:$AL,20,FALSE)</f>
        <v>-</v>
      </c>
      <c r="AJ337" s="5">
        <f>VLOOKUP($A337,'SegEnds_NonXtal_Prot#'!$A:$AL,23,FALSE)</f>
        <v>349</v>
      </c>
      <c r="AK337" s="5">
        <f>VLOOKUP($A337,'SegEnds_NonXtal_Prot#'!$A:$AL,26,FALSE)</f>
        <v>363</v>
      </c>
      <c r="AL337" s="5">
        <f>VLOOKUP($A337,'SegEnds_NonXtal_Prot#'!$A:$AL,29,FALSE)</f>
        <v>404</v>
      </c>
      <c r="AM337" s="5">
        <f>VLOOKUP($A337,'SegEnds_NonXtal_Prot#'!$A:$AL,32,FALSE)</f>
        <v>465</v>
      </c>
      <c r="AN337" s="5">
        <f>VLOOKUP($A337,'SegEnds_NonXtal_Prot#'!$A:$AL,35,FALSE)</f>
        <v>499</v>
      </c>
      <c r="AO337" s="5">
        <f>VLOOKUP($A337,'SegEnds_NonXtal_Prot#'!$A:$AL,38,FALSE)</f>
        <v>515</v>
      </c>
      <c r="AP337" s="5">
        <f t="shared" si="138"/>
        <v>31</v>
      </c>
      <c r="AQ337" s="4">
        <f t="shared" si="139"/>
        <v>4</v>
      </c>
      <c r="AR337" s="4">
        <f t="shared" si="140"/>
        <v>23</v>
      </c>
      <c r="AS337" s="4" t="str">
        <f t="shared" si="141"/>
        <v>-</v>
      </c>
      <c r="AT337" s="4">
        <f t="shared" si="142"/>
        <v>36</v>
      </c>
      <c r="AU337" s="4" t="str">
        <f t="shared" si="143"/>
        <v>-</v>
      </c>
      <c r="AV337" s="4">
        <f t="shared" si="144"/>
        <v>25</v>
      </c>
      <c r="AW337" s="4">
        <f t="shared" si="145"/>
        <v>2</v>
      </c>
      <c r="AX337" s="4">
        <f t="shared" si="146"/>
        <v>36</v>
      </c>
      <c r="AY337" s="4">
        <f t="shared" si="147"/>
        <v>54</v>
      </c>
      <c r="AZ337" s="4">
        <f t="shared" si="148"/>
        <v>22</v>
      </c>
      <c r="BA337" s="4">
        <f t="shared" si="149"/>
        <v>15</v>
      </c>
    </row>
    <row r="338" spans="1:53" x14ac:dyDescent="0.2">
      <c r="A338" s="1" t="str">
        <f>'SegEnds_NonXtal_Prot#'!A331</f>
        <v>fzd4_human</v>
      </c>
      <c r="B338" s="1" t="str">
        <f t="shared" si="125"/>
        <v>RSAKEFTDIWMAVWASLCFISTAFTVLTFLIDYPERPIIFLSMCYNIYSIAYIVRLTGCAIIFLLMYFFGMASSIWWVILTLTWFLAAGLKWGIEMHSSYFHIAAWAIPAVKTIVILIMLDALTGFVVAPLFTYLVIGTLFIAAGLVALFKIRSNLTDKLERLMVKIGVFSVLYTVPATCVIACYFYEISNWALFRYSAMAVEMLKIFMSLLVGITSGMWIWSAKTLHTWQKCSNRLV</v>
      </c>
      <c r="C338" s="29" t="str">
        <f>IF(ISERROR(MATCH(A338,'SegEnds_Xtal_Prot#'!B:B, 0)), "NoXtal", "Xtal")</f>
        <v>NoXtal</v>
      </c>
      <c r="D338" s="4" t="str">
        <f>VLOOKUP(A338,Classification!A:D,2,FALSE)</f>
        <v>F</v>
      </c>
      <c r="E338" s="5" t="str">
        <f>VLOOKUP(A338,Seqs!A:B,2,FALSE)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38" s="5" t="str">
        <f t="shared" si="126"/>
        <v>RSAKEFTDIWMAVWASLCFISTAFTVLTFLID</v>
      </c>
      <c r="G338" s="4" t="str">
        <f t="shared" si="127"/>
        <v>SSRFS</v>
      </c>
      <c r="H338" s="4" t="str">
        <f t="shared" si="128"/>
        <v>YPERPIIFLSMCYNIYSIAYIVRL</v>
      </c>
      <c r="I338" s="4" t="str">
        <f t="shared" si="129"/>
        <v/>
      </c>
      <c r="J338" s="4" t="str">
        <f t="shared" si="130"/>
        <v>TGCAIIFLLMYFFGMASSIWWVILTLTWFLAAGLKWG</v>
      </c>
      <c r="K338" s="4" t="str">
        <f t="shared" si="131"/>
        <v/>
      </c>
      <c r="L338" s="4" t="str">
        <f t="shared" si="132"/>
        <v>IEMHSSYFHIAAWAIPAVKTIVILIM</v>
      </c>
      <c r="M338" s="4" t="str">
        <f t="shared" si="133"/>
        <v>CYV</v>
      </c>
      <c r="N338" s="4" t="str">
        <f t="shared" si="134"/>
        <v>LDALTGFVVAPLFTYLVIGTLFIAAGLVALFKIRSNL</v>
      </c>
      <c r="O338" s="4" t="str">
        <f t="shared" si="135"/>
        <v>TDKLERLMVKIGVFSVLYTVPATCVIACYFYEISNWALFRYSA</v>
      </c>
      <c r="P338" s="4" t="str">
        <f t="shared" si="136"/>
        <v>MAVEMLKIFMSLLVGITSGMWIW</v>
      </c>
      <c r="Q338" s="4" t="str">
        <f t="shared" si="137"/>
        <v>SAKTLHTWQKCSNRLV</v>
      </c>
      <c r="R338" s="5">
        <f>VLOOKUP($A338,'SegEnds_NonXtal_Prot#'!$A:$AL,3,FALSE)</f>
        <v>213</v>
      </c>
      <c r="S338" s="5">
        <f>VLOOKUP($A338,'SegEnds_NonXtal_Prot#'!$A:$AL,6,FALSE)</f>
        <v>245</v>
      </c>
      <c r="T338" s="5">
        <f>VLOOKUP($A338,'SegEnds_NonXtal_Prot#'!$A:$AL,9,FALSE)</f>
        <v>250</v>
      </c>
      <c r="U338" s="5" t="str">
        <f>VLOOKUP($A338,'SegEnds_NonXtal_Prot#'!$A:$AL,12,FALSE)</f>
        <v>-</v>
      </c>
      <c r="V338" s="5">
        <f>VLOOKUP($A338,'SegEnds_NonXtal_Prot#'!$A:$AL,15,FALSE)</f>
        <v>300</v>
      </c>
      <c r="W338" s="5" t="str">
        <f>VLOOKUP($A338,'SegEnds_NonXtal_Prot#'!$A:$AL,18,FALSE)</f>
        <v>-</v>
      </c>
      <c r="X338" s="5">
        <f>VLOOKUP($A338,'SegEnds_NonXtal_Prot#'!$A:$AL,21,FALSE)</f>
        <v>340</v>
      </c>
      <c r="Y338" s="5">
        <f>VLOOKUP($A338,'SegEnds_NonXtal_Prot#'!$A:$AL,24,FALSE)</f>
        <v>377</v>
      </c>
      <c r="Z338" s="5">
        <f>VLOOKUP($A338,'SegEnds_NonXtal_Prot#'!$A:$AL,27,FALSE)</f>
        <v>384</v>
      </c>
      <c r="AA338" s="5">
        <f>VLOOKUP($A338,'SegEnds_NonXtal_Prot#'!$A:$AL,30,FALSE)</f>
        <v>427</v>
      </c>
      <c r="AB338" s="5">
        <f>VLOOKUP($A338,'SegEnds_NonXtal_Prot#'!$A:$AL,33,FALSE)</f>
        <v>474</v>
      </c>
      <c r="AC338" s="5">
        <f>VLOOKUP($A338,'SegEnds_NonXtal_Prot#'!$A:$AL,36,FALSE)</f>
        <v>497</v>
      </c>
      <c r="AD338" s="5">
        <f>VLOOKUP($A338,'SegEnds_NonXtal_Prot#'!$A:$AL,5,FALSE)</f>
        <v>244</v>
      </c>
      <c r="AE338" s="5">
        <f>VLOOKUP($A338,'SegEnds_NonXtal_Prot#'!$A:$AL,8,FALSE)</f>
        <v>249</v>
      </c>
      <c r="AF338" s="5">
        <f>VLOOKUP($A338,'SegEnds_NonXtal_Prot#'!$A:$AL,11,FALSE)</f>
        <v>273</v>
      </c>
      <c r="AG338" s="5" t="str">
        <f>VLOOKUP($A338,'SegEnds_NonXtal_Prot#'!$A:$AL,14,FALSE)</f>
        <v>-</v>
      </c>
      <c r="AH338" s="5">
        <f>VLOOKUP($A338,'SegEnds_NonXtal_Prot#'!$A:$AL,17,FALSE)</f>
        <v>336</v>
      </c>
      <c r="AI338" s="5" t="str">
        <f>VLOOKUP($A338,'SegEnds_NonXtal_Prot#'!$A:$AL,20,FALSE)</f>
        <v>-</v>
      </c>
      <c r="AJ338" s="5">
        <f>VLOOKUP($A338,'SegEnds_NonXtal_Prot#'!$A:$AL,23,FALSE)</f>
        <v>365</v>
      </c>
      <c r="AK338" s="5">
        <f>VLOOKUP($A338,'SegEnds_NonXtal_Prot#'!$A:$AL,26,FALSE)</f>
        <v>379</v>
      </c>
      <c r="AL338" s="5">
        <f>VLOOKUP($A338,'SegEnds_NonXtal_Prot#'!$A:$AL,29,FALSE)</f>
        <v>420</v>
      </c>
      <c r="AM338" s="5">
        <f>VLOOKUP($A338,'SegEnds_NonXtal_Prot#'!$A:$AL,32,FALSE)</f>
        <v>469</v>
      </c>
      <c r="AN338" s="5">
        <f>VLOOKUP($A338,'SegEnds_NonXtal_Prot#'!$A:$AL,35,FALSE)</f>
        <v>496</v>
      </c>
      <c r="AO338" s="5">
        <f>VLOOKUP($A338,'SegEnds_NonXtal_Prot#'!$A:$AL,38,FALSE)</f>
        <v>512</v>
      </c>
      <c r="AP338" s="5">
        <f t="shared" si="138"/>
        <v>31</v>
      </c>
      <c r="AQ338" s="4">
        <f t="shared" si="139"/>
        <v>4</v>
      </c>
      <c r="AR338" s="4">
        <f t="shared" si="140"/>
        <v>23</v>
      </c>
      <c r="AS338" s="4" t="str">
        <f t="shared" si="141"/>
        <v>-</v>
      </c>
      <c r="AT338" s="4">
        <f t="shared" si="142"/>
        <v>36</v>
      </c>
      <c r="AU338" s="4" t="str">
        <f t="shared" si="143"/>
        <v>-</v>
      </c>
      <c r="AV338" s="4">
        <f t="shared" si="144"/>
        <v>25</v>
      </c>
      <c r="AW338" s="4">
        <f t="shared" si="145"/>
        <v>2</v>
      </c>
      <c r="AX338" s="4">
        <f t="shared" si="146"/>
        <v>36</v>
      </c>
      <c r="AY338" s="4">
        <f t="shared" si="147"/>
        <v>42</v>
      </c>
      <c r="AZ338" s="4">
        <f t="shared" si="148"/>
        <v>22</v>
      </c>
      <c r="BA338" s="4">
        <f t="shared" si="149"/>
        <v>15</v>
      </c>
    </row>
    <row r="339" spans="1:53" x14ac:dyDescent="0.2">
      <c r="A339" s="1" t="str">
        <f>'SegEnds_NonXtal_Prot#'!A332</f>
        <v>fzd5_human</v>
      </c>
      <c r="B339" s="1" t="str">
        <f t="shared" si="125"/>
        <v>ADERTFATFWIGLWSVLCFISTSTTVATFLIDYPERPIIFLSACYLCVSLGFLVRLALCTIVFLLVYFFGMASSIWWVILSLTWFLAAGMKWGIAGYAQYFHLAAWLIPSVKSITALALLNSLRGFVLGPLVLYLLVGTLFLLAGFVSLFRIRSVITDKLEKLMIRIGIFTLLYTVPASIVVACYLYEQHYRESWEAALTCACPGHDTGQPYWVLMLKYFMCLVVGITSGVWIWSGKTVESWRRFTSRCC</v>
      </c>
      <c r="C339" s="29" t="str">
        <f>IF(ISERROR(MATCH(A339,'SegEnds_Xtal_Prot#'!B:B, 0)), "NoXtal", "Xtal")</f>
        <v>NoXtal</v>
      </c>
      <c r="D339" s="4" t="str">
        <f>VLOOKUP(A339,Classification!A:D,2,FALSE)</f>
        <v>F</v>
      </c>
      <c r="E339" s="5" t="str">
        <f>VLOOKUP(A339,Seqs!A:B,2,FALSE)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39" s="5" t="str">
        <f t="shared" si="126"/>
        <v>ADERTFATFWIGLWSVLCFISTSTTVATFLID</v>
      </c>
      <c r="G339" s="4" t="str">
        <f t="shared" si="127"/>
        <v>MERFR</v>
      </c>
      <c r="H339" s="4" t="str">
        <f t="shared" si="128"/>
        <v>YPERPIIFLSACYLCVSLGFLVRL</v>
      </c>
      <c r="I339" s="4" t="str">
        <f t="shared" si="129"/>
        <v/>
      </c>
      <c r="J339" s="4" t="str">
        <f t="shared" si="130"/>
        <v>ALCTIVFLLVYFFGMASSIWWVILSLTWFLAAGMKWG</v>
      </c>
      <c r="K339" s="4" t="str">
        <f t="shared" si="131"/>
        <v/>
      </c>
      <c r="L339" s="4" t="str">
        <f t="shared" si="132"/>
        <v>IAGYAQYFHLAAWLIPSVKSITALAL</v>
      </c>
      <c r="M339" s="4" t="str">
        <f t="shared" si="133"/>
        <v>CYV</v>
      </c>
      <c r="N339" s="4" t="str">
        <f t="shared" si="134"/>
        <v>LNSLRGFVLGPLVLYLLVGTLFLLAGFVSLFRIRSVI</v>
      </c>
      <c r="O339" s="4" t="str">
        <f t="shared" si="135"/>
        <v>TDKLEKLMIRIGIFTLLYTVPASIVVACYLYEQHYRESWEAALTCACPGHDTGQP</v>
      </c>
      <c r="P339" s="4" t="str">
        <f t="shared" si="136"/>
        <v>YWVLMLKYFMCLVVGITSGVWIW</v>
      </c>
      <c r="Q339" s="4" t="str">
        <f t="shared" si="137"/>
        <v>SGKTVESWRRFTSRCC</v>
      </c>
      <c r="R339" s="5">
        <f>VLOOKUP($A339,'SegEnds_NonXtal_Prot#'!$A:$AL,3,FALSE)</f>
        <v>229</v>
      </c>
      <c r="S339" s="5">
        <f>VLOOKUP($A339,'SegEnds_NonXtal_Prot#'!$A:$AL,6,FALSE)</f>
        <v>261</v>
      </c>
      <c r="T339" s="5">
        <f>VLOOKUP($A339,'SegEnds_NonXtal_Prot#'!$A:$AL,9,FALSE)</f>
        <v>266</v>
      </c>
      <c r="U339" s="5" t="str">
        <f>VLOOKUP($A339,'SegEnds_NonXtal_Prot#'!$A:$AL,12,FALSE)</f>
        <v>-</v>
      </c>
      <c r="V339" s="5">
        <f>VLOOKUP($A339,'SegEnds_NonXtal_Prot#'!$A:$AL,15,FALSE)</f>
        <v>313</v>
      </c>
      <c r="W339" s="5" t="str">
        <f>VLOOKUP($A339,'SegEnds_NonXtal_Prot#'!$A:$AL,18,FALSE)</f>
        <v>-</v>
      </c>
      <c r="X339" s="5">
        <f>VLOOKUP($A339,'SegEnds_NonXtal_Prot#'!$A:$AL,21,FALSE)</f>
        <v>353</v>
      </c>
      <c r="Y339" s="5">
        <f>VLOOKUP($A339,'SegEnds_NonXtal_Prot#'!$A:$AL,24,FALSE)</f>
        <v>390</v>
      </c>
      <c r="Z339" s="5">
        <f>VLOOKUP($A339,'SegEnds_NonXtal_Prot#'!$A:$AL,27,FALSE)</f>
        <v>397</v>
      </c>
      <c r="AA339" s="5">
        <f>VLOOKUP($A339,'SegEnds_NonXtal_Prot#'!$A:$AL,30,FALSE)</f>
        <v>440</v>
      </c>
      <c r="AB339" s="5">
        <f>VLOOKUP($A339,'SegEnds_NonXtal_Prot#'!$A:$AL,33,FALSE)</f>
        <v>500</v>
      </c>
      <c r="AC339" s="5">
        <f>VLOOKUP($A339,'SegEnds_NonXtal_Prot#'!$A:$AL,36,FALSE)</f>
        <v>523</v>
      </c>
      <c r="AD339" s="5">
        <f>VLOOKUP($A339,'SegEnds_NonXtal_Prot#'!$A:$AL,5,FALSE)</f>
        <v>260</v>
      </c>
      <c r="AE339" s="5">
        <f>VLOOKUP($A339,'SegEnds_NonXtal_Prot#'!$A:$AL,8,FALSE)</f>
        <v>265</v>
      </c>
      <c r="AF339" s="5">
        <f>VLOOKUP($A339,'SegEnds_NonXtal_Prot#'!$A:$AL,11,FALSE)</f>
        <v>289</v>
      </c>
      <c r="AG339" s="5" t="str">
        <f>VLOOKUP($A339,'SegEnds_NonXtal_Prot#'!$A:$AL,14,FALSE)</f>
        <v>-</v>
      </c>
      <c r="AH339" s="5">
        <f>VLOOKUP($A339,'SegEnds_NonXtal_Prot#'!$A:$AL,17,FALSE)</f>
        <v>349</v>
      </c>
      <c r="AI339" s="5" t="str">
        <f>VLOOKUP($A339,'SegEnds_NonXtal_Prot#'!$A:$AL,20,FALSE)</f>
        <v>-</v>
      </c>
      <c r="AJ339" s="5">
        <f>VLOOKUP($A339,'SegEnds_NonXtal_Prot#'!$A:$AL,23,FALSE)</f>
        <v>378</v>
      </c>
      <c r="AK339" s="5">
        <f>VLOOKUP($A339,'SegEnds_NonXtal_Prot#'!$A:$AL,26,FALSE)</f>
        <v>392</v>
      </c>
      <c r="AL339" s="5">
        <f>VLOOKUP($A339,'SegEnds_NonXtal_Prot#'!$A:$AL,29,FALSE)</f>
        <v>433</v>
      </c>
      <c r="AM339" s="5">
        <f>VLOOKUP($A339,'SegEnds_NonXtal_Prot#'!$A:$AL,32,FALSE)</f>
        <v>494</v>
      </c>
      <c r="AN339" s="5">
        <f>VLOOKUP($A339,'SegEnds_NonXtal_Prot#'!$A:$AL,35,FALSE)</f>
        <v>522</v>
      </c>
      <c r="AO339" s="5">
        <f>VLOOKUP($A339,'SegEnds_NonXtal_Prot#'!$A:$AL,38,FALSE)</f>
        <v>538</v>
      </c>
      <c r="AP339" s="5">
        <f t="shared" si="138"/>
        <v>31</v>
      </c>
      <c r="AQ339" s="4">
        <f t="shared" si="139"/>
        <v>4</v>
      </c>
      <c r="AR339" s="4">
        <f t="shared" si="140"/>
        <v>23</v>
      </c>
      <c r="AS339" s="4" t="str">
        <f t="shared" si="141"/>
        <v>-</v>
      </c>
      <c r="AT339" s="4">
        <f t="shared" si="142"/>
        <v>36</v>
      </c>
      <c r="AU339" s="4" t="str">
        <f t="shared" si="143"/>
        <v>-</v>
      </c>
      <c r="AV339" s="4">
        <f t="shared" si="144"/>
        <v>25</v>
      </c>
      <c r="AW339" s="4">
        <f t="shared" si="145"/>
        <v>2</v>
      </c>
      <c r="AX339" s="4">
        <f t="shared" si="146"/>
        <v>36</v>
      </c>
      <c r="AY339" s="4">
        <f t="shared" si="147"/>
        <v>54</v>
      </c>
      <c r="AZ339" s="4">
        <f t="shared" si="148"/>
        <v>22</v>
      </c>
      <c r="BA339" s="4">
        <f t="shared" si="149"/>
        <v>15</v>
      </c>
    </row>
    <row r="340" spans="1:53" x14ac:dyDescent="0.2">
      <c r="A340" s="1" t="str">
        <f>'SegEnds_NonXtal_Prot#'!A333</f>
        <v>fzd6_human</v>
      </c>
      <c r="B340" s="1" t="str">
        <f t="shared" si="125"/>
        <v>SDELEFAKSFIGTVSIFCLCATLFTFLTFLIDYPERPIIYYSVCYSIVSLMYFIGFKACTVLFMLLYFFTMAGTVWWVILTITWFLAAGRKWSIEQKAVWFHAVAWGTPGFLTVMLLAMLDASRYFVLLPLCLCVFVGLSLLLAGIISLNHVRQVIQEKLKKFMIRIGVFSGLYLVPLVTLLGCYVYEQVNRITWEITWVSDHCRQYHIPCLALFMIKYLMTLIVGISAVFWVGSKKTCTEWAGFFKRNR</v>
      </c>
      <c r="C340" s="29" t="str">
        <f>IF(ISERROR(MATCH(A340,'SegEnds_Xtal_Prot#'!B:B, 0)), "NoXtal", "Xtal")</f>
        <v>NoXtal</v>
      </c>
      <c r="D340" s="4" t="str">
        <f>VLOOKUP(A340,Classification!A:D,2,FALSE)</f>
        <v>F</v>
      </c>
      <c r="E340" s="5" t="str">
        <f>VLOOKUP(A340,Seqs!A:B,2,FALSE)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40" s="5" t="str">
        <f t="shared" si="126"/>
        <v>SDELEFAKSFIGTVSIFCLCATLFTFLTFLID</v>
      </c>
      <c r="G340" s="4" t="str">
        <f t="shared" si="127"/>
        <v>VRRFR</v>
      </c>
      <c r="H340" s="4" t="str">
        <f t="shared" si="128"/>
        <v>YPERPIIYYSVCYSIVSLMYFIGF</v>
      </c>
      <c r="I340" s="4" t="str">
        <f t="shared" si="129"/>
        <v/>
      </c>
      <c r="J340" s="4" t="str">
        <f t="shared" si="130"/>
        <v>KACTVLFMLLYFFTMAGTVWWVILTITWFLAAGRKWS</v>
      </c>
      <c r="K340" s="4" t="str">
        <f t="shared" si="131"/>
        <v/>
      </c>
      <c r="L340" s="4" t="str">
        <f t="shared" si="132"/>
        <v>IEQKAVWFHAVAWGTPGFLTVMLLAM</v>
      </c>
      <c r="M340" s="4" t="str">
        <f t="shared" si="133"/>
        <v>CFV</v>
      </c>
      <c r="N340" s="4" t="str">
        <f t="shared" si="134"/>
        <v>LDASRYFVLLPLCLCVFVGLSLLLAGIISLNHVRQVI</v>
      </c>
      <c r="O340" s="4" t="str">
        <f t="shared" si="135"/>
        <v>QEKLKKFMIRIGVFSGLYLVPLVTLLGCYVYEQVNRITWEITWVSDHCRQYHIPC</v>
      </c>
      <c r="P340" s="4" t="str">
        <f t="shared" si="136"/>
        <v>LALFMIKYLMTLIVGISAVFWVG</v>
      </c>
      <c r="Q340" s="4" t="str">
        <f t="shared" si="137"/>
        <v>SKKTCTEWAGFFKRNR</v>
      </c>
      <c r="R340" s="5">
        <f>VLOOKUP($A340,'SegEnds_NonXtal_Prot#'!$A:$AL,3,FALSE)</f>
        <v>192</v>
      </c>
      <c r="S340" s="5">
        <f>VLOOKUP($A340,'SegEnds_NonXtal_Prot#'!$A:$AL,6,FALSE)</f>
        <v>224</v>
      </c>
      <c r="T340" s="5">
        <f>VLOOKUP($A340,'SegEnds_NonXtal_Prot#'!$A:$AL,9,FALSE)</f>
        <v>229</v>
      </c>
      <c r="U340" s="5" t="str">
        <f>VLOOKUP($A340,'SegEnds_NonXtal_Prot#'!$A:$AL,12,FALSE)</f>
        <v>-</v>
      </c>
      <c r="V340" s="5">
        <f>VLOOKUP($A340,'SegEnds_NonXtal_Prot#'!$A:$AL,15,FALSE)</f>
        <v>280</v>
      </c>
      <c r="W340" s="5" t="str">
        <f>VLOOKUP($A340,'SegEnds_NonXtal_Prot#'!$A:$AL,18,FALSE)</f>
        <v>-</v>
      </c>
      <c r="X340" s="5">
        <f>VLOOKUP($A340,'SegEnds_NonXtal_Prot#'!$A:$AL,21,FALSE)</f>
        <v>320</v>
      </c>
      <c r="Y340" s="5">
        <f>VLOOKUP($A340,'SegEnds_NonXtal_Prot#'!$A:$AL,24,FALSE)</f>
        <v>357</v>
      </c>
      <c r="Z340" s="5">
        <f>VLOOKUP($A340,'SegEnds_NonXtal_Prot#'!$A:$AL,27,FALSE)</f>
        <v>364</v>
      </c>
      <c r="AA340" s="5">
        <f>VLOOKUP($A340,'SegEnds_NonXtal_Prot#'!$A:$AL,30,FALSE)</f>
        <v>407</v>
      </c>
      <c r="AB340" s="5">
        <f>VLOOKUP($A340,'SegEnds_NonXtal_Prot#'!$A:$AL,33,FALSE)</f>
        <v>473</v>
      </c>
      <c r="AC340" s="5">
        <f>VLOOKUP($A340,'SegEnds_NonXtal_Prot#'!$A:$AL,36,FALSE)</f>
        <v>496</v>
      </c>
      <c r="AD340" s="5">
        <f>VLOOKUP($A340,'SegEnds_NonXtal_Prot#'!$A:$AL,5,FALSE)</f>
        <v>223</v>
      </c>
      <c r="AE340" s="5">
        <f>VLOOKUP($A340,'SegEnds_NonXtal_Prot#'!$A:$AL,8,FALSE)</f>
        <v>228</v>
      </c>
      <c r="AF340" s="5">
        <f>VLOOKUP($A340,'SegEnds_NonXtal_Prot#'!$A:$AL,11,FALSE)</f>
        <v>252</v>
      </c>
      <c r="AG340" s="5" t="str">
        <f>VLOOKUP($A340,'SegEnds_NonXtal_Prot#'!$A:$AL,14,FALSE)</f>
        <v>-</v>
      </c>
      <c r="AH340" s="5">
        <f>VLOOKUP($A340,'SegEnds_NonXtal_Prot#'!$A:$AL,17,FALSE)</f>
        <v>316</v>
      </c>
      <c r="AI340" s="5" t="str">
        <f>VLOOKUP($A340,'SegEnds_NonXtal_Prot#'!$A:$AL,20,FALSE)</f>
        <v>-</v>
      </c>
      <c r="AJ340" s="5">
        <f>VLOOKUP($A340,'SegEnds_NonXtal_Prot#'!$A:$AL,23,FALSE)</f>
        <v>345</v>
      </c>
      <c r="AK340" s="5">
        <f>VLOOKUP($A340,'SegEnds_NonXtal_Prot#'!$A:$AL,26,FALSE)</f>
        <v>359</v>
      </c>
      <c r="AL340" s="5">
        <f>VLOOKUP($A340,'SegEnds_NonXtal_Prot#'!$A:$AL,29,FALSE)</f>
        <v>400</v>
      </c>
      <c r="AM340" s="5">
        <f>VLOOKUP($A340,'SegEnds_NonXtal_Prot#'!$A:$AL,32,FALSE)</f>
        <v>461</v>
      </c>
      <c r="AN340" s="5">
        <f>VLOOKUP($A340,'SegEnds_NonXtal_Prot#'!$A:$AL,35,FALSE)</f>
        <v>495</v>
      </c>
      <c r="AO340" s="5">
        <f>VLOOKUP($A340,'SegEnds_NonXtal_Prot#'!$A:$AL,38,FALSE)</f>
        <v>511</v>
      </c>
      <c r="AP340" s="5">
        <f t="shared" si="138"/>
        <v>31</v>
      </c>
      <c r="AQ340" s="4">
        <f t="shared" si="139"/>
        <v>4</v>
      </c>
      <c r="AR340" s="4">
        <f t="shared" si="140"/>
        <v>23</v>
      </c>
      <c r="AS340" s="4" t="str">
        <f t="shared" si="141"/>
        <v>-</v>
      </c>
      <c r="AT340" s="4">
        <f t="shared" si="142"/>
        <v>36</v>
      </c>
      <c r="AU340" s="4" t="str">
        <f t="shared" si="143"/>
        <v>-</v>
      </c>
      <c r="AV340" s="4">
        <f t="shared" si="144"/>
        <v>25</v>
      </c>
      <c r="AW340" s="4">
        <f t="shared" si="145"/>
        <v>2</v>
      </c>
      <c r="AX340" s="4">
        <f t="shared" si="146"/>
        <v>36</v>
      </c>
      <c r="AY340" s="4">
        <f t="shared" si="147"/>
        <v>54</v>
      </c>
      <c r="AZ340" s="4">
        <f t="shared" si="148"/>
        <v>22</v>
      </c>
      <c r="BA340" s="4">
        <f t="shared" si="149"/>
        <v>15</v>
      </c>
    </row>
    <row r="341" spans="1:53" x14ac:dyDescent="0.2">
      <c r="A341" s="1" t="str">
        <f>'SegEnds_NonXtal_Prot#'!A334</f>
        <v>fzd7_human</v>
      </c>
      <c r="B341" s="1" t="str">
        <f t="shared" si="125"/>
        <v>EEERRFARLWVGVWSVLCCASTLFTVLTYLVDYPERPIIFLSGCYFMVAVAHVAGFEGCTILFMVLYFFGMASSIWWVILSLTWFLAAGMKWGIEANSQYFHLAAWAVPAVKTITILAMVDALRGFVLAPLFVYLFIGTSFLLAGFVSLFRIRTIMTEKLEKLMVRIGVFSVLYTVPATIVLACYFYEQAFREHWERTWLLQTCKSYAVPCFTVFMIKYLMTMIVGITTGFWIWSGKTLQSWRRFYHRLS</v>
      </c>
      <c r="C341" s="29" t="str">
        <f>IF(ISERROR(MATCH(A341,'SegEnds_Xtal_Prot#'!B:B, 0)), "NoXtal", "Xtal")</f>
        <v>NoXtal</v>
      </c>
      <c r="D341" s="4" t="str">
        <f>VLOOKUP(A341,Classification!A:D,2,FALSE)</f>
        <v>F</v>
      </c>
      <c r="E341" s="5" t="str">
        <f>VLOOKUP(A341,Seqs!A:B,2,FALSE)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41" s="5" t="str">
        <f t="shared" si="126"/>
        <v>EEERRFARLWVGVWSVLCCASTLFTVLTYLVD</v>
      </c>
      <c r="G341" s="4" t="str">
        <f t="shared" si="127"/>
        <v>MRRFS</v>
      </c>
      <c r="H341" s="4" t="str">
        <f t="shared" si="128"/>
        <v>YPERPIIFLSGCYFMVAVAHVAGF</v>
      </c>
      <c r="I341" s="4" t="str">
        <f t="shared" si="129"/>
        <v/>
      </c>
      <c r="J341" s="4" t="str">
        <f t="shared" si="130"/>
        <v>EGCTILFMVLYFFGMASSIWWVILSLTWFLAAGMKWG</v>
      </c>
      <c r="K341" s="4" t="str">
        <f t="shared" si="131"/>
        <v/>
      </c>
      <c r="L341" s="4" t="str">
        <f t="shared" si="132"/>
        <v>IEANSQYFHLAAWAVPAVKTITILAM</v>
      </c>
      <c r="M341" s="4" t="str">
        <f t="shared" si="133"/>
        <v>CYV</v>
      </c>
      <c r="N341" s="4" t="str">
        <f t="shared" si="134"/>
        <v>VDALRGFVLAPLFVYLFIGTSFLLAGFVSLFRIRTIM</v>
      </c>
      <c r="O341" s="4" t="str">
        <f t="shared" si="135"/>
        <v>TEKLEKLMVRIGVFSVLYTVPATIVLACYFYEQAFREHWERTWLLQTCKSYAVPC</v>
      </c>
      <c r="P341" s="4" t="str">
        <f t="shared" si="136"/>
        <v>FTVFMIKYLMTMIVGITTGFWIW</v>
      </c>
      <c r="Q341" s="4" t="str">
        <f t="shared" si="137"/>
        <v>SGKTLQSWRRFYHRLS</v>
      </c>
      <c r="R341" s="5">
        <f>VLOOKUP($A341,'SegEnds_NonXtal_Prot#'!$A:$AL,3,FALSE)</f>
        <v>247</v>
      </c>
      <c r="S341" s="5">
        <f>VLOOKUP($A341,'SegEnds_NonXtal_Prot#'!$A:$AL,6,FALSE)</f>
        <v>279</v>
      </c>
      <c r="T341" s="5">
        <f>VLOOKUP($A341,'SegEnds_NonXtal_Prot#'!$A:$AL,9,FALSE)</f>
        <v>284</v>
      </c>
      <c r="U341" s="5" t="str">
        <f>VLOOKUP($A341,'SegEnds_NonXtal_Prot#'!$A:$AL,12,FALSE)</f>
        <v>-</v>
      </c>
      <c r="V341" s="5">
        <f>VLOOKUP($A341,'SegEnds_NonXtal_Prot#'!$A:$AL,15,FALSE)</f>
        <v>334</v>
      </c>
      <c r="W341" s="5" t="str">
        <f>VLOOKUP($A341,'SegEnds_NonXtal_Prot#'!$A:$AL,18,FALSE)</f>
        <v>-</v>
      </c>
      <c r="X341" s="5">
        <f>VLOOKUP($A341,'SegEnds_NonXtal_Prot#'!$A:$AL,21,FALSE)</f>
        <v>374</v>
      </c>
      <c r="Y341" s="5">
        <f>VLOOKUP($A341,'SegEnds_NonXtal_Prot#'!$A:$AL,24,FALSE)</f>
        <v>411</v>
      </c>
      <c r="Z341" s="5">
        <f>VLOOKUP($A341,'SegEnds_NonXtal_Prot#'!$A:$AL,27,FALSE)</f>
        <v>418</v>
      </c>
      <c r="AA341" s="5">
        <f>VLOOKUP($A341,'SegEnds_NonXtal_Prot#'!$A:$AL,30,FALSE)</f>
        <v>461</v>
      </c>
      <c r="AB341" s="5">
        <f>VLOOKUP($A341,'SegEnds_NonXtal_Prot#'!$A:$AL,33,FALSE)</f>
        <v>527</v>
      </c>
      <c r="AC341" s="5">
        <f>VLOOKUP($A341,'SegEnds_NonXtal_Prot#'!$A:$AL,36,FALSE)</f>
        <v>550</v>
      </c>
      <c r="AD341" s="5">
        <f>VLOOKUP($A341,'SegEnds_NonXtal_Prot#'!$A:$AL,5,FALSE)</f>
        <v>278</v>
      </c>
      <c r="AE341" s="5">
        <f>VLOOKUP($A341,'SegEnds_NonXtal_Prot#'!$A:$AL,8,FALSE)</f>
        <v>283</v>
      </c>
      <c r="AF341" s="5">
        <f>VLOOKUP($A341,'SegEnds_NonXtal_Prot#'!$A:$AL,11,FALSE)</f>
        <v>307</v>
      </c>
      <c r="AG341" s="5" t="str">
        <f>VLOOKUP($A341,'SegEnds_NonXtal_Prot#'!$A:$AL,14,FALSE)</f>
        <v>-</v>
      </c>
      <c r="AH341" s="5">
        <f>VLOOKUP($A341,'SegEnds_NonXtal_Prot#'!$A:$AL,17,FALSE)</f>
        <v>370</v>
      </c>
      <c r="AI341" s="5" t="str">
        <f>VLOOKUP($A341,'SegEnds_NonXtal_Prot#'!$A:$AL,20,FALSE)</f>
        <v>-</v>
      </c>
      <c r="AJ341" s="5">
        <f>VLOOKUP($A341,'SegEnds_NonXtal_Prot#'!$A:$AL,23,FALSE)</f>
        <v>399</v>
      </c>
      <c r="AK341" s="5">
        <f>VLOOKUP($A341,'SegEnds_NonXtal_Prot#'!$A:$AL,26,FALSE)</f>
        <v>413</v>
      </c>
      <c r="AL341" s="5">
        <f>VLOOKUP($A341,'SegEnds_NonXtal_Prot#'!$A:$AL,29,FALSE)</f>
        <v>454</v>
      </c>
      <c r="AM341" s="5">
        <f>VLOOKUP($A341,'SegEnds_NonXtal_Prot#'!$A:$AL,32,FALSE)</f>
        <v>515</v>
      </c>
      <c r="AN341" s="5">
        <f>VLOOKUP($A341,'SegEnds_NonXtal_Prot#'!$A:$AL,35,FALSE)</f>
        <v>549</v>
      </c>
      <c r="AO341" s="5">
        <f>VLOOKUP($A341,'SegEnds_NonXtal_Prot#'!$A:$AL,38,FALSE)</f>
        <v>565</v>
      </c>
      <c r="AP341" s="5">
        <f t="shared" si="138"/>
        <v>31</v>
      </c>
      <c r="AQ341" s="4">
        <f t="shared" si="139"/>
        <v>4</v>
      </c>
      <c r="AR341" s="4">
        <f t="shared" si="140"/>
        <v>23</v>
      </c>
      <c r="AS341" s="4" t="str">
        <f t="shared" si="141"/>
        <v>-</v>
      </c>
      <c r="AT341" s="4">
        <f t="shared" si="142"/>
        <v>36</v>
      </c>
      <c r="AU341" s="4" t="str">
        <f t="shared" si="143"/>
        <v>-</v>
      </c>
      <c r="AV341" s="4">
        <f t="shared" si="144"/>
        <v>25</v>
      </c>
      <c r="AW341" s="4">
        <f t="shared" si="145"/>
        <v>2</v>
      </c>
      <c r="AX341" s="4">
        <f t="shared" si="146"/>
        <v>36</v>
      </c>
      <c r="AY341" s="4">
        <f t="shared" si="147"/>
        <v>54</v>
      </c>
      <c r="AZ341" s="4">
        <f t="shared" si="148"/>
        <v>22</v>
      </c>
      <c r="BA341" s="4">
        <f t="shared" si="149"/>
        <v>15</v>
      </c>
    </row>
    <row r="342" spans="1:53" x14ac:dyDescent="0.2">
      <c r="A342" s="1" t="str">
        <f>'SegEnds_NonXtal_Prot#'!A335</f>
        <v>fzd8_human</v>
      </c>
      <c r="B342" s="1" t="str">
        <f t="shared" si="125"/>
        <v>QDERAFTVFWIGLWSVLCFVSTFATVSTFLIDYPERPIIFLSACYLFVSVGYLVRLALCTVVFLLVYFFGMASSIWWVILSLTWFLAAGMKWGIAGYSQYFHLAAWLVPSVKSIAVLALLDNLRGFVLAPLVIYLFIGTMFLLAGFVSLFRIRSVITHKLEKLMIRLGLFTVLYTVPAAVVVACLFYEQHNRPRWEATHNCPCLRDLQPDQYAVFMLKYFMCLVVGITSGVWVWSGKTLESWRSLCTRCC</v>
      </c>
      <c r="C342" s="29" t="str">
        <f>IF(ISERROR(MATCH(A342,'SegEnds_Xtal_Prot#'!B:B, 0)), "NoXtal", "Xtal")</f>
        <v>NoXtal</v>
      </c>
      <c r="D342" s="4" t="str">
        <f>VLOOKUP(A342,Classification!A:D,2,FALSE)</f>
        <v>F</v>
      </c>
      <c r="E342" s="5" t="str">
        <f>VLOOKUP(A342,Seqs!A:B,2,FALSE)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42" s="5" t="str">
        <f t="shared" si="126"/>
        <v>QDERAFTVFWIGLWSVLCFVSTFATVSTFLID</v>
      </c>
      <c r="G342" s="4" t="str">
        <f t="shared" si="127"/>
        <v>MERFK</v>
      </c>
      <c r="H342" s="4" t="str">
        <f t="shared" si="128"/>
        <v>YPERPIIFLSACYLFVSVGYLVRL</v>
      </c>
      <c r="I342" s="4" t="str">
        <f t="shared" si="129"/>
        <v/>
      </c>
      <c r="J342" s="4" t="str">
        <f t="shared" si="130"/>
        <v>ALCTVVFLLVYFFGMASSIWWVILSLTWFLAAGMKWG</v>
      </c>
      <c r="K342" s="4" t="str">
        <f t="shared" si="131"/>
        <v/>
      </c>
      <c r="L342" s="4" t="str">
        <f t="shared" si="132"/>
        <v>IAGYSQYFHLAAWLVPSVKSIAVLAL</v>
      </c>
      <c r="M342" s="4" t="str">
        <f t="shared" si="133"/>
        <v>CYV</v>
      </c>
      <c r="N342" s="4" t="str">
        <f t="shared" si="134"/>
        <v>LDNLRGFVLAPLVIYLFIGTMFLLAGFVSLFRIRSVI</v>
      </c>
      <c r="O342" s="4" t="str">
        <f t="shared" si="135"/>
        <v>THKLEKLMIRLGLFTVLYTVPAAVVVACLFYEQHNRPRWEATHNCPCLRDLQPDQ</v>
      </c>
      <c r="P342" s="4" t="str">
        <f t="shared" si="136"/>
        <v>YAVFMLKYFMCLVVGITSGVWVW</v>
      </c>
      <c r="Q342" s="4" t="str">
        <f t="shared" si="137"/>
        <v>SGKTLESWRSLCTRCC</v>
      </c>
      <c r="R342" s="5">
        <f>VLOOKUP($A342,'SegEnds_NonXtal_Prot#'!$A:$AL,3,FALSE)</f>
        <v>271</v>
      </c>
      <c r="S342" s="5">
        <f>VLOOKUP($A342,'SegEnds_NonXtal_Prot#'!$A:$AL,6,FALSE)</f>
        <v>303</v>
      </c>
      <c r="T342" s="5">
        <f>VLOOKUP($A342,'SegEnds_NonXtal_Prot#'!$A:$AL,9,FALSE)</f>
        <v>308</v>
      </c>
      <c r="U342" s="5" t="str">
        <f>VLOOKUP($A342,'SegEnds_NonXtal_Prot#'!$A:$AL,12,FALSE)</f>
        <v>-</v>
      </c>
      <c r="V342" s="5">
        <f>VLOOKUP($A342,'SegEnds_NonXtal_Prot#'!$A:$AL,15,FALSE)</f>
        <v>394</v>
      </c>
      <c r="W342" s="5" t="str">
        <f>VLOOKUP($A342,'SegEnds_NonXtal_Prot#'!$A:$AL,18,FALSE)</f>
        <v>-</v>
      </c>
      <c r="X342" s="5">
        <f>VLOOKUP($A342,'SegEnds_NonXtal_Prot#'!$A:$AL,21,FALSE)</f>
        <v>434</v>
      </c>
      <c r="Y342" s="5">
        <f>VLOOKUP($A342,'SegEnds_NonXtal_Prot#'!$A:$AL,24,FALSE)</f>
        <v>471</v>
      </c>
      <c r="Z342" s="5">
        <f>VLOOKUP($A342,'SegEnds_NonXtal_Prot#'!$A:$AL,27,FALSE)</f>
        <v>478</v>
      </c>
      <c r="AA342" s="5">
        <f>VLOOKUP($A342,'SegEnds_NonXtal_Prot#'!$A:$AL,30,FALSE)</f>
        <v>523</v>
      </c>
      <c r="AB342" s="5">
        <f>VLOOKUP($A342,'SegEnds_NonXtal_Prot#'!$A:$AL,33,FALSE)</f>
        <v>583</v>
      </c>
      <c r="AC342" s="5">
        <f>VLOOKUP($A342,'SegEnds_NonXtal_Prot#'!$A:$AL,36,FALSE)</f>
        <v>606</v>
      </c>
      <c r="AD342" s="5">
        <f>VLOOKUP($A342,'SegEnds_NonXtal_Prot#'!$A:$AL,5,FALSE)</f>
        <v>302</v>
      </c>
      <c r="AE342" s="5">
        <f>VLOOKUP($A342,'SegEnds_NonXtal_Prot#'!$A:$AL,8,FALSE)</f>
        <v>307</v>
      </c>
      <c r="AF342" s="5">
        <f>VLOOKUP($A342,'SegEnds_NonXtal_Prot#'!$A:$AL,11,FALSE)</f>
        <v>331</v>
      </c>
      <c r="AG342" s="5" t="str">
        <f>VLOOKUP($A342,'SegEnds_NonXtal_Prot#'!$A:$AL,14,FALSE)</f>
        <v>-</v>
      </c>
      <c r="AH342" s="5">
        <f>VLOOKUP($A342,'SegEnds_NonXtal_Prot#'!$A:$AL,17,FALSE)</f>
        <v>430</v>
      </c>
      <c r="AI342" s="5" t="str">
        <f>VLOOKUP($A342,'SegEnds_NonXtal_Prot#'!$A:$AL,20,FALSE)</f>
        <v>-</v>
      </c>
      <c r="AJ342" s="5">
        <f>VLOOKUP($A342,'SegEnds_NonXtal_Prot#'!$A:$AL,23,FALSE)</f>
        <v>459</v>
      </c>
      <c r="AK342" s="5">
        <f>VLOOKUP($A342,'SegEnds_NonXtal_Prot#'!$A:$AL,26,FALSE)</f>
        <v>473</v>
      </c>
      <c r="AL342" s="5">
        <f>VLOOKUP($A342,'SegEnds_NonXtal_Prot#'!$A:$AL,29,FALSE)</f>
        <v>514</v>
      </c>
      <c r="AM342" s="5">
        <f>VLOOKUP($A342,'SegEnds_NonXtal_Prot#'!$A:$AL,32,FALSE)</f>
        <v>577</v>
      </c>
      <c r="AN342" s="5">
        <f>VLOOKUP($A342,'SegEnds_NonXtal_Prot#'!$A:$AL,35,FALSE)</f>
        <v>605</v>
      </c>
      <c r="AO342" s="5">
        <f>VLOOKUP($A342,'SegEnds_NonXtal_Prot#'!$A:$AL,38,FALSE)</f>
        <v>621</v>
      </c>
      <c r="AP342" s="5">
        <f t="shared" si="138"/>
        <v>31</v>
      </c>
      <c r="AQ342" s="4">
        <f t="shared" si="139"/>
        <v>4</v>
      </c>
      <c r="AR342" s="4">
        <f t="shared" si="140"/>
        <v>23</v>
      </c>
      <c r="AS342" s="4" t="str">
        <f t="shared" si="141"/>
        <v>-</v>
      </c>
      <c r="AT342" s="4">
        <f t="shared" si="142"/>
        <v>36</v>
      </c>
      <c r="AU342" s="4" t="str">
        <f t="shared" si="143"/>
        <v>-</v>
      </c>
      <c r="AV342" s="4">
        <f t="shared" si="144"/>
        <v>25</v>
      </c>
      <c r="AW342" s="4">
        <f t="shared" si="145"/>
        <v>2</v>
      </c>
      <c r="AX342" s="4">
        <f t="shared" si="146"/>
        <v>36</v>
      </c>
      <c r="AY342" s="4">
        <f t="shared" si="147"/>
        <v>54</v>
      </c>
      <c r="AZ342" s="4">
        <f t="shared" si="148"/>
        <v>22</v>
      </c>
      <c r="BA342" s="4">
        <f t="shared" si="149"/>
        <v>15</v>
      </c>
    </row>
    <row r="343" spans="1:53" x14ac:dyDescent="0.2">
      <c r="A343" s="1" t="str">
        <f>'SegEnds_NonXtal_Prot#'!A336</f>
        <v>fzd9_human</v>
      </c>
      <c r="B343" s="1" t="str">
        <f t="shared" si="125"/>
        <v>RRDKDFALVWMAVWSALCFFSTAFTVLTFLLEYPERPIIFLSMCYNVYSLAFLIRATGCTLVFLLLYYFGMASSLWWVVLTLTWFLAAGKKWGIEAHGSYFHMAAWGLPALKTIVILTLAAALTGFVLVPLSGYLVLGSSFLLTGFVALFHIRKIMTEKLEKLMVKIGVFSILYTVPATCVIVCYVYERLNMDFWRLRATEQPCAAAAGPGVAVFMLKIFMSLVVGITSGVWVWSSKTFQTWQSLCYRKI</v>
      </c>
      <c r="C343" s="29" t="str">
        <f>IF(ISERROR(MATCH(A343,'SegEnds_Xtal_Prot#'!B:B, 0)), "NoXtal", "Xtal")</f>
        <v>NoXtal</v>
      </c>
      <c r="D343" s="4" t="str">
        <f>VLOOKUP(A343,Classification!A:D,2,FALSE)</f>
        <v>F</v>
      </c>
      <c r="E343" s="5" t="str">
        <f>VLOOKUP(A343,Seqs!A:B,2,FALSE)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43" s="5" t="str">
        <f t="shared" si="126"/>
        <v>RRDKDFALVWMAVWSALCFFSTAFTVLTFLLE</v>
      </c>
      <c r="G343" s="4" t="str">
        <f t="shared" si="127"/>
        <v>PHRFQ</v>
      </c>
      <c r="H343" s="4" t="str">
        <f t="shared" si="128"/>
        <v>YPERPIIFLSMCYNVYSLAFLIRA</v>
      </c>
      <c r="I343" s="4" t="str">
        <f t="shared" si="129"/>
        <v/>
      </c>
      <c r="J343" s="4" t="str">
        <f t="shared" si="130"/>
        <v>TGCTLVFLLLYYFGMASSLWWVVLTLTWFLAAGKKWG</v>
      </c>
      <c r="K343" s="4" t="str">
        <f t="shared" si="131"/>
        <v/>
      </c>
      <c r="L343" s="4" t="str">
        <f t="shared" si="132"/>
        <v>IEAHGSYFHMAAWGLPALKTIVILTL</v>
      </c>
      <c r="M343" s="4" t="str">
        <f t="shared" si="133"/>
        <v>CYV</v>
      </c>
      <c r="N343" s="4" t="str">
        <f t="shared" si="134"/>
        <v>AAALTGFVLVPLSGYLVLGSSFLLTGFVALFHIRKIM</v>
      </c>
      <c r="O343" s="4" t="str">
        <f t="shared" si="135"/>
        <v>TEKLEKLMVKIGVFSILYTVPATCVIVCYVYERLNMDFWRLRATEQPCAAAAGPG</v>
      </c>
      <c r="P343" s="4" t="str">
        <f t="shared" si="136"/>
        <v>VAVFMLKIFMSLVVGITSGVWVW</v>
      </c>
      <c r="Q343" s="4" t="str">
        <f t="shared" si="137"/>
        <v>SSKTFQTWQSLCYRKI</v>
      </c>
      <c r="R343" s="5">
        <f>VLOOKUP($A343,'SegEnds_NonXtal_Prot#'!$A:$AL,3,FALSE)</f>
        <v>225</v>
      </c>
      <c r="S343" s="5">
        <f>VLOOKUP($A343,'SegEnds_NonXtal_Prot#'!$A:$AL,6,FALSE)</f>
        <v>257</v>
      </c>
      <c r="T343" s="5">
        <f>VLOOKUP($A343,'SegEnds_NonXtal_Prot#'!$A:$AL,9,FALSE)</f>
        <v>262</v>
      </c>
      <c r="U343" s="5" t="str">
        <f>VLOOKUP($A343,'SegEnds_NonXtal_Prot#'!$A:$AL,12,FALSE)</f>
        <v>-</v>
      </c>
      <c r="V343" s="5">
        <f>VLOOKUP($A343,'SegEnds_NonXtal_Prot#'!$A:$AL,15,FALSE)</f>
        <v>311</v>
      </c>
      <c r="W343" s="5" t="str">
        <f>VLOOKUP($A343,'SegEnds_NonXtal_Prot#'!$A:$AL,18,FALSE)</f>
        <v>-</v>
      </c>
      <c r="X343" s="5">
        <f>VLOOKUP($A343,'SegEnds_NonXtal_Prot#'!$A:$AL,21,FALSE)</f>
        <v>351</v>
      </c>
      <c r="Y343" s="5">
        <f>VLOOKUP($A343,'SegEnds_NonXtal_Prot#'!$A:$AL,24,FALSE)</f>
        <v>388</v>
      </c>
      <c r="Z343" s="5">
        <f>VLOOKUP($A343,'SegEnds_NonXtal_Prot#'!$A:$AL,27,FALSE)</f>
        <v>395</v>
      </c>
      <c r="AA343" s="5">
        <f>VLOOKUP($A343,'SegEnds_NonXtal_Prot#'!$A:$AL,30,FALSE)</f>
        <v>438</v>
      </c>
      <c r="AB343" s="5">
        <f>VLOOKUP($A343,'SegEnds_NonXtal_Prot#'!$A:$AL,33,FALSE)</f>
        <v>507</v>
      </c>
      <c r="AC343" s="5">
        <f>VLOOKUP($A343,'SegEnds_NonXtal_Prot#'!$A:$AL,36,FALSE)</f>
        <v>530</v>
      </c>
      <c r="AD343" s="5">
        <f>VLOOKUP($A343,'SegEnds_NonXtal_Prot#'!$A:$AL,5,FALSE)</f>
        <v>256</v>
      </c>
      <c r="AE343" s="5">
        <f>VLOOKUP($A343,'SegEnds_NonXtal_Prot#'!$A:$AL,8,FALSE)</f>
        <v>261</v>
      </c>
      <c r="AF343" s="5">
        <f>VLOOKUP($A343,'SegEnds_NonXtal_Prot#'!$A:$AL,11,FALSE)</f>
        <v>285</v>
      </c>
      <c r="AG343" s="5" t="str">
        <f>VLOOKUP($A343,'SegEnds_NonXtal_Prot#'!$A:$AL,14,FALSE)</f>
        <v>-</v>
      </c>
      <c r="AH343" s="5">
        <f>VLOOKUP($A343,'SegEnds_NonXtal_Prot#'!$A:$AL,17,FALSE)</f>
        <v>347</v>
      </c>
      <c r="AI343" s="5" t="str">
        <f>VLOOKUP($A343,'SegEnds_NonXtal_Prot#'!$A:$AL,20,FALSE)</f>
        <v>-</v>
      </c>
      <c r="AJ343" s="5">
        <f>VLOOKUP($A343,'SegEnds_NonXtal_Prot#'!$A:$AL,23,FALSE)</f>
        <v>376</v>
      </c>
      <c r="AK343" s="5">
        <f>VLOOKUP($A343,'SegEnds_NonXtal_Prot#'!$A:$AL,26,FALSE)</f>
        <v>390</v>
      </c>
      <c r="AL343" s="5">
        <f>VLOOKUP($A343,'SegEnds_NonXtal_Prot#'!$A:$AL,29,FALSE)</f>
        <v>431</v>
      </c>
      <c r="AM343" s="5">
        <f>VLOOKUP($A343,'SegEnds_NonXtal_Prot#'!$A:$AL,32,FALSE)</f>
        <v>492</v>
      </c>
      <c r="AN343" s="5">
        <f>VLOOKUP($A343,'SegEnds_NonXtal_Prot#'!$A:$AL,35,FALSE)</f>
        <v>529</v>
      </c>
      <c r="AO343" s="5">
        <f>VLOOKUP($A343,'SegEnds_NonXtal_Prot#'!$A:$AL,38,FALSE)</f>
        <v>545</v>
      </c>
      <c r="AP343" s="5">
        <f t="shared" si="138"/>
        <v>31</v>
      </c>
      <c r="AQ343" s="4">
        <f t="shared" si="139"/>
        <v>4</v>
      </c>
      <c r="AR343" s="4">
        <f t="shared" si="140"/>
        <v>23</v>
      </c>
      <c r="AS343" s="4" t="str">
        <f t="shared" si="141"/>
        <v>-</v>
      </c>
      <c r="AT343" s="4">
        <f t="shared" si="142"/>
        <v>36</v>
      </c>
      <c r="AU343" s="4" t="str">
        <f t="shared" si="143"/>
        <v>-</v>
      </c>
      <c r="AV343" s="4">
        <f t="shared" si="144"/>
        <v>25</v>
      </c>
      <c r="AW343" s="4">
        <f t="shared" si="145"/>
        <v>2</v>
      </c>
      <c r="AX343" s="4">
        <f t="shared" si="146"/>
        <v>36</v>
      </c>
      <c r="AY343" s="4">
        <f t="shared" si="147"/>
        <v>54</v>
      </c>
      <c r="AZ343" s="4">
        <f t="shared" si="148"/>
        <v>22</v>
      </c>
      <c r="BA343" s="4">
        <f t="shared" si="149"/>
        <v>15</v>
      </c>
    </row>
    <row r="344" spans="1:53" x14ac:dyDescent="0.2">
      <c r="A344" s="1" t="str">
        <f>'SegEnds_NonXtal_Prot#'!A337</f>
        <v>g137a_human</v>
      </c>
      <c r="B344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44" s="29" t="str">
        <f>IF(ISERROR(MATCH(A344,'SegEnds_Xtal_Prot#'!B:B, 0)), "NoXtal", "Xtal")</f>
        <v>NoXtal</v>
      </c>
      <c r="D344" s="4" t="str">
        <f>VLOOKUP(A344,Classification!A:D,2,FALSE)</f>
        <v>O</v>
      </c>
      <c r="E344" s="5" t="str">
        <f>VLOOKUP(A344,Seqs!A:B,2,FALSE)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44" s="5" t="str">
        <f t="shared" si="126"/>
        <v>PAVTLGLTAAYTTLYALLFFSVYAQLWLVLLYGHKRLSYQTVFL</v>
      </c>
      <c r="G344" s="4" t="str">
        <f t="shared" si="127"/>
        <v/>
      </c>
      <c r="H344" s="4" t="str">
        <f t="shared" si="128"/>
        <v>TVFLALCLLWAALRTTLFSFYFRDT</v>
      </c>
      <c r="I344" s="4" t="str">
        <f t="shared" si="129"/>
        <v/>
      </c>
      <c r="J344" s="4" t="str">
        <f t="shared" si="130"/>
        <v>KVKRRPEMSRGLLAVRGAFVGASLLFLLVNVLCA</v>
      </c>
      <c r="K344" s="4" t="str">
        <f t="shared" si="131"/>
        <v/>
      </c>
      <c r="L344" s="4" t="str">
        <f t="shared" si="132"/>
        <v>RVLVSDSLFVICALSLAACLCLVAR</v>
      </c>
      <c r="M344" s="4" t="str">
        <f t="shared" si="133"/>
        <v/>
      </c>
      <c r="N344" s="4" t="str">
        <f t="shared" si="134"/>
        <v>NVSDQADLVNDLGNKGYLVFGLI</v>
      </c>
      <c r="O344" s="4" t="str">
        <f t="shared" si="135"/>
        <v>GHCEDEGCSWEHSRGESTRCQDQAA</v>
      </c>
      <c r="P344" s="4" t="str">
        <f t="shared" si="136"/>
        <v>PSPTEYPGPSPPHPRPLCQVCL</v>
      </c>
      <c r="Q344" s="4" t="str">
        <f t="shared" si="137"/>
        <v>PLLAQDPGGRG</v>
      </c>
      <c r="R344" s="5">
        <f>VLOOKUP($A344,'SegEnds_NonXtal_Prot#'!$A:$AL,3,FALSE)</f>
        <v>20</v>
      </c>
      <c r="S344" s="5" t="str">
        <f>VLOOKUP($A344,'SegEnds_NonXtal_Prot#'!$A:$AL,6,FALSE)</f>
        <v>-</v>
      </c>
      <c r="T344" s="5">
        <f>VLOOKUP($A344,'SegEnds_NonXtal_Prot#'!$A:$AL,9,FALSE)</f>
        <v>60</v>
      </c>
      <c r="U344" s="5" t="str">
        <f>VLOOKUP($A344,'SegEnds_NonXtal_Prot#'!$A:$AL,12,FALSE)</f>
        <v>-</v>
      </c>
      <c r="V344" s="5">
        <f>VLOOKUP($A344,'SegEnds_NonXtal_Prot#'!$A:$AL,15,FALSE)</f>
        <v>125</v>
      </c>
      <c r="W344" s="5" t="str">
        <f>VLOOKUP($A344,'SegEnds_NonXtal_Prot#'!$A:$AL,18,FALSE)</f>
        <v>-</v>
      </c>
      <c r="X344" s="5">
        <f>VLOOKUP($A344,'SegEnds_NonXtal_Prot#'!$A:$AL,21,FALSE)</f>
        <v>175</v>
      </c>
      <c r="Y344" s="5" t="str">
        <f>VLOOKUP($A344,'SegEnds_NonXtal_Prot#'!$A:$AL,24,FALSE)</f>
        <v>-</v>
      </c>
      <c r="Z344" s="5">
        <f>VLOOKUP($A344,'SegEnds_NonXtal_Prot#'!$A:$AL,27,FALSE)</f>
        <v>257</v>
      </c>
      <c r="AA344" s="5">
        <f>VLOOKUP($A344,'SegEnds_NonXtal_Prot#'!$A:$AL,30,FALSE)</f>
        <v>326</v>
      </c>
      <c r="AB344" s="5">
        <f>VLOOKUP($A344,'SegEnds_NonXtal_Prot#'!$A:$AL,33,FALSE)</f>
        <v>365</v>
      </c>
      <c r="AC344" s="5">
        <f>VLOOKUP($A344,'SegEnds_NonXtal_Prot#'!$A:$AL,36,FALSE)</f>
        <v>387</v>
      </c>
      <c r="AD344" s="5">
        <f>VLOOKUP($A344,'SegEnds_NonXtal_Prot#'!$A:$AL,5,FALSE)</f>
        <v>63</v>
      </c>
      <c r="AE344" s="5" t="str">
        <f>VLOOKUP($A344,'SegEnds_NonXtal_Prot#'!$A:$AL,8,FALSE)</f>
        <v>-</v>
      </c>
      <c r="AF344" s="5">
        <f>VLOOKUP($A344,'SegEnds_NonXtal_Prot#'!$A:$AL,11,FALSE)</f>
        <v>84</v>
      </c>
      <c r="AG344" s="5" t="str">
        <f>VLOOKUP($A344,'SegEnds_NonXtal_Prot#'!$A:$AL,14,FALSE)</f>
        <v>-</v>
      </c>
      <c r="AH344" s="5">
        <f>VLOOKUP($A344,'SegEnds_NonXtal_Prot#'!$A:$AL,17,FALSE)</f>
        <v>158</v>
      </c>
      <c r="AI344" s="5" t="str">
        <f>VLOOKUP($A344,'SegEnds_NonXtal_Prot#'!$A:$AL,20,FALSE)</f>
        <v>-</v>
      </c>
      <c r="AJ344" s="5">
        <f>VLOOKUP($A344,'SegEnds_NonXtal_Prot#'!$A:$AL,23,FALSE)</f>
        <v>199</v>
      </c>
      <c r="AK344" s="5" t="str">
        <f>VLOOKUP($A344,'SegEnds_NonXtal_Prot#'!$A:$AL,26,FALSE)</f>
        <v>-</v>
      </c>
      <c r="AL344" s="5">
        <f>VLOOKUP($A344,'SegEnds_NonXtal_Prot#'!$A:$AL,29,FALSE)</f>
        <v>279</v>
      </c>
      <c r="AM344" s="5">
        <f>VLOOKUP($A344,'SegEnds_NonXtal_Prot#'!$A:$AL,32,FALSE)</f>
        <v>350</v>
      </c>
      <c r="AN344" s="5">
        <f>VLOOKUP($A344,'SegEnds_NonXtal_Prot#'!$A:$AL,35,FALSE)</f>
        <v>386</v>
      </c>
      <c r="AO344" s="5">
        <f>VLOOKUP($A344,'SegEnds_NonXtal_Prot#'!$A:$AL,38,FALSE)</f>
        <v>397</v>
      </c>
      <c r="AP344" s="5">
        <f t="shared" si="138"/>
        <v>43</v>
      </c>
      <c r="AQ344" s="4" t="str">
        <f t="shared" si="139"/>
        <v>-</v>
      </c>
      <c r="AR344" s="4">
        <f t="shared" si="140"/>
        <v>24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24</v>
      </c>
      <c r="AW344" s="4" t="str">
        <f t="shared" si="145"/>
        <v>-</v>
      </c>
      <c r="AX344" s="4">
        <f t="shared" si="146"/>
        <v>22</v>
      </c>
      <c r="AY344" s="4">
        <f t="shared" si="147"/>
        <v>24</v>
      </c>
      <c r="AZ344" s="4">
        <f t="shared" si="148"/>
        <v>21</v>
      </c>
      <c r="BA344" s="4">
        <f t="shared" si="149"/>
        <v>10</v>
      </c>
    </row>
    <row r="345" spans="1:53" x14ac:dyDescent="0.2">
      <c r="A345" s="1" t="str">
        <f>'SegEnds_NonXtal_Prot#'!A338</f>
        <v>gabr1_human</v>
      </c>
      <c r="B345" s="1" t="str">
        <f t="shared" si="125"/>
        <v>KLFISVSVLSSLGIVLAVVCLSFNIYNQPNLNNLTAVGCSLALAAVFPLGPFVCQARLWLLGLGFSLGYGSMFTKIWWVHTVFEPWKLYATVGLLVGMDVLTLAIWQIVDNTWLGIFYGYKGLLLLLGIFLAYETDHRAVGMAIYNVAVLCLITAPVTMIAFAFASLAIVFSSYITLVVLFVPKMRRLITRGEWQSEAQDTMK</v>
      </c>
      <c r="C345" s="29" t="str">
        <f>IF(ISERROR(MATCH(A345,'SegEnds_Xtal_Prot#'!B:B, 0)), "NoXtal", "Xtal")</f>
        <v>NoXtal</v>
      </c>
      <c r="D345" s="4" t="str">
        <f>VLOOKUP(A345,Classification!A:D,2,FALSE)</f>
        <v>C</v>
      </c>
      <c r="E345" s="5" t="str">
        <f>VLOOKUP(A345,Seqs!A:B,2,FALSE)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45" s="5" t="str">
        <f t="shared" si="126"/>
        <v>KLFISVSVLSSLGIVLAVVCLSFNIYN</v>
      </c>
      <c r="G345" s="4" t="str">
        <f t="shared" si="127"/>
        <v>VRYIQNS</v>
      </c>
      <c r="H345" s="4" t="str">
        <f t="shared" si="128"/>
        <v>QPNLNNLTAVGCSLALAAVFPLG</v>
      </c>
      <c r="I345" s="4" t="str">
        <f t="shared" si="129"/>
        <v/>
      </c>
      <c r="J345" s="4" t="str">
        <f t="shared" si="130"/>
        <v>PFVCQARLWLLGLGFSLGYGSMFTKIWWVHTVF</v>
      </c>
      <c r="K345" s="4" t="str">
        <f t="shared" si="131"/>
        <v/>
      </c>
      <c r="L345" s="4" t="str">
        <f t="shared" si="132"/>
        <v>EPWKLYATVGLLVGMDVLTLAIWQIVD</v>
      </c>
      <c r="M345" s="4" t="str">
        <f t="shared" si="133"/>
        <v>CSS</v>
      </c>
      <c r="N345" s="4" t="str">
        <f t="shared" si="134"/>
        <v>NTWLGIFYGYKGLLLLLGIFLAYET</v>
      </c>
      <c r="O345" s="4" t="str">
        <f t="shared" si="135"/>
        <v>DHRAVGMAIYNVAVLCLITAPVTMI</v>
      </c>
      <c r="P345" s="4" t="str">
        <f t="shared" si="136"/>
        <v>AFAFASLAIVFSSYITLVVLFVPKMRRLIT</v>
      </c>
      <c r="Q345" s="4" t="str">
        <f t="shared" si="137"/>
        <v>RGEWQSEAQDTMK</v>
      </c>
      <c r="R345" s="5">
        <f>VLOOKUP($A345,'SegEnds_NonXtal_Prot#'!$A:$AL,3,FALSE)</f>
        <v>590</v>
      </c>
      <c r="S345" s="5">
        <f>VLOOKUP($A345,'SegEnds_NonXtal_Prot#'!$A:$AL,6,FALSE)</f>
        <v>619</v>
      </c>
      <c r="T345" s="5">
        <f>VLOOKUP($A345,'SegEnds_NonXtal_Prot#'!$A:$AL,9,FALSE)</f>
        <v>626</v>
      </c>
      <c r="U345" s="5" t="str">
        <f>VLOOKUP($A345,'SegEnds_NonXtal_Prot#'!$A:$AL,12,FALSE)</f>
        <v>-</v>
      </c>
      <c r="V345" s="5">
        <f>VLOOKUP($A345,'SegEnds_NonXtal_Prot#'!$A:$AL,15,FALSE)</f>
        <v>660</v>
      </c>
      <c r="W345" s="5" t="str">
        <f>VLOOKUP($A345,'SegEnds_NonXtal_Prot#'!$A:$AL,18,FALSE)</f>
        <v>-</v>
      </c>
      <c r="X345" s="5">
        <f>VLOOKUP($A345,'SegEnds_NonXtal_Prot#'!$A:$AL,21,FALSE)</f>
        <v>706</v>
      </c>
      <c r="Y345" s="5">
        <f>VLOOKUP($A345,'SegEnds_NonXtal_Prot#'!$A:$AL,24,FALSE)</f>
        <v>761</v>
      </c>
      <c r="Z345" s="5">
        <f>VLOOKUP($A345,'SegEnds_NonXtal_Prot#'!$A:$AL,27,FALSE)</f>
        <v>767</v>
      </c>
      <c r="AA345" s="5">
        <f>VLOOKUP($A345,'SegEnds_NonXtal_Prot#'!$A:$AL,30,FALSE)</f>
        <v>801</v>
      </c>
      <c r="AB345" s="5">
        <f>VLOOKUP($A345,'SegEnds_NonXtal_Prot#'!$A:$AL,33,FALSE)</f>
        <v>833</v>
      </c>
      <c r="AC345" s="5">
        <f>VLOOKUP($A345,'SegEnds_NonXtal_Prot#'!$A:$AL,36,FALSE)</f>
        <v>863</v>
      </c>
      <c r="AD345" s="5">
        <f>VLOOKUP($A345,'SegEnds_NonXtal_Prot#'!$A:$AL,5,FALSE)</f>
        <v>616</v>
      </c>
      <c r="AE345" s="5">
        <f>VLOOKUP($A345,'SegEnds_NonXtal_Prot#'!$A:$AL,8,FALSE)</f>
        <v>625</v>
      </c>
      <c r="AF345" s="5">
        <f>VLOOKUP($A345,'SegEnds_NonXtal_Prot#'!$A:$AL,11,FALSE)</f>
        <v>648</v>
      </c>
      <c r="AG345" s="5" t="str">
        <f>VLOOKUP($A345,'SegEnds_NonXtal_Prot#'!$A:$AL,14,FALSE)</f>
        <v>-</v>
      </c>
      <c r="AH345" s="5">
        <f>VLOOKUP($A345,'SegEnds_NonXtal_Prot#'!$A:$AL,17,FALSE)</f>
        <v>692</v>
      </c>
      <c r="AI345" s="5" t="str">
        <f>VLOOKUP($A345,'SegEnds_NonXtal_Prot#'!$A:$AL,20,FALSE)</f>
        <v>-</v>
      </c>
      <c r="AJ345" s="5">
        <f>VLOOKUP($A345,'SegEnds_NonXtal_Prot#'!$A:$AL,23,FALSE)</f>
        <v>732</v>
      </c>
      <c r="AK345" s="5">
        <f>VLOOKUP($A345,'SegEnds_NonXtal_Prot#'!$A:$AL,26,FALSE)</f>
        <v>763</v>
      </c>
      <c r="AL345" s="5">
        <f>VLOOKUP($A345,'SegEnds_NonXtal_Prot#'!$A:$AL,29,FALSE)</f>
        <v>791</v>
      </c>
      <c r="AM345" s="5">
        <f>VLOOKUP($A345,'SegEnds_NonXtal_Prot#'!$A:$AL,32,FALSE)</f>
        <v>825</v>
      </c>
      <c r="AN345" s="5">
        <f>VLOOKUP($A345,'SegEnds_NonXtal_Prot#'!$A:$AL,35,FALSE)</f>
        <v>862</v>
      </c>
      <c r="AO345" s="5">
        <f>VLOOKUP($A345,'SegEnds_NonXtal_Prot#'!$A:$AL,38,FALSE)</f>
        <v>875</v>
      </c>
      <c r="AP345" s="5">
        <f t="shared" si="138"/>
        <v>26</v>
      </c>
      <c r="AQ345" s="4">
        <f t="shared" si="139"/>
        <v>6</v>
      </c>
      <c r="AR345" s="4">
        <f t="shared" si="140"/>
        <v>22</v>
      </c>
      <c r="AS345" s="4" t="str">
        <f t="shared" si="141"/>
        <v>-</v>
      </c>
      <c r="AT345" s="4">
        <f t="shared" si="142"/>
        <v>32</v>
      </c>
      <c r="AU345" s="4" t="str">
        <f t="shared" si="143"/>
        <v>-</v>
      </c>
      <c r="AV345" s="4">
        <f t="shared" si="144"/>
        <v>26</v>
      </c>
      <c r="AW345" s="4">
        <f t="shared" si="145"/>
        <v>2</v>
      </c>
      <c r="AX345" s="4">
        <f t="shared" si="146"/>
        <v>24</v>
      </c>
      <c r="AY345" s="4">
        <f t="shared" si="147"/>
        <v>24</v>
      </c>
      <c r="AZ345" s="4">
        <f t="shared" si="148"/>
        <v>29</v>
      </c>
      <c r="BA345" s="4">
        <f t="shared" si="149"/>
        <v>12</v>
      </c>
    </row>
    <row r="346" spans="1:53" x14ac:dyDescent="0.2">
      <c r="A346" s="1" t="str">
        <f>'SegEnds_NonXtal_Prot#'!A339</f>
        <v>gabr2_human</v>
      </c>
      <c r="B346" s="1" t="str">
        <f t="shared" si="125"/>
        <v>PLYSILSALTILGMIMASAFLFFNIKNSPYMNNLIILGGMLSYASIFLFGETLCTVRTWILTVGYTTAFGAMFAKTWRVHAIFKDQKLLVIVGGMLLIDLCILICWQAVDTIWLGIVYAYKGLLMLFGCFLAWETDSKYIGMSVYNVGIMCIIGAAVSFLQFCIVALVIIFCSTITLCLVFVPKLITLRTNPDAATQNRRFQF</v>
      </c>
      <c r="C346" s="29" t="str">
        <f>IF(ISERROR(MATCH(A346,'SegEnds_Xtal_Prot#'!B:B, 0)), "NoXtal", "Xtal")</f>
        <v>NoXtal</v>
      </c>
      <c r="D346" s="4" t="str">
        <f>VLOOKUP(A346,Classification!A:D,2,FALSE)</f>
        <v>C</v>
      </c>
      <c r="E346" s="5" t="str">
        <f>VLOOKUP(A346,Seqs!A:B,2,FALSE)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46" s="5" t="str">
        <f t="shared" si="126"/>
        <v>PLYSILSALTILGMIMASAFLFFNIKN</v>
      </c>
      <c r="G346" s="4" t="str">
        <f t="shared" si="127"/>
        <v>QKLIKMS</v>
      </c>
      <c r="H346" s="4" t="str">
        <f t="shared" si="128"/>
        <v>SPYMNNLIILGGMLSYASIFLFG</v>
      </c>
      <c r="I346" s="4" t="str">
        <f t="shared" si="129"/>
        <v/>
      </c>
      <c r="J346" s="4" t="str">
        <f t="shared" si="130"/>
        <v>ETLCTVRTWILTVGYTTAFGAMFAKTWRVHAIF</v>
      </c>
      <c r="K346" s="4" t="str">
        <f t="shared" si="131"/>
        <v/>
      </c>
      <c r="L346" s="4" t="str">
        <f t="shared" si="132"/>
        <v>KDQKLLVIVGGMLLIDLCILICWQAVD</v>
      </c>
      <c r="M346" s="4" t="str">
        <f t="shared" si="133"/>
        <v>CEN</v>
      </c>
      <c r="N346" s="4" t="str">
        <f t="shared" si="134"/>
        <v>TIWLGIVYAYKGLLMLFGCFLAWET</v>
      </c>
      <c r="O346" s="4" t="str">
        <f t="shared" si="135"/>
        <v>DSKYIGMSVYNVGIMCIIGAAVSFL</v>
      </c>
      <c r="P346" s="4" t="str">
        <f t="shared" si="136"/>
        <v>QFCIVALVIIFCSTITLCLVFVPKLITLRT</v>
      </c>
      <c r="Q346" s="4" t="str">
        <f t="shared" si="137"/>
        <v>NPDAATQNRRFQF</v>
      </c>
      <c r="R346" s="5">
        <f>VLOOKUP($A346,'SegEnds_NonXtal_Prot#'!$A:$AL,3,FALSE)</f>
        <v>480</v>
      </c>
      <c r="S346" s="5">
        <f>VLOOKUP($A346,'SegEnds_NonXtal_Prot#'!$A:$AL,6,FALSE)</f>
        <v>509</v>
      </c>
      <c r="T346" s="5">
        <f>VLOOKUP($A346,'SegEnds_NonXtal_Prot#'!$A:$AL,9,FALSE)</f>
        <v>516</v>
      </c>
      <c r="U346" s="5" t="str">
        <f>VLOOKUP($A346,'SegEnds_NonXtal_Prot#'!$A:$AL,12,FALSE)</f>
        <v>-</v>
      </c>
      <c r="V346" s="5">
        <f>VLOOKUP($A346,'SegEnds_NonXtal_Prot#'!$A:$AL,15,FALSE)</f>
        <v>550</v>
      </c>
      <c r="W346" s="5" t="str">
        <f>VLOOKUP($A346,'SegEnds_NonXtal_Prot#'!$A:$AL,18,FALSE)</f>
        <v>-</v>
      </c>
      <c r="X346" s="5">
        <f>VLOOKUP($A346,'SegEnds_NonXtal_Prot#'!$A:$AL,21,FALSE)</f>
        <v>593</v>
      </c>
      <c r="Y346" s="5">
        <f>VLOOKUP($A346,'SegEnds_NonXtal_Prot#'!$A:$AL,24,FALSE)</f>
        <v>648</v>
      </c>
      <c r="Z346" s="5">
        <f>VLOOKUP($A346,'SegEnds_NonXtal_Prot#'!$A:$AL,27,FALSE)</f>
        <v>654</v>
      </c>
      <c r="AA346" s="5">
        <f>VLOOKUP($A346,'SegEnds_NonXtal_Prot#'!$A:$AL,30,FALSE)</f>
        <v>688</v>
      </c>
      <c r="AB346" s="5">
        <f>VLOOKUP($A346,'SegEnds_NonXtal_Prot#'!$A:$AL,33,FALSE)</f>
        <v>720</v>
      </c>
      <c r="AC346" s="5">
        <f>VLOOKUP($A346,'SegEnds_NonXtal_Prot#'!$A:$AL,36,FALSE)</f>
        <v>750</v>
      </c>
      <c r="AD346" s="5">
        <f>VLOOKUP($A346,'SegEnds_NonXtal_Prot#'!$A:$AL,5,FALSE)</f>
        <v>506</v>
      </c>
      <c r="AE346" s="5">
        <f>VLOOKUP($A346,'SegEnds_NonXtal_Prot#'!$A:$AL,8,FALSE)</f>
        <v>515</v>
      </c>
      <c r="AF346" s="5">
        <f>VLOOKUP($A346,'SegEnds_NonXtal_Prot#'!$A:$AL,11,FALSE)</f>
        <v>538</v>
      </c>
      <c r="AG346" s="5" t="str">
        <f>VLOOKUP($A346,'SegEnds_NonXtal_Prot#'!$A:$AL,14,FALSE)</f>
        <v>-</v>
      </c>
      <c r="AH346" s="5">
        <f>VLOOKUP($A346,'SegEnds_NonXtal_Prot#'!$A:$AL,17,FALSE)</f>
        <v>582</v>
      </c>
      <c r="AI346" s="5" t="str">
        <f>VLOOKUP($A346,'SegEnds_NonXtal_Prot#'!$A:$AL,20,FALSE)</f>
        <v>-</v>
      </c>
      <c r="AJ346" s="5">
        <f>VLOOKUP($A346,'SegEnds_NonXtal_Prot#'!$A:$AL,23,FALSE)</f>
        <v>619</v>
      </c>
      <c r="AK346" s="5">
        <f>VLOOKUP($A346,'SegEnds_NonXtal_Prot#'!$A:$AL,26,FALSE)</f>
        <v>650</v>
      </c>
      <c r="AL346" s="5">
        <f>VLOOKUP($A346,'SegEnds_NonXtal_Prot#'!$A:$AL,29,FALSE)</f>
        <v>678</v>
      </c>
      <c r="AM346" s="5">
        <f>VLOOKUP($A346,'SegEnds_NonXtal_Prot#'!$A:$AL,32,FALSE)</f>
        <v>712</v>
      </c>
      <c r="AN346" s="5">
        <f>VLOOKUP($A346,'SegEnds_NonXtal_Prot#'!$A:$AL,35,FALSE)</f>
        <v>749</v>
      </c>
      <c r="AO346" s="5">
        <f>VLOOKUP($A346,'SegEnds_NonXtal_Prot#'!$A:$AL,38,FALSE)</f>
        <v>762</v>
      </c>
      <c r="AP346" s="5">
        <f t="shared" si="138"/>
        <v>26</v>
      </c>
      <c r="AQ346" s="4">
        <f t="shared" si="139"/>
        <v>6</v>
      </c>
      <c r="AR346" s="4">
        <f t="shared" si="140"/>
        <v>22</v>
      </c>
      <c r="AS346" s="4" t="str">
        <f t="shared" si="141"/>
        <v>-</v>
      </c>
      <c r="AT346" s="4">
        <f t="shared" si="142"/>
        <v>32</v>
      </c>
      <c r="AU346" s="4" t="str">
        <f t="shared" si="143"/>
        <v>-</v>
      </c>
      <c r="AV346" s="4">
        <f t="shared" si="144"/>
        <v>26</v>
      </c>
      <c r="AW346" s="4">
        <f t="shared" si="145"/>
        <v>2</v>
      </c>
      <c r="AX346" s="4">
        <f t="shared" si="146"/>
        <v>24</v>
      </c>
      <c r="AY346" s="4">
        <f t="shared" si="147"/>
        <v>24</v>
      </c>
      <c r="AZ346" s="4">
        <f t="shared" si="148"/>
        <v>29</v>
      </c>
      <c r="BA346" s="4">
        <f t="shared" si="149"/>
        <v>12</v>
      </c>
    </row>
    <row r="347" spans="1:53" x14ac:dyDescent="0.2">
      <c r="A347" s="1" t="str">
        <f>'SegEnds_NonXtal_Prot#'!A340</f>
        <v>ghrhr_human</v>
      </c>
      <c r="B347" s="1" t="str">
        <f t="shared" si="125"/>
        <v>LAEEESYFSTVKIIYTVGHSISIVALFVAITILVALCPRNYVHTQLFTTFILKAGAVFLKDAALSTVLCKVSVAASHFATMTNFSWLLAEAVYLNCLLASRAFWWLVLAGWGLPVLFTGTWVSCKLAFEYWWIIKGPIVLSVGVNFGLFLNIIRILVRKLHTQSQYWRLSKSTLFLIPLFGIHYIIFNFLGIRLPLELGLGSFQGFIVAILYCFLNQEVRTEISRKWHGHDPELLPAWRTR</v>
      </c>
      <c r="C347" s="29" t="str">
        <f>IF(ISERROR(MATCH(A347,'SegEnds_Xtal_Prot#'!B:B, 0)), "NoXtal", "Xtal")</f>
        <v>NoXtal</v>
      </c>
      <c r="D347" s="4" t="str">
        <f>VLOOKUP(A347,Classification!A:D,2,FALSE)</f>
        <v>B1</v>
      </c>
      <c r="E347" s="5" t="str">
        <f>VLOOKUP(A347,Seqs!A:B,2,FALSE)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47" s="5" t="str">
        <f t="shared" si="126"/>
        <v>LAEEESYFSTVKIIYTVGHSISIVALFVAITILVAL</v>
      </c>
      <c r="G347" s="4" t="str">
        <f t="shared" si="127"/>
        <v>RRLH</v>
      </c>
      <c r="H347" s="4" t="str">
        <f t="shared" si="128"/>
        <v>CPRNYVHTQLFTTFILKAGAVFLKDAAL</v>
      </c>
      <c r="I347" s="4" t="str">
        <f t="shared" si="129"/>
        <v/>
      </c>
      <c r="J347" s="4" t="str">
        <f t="shared" si="130"/>
        <v>STVLCKVSVAASHFATMTNFSWLLAEAVYLNCLLAS</v>
      </c>
      <c r="K347" s="4" t="str">
        <f t="shared" si="131"/>
        <v/>
      </c>
      <c r="L347" s="4" t="str">
        <f t="shared" si="132"/>
        <v>RAFWWLVLAGWGLPVLFTGTWVSCKLAFE</v>
      </c>
      <c r="M347" s="4" t="str">
        <f t="shared" si="133"/>
        <v>CWD</v>
      </c>
      <c r="N347" s="4" t="str">
        <f t="shared" si="134"/>
        <v>YWWIIKGPIVLSVGVNFGLFLNIIRILVRKL</v>
      </c>
      <c r="O347" s="4" t="str">
        <f t="shared" si="135"/>
        <v>HTQSQYWRLSKSTLFLIPLFGIHYIIFNF</v>
      </c>
      <c r="P347" s="4" t="str">
        <f t="shared" si="136"/>
        <v>LGIRLPLELGLGSFQGFIVAILYCFL</v>
      </c>
      <c r="Q347" s="4" t="str">
        <f t="shared" si="137"/>
        <v>NQEVRTEISRKWHGHDPELLPAWRTR</v>
      </c>
      <c r="R347" s="5">
        <f>VLOOKUP($A347,'SegEnds_NonXtal_Prot#'!$A:$AL,3,FALSE)</f>
        <v>119</v>
      </c>
      <c r="S347" s="5">
        <f>VLOOKUP($A347,'SegEnds_NonXtal_Prot#'!$A:$AL,6,FALSE)</f>
        <v>155</v>
      </c>
      <c r="T347" s="5">
        <f>VLOOKUP($A347,'SegEnds_NonXtal_Prot#'!$A:$AL,9,FALSE)</f>
        <v>159</v>
      </c>
      <c r="U347" s="5" t="str">
        <f>VLOOKUP($A347,'SegEnds_NonXtal_Prot#'!$A:$AL,12,FALSE)</f>
        <v>-</v>
      </c>
      <c r="V347" s="5">
        <f>VLOOKUP($A347,'SegEnds_NonXtal_Prot#'!$A:$AL,15,FALSE)</f>
        <v>198</v>
      </c>
      <c r="W347" s="5" t="str">
        <f>VLOOKUP($A347,'SegEnds_NonXtal_Prot#'!$A:$AL,18,FALSE)</f>
        <v>-</v>
      </c>
      <c r="X347" s="5">
        <f>VLOOKUP($A347,'SegEnds_NonXtal_Prot#'!$A:$AL,21,FALSE)</f>
        <v>240</v>
      </c>
      <c r="Y347" s="5">
        <f>VLOOKUP($A347,'SegEnds_NonXtal_Prot#'!$A:$AL,24,FALSE)</f>
        <v>272</v>
      </c>
      <c r="Z347" s="5">
        <f>VLOOKUP($A347,'SegEnds_NonXtal_Prot#'!$A:$AL,27,FALSE)</f>
        <v>281</v>
      </c>
      <c r="AA347" s="5">
        <f>VLOOKUP($A347,'SegEnds_NonXtal_Prot#'!$A:$AL,30,FALSE)</f>
        <v>319</v>
      </c>
      <c r="AB347" s="5">
        <f>VLOOKUP($A347,'SegEnds_NonXtal_Prot#'!$A:$AL,33,FALSE)</f>
        <v>354</v>
      </c>
      <c r="AC347" s="5">
        <f>VLOOKUP($A347,'SegEnds_NonXtal_Prot#'!$A:$AL,36,FALSE)</f>
        <v>380</v>
      </c>
      <c r="AD347" s="5">
        <f>VLOOKUP($A347,'SegEnds_NonXtal_Prot#'!$A:$AL,5,FALSE)</f>
        <v>154</v>
      </c>
      <c r="AE347" s="5">
        <f>VLOOKUP($A347,'SegEnds_NonXtal_Prot#'!$A:$AL,8,FALSE)</f>
        <v>158</v>
      </c>
      <c r="AF347" s="5">
        <f>VLOOKUP($A347,'SegEnds_NonXtal_Prot#'!$A:$AL,11,FALSE)</f>
        <v>186</v>
      </c>
      <c r="AG347" s="5" t="str">
        <f>VLOOKUP($A347,'SegEnds_NonXtal_Prot#'!$A:$AL,14,FALSE)</f>
        <v>-</v>
      </c>
      <c r="AH347" s="5">
        <f>VLOOKUP($A347,'SegEnds_NonXtal_Prot#'!$A:$AL,17,FALSE)</f>
        <v>233</v>
      </c>
      <c r="AI347" s="5" t="str">
        <f>VLOOKUP($A347,'SegEnds_NonXtal_Prot#'!$A:$AL,20,FALSE)</f>
        <v>-</v>
      </c>
      <c r="AJ347" s="5">
        <f>VLOOKUP($A347,'SegEnds_NonXtal_Prot#'!$A:$AL,23,FALSE)</f>
        <v>268</v>
      </c>
      <c r="AK347" s="5">
        <f>VLOOKUP($A347,'SegEnds_NonXtal_Prot#'!$A:$AL,26,FALSE)</f>
        <v>274</v>
      </c>
      <c r="AL347" s="5">
        <f>VLOOKUP($A347,'SegEnds_NonXtal_Prot#'!$A:$AL,29,FALSE)</f>
        <v>311</v>
      </c>
      <c r="AM347" s="5">
        <f>VLOOKUP($A347,'SegEnds_NonXtal_Prot#'!$A:$AL,32,FALSE)</f>
        <v>347</v>
      </c>
      <c r="AN347" s="5">
        <f>VLOOKUP($A347,'SegEnds_NonXtal_Prot#'!$A:$AL,35,FALSE)</f>
        <v>379</v>
      </c>
      <c r="AO347" s="5">
        <f>VLOOKUP($A347,'SegEnds_NonXtal_Prot#'!$A:$AL,38,FALSE)</f>
        <v>405</v>
      </c>
      <c r="AP347" s="5">
        <f t="shared" si="138"/>
        <v>35</v>
      </c>
      <c r="AQ347" s="4">
        <f t="shared" si="139"/>
        <v>3</v>
      </c>
      <c r="AR347" s="4">
        <f t="shared" si="140"/>
        <v>27</v>
      </c>
      <c r="AS347" s="4" t="str">
        <f t="shared" si="141"/>
        <v>-</v>
      </c>
      <c r="AT347" s="4">
        <f t="shared" si="142"/>
        <v>35</v>
      </c>
      <c r="AU347" s="4" t="str">
        <f t="shared" si="143"/>
        <v>-</v>
      </c>
      <c r="AV347" s="4">
        <f t="shared" si="144"/>
        <v>28</v>
      </c>
      <c r="AW347" s="4">
        <f t="shared" si="145"/>
        <v>2</v>
      </c>
      <c r="AX347" s="4">
        <f t="shared" si="146"/>
        <v>30</v>
      </c>
      <c r="AY347" s="4">
        <f t="shared" si="147"/>
        <v>28</v>
      </c>
      <c r="AZ347" s="4">
        <f t="shared" si="148"/>
        <v>25</v>
      </c>
      <c r="BA347" s="4">
        <f t="shared" si="149"/>
        <v>25</v>
      </c>
    </row>
    <row r="348" spans="1:53" x14ac:dyDescent="0.2">
      <c r="A348" s="1" t="str">
        <f>'SegEnds_NonXtal_Prot#'!A341</f>
        <v>gipr_human</v>
      </c>
      <c r="B348" s="1" t="str">
        <f t="shared" si="125"/>
        <v>FLDQRLILERLQVMYTVGYSLSLATLLLALLILSLFCTRNYIHINLFTSFMLRAAAILSRDRLLAACRTAQIVTQYCVGANYTWLLVEGVYLHSLLVLGHFRYYLLLGWGAPALFVIPWVIVRYLYEIWWIIRTPILMTILINFLIFIRILGILLSKLRTDYRLRLARSTLTLVPLLGVHEVVFAPRGALRFAKLGFEIFLSSFQGFLVSVLYCFINKEVQSEIRRGWHHCRLRRSLGEEQR</v>
      </c>
      <c r="C348" s="29" t="str">
        <f>IF(ISERROR(MATCH(A348,'SegEnds_Xtal_Prot#'!B:B, 0)), "NoXtal", "Xtal")</f>
        <v>NoXtal</v>
      </c>
      <c r="D348" s="4" t="str">
        <f>VLOOKUP(A348,Classification!A:D,2,FALSE)</f>
        <v>B1</v>
      </c>
      <c r="E348" s="5" t="str">
        <f>VLOOKUP(A348,Seqs!A:B,2,FALSE)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48" s="5" t="str">
        <f t="shared" si="126"/>
        <v>FLDQRLILERLQVMYTVGYSLSLATLLLALLILSLF</v>
      </c>
      <c r="G348" s="4" t="str">
        <f t="shared" si="127"/>
        <v>RRLH</v>
      </c>
      <c r="H348" s="4" t="str">
        <f t="shared" si="128"/>
        <v>CTRNYIHINLFTSFMLRAAAILSRDRLL</v>
      </c>
      <c r="I348" s="4" t="str">
        <f t="shared" si="129"/>
        <v/>
      </c>
      <c r="J348" s="4" t="str">
        <f t="shared" si="130"/>
        <v>AACRTAQIVTQYCVGANYTWLLVEGVYLHSLLVL</v>
      </c>
      <c r="K348" s="4" t="str">
        <f t="shared" si="131"/>
        <v/>
      </c>
      <c r="L348" s="4" t="str">
        <f t="shared" si="132"/>
        <v>GHFRYYLLLGWGAPALFVIPWVIVRYLYE</v>
      </c>
      <c r="M348" s="4" t="str">
        <f t="shared" si="133"/>
        <v>CWE</v>
      </c>
      <c r="N348" s="4" t="str">
        <f t="shared" si="134"/>
        <v>IWWIIRTPILMTILINFLIFIRILGILLSKLRT</v>
      </c>
      <c r="O348" s="4" t="str">
        <f t="shared" si="135"/>
        <v>DYRLRLARSTLTLVPLLGVHEVVFAP</v>
      </c>
      <c r="P348" s="4" t="str">
        <f t="shared" si="136"/>
        <v>RGALRFAKLGFEIFLSSFQGFLVSVLYCFI</v>
      </c>
      <c r="Q348" s="4" t="str">
        <f t="shared" si="137"/>
        <v>NKEVQSEIRRGWHHCRLRRSLGEEQR</v>
      </c>
      <c r="R348" s="5">
        <f>VLOOKUP($A348,'SegEnds_NonXtal_Prot#'!$A:$AL,3,FALSE)</f>
        <v>127</v>
      </c>
      <c r="S348" s="5">
        <f>VLOOKUP($A348,'SegEnds_NonXtal_Prot#'!$A:$AL,6,FALSE)</f>
        <v>163</v>
      </c>
      <c r="T348" s="5">
        <f>VLOOKUP($A348,'SegEnds_NonXtal_Prot#'!$A:$AL,9,FALSE)</f>
        <v>167</v>
      </c>
      <c r="U348" s="5" t="str">
        <f>VLOOKUP($A348,'SegEnds_NonXtal_Prot#'!$A:$AL,12,FALSE)</f>
        <v>-</v>
      </c>
      <c r="V348" s="5">
        <f>VLOOKUP($A348,'SegEnds_NonXtal_Prot#'!$A:$AL,15,FALSE)</f>
        <v>214</v>
      </c>
      <c r="W348" s="5" t="str">
        <f>VLOOKUP($A348,'SegEnds_NonXtal_Prot#'!$A:$AL,18,FALSE)</f>
        <v>-</v>
      </c>
      <c r="X348" s="5">
        <f>VLOOKUP($A348,'SegEnds_NonXtal_Prot#'!$A:$AL,21,FALSE)</f>
        <v>254</v>
      </c>
      <c r="Y348" s="5">
        <f>VLOOKUP($A348,'SegEnds_NonXtal_Prot#'!$A:$AL,24,FALSE)</f>
        <v>286</v>
      </c>
      <c r="Z348" s="5">
        <f>VLOOKUP($A348,'SegEnds_NonXtal_Prot#'!$A:$AL,27,FALSE)</f>
        <v>295</v>
      </c>
      <c r="AA348" s="5">
        <f>VLOOKUP($A348,'SegEnds_NonXtal_Prot#'!$A:$AL,30,FALSE)</f>
        <v>334</v>
      </c>
      <c r="AB348" s="5">
        <f>VLOOKUP($A348,'SegEnds_NonXtal_Prot#'!$A:$AL,33,FALSE)</f>
        <v>366</v>
      </c>
      <c r="AC348" s="5">
        <f>VLOOKUP($A348,'SegEnds_NonXtal_Prot#'!$A:$AL,36,FALSE)</f>
        <v>396</v>
      </c>
      <c r="AD348" s="5">
        <f>VLOOKUP($A348,'SegEnds_NonXtal_Prot#'!$A:$AL,5,FALSE)</f>
        <v>162</v>
      </c>
      <c r="AE348" s="5">
        <f>VLOOKUP($A348,'SegEnds_NonXtal_Prot#'!$A:$AL,8,FALSE)</f>
        <v>166</v>
      </c>
      <c r="AF348" s="5">
        <f>VLOOKUP($A348,'SegEnds_NonXtal_Prot#'!$A:$AL,11,FALSE)</f>
        <v>194</v>
      </c>
      <c r="AG348" s="5" t="str">
        <f>VLOOKUP($A348,'SegEnds_NonXtal_Prot#'!$A:$AL,14,FALSE)</f>
        <v>-</v>
      </c>
      <c r="AH348" s="5">
        <f>VLOOKUP($A348,'SegEnds_NonXtal_Prot#'!$A:$AL,17,FALSE)</f>
        <v>247</v>
      </c>
      <c r="AI348" s="5" t="str">
        <f>VLOOKUP($A348,'SegEnds_NonXtal_Prot#'!$A:$AL,20,FALSE)</f>
        <v>-</v>
      </c>
      <c r="AJ348" s="5">
        <f>VLOOKUP($A348,'SegEnds_NonXtal_Prot#'!$A:$AL,23,FALSE)</f>
        <v>282</v>
      </c>
      <c r="AK348" s="5">
        <f>VLOOKUP($A348,'SegEnds_NonXtal_Prot#'!$A:$AL,26,FALSE)</f>
        <v>288</v>
      </c>
      <c r="AL348" s="5">
        <f>VLOOKUP($A348,'SegEnds_NonXtal_Prot#'!$A:$AL,29,FALSE)</f>
        <v>327</v>
      </c>
      <c r="AM348" s="5">
        <f>VLOOKUP($A348,'SegEnds_NonXtal_Prot#'!$A:$AL,32,FALSE)</f>
        <v>359</v>
      </c>
      <c r="AN348" s="5">
        <f>VLOOKUP($A348,'SegEnds_NonXtal_Prot#'!$A:$AL,35,FALSE)</f>
        <v>395</v>
      </c>
      <c r="AO348" s="5">
        <f>VLOOKUP($A348,'SegEnds_NonXtal_Prot#'!$A:$AL,38,FALSE)</f>
        <v>421</v>
      </c>
      <c r="AP348" s="5">
        <f t="shared" si="138"/>
        <v>35</v>
      </c>
      <c r="AQ348" s="4">
        <f t="shared" si="139"/>
        <v>3</v>
      </c>
      <c r="AR348" s="4">
        <f t="shared" si="140"/>
        <v>27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28</v>
      </c>
      <c r="AW348" s="4">
        <f t="shared" si="145"/>
        <v>2</v>
      </c>
      <c r="AX348" s="4">
        <f t="shared" si="146"/>
        <v>32</v>
      </c>
      <c r="AY348" s="4">
        <f t="shared" si="147"/>
        <v>25</v>
      </c>
      <c r="AZ348" s="4">
        <f t="shared" si="148"/>
        <v>29</v>
      </c>
      <c r="BA348" s="4">
        <f t="shared" si="149"/>
        <v>25</v>
      </c>
    </row>
    <row r="349" spans="1:53" x14ac:dyDescent="0.2">
      <c r="A349" s="1" t="str">
        <f>'SegEnds_NonXtal_Prot#'!A342</f>
        <v>glp1r_human</v>
      </c>
      <c r="B349" s="1" t="str">
        <f t="shared" si="125"/>
        <v>EEQLLFLYIIYTVGYALSFSALVIASAILLGFCTRNYIHLNLFASFILRALSVFIKDAALLSCRLVFLLMQYCVAANYYWLLVEGVYLYTLLAFEQWIFRLYVSIGWGVPLLFVVPWGIVKYLYEYWLIIRLPILFAIGVNFLIFVRVICIVVSKLKADIKCRLAKSTLTLIPLLGTHEVIFAFVMDEHRGTLRFIKLFTELSFTSFQGLMVAILYCFVNNEVQLEFRKSWERWRLEHLHIQRDS</v>
      </c>
      <c r="C349" s="29" t="str">
        <f>IF(ISERROR(MATCH(A349,'SegEnds_Xtal_Prot#'!B:B, 0)), "NoXtal", "Xtal")</f>
        <v>Xtal</v>
      </c>
      <c r="D349" s="4" t="str">
        <f>VLOOKUP(A349,Classification!A:D,2,FALSE)</f>
        <v>B1</v>
      </c>
      <c r="E349" s="5" t="str">
        <f>VLOOKUP(A349,Seqs!A:B,2,FALSE)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49" s="5" t="str">
        <f t="shared" si="126"/>
        <v>EEQLLFLYIIYTVGYALSFSALVIASAILLGF</v>
      </c>
      <c r="G349" s="4" t="str">
        <f t="shared" si="127"/>
        <v>RHLH</v>
      </c>
      <c r="H349" s="4" t="str">
        <f t="shared" si="128"/>
        <v>CTRNYIHLNLFASFILRALSVFIKDAAL</v>
      </c>
      <c r="I349" s="4" t="str">
        <f t="shared" si="129"/>
        <v/>
      </c>
      <c r="J349" s="4" t="str">
        <f t="shared" si="130"/>
        <v>LSCRLVFLLMQYCVAANYYWLLVEGVYLYTLLAF</v>
      </c>
      <c r="K349" s="4" t="str">
        <f t="shared" si="131"/>
        <v/>
      </c>
      <c r="L349" s="4" t="str">
        <f t="shared" si="132"/>
        <v>EQWIFRLYVSIGWGVPLLFVVPWGIVKYLYE</v>
      </c>
      <c r="M349" s="4" t="str">
        <f t="shared" si="133"/>
        <v>CWT</v>
      </c>
      <c r="N349" s="4" t="str">
        <f t="shared" si="134"/>
        <v>YWLIIRLPILFAIGVNFLIFVRVICIVVSKLKA</v>
      </c>
      <c r="O349" s="4" t="str">
        <f t="shared" si="135"/>
        <v>DIKCRLAKSTLTLIPLLGTHEVIFAFVMDEH</v>
      </c>
      <c r="P349" s="4" t="str">
        <f t="shared" si="136"/>
        <v>RGTLRFIKLFTELSFTSFQGLMVAILYCFV</v>
      </c>
      <c r="Q349" s="4" t="str">
        <f t="shared" si="137"/>
        <v>NNEVQLEFRKSWERWRLEHLHIQRDS</v>
      </c>
      <c r="R349" s="5">
        <f>VLOOKUP($A349,'SegEnds_NonXtal_Prot#'!$A:$AL,3,FALSE)</f>
        <v>138</v>
      </c>
      <c r="S349" s="5">
        <f>VLOOKUP($A349,'SegEnds_NonXtal_Prot#'!$A:$AL,6,FALSE)</f>
        <v>170</v>
      </c>
      <c r="T349" s="5">
        <f>VLOOKUP($A349,'SegEnds_NonXtal_Prot#'!$A:$AL,9,FALSE)</f>
        <v>174</v>
      </c>
      <c r="U349" s="5" t="str">
        <f>VLOOKUP($A349,'SegEnds_NonXtal_Prot#'!$A:$AL,12,FALSE)</f>
        <v>-</v>
      </c>
      <c r="V349" s="5">
        <f>VLOOKUP($A349,'SegEnds_NonXtal_Prot#'!$A:$AL,15,FALSE)</f>
        <v>224</v>
      </c>
      <c r="W349" s="5" t="str">
        <f>VLOOKUP($A349,'SegEnds_NonXtal_Prot#'!$A:$AL,18,FALSE)</f>
        <v>-</v>
      </c>
      <c r="X349" s="5">
        <f>VLOOKUP($A349,'SegEnds_NonXtal_Prot#'!$A:$AL,21,FALSE)</f>
        <v>262</v>
      </c>
      <c r="Y349" s="5">
        <f>VLOOKUP($A349,'SegEnds_NonXtal_Prot#'!$A:$AL,24,FALSE)</f>
        <v>296</v>
      </c>
      <c r="Z349" s="5">
        <f>VLOOKUP($A349,'SegEnds_NonXtal_Prot#'!$A:$AL,27,FALSE)</f>
        <v>305</v>
      </c>
      <c r="AA349" s="5">
        <f>VLOOKUP($A349,'SegEnds_NonXtal_Prot#'!$A:$AL,30,FALSE)</f>
        <v>344</v>
      </c>
      <c r="AB349" s="5">
        <f>VLOOKUP($A349,'SegEnds_NonXtal_Prot#'!$A:$AL,33,FALSE)</f>
        <v>376</v>
      </c>
      <c r="AC349" s="5">
        <f>VLOOKUP($A349,'SegEnds_NonXtal_Prot#'!$A:$AL,36,FALSE)</f>
        <v>406</v>
      </c>
      <c r="AD349" s="5">
        <f>VLOOKUP($A349,'SegEnds_NonXtal_Prot#'!$A:$AL,5,FALSE)</f>
        <v>169</v>
      </c>
      <c r="AE349" s="5">
        <f>VLOOKUP($A349,'SegEnds_NonXtal_Prot#'!$A:$AL,8,FALSE)</f>
        <v>173</v>
      </c>
      <c r="AF349" s="5">
        <f>VLOOKUP($A349,'SegEnds_NonXtal_Prot#'!$A:$AL,11,FALSE)</f>
        <v>201</v>
      </c>
      <c r="AG349" s="5" t="str">
        <f>VLOOKUP($A349,'SegEnds_NonXtal_Prot#'!$A:$AL,14,FALSE)</f>
        <v>-</v>
      </c>
      <c r="AH349" s="5">
        <f>VLOOKUP($A349,'SegEnds_NonXtal_Prot#'!$A:$AL,17,FALSE)</f>
        <v>257</v>
      </c>
      <c r="AI349" s="5" t="str">
        <f>VLOOKUP($A349,'SegEnds_NonXtal_Prot#'!$A:$AL,20,FALSE)</f>
        <v>-</v>
      </c>
      <c r="AJ349" s="5">
        <f>VLOOKUP($A349,'SegEnds_NonXtal_Prot#'!$A:$AL,23,FALSE)</f>
        <v>292</v>
      </c>
      <c r="AK349" s="5">
        <f>VLOOKUP($A349,'SegEnds_NonXtal_Prot#'!$A:$AL,26,FALSE)</f>
        <v>298</v>
      </c>
      <c r="AL349" s="5">
        <f>VLOOKUP($A349,'SegEnds_NonXtal_Prot#'!$A:$AL,29,FALSE)</f>
        <v>337</v>
      </c>
      <c r="AM349" s="5">
        <f>VLOOKUP($A349,'SegEnds_NonXtal_Prot#'!$A:$AL,32,FALSE)</f>
        <v>374</v>
      </c>
      <c r="AN349" s="5">
        <f>VLOOKUP($A349,'SegEnds_NonXtal_Prot#'!$A:$AL,35,FALSE)</f>
        <v>405</v>
      </c>
      <c r="AO349" s="5">
        <f>VLOOKUP($A349,'SegEnds_NonXtal_Prot#'!$A:$AL,38,FALSE)</f>
        <v>431</v>
      </c>
      <c r="AP349" s="5">
        <f t="shared" si="138"/>
        <v>31</v>
      </c>
      <c r="AQ349" s="4">
        <f t="shared" si="139"/>
        <v>3</v>
      </c>
      <c r="AR349" s="4">
        <f t="shared" si="140"/>
        <v>27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30</v>
      </c>
      <c r="AW349" s="4">
        <f t="shared" si="145"/>
        <v>2</v>
      </c>
      <c r="AX349" s="4">
        <f t="shared" si="146"/>
        <v>32</v>
      </c>
      <c r="AY349" s="4">
        <f t="shared" si="147"/>
        <v>30</v>
      </c>
      <c r="AZ349" s="4">
        <f t="shared" si="148"/>
        <v>29</v>
      </c>
      <c r="BA349" s="4">
        <f t="shared" si="149"/>
        <v>25</v>
      </c>
    </row>
    <row r="350" spans="1:53" x14ac:dyDescent="0.2">
      <c r="A350" s="1" t="str">
        <f>'SegEnds_NonXtal_Prot#'!A343</f>
        <v>glp2r_human</v>
      </c>
      <c r="B350" s="1" t="str">
        <f t="shared" si="125"/>
        <v>NVDRYALLSTLQLMYTVGYSFSLISLFLALTLLLFLCTRNYIHMNLFASFILRTLAVLVKDVVFTSCRSVQVLLHYFVGANYLWLLVEGLYLHTLLEPRLWPRYLLLGWAFPVLFVVPWGFARAHLEIWWIIRGPMMLCVTVNFFIFLKILKLLISKLKADYKYRLAKSTLVLIPLLGVHEILFSFEGFAKLIRLFIQLTLSSFHGFLVALQYGFANGEVKAELRKYWVRFLLARHSGCRAC</v>
      </c>
      <c r="C350" s="29" t="str">
        <f>IF(ISERROR(MATCH(A350,'SegEnds_Xtal_Prot#'!B:B, 0)), "NoXtal", "Xtal")</f>
        <v>NoXtal</v>
      </c>
      <c r="D350" s="4" t="str">
        <f>VLOOKUP(A350,Classification!A:D,2,FALSE)</f>
        <v>B1</v>
      </c>
      <c r="E350" s="5" t="str">
        <f>VLOOKUP(A350,Seqs!A:B,2,FALSE)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50" s="5" t="str">
        <f t="shared" si="126"/>
        <v>NVDRYALLSTLQLMYTVGYSFSLISLFLALTLLLFL</v>
      </c>
      <c r="G350" s="4" t="str">
        <f t="shared" si="127"/>
        <v>RKLH</v>
      </c>
      <c r="H350" s="4" t="str">
        <f t="shared" si="128"/>
        <v>CTRNYIHMNLFASFILRTLAVLVKDVVF</v>
      </c>
      <c r="I350" s="4" t="str">
        <f t="shared" si="129"/>
        <v/>
      </c>
      <c r="J350" s="4" t="str">
        <f t="shared" si="130"/>
        <v>TSCRSVQVLLHYFVGANYLWLLVEGLYLHTLLEP</v>
      </c>
      <c r="K350" s="4" t="str">
        <f t="shared" si="131"/>
        <v/>
      </c>
      <c r="L350" s="4" t="str">
        <f t="shared" si="132"/>
        <v>RLWPRYLLLGWAFPVLFVVPWGFARAHLE</v>
      </c>
      <c r="M350" s="4" t="str">
        <f t="shared" si="133"/>
        <v>CWT</v>
      </c>
      <c r="N350" s="4" t="str">
        <f t="shared" si="134"/>
        <v>IWWIIRGPMMLCVTVNFFIFLKILKLLISKLKA</v>
      </c>
      <c r="O350" s="4" t="str">
        <f t="shared" si="135"/>
        <v>DYKYRLAKSTLVLIPLLGVHEILFSF</v>
      </c>
      <c r="P350" s="4" t="str">
        <f t="shared" si="136"/>
        <v>EGFAKLIRLFIQLTLSSFHGFLVALQYGFA</v>
      </c>
      <c r="Q350" s="4" t="str">
        <f t="shared" si="137"/>
        <v>NGEVKAELRKYWVRFLLARHSGCRAC</v>
      </c>
      <c r="R350" s="5">
        <f>VLOOKUP($A350,'SegEnds_NonXtal_Prot#'!$A:$AL,3,FALSE)</f>
        <v>168</v>
      </c>
      <c r="S350" s="5">
        <f>VLOOKUP($A350,'SegEnds_NonXtal_Prot#'!$A:$AL,6,FALSE)</f>
        <v>204</v>
      </c>
      <c r="T350" s="5">
        <f>VLOOKUP($A350,'SegEnds_NonXtal_Prot#'!$A:$AL,9,FALSE)</f>
        <v>208</v>
      </c>
      <c r="U350" s="5" t="str">
        <f>VLOOKUP($A350,'SegEnds_NonXtal_Prot#'!$A:$AL,12,FALSE)</f>
        <v>-</v>
      </c>
      <c r="V350" s="5">
        <f>VLOOKUP($A350,'SegEnds_NonXtal_Prot#'!$A:$AL,15,FALSE)</f>
        <v>258</v>
      </c>
      <c r="W350" s="5" t="str">
        <f>VLOOKUP($A350,'SegEnds_NonXtal_Prot#'!$A:$AL,18,FALSE)</f>
        <v>-</v>
      </c>
      <c r="X350" s="5">
        <f>VLOOKUP($A350,'SegEnds_NonXtal_Prot#'!$A:$AL,21,FALSE)</f>
        <v>298</v>
      </c>
      <c r="Y350" s="5">
        <f>VLOOKUP($A350,'SegEnds_NonXtal_Prot#'!$A:$AL,24,FALSE)</f>
        <v>330</v>
      </c>
      <c r="Z350" s="5">
        <f>VLOOKUP($A350,'SegEnds_NonXtal_Prot#'!$A:$AL,27,FALSE)</f>
        <v>339</v>
      </c>
      <c r="AA350" s="5">
        <f>VLOOKUP($A350,'SegEnds_NonXtal_Prot#'!$A:$AL,30,FALSE)</f>
        <v>378</v>
      </c>
      <c r="AB350" s="5">
        <f>VLOOKUP($A350,'SegEnds_NonXtal_Prot#'!$A:$AL,33,FALSE)</f>
        <v>410</v>
      </c>
      <c r="AC350" s="5">
        <f>VLOOKUP($A350,'SegEnds_NonXtal_Prot#'!$A:$AL,36,FALSE)</f>
        <v>440</v>
      </c>
      <c r="AD350" s="5">
        <f>VLOOKUP($A350,'SegEnds_NonXtal_Prot#'!$A:$AL,5,FALSE)</f>
        <v>203</v>
      </c>
      <c r="AE350" s="5">
        <f>VLOOKUP($A350,'SegEnds_NonXtal_Prot#'!$A:$AL,8,FALSE)</f>
        <v>207</v>
      </c>
      <c r="AF350" s="5">
        <f>VLOOKUP($A350,'SegEnds_NonXtal_Prot#'!$A:$AL,11,FALSE)</f>
        <v>235</v>
      </c>
      <c r="AG350" s="5" t="str">
        <f>VLOOKUP($A350,'SegEnds_NonXtal_Prot#'!$A:$AL,14,FALSE)</f>
        <v>-</v>
      </c>
      <c r="AH350" s="5">
        <f>VLOOKUP($A350,'SegEnds_NonXtal_Prot#'!$A:$AL,17,FALSE)</f>
        <v>291</v>
      </c>
      <c r="AI350" s="5" t="str">
        <f>VLOOKUP($A350,'SegEnds_NonXtal_Prot#'!$A:$AL,20,FALSE)</f>
        <v>-</v>
      </c>
      <c r="AJ350" s="5">
        <f>VLOOKUP($A350,'SegEnds_NonXtal_Prot#'!$A:$AL,23,FALSE)</f>
        <v>326</v>
      </c>
      <c r="AK350" s="5">
        <f>VLOOKUP($A350,'SegEnds_NonXtal_Prot#'!$A:$AL,26,FALSE)</f>
        <v>332</v>
      </c>
      <c r="AL350" s="5">
        <f>VLOOKUP($A350,'SegEnds_NonXtal_Prot#'!$A:$AL,29,FALSE)</f>
        <v>371</v>
      </c>
      <c r="AM350" s="5">
        <f>VLOOKUP($A350,'SegEnds_NonXtal_Prot#'!$A:$AL,32,FALSE)</f>
        <v>403</v>
      </c>
      <c r="AN350" s="5">
        <f>VLOOKUP($A350,'SegEnds_NonXtal_Prot#'!$A:$AL,35,FALSE)</f>
        <v>439</v>
      </c>
      <c r="AO350" s="5">
        <f>VLOOKUP($A350,'SegEnds_NonXtal_Prot#'!$A:$AL,38,FALSE)</f>
        <v>465</v>
      </c>
      <c r="AP350" s="5">
        <f t="shared" si="138"/>
        <v>35</v>
      </c>
      <c r="AQ350" s="4">
        <f t="shared" si="139"/>
        <v>3</v>
      </c>
      <c r="AR350" s="4">
        <f t="shared" si="140"/>
        <v>27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32</v>
      </c>
      <c r="AY350" s="4">
        <f t="shared" si="147"/>
        <v>25</v>
      </c>
      <c r="AZ350" s="4">
        <f t="shared" si="148"/>
        <v>29</v>
      </c>
      <c r="BA350" s="4">
        <f t="shared" si="149"/>
        <v>25</v>
      </c>
    </row>
    <row r="351" spans="1:53" x14ac:dyDescent="0.2">
      <c r="A351" s="1" t="str">
        <f>'SegEnds_NonXtal_Prot#'!A345</f>
        <v>gp107_human</v>
      </c>
      <c r="B351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51" s="29" t="str">
        <f>IF(ISERROR(MATCH(A351,'SegEnds_Xtal_Prot#'!B:B, 0)), "NoXtal", "Xtal")</f>
        <v>NoXtal</v>
      </c>
      <c r="D351" s="4" t="str">
        <f>VLOOKUP(A351,Classification!A:D,2,FALSE)</f>
        <v>O</v>
      </c>
      <c r="E351" s="5" t="str">
        <f>VLOOKUP(A351,Seqs!A:B,2,FALSE)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51" s="5" t="str">
        <f t="shared" si="126"/>
        <v>GAVSFQFFFNISTDDQEGLYSLYFHKCLGKELPSDKFTFS</v>
      </c>
      <c r="G351" s="4" t="str">
        <f t="shared" si="127"/>
        <v/>
      </c>
      <c r="H351" s="4" t="str">
        <f t="shared" si="128"/>
        <v>MAFFFFLSGTIWIHILRKRRNDVFK</v>
      </c>
      <c r="I351" s="4" t="str">
        <f t="shared" si="129"/>
        <v/>
      </c>
      <c r="J351" s="4" t="str">
        <f t="shared" si="130"/>
        <v>EGWAVVYYITHLLKGALLFITIALIGTGWAFIKH</v>
      </c>
      <c r="K351" s="4" t="str">
        <f t="shared" si="131"/>
        <v/>
      </c>
      <c r="L351" s="4" t="str">
        <f t="shared" si="132"/>
        <v>NVAYIIIESTEEGTTEYGLWKDSLF</v>
      </c>
      <c r="M351" s="4" t="str">
        <f t="shared" si="133"/>
        <v/>
      </c>
      <c r="N351" s="4" t="str">
        <f t="shared" si="134"/>
        <v>QADLELLASSCPPASVSQRAGIT</v>
      </c>
      <c r="O351" s="4" t="str">
        <f t="shared" si="135"/>
        <v>LAKLKLFRHYYVLIVCYIYFTRIIA</v>
      </c>
      <c r="P351" s="4" t="str">
        <f t="shared" si="136"/>
        <v>FFVLTGYKFRPASDNPYLQLSQ</v>
      </c>
      <c r="Q351" s="4" t="str">
        <f t="shared" si="137"/>
        <v>EEDLEMESVVT</v>
      </c>
      <c r="R351" s="5">
        <f>VLOOKUP($A351,'SegEnds_NonXtal_Prot#'!$A:$AL,3,FALSE)</f>
        <v>202</v>
      </c>
      <c r="S351" s="5" t="str">
        <f>VLOOKUP($A351,'SegEnds_NonXtal_Prot#'!$A:$AL,6,FALSE)</f>
        <v>-</v>
      </c>
      <c r="T351" s="5">
        <f>VLOOKUP($A351,'SegEnds_NonXtal_Prot#'!$A:$AL,9,FALSE)</f>
        <v>269</v>
      </c>
      <c r="U351" s="5" t="str">
        <f>VLOOKUP($A351,'SegEnds_NonXtal_Prot#'!$A:$AL,12,FALSE)</f>
        <v>-</v>
      </c>
      <c r="V351" s="5">
        <f>VLOOKUP($A351,'SegEnds_NonXtal_Prot#'!$A:$AL,15,FALSE)</f>
        <v>327</v>
      </c>
      <c r="W351" s="5" t="str">
        <f>VLOOKUP($A351,'SegEnds_NonXtal_Prot#'!$A:$AL,18,FALSE)</f>
        <v>-</v>
      </c>
      <c r="X351" s="5">
        <f>VLOOKUP($A351,'SegEnds_NonXtal_Prot#'!$A:$AL,21,FALSE)</f>
        <v>381</v>
      </c>
      <c r="Y351" s="5" t="str">
        <f>VLOOKUP($A351,'SegEnds_NonXtal_Prot#'!$A:$AL,24,FALSE)</f>
        <v>-</v>
      </c>
      <c r="Z351" s="5">
        <f>VLOOKUP($A351,'SegEnds_NonXtal_Prot#'!$A:$AL,27,FALSE)</f>
        <v>461</v>
      </c>
      <c r="AA351" s="5">
        <f>VLOOKUP($A351,'SegEnds_NonXtal_Prot#'!$A:$AL,30,FALSE)</f>
        <v>488</v>
      </c>
      <c r="AB351" s="5">
        <f>VLOOKUP($A351,'SegEnds_NonXtal_Prot#'!$A:$AL,33,FALSE)</f>
        <v>538</v>
      </c>
      <c r="AC351" s="5">
        <f>VLOOKUP($A351,'SegEnds_NonXtal_Prot#'!$A:$AL,36,FALSE)</f>
        <v>561</v>
      </c>
      <c r="AD351" s="5">
        <f>VLOOKUP($A351,'SegEnds_NonXtal_Prot#'!$A:$AL,5,FALSE)</f>
        <v>241</v>
      </c>
      <c r="AE351" s="5" t="str">
        <f>VLOOKUP($A351,'SegEnds_NonXtal_Prot#'!$A:$AL,8,FALSE)</f>
        <v>-</v>
      </c>
      <c r="AF351" s="5">
        <f>VLOOKUP($A351,'SegEnds_NonXtal_Prot#'!$A:$AL,11,FALSE)</f>
        <v>293</v>
      </c>
      <c r="AG351" s="5" t="str">
        <f>VLOOKUP($A351,'SegEnds_NonXtal_Prot#'!$A:$AL,14,FALSE)</f>
        <v>-</v>
      </c>
      <c r="AH351" s="5">
        <f>VLOOKUP($A351,'SegEnds_NonXtal_Prot#'!$A:$AL,17,FALSE)</f>
        <v>360</v>
      </c>
      <c r="AI351" s="5" t="str">
        <f>VLOOKUP($A351,'SegEnds_NonXtal_Prot#'!$A:$AL,20,FALSE)</f>
        <v>-</v>
      </c>
      <c r="AJ351" s="5">
        <f>VLOOKUP($A351,'SegEnds_NonXtal_Prot#'!$A:$AL,23,FALSE)</f>
        <v>405</v>
      </c>
      <c r="AK351" s="5" t="str">
        <f>VLOOKUP($A351,'SegEnds_NonXtal_Prot#'!$A:$AL,26,FALSE)</f>
        <v>-</v>
      </c>
      <c r="AL351" s="5">
        <f>VLOOKUP($A351,'SegEnds_NonXtal_Prot#'!$A:$AL,29,FALSE)</f>
        <v>483</v>
      </c>
      <c r="AM351" s="5">
        <f>VLOOKUP($A351,'SegEnds_NonXtal_Prot#'!$A:$AL,32,FALSE)</f>
        <v>512</v>
      </c>
      <c r="AN351" s="5">
        <f>VLOOKUP($A351,'SegEnds_NonXtal_Prot#'!$A:$AL,35,FALSE)</f>
        <v>559</v>
      </c>
      <c r="AO351" s="5">
        <f>VLOOKUP($A351,'SegEnds_NonXtal_Prot#'!$A:$AL,38,FALSE)</f>
        <v>571</v>
      </c>
      <c r="AP351" s="5">
        <f t="shared" si="138"/>
        <v>39</v>
      </c>
      <c r="AQ351" s="4" t="str">
        <f t="shared" si="139"/>
        <v>-</v>
      </c>
      <c r="AR351" s="4">
        <f t="shared" si="140"/>
        <v>24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24</v>
      </c>
      <c r="AW351" s="4" t="str">
        <f t="shared" si="145"/>
        <v>-</v>
      </c>
      <c r="AX351" s="4">
        <f t="shared" si="146"/>
        <v>22</v>
      </c>
      <c r="AY351" s="4">
        <f t="shared" si="147"/>
        <v>24</v>
      </c>
      <c r="AZ351" s="4">
        <f t="shared" si="148"/>
        <v>21</v>
      </c>
      <c r="BA351" s="4">
        <f t="shared" si="149"/>
        <v>10</v>
      </c>
    </row>
    <row r="352" spans="1:53" x14ac:dyDescent="0.2">
      <c r="A352" s="1" t="str">
        <f>'SegEnds_NonXtal_Prot#'!A346</f>
        <v>agrg6_human</v>
      </c>
      <c r="B352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52" s="29" t="str">
        <f>IF(ISERROR(MATCH(A352,'SegEnds_Xtal_Prot#'!B:B, 0)), "NoXtal", "Xtal")</f>
        <v>NoXtal</v>
      </c>
      <c r="D352" s="4" t="str">
        <f>VLOOKUP(A352,Classification!A:D,2,FALSE)</f>
        <v>B2</v>
      </c>
      <c r="E352" s="5" t="str">
        <f>VLOOKUP(A352,Seqs!A:B,2,FALSE)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52" s="5" t="str">
        <f t="shared" si="126"/>
        <v>SASQLDARNTKVLTFISYIGCGISAIFSAATLLTYVAF</v>
      </c>
      <c r="G352" s="4" t="str">
        <f t="shared" si="127"/>
        <v>EKLR</v>
      </c>
      <c r="H352" s="4" t="str">
        <f t="shared" si="128"/>
        <v>RDYPSKILMNLSTALLFLNLLFLLDGWI</v>
      </c>
      <c r="I352" s="4" t="str">
        <f t="shared" si="129"/>
        <v/>
      </c>
      <c r="J352" s="4" t="str">
        <f t="shared" si="130"/>
        <v>GLCIAVAVLLHFFLLATFTWMGLEAIHMYIALVK</v>
      </c>
      <c r="K352" s="4" t="str">
        <f t="shared" si="131"/>
        <v/>
      </c>
      <c r="L352" s="4" t="str">
        <f t="shared" si="132"/>
        <v>RYILKFCIIGWGLPALVVSVVLASRNNNE</v>
      </c>
      <c r="M352" s="4" t="str">
        <f t="shared" si="133"/>
        <v>CWI</v>
      </c>
      <c r="N352" s="4" t="str">
        <f t="shared" si="134"/>
        <v>PVIFYVTCAGYFGVMFFLNIAMFIVVMVQICGRN</v>
      </c>
      <c r="O352" s="4" t="str">
        <f t="shared" si="135"/>
        <v>EVLRNLRSVVSLTFLLGMTWGFAFF</v>
      </c>
      <c r="P352" s="4" t="str">
        <f t="shared" si="136"/>
        <v>NIPFMYLFSIFNSLQGLFIFIFHCAM</v>
      </c>
      <c r="Q352" s="4" t="str">
        <f t="shared" si="137"/>
        <v>KENVQKQWRQHLCCGRF</v>
      </c>
      <c r="R352" s="5">
        <f>VLOOKUP($A352,'SegEnds_NonXtal_Prot#'!$A:$AL,3,FALSE)</f>
        <v>852</v>
      </c>
      <c r="S352" s="5">
        <f>VLOOKUP($A352,'SegEnds_NonXtal_Prot#'!$A:$AL,6,FALSE)</f>
        <v>890</v>
      </c>
      <c r="T352" s="5">
        <f>VLOOKUP($A352,'SegEnds_NonXtal_Prot#'!$A:$AL,9,FALSE)</f>
        <v>894</v>
      </c>
      <c r="U352" s="5" t="str">
        <f>VLOOKUP($A352,'SegEnds_NonXtal_Prot#'!$A:$AL,12,FALSE)</f>
        <v>-</v>
      </c>
      <c r="V352" s="5">
        <f>VLOOKUP($A352,'SegEnds_NonXtal_Prot#'!$A:$AL,15,FALSE)</f>
        <v>928</v>
      </c>
      <c r="W352" s="5" t="str">
        <f>VLOOKUP($A352,'SegEnds_NonXtal_Prot#'!$A:$AL,18,FALSE)</f>
        <v>-</v>
      </c>
      <c r="X352" s="5">
        <f>VLOOKUP($A352,'SegEnds_NonXtal_Prot#'!$A:$AL,21,FALSE)</f>
        <v>969</v>
      </c>
      <c r="Y352" s="5">
        <f>VLOOKUP($A352,'SegEnds_NonXtal_Prot#'!$A:$AL,24,FALSE)</f>
        <v>1013</v>
      </c>
      <c r="Z352" s="5">
        <f>VLOOKUP($A352,'SegEnds_NonXtal_Prot#'!$A:$AL,27,FALSE)</f>
        <v>1018</v>
      </c>
      <c r="AA352" s="5">
        <f>VLOOKUP($A352,'SegEnds_NonXtal_Prot#'!$A:$AL,30,FALSE)</f>
        <v>1062</v>
      </c>
      <c r="AB352" s="5">
        <f>VLOOKUP($A352,'SegEnds_NonXtal_Prot#'!$A:$AL,33,FALSE)</f>
        <v>1092</v>
      </c>
      <c r="AC352" s="5">
        <f>VLOOKUP($A352,'SegEnds_NonXtal_Prot#'!$A:$AL,36,FALSE)</f>
        <v>1118</v>
      </c>
      <c r="AD352" s="5">
        <f>VLOOKUP($A352,'SegEnds_NonXtal_Prot#'!$A:$AL,5,FALSE)</f>
        <v>889</v>
      </c>
      <c r="AE352" s="5">
        <f>VLOOKUP($A352,'SegEnds_NonXtal_Prot#'!$A:$AL,8,FALSE)</f>
        <v>893</v>
      </c>
      <c r="AF352" s="5">
        <f>VLOOKUP($A352,'SegEnds_NonXtal_Prot#'!$A:$AL,11,FALSE)</f>
        <v>921</v>
      </c>
      <c r="AG352" s="5" t="str">
        <f>VLOOKUP($A352,'SegEnds_NonXtal_Prot#'!$A:$AL,14,FALSE)</f>
        <v>-</v>
      </c>
      <c r="AH352" s="5">
        <f>VLOOKUP($A352,'SegEnds_NonXtal_Prot#'!$A:$AL,17,FALSE)</f>
        <v>961</v>
      </c>
      <c r="AI352" s="5" t="str">
        <f>VLOOKUP($A352,'SegEnds_NonXtal_Prot#'!$A:$AL,20,FALSE)</f>
        <v>-</v>
      </c>
      <c r="AJ352" s="5">
        <f>VLOOKUP($A352,'SegEnds_NonXtal_Prot#'!$A:$AL,23,FALSE)</f>
        <v>997</v>
      </c>
      <c r="AK352" s="5">
        <f>VLOOKUP($A352,'SegEnds_NonXtal_Prot#'!$A:$AL,26,FALSE)</f>
        <v>1015</v>
      </c>
      <c r="AL352" s="5">
        <f>VLOOKUP($A352,'SegEnds_NonXtal_Prot#'!$A:$AL,29,FALSE)</f>
        <v>1051</v>
      </c>
      <c r="AM352" s="5">
        <f>VLOOKUP($A352,'SegEnds_NonXtal_Prot#'!$A:$AL,32,FALSE)</f>
        <v>1086</v>
      </c>
      <c r="AN352" s="5">
        <f>VLOOKUP($A352,'SegEnds_NonXtal_Prot#'!$A:$AL,35,FALSE)</f>
        <v>1117</v>
      </c>
      <c r="AO352" s="5">
        <f>VLOOKUP($A352,'SegEnds_NonXtal_Prot#'!$A:$AL,38,FALSE)</f>
        <v>1134</v>
      </c>
      <c r="AP352" s="5">
        <f t="shared" si="138"/>
        <v>37</v>
      </c>
      <c r="AQ352" s="4">
        <f t="shared" si="139"/>
        <v>3</v>
      </c>
      <c r="AR352" s="4">
        <f t="shared" si="140"/>
        <v>27</v>
      </c>
      <c r="AS352" s="4" t="str">
        <f t="shared" si="141"/>
        <v>-</v>
      </c>
      <c r="AT352" s="4">
        <f t="shared" si="142"/>
        <v>33</v>
      </c>
      <c r="AU352" s="4" t="str">
        <f t="shared" si="143"/>
        <v>-</v>
      </c>
      <c r="AV352" s="4">
        <f t="shared" si="144"/>
        <v>28</v>
      </c>
      <c r="AW352" s="4">
        <f t="shared" si="145"/>
        <v>2</v>
      </c>
      <c r="AX352" s="4">
        <f t="shared" si="146"/>
        <v>33</v>
      </c>
      <c r="AY352" s="4">
        <f t="shared" si="147"/>
        <v>24</v>
      </c>
      <c r="AZ352" s="4">
        <f t="shared" si="148"/>
        <v>25</v>
      </c>
      <c r="BA352" s="4">
        <f t="shared" si="149"/>
        <v>16</v>
      </c>
    </row>
    <row r="353" spans="1:53" x14ac:dyDescent="0.2">
      <c r="A353" s="1" t="str">
        <f>'SegEnds_NonXtal_Prot#'!A347</f>
        <v>gp132_human</v>
      </c>
      <c r="B353" s="1" t="str">
        <f t="shared" si="125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353" s="29" t="str">
        <f>IF(ISERROR(MATCH(A353,'SegEnds_Xtal_Prot#'!B:B, 0)), "NoXtal", "Xtal")</f>
        <v>NoXtal</v>
      </c>
      <c r="D353" s="4" t="str">
        <f>VLOOKUP(A353,Classification!A:D,2,FALSE)</f>
        <v>A</v>
      </c>
      <c r="E353" s="5" t="str">
        <f>VLOOKUP(A353,Seqs!A:B,2,FALSE)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353" s="5" t="str">
        <f t="shared" si="126"/>
        <v>ESRIVLVVVYSAVCTLGVPANCLTAWLALLQ</v>
      </c>
      <c r="G353" s="4" t="str">
        <f t="shared" si="127"/>
        <v/>
      </c>
      <c r="H353" s="4" t="str">
        <f t="shared" si="128"/>
        <v>NVLAVYLLCLALCELLYTGTLPLWVIYIRN</v>
      </c>
      <c r="I353" s="4" t="str">
        <f t="shared" si="129"/>
        <v>RWTL</v>
      </c>
      <c r="J353" s="4" t="str">
        <f t="shared" si="130"/>
        <v>GLLACKVTAYIFFCNIYVSILFLCCISCDRFVAVVY</v>
      </c>
      <c r="K353" s="4" t="str">
        <f t="shared" si="131"/>
        <v/>
      </c>
      <c r="L353" s="4" t="str">
        <f t="shared" si="132"/>
        <v>RRRTAILISACIFILVGIVHYPVFQTE</v>
      </c>
      <c r="M353" s="4" t="str">
        <f t="shared" si="133"/>
        <v>CFD</v>
      </c>
      <c r="N353" s="4" t="str">
        <f t="shared" si="134"/>
        <v>DSRIAGYYYARFTVGFAIPLSIIAFTNHRIFRSIKQ</v>
      </c>
      <c r="O353" s="4" t="str">
        <f t="shared" si="135"/>
        <v>SAAQKAKVKHSAIAVVVIFLVCFAPYHLVLLVKAAAFSY</v>
      </c>
      <c r="P353" s="4" t="str">
        <f t="shared" si="136"/>
        <v>MCGLEERLYTASVVFLCLSTVNGVADPIIYVLA</v>
      </c>
      <c r="Q353" s="4" t="str">
        <f t="shared" si="137"/>
        <v>TDHSRQEVSRIHK</v>
      </c>
      <c r="R353" s="5">
        <f>VLOOKUP($A353,'SegEnds_NonXtal_Prot#'!$A:$AL,3,FALSE)</f>
        <v>40</v>
      </c>
      <c r="S353" s="5" t="str">
        <f>VLOOKUP($A353,'SegEnds_NonXtal_Prot#'!$A:$AL,6,FALSE)</f>
        <v>-</v>
      </c>
      <c r="T353" s="5">
        <f>VLOOKUP($A353,'SegEnds_NonXtal_Prot#'!$A:$AL,9,FALSE)</f>
        <v>75</v>
      </c>
      <c r="U353" s="5">
        <f>VLOOKUP($A353,'SegEnds_NonXtal_Prot#'!$A:$AL,12,FALSE)</f>
        <v>107</v>
      </c>
      <c r="V353" s="5">
        <f>VLOOKUP($A353,'SegEnds_NonXtal_Prot#'!$A:$AL,15,FALSE)</f>
        <v>111</v>
      </c>
      <c r="W353" s="5" t="str">
        <f>VLOOKUP($A353,'SegEnds_NonXtal_Prot#'!$A:$AL,18,FALSE)</f>
        <v>-</v>
      </c>
      <c r="X353" s="5">
        <f>VLOOKUP($A353,'SegEnds_NonXtal_Prot#'!$A:$AL,21,FALSE)</f>
        <v>155</v>
      </c>
      <c r="Y353" s="5">
        <f>VLOOKUP($A353,'SegEnds_NonXtal_Prot#'!$A:$AL,24,FALSE)</f>
        <v>186</v>
      </c>
      <c r="Z353" s="5">
        <f>VLOOKUP($A353,'SegEnds_NonXtal_Prot#'!$A:$AL,27,FALSE)</f>
        <v>193</v>
      </c>
      <c r="AA353" s="5">
        <f>VLOOKUP($A353,'SegEnds_NonXtal_Prot#'!$A:$AL,30,FALSE)</f>
        <v>233</v>
      </c>
      <c r="AB353" s="5">
        <f>VLOOKUP($A353,'SegEnds_NonXtal_Prot#'!$A:$AL,33,FALSE)</f>
        <v>279</v>
      </c>
      <c r="AC353" s="5">
        <f>VLOOKUP($A353,'SegEnds_NonXtal_Prot#'!$A:$AL,36,FALSE)</f>
        <v>312</v>
      </c>
      <c r="AD353" s="5">
        <f>VLOOKUP($A353,'SegEnds_NonXtal_Prot#'!$A:$AL,5,FALSE)</f>
        <v>70</v>
      </c>
      <c r="AE353" s="5" t="str">
        <f>VLOOKUP($A353,'SegEnds_NonXtal_Prot#'!$A:$AL,8,FALSE)</f>
        <v>-</v>
      </c>
      <c r="AF353" s="5">
        <f>VLOOKUP($A353,'SegEnds_NonXtal_Prot#'!$A:$AL,11,FALSE)</f>
        <v>104</v>
      </c>
      <c r="AG353" s="5">
        <f>VLOOKUP($A353,'SegEnds_NonXtal_Prot#'!$A:$AL,14,FALSE)</f>
        <v>110</v>
      </c>
      <c r="AH353" s="5">
        <f>VLOOKUP($A353,'SegEnds_NonXtal_Prot#'!$A:$AL,17,FALSE)</f>
        <v>146</v>
      </c>
      <c r="AI353" s="5" t="str">
        <f>VLOOKUP($A353,'SegEnds_NonXtal_Prot#'!$A:$AL,20,FALSE)</f>
        <v>-</v>
      </c>
      <c r="AJ353" s="5">
        <f>VLOOKUP($A353,'SegEnds_NonXtal_Prot#'!$A:$AL,23,FALSE)</f>
        <v>181</v>
      </c>
      <c r="AK353" s="5">
        <f>VLOOKUP($A353,'SegEnds_NonXtal_Prot#'!$A:$AL,26,FALSE)</f>
        <v>188</v>
      </c>
      <c r="AL353" s="5">
        <f>VLOOKUP($A353,'SegEnds_NonXtal_Prot#'!$A:$AL,29,FALSE)</f>
        <v>228</v>
      </c>
      <c r="AM353" s="5">
        <f>VLOOKUP($A353,'SegEnds_NonXtal_Prot#'!$A:$AL,32,FALSE)</f>
        <v>271</v>
      </c>
      <c r="AN353" s="5">
        <f>VLOOKUP($A353,'SegEnds_NonXtal_Prot#'!$A:$AL,35,FALSE)</f>
        <v>311</v>
      </c>
      <c r="AO353" s="5">
        <f>VLOOKUP($A353,'SegEnds_NonXtal_Prot#'!$A:$AL,38,FALSE)</f>
        <v>324</v>
      </c>
      <c r="AP353" s="5">
        <f t="shared" si="138"/>
        <v>30</v>
      </c>
      <c r="AQ353" s="4" t="str">
        <f t="shared" si="139"/>
        <v>-</v>
      </c>
      <c r="AR353" s="4">
        <f t="shared" si="140"/>
        <v>29</v>
      </c>
      <c r="AS353" s="4">
        <f t="shared" si="141"/>
        <v>3</v>
      </c>
      <c r="AT353" s="4">
        <f t="shared" si="142"/>
        <v>35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35</v>
      </c>
      <c r="AY353" s="4">
        <f t="shared" si="147"/>
        <v>38</v>
      </c>
      <c r="AZ353" s="4">
        <f t="shared" si="148"/>
        <v>32</v>
      </c>
      <c r="BA353" s="4">
        <f t="shared" si="149"/>
        <v>12</v>
      </c>
    </row>
    <row r="354" spans="1:53" x14ac:dyDescent="0.2">
      <c r="A354" s="1" t="str">
        <f>'SegEnds_NonXtal_Prot#'!A348</f>
        <v>gp135_human</v>
      </c>
      <c r="B354" s="1" t="str">
        <f t="shared" si="125"/>
        <v>VAAQALVLLLIFLLSSLGNCAVMGVIVKHTVTNAFILSLSLSDLLTALLCLPAAFLDLFTAGPWRGFCAASRFFSSCFGIVSTLSVALISLDRYCAIVRGRRRALQLLAGAWLTALGFSLPWELLGAQLGAAFSVGLVVACYLLPFLLMCFCHYHICKTVRLSDVRVVLRFFSEVRTATTVLIMIVFVICCWGPYCFLVLLAAARMQAPSLLSVVAVWLTWANGAINPVIYAIRNPNISMLLGRNR</v>
      </c>
      <c r="C354" s="29" t="str">
        <f>IF(ISERROR(MATCH(A354,'SegEnds_Xtal_Prot#'!B:B, 0)), "NoXtal", "Xtal")</f>
        <v>NoXtal</v>
      </c>
      <c r="D354" s="4" t="str">
        <f>VLOOKUP(A354,Classification!A:D,2,FALSE)</f>
        <v>A</v>
      </c>
      <c r="E354" s="5" t="str">
        <f>VLOOKUP(A354,Seqs!A:B,2,FALSE)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354" s="5" t="str">
        <f t="shared" si="126"/>
        <v>VAAQALVLLLIFLLSSLGNCAVMGVIVKH</v>
      </c>
      <c r="G354" s="4" t="str">
        <f t="shared" si="127"/>
        <v>RQLR</v>
      </c>
      <c r="H354" s="4" t="str">
        <f t="shared" si="128"/>
        <v>TVTNAFILSLSLSDLLTALLCLPAAFLDLFT</v>
      </c>
      <c r="I354" s="4" t="str">
        <f t="shared" si="129"/>
        <v/>
      </c>
      <c r="J354" s="4" t="str">
        <f t="shared" si="130"/>
        <v>AGPWRGFCAASRFFSSCFGIVSTLSVALISLDRYCAIVR</v>
      </c>
      <c r="K354" s="4" t="str">
        <f t="shared" si="131"/>
        <v/>
      </c>
      <c r="L354" s="4" t="str">
        <f t="shared" si="132"/>
        <v>GRRRALQLLAGAWLTALGFSLPWELLG</v>
      </c>
      <c r="M354" s="4" t="str">
        <f t="shared" si="133"/>
        <v>CLY</v>
      </c>
      <c r="N354" s="4" t="str">
        <f t="shared" si="134"/>
        <v>AQLGAAFSVGLVVACYLLPFLLMCFCHYHICKTVRLSDVRV</v>
      </c>
      <c r="O354" s="4" t="str">
        <f t="shared" si="135"/>
        <v>VLRFFSEVRTATTVLIMIVFVICCWGPYCFLVLLAAAR</v>
      </c>
      <c r="P354" s="4" t="str">
        <f t="shared" si="136"/>
        <v>MQAPSLLSVVAVWLTWANGAINPVIYAIR</v>
      </c>
      <c r="Q354" s="4" t="str">
        <f t="shared" si="137"/>
        <v>NPNISMLLGRNR</v>
      </c>
      <c r="R354" s="5">
        <f>VLOOKUP($A354,'SegEnds_NonXtal_Prot#'!$A:$AL,3,FALSE)</f>
        <v>103</v>
      </c>
      <c r="S354" s="5">
        <f>VLOOKUP($A354,'SegEnds_NonXtal_Prot#'!$A:$AL,6,FALSE)</f>
        <v>132</v>
      </c>
      <c r="T354" s="5">
        <f>VLOOKUP($A354,'SegEnds_NonXtal_Prot#'!$A:$AL,9,FALSE)</f>
        <v>136</v>
      </c>
      <c r="U354" s="5" t="str">
        <f>VLOOKUP($A354,'SegEnds_NonXtal_Prot#'!$A:$AL,12,FALSE)</f>
        <v>-</v>
      </c>
      <c r="V354" s="5">
        <f>VLOOKUP($A354,'SegEnds_NonXtal_Prot#'!$A:$AL,15,FALSE)</f>
        <v>177</v>
      </c>
      <c r="W354" s="5" t="str">
        <f>VLOOKUP($A354,'SegEnds_NonXtal_Prot#'!$A:$AL,18,FALSE)</f>
        <v>-</v>
      </c>
      <c r="X354" s="5">
        <f>VLOOKUP($A354,'SegEnds_NonXtal_Prot#'!$A:$AL,21,FALSE)</f>
        <v>222</v>
      </c>
      <c r="Y354" s="5">
        <f>VLOOKUP($A354,'SegEnds_NonXtal_Prot#'!$A:$AL,24,FALSE)</f>
        <v>262</v>
      </c>
      <c r="Z354" s="5">
        <f>VLOOKUP($A354,'SegEnds_NonXtal_Prot#'!$A:$AL,27,FALSE)</f>
        <v>271</v>
      </c>
      <c r="AA354" s="5">
        <f>VLOOKUP($A354,'SegEnds_NonXtal_Prot#'!$A:$AL,30,FALSE)</f>
        <v>320</v>
      </c>
      <c r="AB354" s="5">
        <f>VLOOKUP($A354,'SegEnds_NonXtal_Prot#'!$A:$AL,33,FALSE)</f>
        <v>362</v>
      </c>
      <c r="AC354" s="5">
        <f>VLOOKUP($A354,'SegEnds_NonXtal_Prot#'!$A:$AL,36,FALSE)</f>
        <v>391</v>
      </c>
      <c r="AD354" s="5">
        <f>VLOOKUP($A354,'SegEnds_NonXtal_Prot#'!$A:$AL,5,FALSE)</f>
        <v>131</v>
      </c>
      <c r="AE354" s="5">
        <f>VLOOKUP($A354,'SegEnds_NonXtal_Prot#'!$A:$AL,8,FALSE)</f>
        <v>135</v>
      </c>
      <c r="AF354" s="5">
        <f>VLOOKUP($A354,'SegEnds_NonXtal_Prot#'!$A:$AL,11,FALSE)</f>
        <v>166</v>
      </c>
      <c r="AG354" s="5" t="str">
        <f>VLOOKUP($A354,'SegEnds_NonXtal_Prot#'!$A:$AL,14,FALSE)</f>
        <v>-</v>
      </c>
      <c r="AH354" s="5">
        <f>VLOOKUP($A354,'SegEnds_NonXtal_Prot#'!$A:$AL,17,FALSE)</f>
        <v>215</v>
      </c>
      <c r="AI354" s="5" t="str">
        <f>VLOOKUP($A354,'SegEnds_NonXtal_Prot#'!$A:$AL,20,FALSE)</f>
        <v>-</v>
      </c>
      <c r="AJ354" s="5">
        <f>VLOOKUP($A354,'SegEnds_NonXtal_Prot#'!$A:$AL,23,FALSE)</f>
        <v>248</v>
      </c>
      <c r="AK354" s="5">
        <f>VLOOKUP($A354,'SegEnds_NonXtal_Prot#'!$A:$AL,26,FALSE)</f>
        <v>264</v>
      </c>
      <c r="AL354" s="5">
        <f>VLOOKUP($A354,'SegEnds_NonXtal_Prot#'!$A:$AL,29,FALSE)</f>
        <v>311</v>
      </c>
      <c r="AM354" s="5">
        <f>VLOOKUP($A354,'SegEnds_NonXtal_Prot#'!$A:$AL,32,FALSE)</f>
        <v>357</v>
      </c>
      <c r="AN354" s="5">
        <f>VLOOKUP($A354,'SegEnds_NonXtal_Prot#'!$A:$AL,35,FALSE)</f>
        <v>390</v>
      </c>
      <c r="AO354" s="5">
        <f>VLOOKUP($A354,'SegEnds_NonXtal_Prot#'!$A:$AL,38,FALSE)</f>
        <v>402</v>
      </c>
      <c r="AP354" s="5">
        <f t="shared" si="138"/>
        <v>28</v>
      </c>
      <c r="AQ354" s="4">
        <f t="shared" si="139"/>
        <v>3</v>
      </c>
      <c r="AR354" s="4">
        <f t="shared" si="140"/>
        <v>30</v>
      </c>
      <c r="AS354" s="4" t="str">
        <f t="shared" si="141"/>
        <v>-</v>
      </c>
      <c r="AT354" s="4">
        <f t="shared" si="142"/>
        <v>38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40</v>
      </c>
      <c r="AY354" s="4">
        <f t="shared" si="147"/>
        <v>37</v>
      </c>
      <c r="AZ354" s="4">
        <f t="shared" si="148"/>
        <v>28</v>
      </c>
      <c r="BA354" s="4">
        <f t="shared" si="149"/>
        <v>11</v>
      </c>
    </row>
    <row r="355" spans="1:53" x14ac:dyDescent="0.2">
      <c r="A355" s="1" t="str">
        <f>'SegEnds_NonXtal_Prot#'!A349</f>
        <v>gp143_human</v>
      </c>
      <c r="B355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55" s="29" t="str">
        <f>IF(ISERROR(MATCH(A355,'SegEnds_Xtal_Prot#'!B:B, 0)), "NoXtal", "Xtal")</f>
        <v>NoXtal</v>
      </c>
      <c r="D355" s="4" t="str">
        <f>VLOOKUP(A355,Classification!A:D,2,FALSE)</f>
        <v>O</v>
      </c>
      <c r="E355" s="5" t="str">
        <f>VLOOKUP(A355,Seqs!A:B,2,FALSE)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55" s="5" t="str">
        <f t="shared" si="126"/>
        <v>PTRDAATQLVLSFQPRAFHALCLGSGGLRLALGLLQLLPGR</v>
      </c>
      <c r="G355" s="4" t="str">
        <f t="shared" si="127"/>
        <v/>
      </c>
      <c r="H355" s="4" t="str">
        <f t="shared" si="128"/>
        <v>SVRILRAAAACDLLGCLGMVIRSTV</v>
      </c>
      <c r="I355" s="4" t="str">
        <f t="shared" si="129"/>
        <v/>
      </c>
      <c r="J355" s="4" t="str">
        <f t="shared" si="130"/>
        <v>AFCVGSAMWIQLLYSACFWWLFCYAVDAYLVIRR</v>
      </c>
      <c r="K355" s="4" t="str">
        <f t="shared" si="131"/>
        <v/>
      </c>
      <c r="L355" s="4" t="str">
        <f t="shared" si="132"/>
        <v>STILLYHIMAWGLATLLCVEGAAML</v>
      </c>
      <c r="M355" s="4" t="str">
        <f t="shared" si="133"/>
        <v/>
      </c>
      <c r="N355" s="4" t="str">
        <f t="shared" si="134"/>
        <v>HAIPHYVTMYLPLLLVLVANPIL</v>
      </c>
      <c r="O355" s="4" t="str">
        <f t="shared" si="135"/>
        <v>MGAVIKIRFFKIMLVLIICWLSNII</v>
      </c>
      <c r="P355" s="4" t="str">
        <f t="shared" si="136"/>
        <v>FIMGILNPAQGFLLSLAFYGWT</v>
      </c>
      <c r="Q355" s="4" t="str">
        <f t="shared" si="137"/>
        <v>GCSLGFQSPRK</v>
      </c>
      <c r="R355" s="5">
        <f>VLOOKUP($A355,'SegEnds_NonXtal_Prot#'!$A:$AL,3,FALSE)</f>
        <v>12</v>
      </c>
      <c r="S355" s="5" t="str">
        <f>VLOOKUP($A355,'SegEnds_NonXtal_Prot#'!$A:$AL,6,FALSE)</f>
        <v>-</v>
      </c>
      <c r="T355" s="5">
        <f>VLOOKUP($A355,'SegEnds_NonXtal_Prot#'!$A:$AL,9,FALSE)</f>
        <v>67</v>
      </c>
      <c r="U355" s="5" t="str">
        <f>VLOOKUP($A355,'SegEnds_NonXtal_Prot#'!$A:$AL,12,FALSE)</f>
        <v>-</v>
      </c>
      <c r="V355" s="5">
        <f>VLOOKUP($A355,'SegEnds_NonXtal_Prot#'!$A:$AL,15,FALSE)</f>
        <v>114</v>
      </c>
      <c r="W355" s="5" t="str">
        <f>VLOOKUP($A355,'SegEnds_NonXtal_Prot#'!$A:$AL,18,FALSE)</f>
        <v>-</v>
      </c>
      <c r="X355" s="5">
        <f>VLOOKUP($A355,'SegEnds_NonXtal_Prot#'!$A:$AL,21,FALSE)</f>
        <v>152</v>
      </c>
      <c r="Y355" s="5" t="str">
        <f>VLOOKUP($A355,'SegEnds_NonXtal_Prot#'!$A:$AL,24,FALSE)</f>
        <v>-</v>
      </c>
      <c r="Z355" s="5">
        <f>VLOOKUP($A355,'SegEnds_NonXtal_Prot#'!$A:$AL,27,FALSE)</f>
        <v>190</v>
      </c>
      <c r="AA355" s="5">
        <f>VLOOKUP($A355,'SegEnds_NonXtal_Prot#'!$A:$AL,30,FALSE)</f>
        <v>238</v>
      </c>
      <c r="AB355" s="5">
        <f>VLOOKUP($A355,'SegEnds_NonXtal_Prot#'!$A:$AL,33,FALSE)</f>
        <v>293</v>
      </c>
      <c r="AC355" s="5">
        <f>VLOOKUP($A355,'SegEnds_NonXtal_Prot#'!$A:$AL,36,FALSE)</f>
        <v>315</v>
      </c>
      <c r="AD355" s="5">
        <f>VLOOKUP($A355,'SegEnds_NonXtal_Prot#'!$A:$AL,5,FALSE)</f>
        <v>52</v>
      </c>
      <c r="AE355" s="5" t="str">
        <f>VLOOKUP($A355,'SegEnds_NonXtal_Prot#'!$A:$AL,8,FALSE)</f>
        <v>-</v>
      </c>
      <c r="AF355" s="5">
        <f>VLOOKUP($A355,'SegEnds_NonXtal_Prot#'!$A:$AL,11,FALSE)</f>
        <v>91</v>
      </c>
      <c r="AG355" s="5" t="str">
        <f>VLOOKUP($A355,'SegEnds_NonXtal_Prot#'!$A:$AL,14,FALSE)</f>
        <v>-</v>
      </c>
      <c r="AH355" s="5">
        <f>VLOOKUP($A355,'SegEnds_NonXtal_Prot#'!$A:$AL,17,FALSE)</f>
        <v>147</v>
      </c>
      <c r="AI355" s="5" t="str">
        <f>VLOOKUP($A355,'SegEnds_NonXtal_Prot#'!$A:$AL,20,FALSE)</f>
        <v>-</v>
      </c>
      <c r="AJ355" s="5">
        <f>VLOOKUP($A355,'SegEnds_NonXtal_Prot#'!$A:$AL,23,FALSE)</f>
        <v>176</v>
      </c>
      <c r="AK355" s="5" t="str">
        <f>VLOOKUP($A355,'SegEnds_NonXtal_Prot#'!$A:$AL,26,FALSE)</f>
        <v>-</v>
      </c>
      <c r="AL355" s="5">
        <f>VLOOKUP($A355,'SegEnds_NonXtal_Prot#'!$A:$AL,29,FALSE)</f>
        <v>212</v>
      </c>
      <c r="AM355" s="5">
        <f>VLOOKUP($A355,'SegEnds_NonXtal_Prot#'!$A:$AL,32,FALSE)</f>
        <v>262</v>
      </c>
      <c r="AN355" s="5">
        <f>VLOOKUP($A355,'SegEnds_NonXtal_Prot#'!$A:$AL,35,FALSE)</f>
        <v>314</v>
      </c>
      <c r="AO355" s="5">
        <f>VLOOKUP($A355,'SegEnds_NonXtal_Prot#'!$A:$AL,38,FALSE)</f>
        <v>325</v>
      </c>
      <c r="AP355" s="5">
        <f t="shared" si="138"/>
        <v>40</v>
      </c>
      <c r="AQ355" s="4" t="str">
        <f t="shared" si="139"/>
        <v>-</v>
      </c>
      <c r="AR355" s="4">
        <f t="shared" si="140"/>
        <v>24</v>
      </c>
      <c r="AS355" s="4" t="str">
        <f t="shared" si="141"/>
        <v>-</v>
      </c>
      <c r="AT355" s="4">
        <f t="shared" si="142"/>
        <v>33</v>
      </c>
      <c r="AU355" s="4" t="str">
        <f t="shared" si="143"/>
        <v>-</v>
      </c>
      <c r="AV355" s="4">
        <f t="shared" si="144"/>
        <v>24</v>
      </c>
      <c r="AW355" s="4" t="str">
        <f t="shared" si="145"/>
        <v>-</v>
      </c>
      <c r="AX355" s="4">
        <f t="shared" si="146"/>
        <v>22</v>
      </c>
      <c r="AY355" s="4">
        <f t="shared" si="147"/>
        <v>24</v>
      </c>
      <c r="AZ355" s="4">
        <f t="shared" si="148"/>
        <v>21</v>
      </c>
      <c r="BA355" s="4">
        <f t="shared" si="149"/>
        <v>10</v>
      </c>
    </row>
    <row r="356" spans="1:53" x14ac:dyDescent="0.2">
      <c r="A356" s="1" t="str">
        <f>'SegEnds_NonXtal_Prot#'!A350</f>
        <v>gp146_human</v>
      </c>
      <c r="B356" s="1" t="str">
        <f t="shared" si="125"/>
        <v>GLSLLSLLGLVVGVPVGLCYNALLVLANLHSYFVNMAVAGLVLSALAPVHLLGPPSSRGGEVHVALQIPFNVSSLVAMYSTALLSLDHYIERALSVYNTRHVCGFVWGGALLTSFSSLLFYNAEAADATLVFIGYVVPALATLYALVLLSRVRREDRDTGRLEPSAHRLLVATVCTQFGLWTPHYLILLGHTVIISRDAHYLGLLHFVKDFSKLLAFSSSFVTPLLYRYMNQSFPSKLQRLMKKL</v>
      </c>
      <c r="C356" s="29" t="str">
        <f>IF(ISERROR(MATCH(A356,'SegEnds_Xtal_Prot#'!B:B, 0)), "NoXtal", "Xtal")</f>
        <v>NoXtal</v>
      </c>
      <c r="D356" s="4" t="str">
        <f>VLOOKUP(A356,Classification!A:D,2,FALSE)</f>
        <v>A</v>
      </c>
      <c r="E356" s="5" t="str">
        <f>VLOOKUP(A356,Seqs!A:B,2,FALSE)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356" s="5" t="str">
        <f t="shared" si="126"/>
        <v>GLSLLSLLGLVVGVPVGLCYNALLVLANLHS</v>
      </c>
      <c r="G356" s="4" t="str">
        <f t="shared" si="127"/>
        <v/>
      </c>
      <c r="H356" s="4" t="str">
        <f t="shared" si="128"/>
        <v>YFVNMAVAGLVLSALAPVHLLGPPSSR</v>
      </c>
      <c r="I356" s="4" t="str">
        <f t="shared" si="129"/>
        <v>LWSV</v>
      </c>
      <c r="J356" s="4" t="str">
        <f t="shared" si="130"/>
        <v>GGEVHVALQIPFNVSSLVAMYSTALLSLDHYIERAL</v>
      </c>
      <c r="K356" s="4" t="str">
        <f t="shared" si="131"/>
        <v/>
      </c>
      <c r="L356" s="4" t="str">
        <f t="shared" si="132"/>
        <v>SVYNTRHVCGFVWGGALLTSFSSLLFY</v>
      </c>
      <c r="M356" s="4" t="str">
        <f t="shared" si="133"/>
        <v/>
      </c>
      <c r="N356" s="4" t="str">
        <f t="shared" si="134"/>
        <v>NAEAADATLVFIGYVVPALATLYALVLLSRVRRED</v>
      </c>
      <c r="O356" s="4" t="str">
        <f t="shared" si="135"/>
        <v>RDTGRLEPSAHRLLVATVCTQFGLWTPHYLILLGHTVIISR</v>
      </c>
      <c r="P356" s="4" t="str">
        <f t="shared" si="136"/>
        <v>DAHYLGLLHFVKDFSKLLAFSSSFVTPLLYRYM</v>
      </c>
      <c r="Q356" s="4" t="str">
        <f t="shared" si="137"/>
        <v>NQSFPSKLQRLMKKL</v>
      </c>
      <c r="R356" s="5">
        <f>VLOOKUP($A356,'SegEnds_NonXtal_Prot#'!$A:$AL,3,FALSE)</f>
        <v>25</v>
      </c>
      <c r="S356" s="5" t="str">
        <f>VLOOKUP($A356,'SegEnds_NonXtal_Prot#'!$A:$AL,6,FALSE)</f>
        <v>-</v>
      </c>
      <c r="T356" s="5">
        <f>VLOOKUP($A356,'SegEnds_NonXtal_Prot#'!$A:$AL,9,FALSE)</f>
        <v>65</v>
      </c>
      <c r="U356" s="5">
        <f>VLOOKUP($A356,'SegEnds_NonXtal_Prot#'!$A:$AL,12,FALSE)</f>
        <v>94</v>
      </c>
      <c r="V356" s="5">
        <f>VLOOKUP($A356,'SegEnds_NonXtal_Prot#'!$A:$AL,15,FALSE)</f>
        <v>98</v>
      </c>
      <c r="W356" s="5" t="str">
        <f>VLOOKUP($A356,'SegEnds_NonXtal_Prot#'!$A:$AL,18,FALSE)</f>
        <v>-</v>
      </c>
      <c r="X356" s="5">
        <f>VLOOKUP($A356,'SegEnds_NonXtal_Prot#'!$A:$AL,21,FALSE)</f>
        <v>140</v>
      </c>
      <c r="Y356" s="5" t="str">
        <f>VLOOKUP($A356,'SegEnds_NonXtal_Prot#'!$A:$AL,24,FALSE)</f>
        <v>-</v>
      </c>
      <c r="Z356" s="5">
        <f>VLOOKUP($A356,'SegEnds_NonXtal_Prot#'!$A:$AL,27,FALSE)</f>
        <v>183</v>
      </c>
      <c r="AA356" s="5">
        <f>VLOOKUP($A356,'SegEnds_NonXtal_Prot#'!$A:$AL,30,FALSE)</f>
        <v>222</v>
      </c>
      <c r="AB356" s="5">
        <f>VLOOKUP($A356,'SegEnds_NonXtal_Prot#'!$A:$AL,33,FALSE)</f>
        <v>267</v>
      </c>
      <c r="AC356" s="5">
        <f>VLOOKUP($A356,'SegEnds_NonXtal_Prot#'!$A:$AL,36,FALSE)</f>
        <v>300</v>
      </c>
      <c r="AD356" s="5">
        <f>VLOOKUP($A356,'SegEnds_NonXtal_Prot#'!$A:$AL,5,FALSE)</f>
        <v>55</v>
      </c>
      <c r="AE356" s="5" t="str">
        <f>VLOOKUP($A356,'SegEnds_NonXtal_Prot#'!$A:$AL,8,FALSE)</f>
        <v>-</v>
      </c>
      <c r="AF356" s="5">
        <f>VLOOKUP($A356,'SegEnds_NonXtal_Prot#'!$A:$AL,11,FALSE)</f>
        <v>91</v>
      </c>
      <c r="AG356" s="5">
        <f>VLOOKUP($A356,'SegEnds_NonXtal_Prot#'!$A:$AL,14,FALSE)</f>
        <v>97</v>
      </c>
      <c r="AH356" s="5">
        <f>VLOOKUP($A356,'SegEnds_NonXtal_Prot#'!$A:$AL,17,FALSE)</f>
        <v>133</v>
      </c>
      <c r="AI356" s="5" t="str">
        <f>VLOOKUP($A356,'SegEnds_NonXtal_Prot#'!$A:$AL,20,FALSE)</f>
        <v>-</v>
      </c>
      <c r="AJ356" s="5">
        <f>VLOOKUP($A356,'SegEnds_NonXtal_Prot#'!$A:$AL,23,FALSE)</f>
        <v>166</v>
      </c>
      <c r="AK356" s="5" t="str">
        <f>VLOOKUP($A356,'SegEnds_NonXtal_Prot#'!$A:$AL,26,FALSE)</f>
        <v>-</v>
      </c>
      <c r="AL356" s="5">
        <f>VLOOKUP($A356,'SegEnds_NonXtal_Prot#'!$A:$AL,29,FALSE)</f>
        <v>217</v>
      </c>
      <c r="AM356" s="5">
        <f>VLOOKUP($A356,'SegEnds_NonXtal_Prot#'!$A:$AL,32,FALSE)</f>
        <v>262</v>
      </c>
      <c r="AN356" s="5">
        <f>VLOOKUP($A356,'SegEnds_NonXtal_Prot#'!$A:$AL,35,FALSE)</f>
        <v>299</v>
      </c>
      <c r="AO356" s="5">
        <f>VLOOKUP($A356,'SegEnds_NonXtal_Prot#'!$A:$AL,38,FALSE)</f>
        <v>314</v>
      </c>
      <c r="AP356" s="5">
        <f t="shared" si="138"/>
        <v>30</v>
      </c>
      <c r="AQ356" s="4" t="str">
        <f t="shared" si="139"/>
        <v>-</v>
      </c>
      <c r="AR356" s="4">
        <f t="shared" si="140"/>
        <v>26</v>
      </c>
      <c r="AS356" s="4">
        <f t="shared" si="141"/>
        <v>3</v>
      </c>
      <c r="AT356" s="4">
        <f t="shared" si="142"/>
        <v>35</v>
      </c>
      <c r="AU356" s="4" t="str">
        <f t="shared" si="143"/>
        <v>-</v>
      </c>
      <c r="AV356" s="4">
        <f t="shared" si="144"/>
        <v>26</v>
      </c>
      <c r="AW356" s="4" t="str">
        <f t="shared" si="145"/>
        <v>-</v>
      </c>
      <c r="AX356" s="4">
        <f t="shared" si="146"/>
        <v>34</v>
      </c>
      <c r="AY356" s="4">
        <f t="shared" si="147"/>
        <v>40</v>
      </c>
      <c r="AZ356" s="4">
        <f t="shared" si="148"/>
        <v>32</v>
      </c>
      <c r="BA356" s="4">
        <f t="shared" si="149"/>
        <v>14</v>
      </c>
    </row>
    <row r="357" spans="1:53" x14ac:dyDescent="0.2">
      <c r="A357" s="1" t="str">
        <f>'SegEnds_NonXtal_Prot#'!A351</f>
        <v>gp149_human</v>
      </c>
      <c r="B357" s="1" t="str">
        <f t="shared" si="125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357" s="29" t="str">
        <f>IF(ISERROR(MATCH(A357,'SegEnds_Xtal_Prot#'!B:B, 0)), "NoXtal", "Xtal")</f>
        <v>NoXtal</v>
      </c>
      <c r="D357" s="4" t="str">
        <f>VLOOKUP(A357,Classification!A:D,2,FALSE)</f>
        <v>A</v>
      </c>
      <c r="E357" s="5" t="str">
        <f>VLOOKUP(A357,Seqs!A:B,2,FALSE)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357" s="5" t="str">
        <f t="shared" si="126"/>
        <v>DSSLWKENHNSTDLLNPPGTLNIYLFCLTCLM</v>
      </c>
      <c r="G357" s="4" t="str">
        <f t="shared" si="127"/>
        <v/>
      </c>
      <c r="H357" s="4" t="str">
        <f t="shared" si="128"/>
        <v>VGSIYSLISLLKMQNRTVVSMLVASWSVDDL</v>
      </c>
      <c r="I357" s="4" t="str">
        <f t="shared" si="129"/>
        <v>IFMF</v>
      </c>
      <c r="J357" s="4" t="str">
        <f t="shared" si="130"/>
        <v>LQWPNEVPGYFQFLCTTSALMYLCQGLSSNLKATLLVSYNFYTMHRG</v>
      </c>
      <c r="K357" s="4" t="str">
        <f t="shared" si="131"/>
        <v/>
      </c>
      <c r="L357" s="4" t="str">
        <f t="shared" si="132"/>
        <v>RSGQVLGVVLTVWAASLLLSALPLCG</v>
      </c>
      <c r="M357" s="4" t="str">
        <f t="shared" si="133"/>
        <v/>
      </c>
      <c r="N357" s="4" t="str">
        <f t="shared" si="134"/>
        <v>VYALAFGLLVGLSVPLTHRLLCSEEPPRLHSNYQEISRGAS</v>
      </c>
      <c r="O357" s="4" t="str">
        <f t="shared" si="135"/>
        <v>TRSFTVSVAQKRFALILALTKVVLWLPMMMHMVVQNVV</v>
      </c>
      <c r="P357" s="4" t="str">
        <f t="shared" si="136"/>
        <v>LPLETFSFLLTLLATTVTPVFVLSK</v>
      </c>
      <c r="Q357" s="4" t="str">
        <f t="shared" si="137"/>
        <v>RWTHLPCGCIINC</v>
      </c>
      <c r="R357" s="5">
        <f>VLOOKUP($A357,'SegEnds_NonXtal_Prot#'!$A:$AL,3,FALSE)</f>
        <v>12</v>
      </c>
      <c r="S357" s="5" t="str">
        <f>VLOOKUP($A357,'SegEnds_NonXtal_Prot#'!$A:$AL,6,FALSE)</f>
        <v>-</v>
      </c>
      <c r="T357" s="5">
        <f>VLOOKUP($A357,'SegEnds_NonXtal_Prot#'!$A:$AL,9,FALSE)</f>
        <v>49</v>
      </c>
      <c r="U357" s="5">
        <f>VLOOKUP($A357,'SegEnds_NonXtal_Prot#'!$A:$AL,12,FALSE)</f>
        <v>87</v>
      </c>
      <c r="V357" s="5">
        <f>VLOOKUP($A357,'SegEnds_NonXtal_Prot#'!$A:$AL,15,FALSE)</f>
        <v>91</v>
      </c>
      <c r="W357" s="5" t="str">
        <f>VLOOKUP($A357,'SegEnds_NonXtal_Prot#'!$A:$AL,18,FALSE)</f>
        <v>-</v>
      </c>
      <c r="X357" s="5">
        <f>VLOOKUP($A357,'SegEnds_NonXtal_Prot#'!$A:$AL,21,FALSE)</f>
        <v>146</v>
      </c>
      <c r="Y357" s="5" t="str">
        <f>VLOOKUP($A357,'SegEnds_NonXtal_Prot#'!$A:$AL,24,FALSE)</f>
        <v>-</v>
      </c>
      <c r="Z357" s="5">
        <f>VLOOKUP($A357,'SegEnds_NonXtal_Prot#'!$A:$AL,27,FALSE)</f>
        <v>197</v>
      </c>
      <c r="AA357" s="5">
        <f>VLOOKUP($A357,'SegEnds_NonXtal_Prot#'!$A:$AL,30,FALSE)</f>
        <v>299</v>
      </c>
      <c r="AB357" s="5">
        <f>VLOOKUP($A357,'SegEnds_NonXtal_Prot#'!$A:$AL,33,FALSE)</f>
        <v>341</v>
      </c>
      <c r="AC357" s="5">
        <f>VLOOKUP($A357,'SegEnds_NonXtal_Prot#'!$A:$AL,36,FALSE)</f>
        <v>366</v>
      </c>
      <c r="AD357" s="5">
        <f>VLOOKUP($A357,'SegEnds_NonXtal_Prot#'!$A:$AL,5,FALSE)</f>
        <v>43</v>
      </c>
      <c r="AE357" s="5" t="str">
        <f>VLOOKUP($A357,'SegEnds_NonXtal_Prot#'!$A:$AL,8,FALSE)</f>
        <v>-</v>
      </c>
      <c r="AF357" s="5">
        <f>VLOOKUP($A357,'SegEnds_NonXtal_Prot#'!$A:$AL,11,FALSE)</f>
        <v>79</v>
      </c>
      <c r="AG357" s="5">
        <f>VLOOKUP($A357,'SegEnds_NonXtal_Prot#'!$A:$AL,14,FALSE)</f>
        <v>90</v>
      </c>
      <c r="AH357" s="5">
        <f>VLOOKUP($A357,'SegEnds_NonXtal_Prot#'!$A:$AL,17,FALSE)</f>
        <v>137</v>
      </c>
      <c r="AI357" s="5" t="str">
        <f>VLOOKUP($A357,'SegEnds_NonXtal_Prot#'!$A:$AL,20,FALSE)</f>
        <v>-</v>
      </c>
      <c r="AJ357" s="5">
        <f>VLOOKUP($A357,'SegEnds_NonXtal_Prot#'!$A:$AL,23,FALSE)</f>
        <v>171</v>
      </c>
      <c r="AK357" s="5" t="str">
        <f>VLOOKUP($A357,'SegEnds_NonXtal_Prot#'!$A:$AL,26,FALSE)</f>
        <v>-</v>
      </c>
      <c r="AL357" s="5">
        <f>VLOOKUP($A357,'SegEnds_NonXtal_Prot#'!$A:$AL,29,FALSE)</f>
        <v>237</v>
      </c>
      <c r="AM357" s="5">
        <f>VLOOKUP($A357,'SegEnds_NonXtal_Prot#'!$A:$AL,32,FALSE)</f>
        <v>336</v>
      </c>
      <c r="AN357" s="5">
        <f>VLOOKUP($A357,'SegEnds_NonXtal_Prot#'!$A:$AL,35,FALSE)</f>
        <v>365</v>
      </c>
      <c r="AO357" s="5">
        <f>VLOOKUP($A357,'SegEnds_NonXtal_Prot#'!$A:$AL,38,FALSE)</f>
        <v>378</v>
      </c>
      <c r="AP357" s="5">
        <f t="shared" si="138"/>
        <v>31</v>
      </c>
      <c r="AQ357" s="4" t="str">
        <f t="shared" si="139"/>
        <v>-</v>
      </c>
      <c r="AR357" s="4">
        <f t="shared" si="140"/>
        <v>30</v>
      </c>
      <c r="AS357" s="4">
        <f t="shared" si="141"/>
        <v>3</v>
      </c>
      <c r="AT357" s="4">
        <f t="shared" si="142"/>
        <v>46</v>
      </c>
      <c r="AU357" s="4" t="str">
        <f t="shared" si="143"/>
        <v>-</v>
      </c>
      <c r="AV357" s="4">
        <f t="shared" si="144"/>
        <v>25</v>
      </c>
      <c r="AW357" s="4" t="str">
        <f t="shared" si="145"/>
        <v>-</v>
      </c>
      <c r="AX357" s="4">
        <f t="shared" si="146"/>
        <v>40</v>
      </c>
      <c r="AY357" s="4">
        <f t="shared" si="147"/>
        <v>37</v>
      </c>
      <c r="AZ357" s="4">
        <f t="shared" si="148"/>
        <v>24</v>
      </c>
      <c r="BA357" s="4">
        <f t="shared" si="149"/>
        <v>12</v>
      </c>
    </row>
    <row r="358" spans="1:53" x14ac:dyDescent="0.2">
      <c r="A358" s="1" t="str">
        <f>'SegEnds_NonXtal_Prot#'!A352</f>
        <v>gp150_human</v>
      </c>
      <c r="B358" s="1" t="str">
        <f t="shared" si="125"/>
        <v>SRRVRLVFLGVILVVAVAGNTTVLCRLCGGRKMDFLLVQLALADLYACGGTALSQLAWELLAATGDLACRFLQLLQASGRGASAHLVVLIALERRRAVRLRPLPARALAALGWLLALLLALPPAFVVRWHLQVYAFYEAVAGFVAPVTVLGVACGHLLSVWWRHRPQAPAPAPSALPRAKVQSLKMSLLLALLFVGCELPYFAARLAAAWSDWEGEGLSAALRVVAMANSALNPFVYLFFQAGDCRLRRQLR</v>
      </c>
      <c r="C358" s="29" t="str">
        <f>IF(ISERROR(MATCH(A358,'SegEnds_Xtal_Prot#'!B:B, 0)), "NoXtal", "Xtal")</f>
        <v>NoXtal</v>
      </c>
      <c r="D358" s="4" t="str">
        <f>VLOOKUP(A358,Classification!A:D,2,FALSE)</f>
        <v>A</v>
      </c>
      <c r="E358" s="5" t="str">
        <f>VLOOKUP(A358,Seqs!A:B,2,FALSE)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358" s="5" t="str">
        <f t="shared" si="126"/>
        <v>SRRVRLVFLGVILVVAVAGNTTVLCRLCGG</v>
      </c>
      <c r="G358" s="4" t="str">
        <f t="shared" si="127"/>
        <v/>
      </c>
      <c r="H358" s="4" t="str">
        <f t="shared" si="128"/>
        <v>RKMDFLLVQLALADLYACGGTALSQLAWELL</v>
      </c>
      <c r="I358" s="4" t="str">
        <f t="shared" si="129"/>
        <v/>
      </c>
      <c r="J358" s="4" t="str">
        <f t="shared" si="130"/>
        <v>AATGDLACRFLQLLQASGRGASAHLVVLIALERRRAVRL</v>
      </c>
      <c r="K358" s="4" t="str">
        <f t="shared" si="131"/>
        <v/>
      </c>
      <c r="L358" s="4" t="str">
        <f t="shared" si="132"/>
        <v>RPLPARALAALGWLLALLLALPPAFVV</v>
      </c>
      <c r="M358" s="4" t="str">
        <f t="shared" si="133"/>
        <v>CHG</v>
      </c>
      <c r="N358" s="4" t="str">
        <f t="shared" si="134"/>
        <v>RWHLQVYAFYEAVAGFVAPVTVLGVACGHLLSVWWRHRPQAPA</v>
      </c>
      <c r="O358" s="4" t="str">
        <f t="shared" si="135"/>
        <v>PAPSALPRAKVQSLKMSLLLALLFVGCELPYFAARLAAAWS</v>
      </c>
      <c r="P358" s="4" t="str">
        <f t="shared" si="136"/>
        <v>DWEGEGLSAALRVVAMANSALNPFVYLFF</v>
      </c>
      <c r="Q358" s="4" t="str">
        <f t="shared" si="137"/>
        <v>QAGDCRLRRQLR</v>
      </c>
      <c r="R358" s="5">
        <f>VLOOKUP($A358,'SegEnds_NonXtal_Prot#'!$A:$AL,3,FALSE)</f>
        <v>41</v>
      </c>
      <c r="S358" s="5" t="str">
        <f>VLOOKUP($A358,'SegEnds_NonXtal_Prot#'!$A:$AL,6,FALSE)</f>
        <v>-</v>
      </c>
      <c r="T358" s="5">
        <f>VLOOKUP($A358,'SegEnds_NonXtal_Prot#'!$A:$AL,9,FALSE)</f>
        <v>80</v>
      </c>
      <c r="U358" s="5" t="str">
        <f>VLOOKUP($A358,'SegEnds_NonXtal_Prot#'!$A:$AL,12,FALSE)</f>
        <v>-</v>
      </c>
      <c r="V358" s="5">
        <f>VLOOKUP($A358,'SegEnds_NonXtal_Prot#'!$A:$AL,15,FALSE)</f>
        <v>115</v>
      </c>
      <c r="W358" s="5" t="str">
        <f>VLOOKUP($A358,'SegEnds_NonXtal_Prot#'!$A:$AL,18,FALSE)</f>
        <v>-</v>
      </c>
      <c r="X358" s="5">
        <f>VLOOKUP($A358,'SegEnds_NonXtal_Prot#'!$A:$AL,21,FALSE)</f>
        <v>157</v>
      </c>
      <c r="Y358" s="5">
        <f>VLOOKUP($A358,'SegEnds_NonXtal_Prot#'!$A:$AL,24,FALSE)</f>
        <v>217</v>
      </c>
      <c r="Z358" s="5">
        <f>VLOOKUP($A358,'SegEnds_NonXtal_Prot#'!$A:$AL,27,FALSE)</f>
        <v>226</v>
      </c>
      <c r="AA358" s="5">
        <f>VLOOKUP($A358,'SegEnds_NonXtal_Prot#'!$A:$AL,30,FALSE)</f>
        <v>281</v>
      </c>
      <c r="AB358" s="5">
        <f>VLOOKUP($A358,'SegEnds_NonXtal_Prot#'!$A:$AL,33,FALSE)</f>
        <v>327</v>
      </c>
      <c r="AC358" s="5">
        <f>VLOOKUP($A358,'SegEnds_NonXtal_Prot#'!$A:$AL,36,FALSE)</f>
        <v>356</v>
      </c>
      <c r="AD358" s="5">
        <f>VLOOKUP($A358,'SegEnds_NonXtal_Prot#'!$A:$AL,5,FALSE)</f>
        <v>70</v>
      </c>
      <c r="AE358" s="5" t="str">
        <f>VLOOKUP($A358,'SegEnds_NonXtal_Prot#'!$A:$AL,8,FALSE)</f>
        <v>-</v>
      </c>
      <c r="AF358" s="5">
        <f>VLOOKUP($A358,'SegEnds_NonXtal_Prot#'!$A:$AL,11,FALSE)</f>
        <v>110</v>
      </c>
      <c r="AG358" s="5" t="str">
        <f>VLOOKUP($A358,'SegEnds_NonXtal_Prot#'!$A:$AL,14,FALSE)</f>
        <v>-</v>
      </c>
      <c r="AH358" s="5">
        <f>VLOOKUP($A358,'SegEnds_NonXtal_Prot#'!$A:$AL,17,FALSE)</f>
        <v>153</v>
      </c>
      <c r="AI358" s="5" t="str">
        <f>VLOOKUP($A358,'SegEnds_NonXtal_Prot#'!$A:$AL,20,FALSE)</f>
        <v>-</v>
      </c>
      <c r="AJ358" s="5">
        <f>VLOOKUP($A358,'SegEnds_NonXtal_Prot#'!$A:$AL,23,FALSE)</f>
        <v>183</v>
      </c>
      <c r="AK358" s="5">
        <f>VLOOKUP($A358,'SegEnds_NonXtal_Prot#'!$A:$AL,26,FALSE)</f>
        <v>219</v>
      </c>
      <c r="AL358" s="5">
        <f>VLOOKUP($A358,'SegEnds_NonXtal_Prot#'!$A:$AL,29,FALSE)</f>
        <v>268</v>
      </c>
      <c r="AM358" s="5">
        <f>VLOOKUP($A358,'SegEnds_NonXtal_Prot#'!$A:$AL,32,FALSE)</f>
        <v>321</v>
      </c>
      <c r="AN358" s="5">
        <f>VLOOKUP($A358,'SegEnds_NonXtal_Prot#'!$A:$AL,35,FALSE)</f>
        <v>355</v>
      </c>
      <c r="AO358" s="5">
        <f>VLOOKUP($A358,'SegEnds_NonXtal_Prot#'!$A:$AL,38,FALSE)</f>
        <v>367</v>
      </c>
      <c r="AP358" s="5">
        <f t="shared" si="138"/>
        <v>29</v>
      </c>
      <c r="AQ358" s="4" t="str">
        <f t="shared" si="139"/>
        <v>-</v>
      </c>
      <c r="AR358" s="4">
        <f t="shared" si="140"/>
        <v>30</v>
      </c>
      <c r="AS358" s="4" t="str">
        <f t="shared" si="141"/>
        <v>-</v>
      </c>
      <c r="AT358" s="4">
        <f t="shared" si="142"/>
        <v>38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42</v>
      </c>
      <c r="AY358" s="4">
        <f t="shared" si="147"/>
        <v>40</v>
      </c>
      <c r="AZ358" s="4">
        <f t="shared" si="148"/>
        <v>28</v>
      </c>
      <c r="BA358" s="4">
        <f t="shared" si="149"/>
        <v>11</v>
      </c>
    </row>
    <row r="359" spans="1:53" x14ac:dyDescent="0.2">
      <c r="A359" s="1" t="str">
        <f>'SegEnds_NonXtal_Prot#'!A353</f>
        <v>gp156_human</v>
      </c>
      <c r="B359" s="1" t="str">
        <f t="shared" si="125"/>
        <v>VLLGIVWTFLSCGLLLILFFLAFTIHCSPNLNIVTLLGSCLTYSSAYLFGETLIQTRLSMLCIGTSLVFGPILGKSWRLYKVFKDLQLLGLVAALLMADVILLMTWVLTDDVWIALIWGCKGLLLLYGAYLAGLTSLTIMVGVNLLVLAAGLLFVVTRYLVFGLTSGGIFVCTTTINCFIFIPQLKQWKAFEEENQTIRRMAK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9" s="5" t="str">
        <f t="shared" si="126"/>
        <v>VLLGIVWTFLSCGLLLILFFLAFTIHC</v>
      </c>
      <c r="G359" s="4" t="str">
        <f t="shared" si="127"/>
        <v>NRIVKMS</v>
      </c>
      <c r="H359" s="4" t="str">
        <f t="shared" si="128"/>
        <v>SPNLNIVTLLGSCLTYSSAYLFG</v>
      </c>
      <c r="I359" s="4" t="str">
        <f t="shared" si="129"/>
        <v/>
      </c>
      <c r="J359" s="4" t="str">
        <f t="shared" si="130"/>
        <v>ETLIQTRLSMLCIGTSLVFGPILGKSWRLYKVF</v>
      </c>
      <c r="K359" s="4" t="str">
        <f t="shared" si="131"/>
        <v/>
      </c>
      <c r="L359" s="4" t="str">
        <f t="shared" si="132"/>
        <v>KDLQLLGLVAALLMADVILLMTWVLTD</v>
      </c>
      <c r="M359" s="4" t="str">
        <f t="shared" si="133"/>
        <v/>
      </c>
      <c r="N359" s="4" t="str">
        <f t="shared" si="134"/>
        <v>DVWIALIWGCKGLLLLYGAYLAGLT</v>
      </c>
      <c r="O359" s="4" t="str">
        <f t="shared" si="135"/>
        <v>SLTIMVGVNLLVLAAGLLFVVTRYL</v>
      </c>
      <c r="P359" s="4" t="str">
        <f t="shared" si="136"/>
        <v>VFGLTSGGIFVCTTTINCFIFIPQLKQWKA</v>
      </c>
      <c r="Q359" s="4" t="str">
        <f t="shared" si="137"/>
        <v>FEEENQTIRRMAK</v>
      </c>
      <c r="R359" s="5">
        <f>VLOOKUP($A359,'SegEnds_NonXtal_Prot#'!$A:$AL,3,FALSE)</f>
        <v>48</v>
      </c>
      <c r="S359" s="5">
        <f>VLOOKUP($A359,'SegEnds_NonXtal_Prot#'!$A:$AL,6,FALSE)</f>
        <v>77</v>
      </c>
      <c r="T359" s="5">
        <f>VLOOKUP($A359,'SegEnds_NonXtal_Prot#'!$A:$AL,9,FALSE)</f>
        <v>84</v>
      </c>
      <c r="U359" s="5" t="str">
        <f>VLOOKUP($A359,'SegEnds_NonXtal_Prot#'!$A:$AL,12,FALSE)</f>
        <v>-</v>
      </c>
      <c r="V359" s="5">
        <f>VLOOKUP($A359,'SegEnds_NonXtal_Prot#'!$A:$AL,15,FALSE)</f>
        <v>117</v>
      </c>
      <c r="W359" s="5" t="str">
        <f>VLOOKUP($A359,'SegEnds_NonXtal_Prot#'!$A:$AL,18,FALSE)</f>
        <v>-</v>
      </c>
      <c r="X359" s="5">
        <f>VLOOKUP($A359,'SegEnds_NonXtal_Prot#'!$A:$AL,21,FALSE)</f>
        <v>161</v>
      </c>
      <c r="Y359" s="5" t="str">
        <f>VLOOKUP($A359,'SegEnds_NonXtal_Prot#'!$A:$AL,24,FALSE)</f>
        <v>-</v>
      </c>
      <c r="Z359" s="5">
        <f>VLOOKUP($A359,'SegEnds_NonXtal_Prot#'!$A:$AL,27,FALSE)</f>
        <v>222</v>
      </c>
      <c r="AA359" s="5">
        <f>VLOOKUP($A359,'SegEnds_NonXtal_Prot#'!$A:$AL,30,FALSE)</f>
        <v>257</v>
      </c>
      <c r="AB359" s="5">
        <f>VLOOKUP($A359,'SegEnds_NonXtal_Prot#'!$A:$AL,33,FALSE)</f>
        <v>288</v>
      </c>
      <c r="AC359" s="5">
        <f>VLOOKUP($A359,'SegEnds_NonXtal_Prot#'!$A:$AL,36,FALSE)</f>
        <v>318</v>
      </c>
      <c r="AD359" s="5">
        <f>VLOOKUP($A359,'SegEnds_NonXtal_Prot#'!$A:$AL,5,FALSE)</f>
        <v>74</v>
      </c>
      <c r="AE359" s="5">
        <f>VLOOKUP($A359,'SegEnds_NonXtal_Prot#'!$A:$AL,8,FALSE)</f>
        <v>83</v>
      </c>
      <c r="AF359" s="5">
        <f>VLOOKUP($A359,'SegEnds_NonXtal_Prot#'!$A:$AL,11,FALSE)</f>
        <v>106</v>
      </c>
      <c r="AG359" s="5" t="str">
        <f>VLOOKUP($A359,'SegEnds_NonXtal_Prot#'!$A:$AL,14,FALSE)</f>
        <v>-</v>
      </c>
      <c r="AH359" s="5">
        <f>VLOOKUP($A359,'SegEnds_NonXtal_Prot#'!$A:$AL,17,FALSE)</f>
        <v>149</v>
      </c>
      <c r="AI359" s="5" t="str">
        <f>VLOOKUP($A359,'SegEnds_NonXtal_Prot#'!$A:$AL,20,FALSE)</f>
        <v>-</v>
      </c>
      <c r="AJ359" s="5">
        <f>VLOOKUP($A359,'SegEnds_NonXtal_Prot#'!$A:$AL,23,FALSE)</f>
        <v>187</v>
      </c>
      <c r="AK359" s="5" t="str">
        <f>VLOOKUP($A359,'SegEnds_NonXtal_Prot#'!$A:$AL,26,FALSE)</f>
        <v>-</v>
      </c>
      <c r="AL359" s="5">
        <f>VLOOKUP($A359,'SegEnds_NonXtal_Prot#'!$A:$AL,29,FALSE)</f>
        <v>246</v>
      </c>
      <c r="AM359" s="5">
        <f>VLOOKUP($A359,'SegEnds_NonXtal_Prot#'!$A:$AL,32,FALSE)</f>
        <v>281</v>
      </c>
      <c r="AN359" s="5">
        <f>VLOOKUP($A359,'SegEnds_NonXtal_Prot#'!$A:$AL,35,FALSE)</f>
        <v>317</v>
      </c>
      <c r="AO359" s="5">
        <f>VLOOKUP($A359,'SegEnds_NonXtal_Prot#'!$A:$AL,38,FALSE)</f>
        <v>330</v>
      </c>
      <c r="AP359" s="5">
        <f t="shared" si="138"/>
        <v>26</v>
      </c>
      <c r="AQ359" s="4">
        <f t="shared" si="139"/>
        <v>6</v>
      </c>
      <c r="AR359" s="4">
        <f t="shared" si="140"/>
        <v>22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 t="str">
        <f t="shared" si="145"/>
        <v>-</v>
      </c>
      <c r="AX359" s="4">
        <f t="shared" si="146"/>
        <v>24</v>
      </c>
      <c r="AY359" s="4">
        <f t="shared" si="147"/>
        <v>24</v>
      </c>
      <c r="AZ359" s="4">
        <f t="shared" si="148"/>
        <v>29</v>
      </c>
      <c r="BA359" s="4">
        <f t="shared" si="149"/>
        <v>12</v>
      </c>
    </row>
    <row r="360" spans="1:53" x14ac:dyDescent="0.2">
      <c r="A360" s="1" t="str">
        <f>'SegEnds_NonXtal_Prot#'!A354</f>
        <v>gp157_human</v>
      </c>
      <c r="B360" s="1" t="str">
        <f t="shared" si="125"/>
        <v>VPSERAVVLLSCALSALGSGLLVATHALWARRLLLFLSLADLLSAASYFYGVLQWDCVLQGALSTFANTSSFFWTVAIALYLYLSIVRHVVSWGVPLVITVAAVALKKIGYDASVGWCWIDLEAKDHVLWMLLTGKLSQEHRLLRHSSMADKKLVLIPLIFVVLHGIGNTFQGGANCIMFVLCVRTRLFSLCCCCCSSQ</v>
      </c>
      <c r="C360" s="29" t="str">
        <f>IF(ISERROR(MATCH(A360,'SegEnds_Xtal_Prot#'!B:B, 0)), "NoXtal", "Xtal")</f>
        <v>NoXtal</v>
      </c>
      <c r="D360" s="4" t="str">
        <f>VLOOKUP(A360,Classification!A:D,2,FALSE)</f>
        <v>O</v>
      </c>
      <c r="E360" s="5" t="str">
        <f>VLOOKUP(A360,Seqs!A:B,2,FALSE)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60" s="5" t="str">
        <f t="shared" si="126"/>
        <v>VPSERAVVLLSCALSALGSGLLVATHALW</v>
      </c>
      <c r="G360" s="4" t="str">
        <f t="shared" si="127"/>
        <v/>
      </c>
      <c r="H360" s="4" t="str">
        <f t="shared" si="128"/>
        <v>ARRLLLFLSLADLLSAASYFYGVLQ</v>
      </c>
      <c r="I360" s="4" t="str">
        <f t="shared" si="129"/>
        <v/>
      </c>
      <c r="J360" s="4" t="str">
        <f t="shared" si="130"/>
        <v>WDCVLQGALSTFANTSSFFWTVAIALYLYLSIVR</v>
      </c>
      <c r="K360" s="4" t="str">
        <f t="shared" si="131"/>
        <v/>
      </c>
      <c r="L360" s="4" t="str">
        <f t="shared" si="132"/>
        <v>HVVSWGVPLVITVAAVALKKIGYDA</v>
      </c>
      <c r="M360" s="4" t="str">
        <f t="shared" si="133"/>
        <v/>
      </c>
      <c r="N360" s="4" t="str">
        <f t="shared" si="134"/>
        <v>SVGWCWIDLEAKDHVLWMLLTGK</v>
      </c>
      <c r="O360" s="4" t="str">
        <f t="shared" si="135"/>
        <v>LSQEHRLLRHSSMADKKLVLIPLIF</v>
      </c>
      <c r="P360" s="4" t="str">
        <f t="shared" si="136"/>
        <v>VVLHGIGNTFQGGANCIMFVLC</v>
      </c>
      <c r="Q360" s="4" t="str">
        <f t="shared" si="137"/>
        <v>VRTRLFSLCCCCCSSQ</v>
      </c>
      <c r="R360" s="5">
        <f>VLOOKUP($A360,'SegEnds_NonXtal_Prot#'!$A:$AL,3,FALSE)</f>
        <v>11</v>
      </c>
      <c r="S360" s="5" t="str">
        <f>VLOOKUP($A360,'SegEnds_NonXtal_Prot#'!$A:$AL,6,FALSE)</f>
        <v>-</v>
      </c>
      <c r="T360" s="5">
        <f>VLOOKUP($A360,'SegEnds_NonXtal_Prot#'!$A:$AL,9,FALSE)</f>
        <v>46</v>
      </c>
      <c r="U360" s="5" t="str">
        <f>VLOOKUP($A360,'SegEnds_NonXtal_Prot#'!$A:$AL,12,FALSE)</f>
        <v>-</v>
      </c>
      <c r="V360" s="5">
        <f>VLOOKUP($A360,'SegEnds_NonXtal_Prot#'!$A:$AL,15,FALSE)</f>
        <v>77</v>
      </c>
      <c r="W360" s="5" t="str">
        <f>VLOOKUP($A360,'SegEnds_NonXtal_Prot#'!$A:$AL,18,FALSE)</f>
        <v>-</v>
      </c>
      <c r="X360" s="5">
        <f>VLOOKUP($A360,'SegEnds_NonXtal_Prot#'!$A:$AL,21,FALSE)</f>
        <v>125</v>
      </c>
      <c r="Y360" s="5" t="str">
        <f>VLOOKUP($A360,'SegEnds_NonXtal_Prot#'!$A:$AL,24,FALSE)</f>
        <v>-</v>
      </c>
      <c r="Z360" s="5">
        <f>VLOOKUP($A360,'SegEnds_NonXtal_Prot#'!$A:$AL,27,FALSE)</f>
        <v>153</v>
      </c>
      <c r="AA360" s="5">
        <f>VLOOKUP($A360,'SegEnds_NonXtal_Prot#'!$A:$AL,30,FALSE)</f>
        <v>210</v>
      </c>
      <c r="AB360" s="5">
        <f>VLOOKUP($A360,'SegEnds_NonXtal_Prot#'!$A:$AL,33,FALSE)</f>
        <v>261</v>
      </c>
      <c r="AC360" s="5">
        <f>VLOOKUP($A360,'SegEnds_NonXtal_Prot#'!$A:$AL,36,FALSE)</f>
        <v>286</v>
      </c>
      <c r="AD360" s="5">
        <f>VLOOKUP($A360,'SegEnds_NonXtal_Prot#'!$A:$AL,5,FALSE)</f>
        <v>39</v>
      </c>
      <c r="AE360" s="5" t="str">
        <f>VLOOKUP($A360,'SegEnds_NonXtal_Prot#'!$A:$AL,8,FALSE)</f>
        <v>-</v>
      </c>
      <c r="AF360" s="5">
        <f>VLOOKUP($A360,'SegEnds_NonXtal_Prot#'!$A:$AL,11,FALSE)</f>
        <v>70</v>
      </c>
      <c r="AG360" s="5" t="str">
        <f>VLOOKUP($A360,'SegEnds_NonXtal_Prot#'!$A:$AL,14,FALSE)</f>
        <v>-</v>
      </c>
      <c r="AH360" s="5">
        <f>VLOOKUP($A360,'SegEnds_NonXtal_Prot#'!$A:$AL,17,FALSE)</f>
        <v>110</v>
      </c>
      <c r="AI360" s="5" t="str">
        <f>VLOOKUP($A360,'SegEnds_NonXtal_Prot#'!$A:$AL,20,FALSE)</f>
        <v>-</v>
      </c>
      <c r="AJ360" s="5">
        <f>VLOOKUP($A360,'SegEnds_NonXtal_Prot#'!$A:$AL,23,FALSE)</f>
        <v>149</v>
      </c>
      <c r="AK360" s="5" t="str">
        <f>VLOOKUP($A360,'SegEnds_NonXtal_Prot#'!$A:$AL,26,FALSE)</f>
        <v>-</v>
      </c>
      <c r="AL360" s="5">
        <f>VLOOKUP($A360,'SegEnds_NonXtal_Prot#'!$A:$AL,29,FALSE)</f>
        <v>175</v>
      </c>
      <c r="AM360" s="5">
        <f>VLOOKUP($A360,'SegEnds_NonXtal_Prot#'!$A:$AL,32,FALSE)</f>
        <v>234</v>
      </c>
      <c r="AN360" s="5">
        <f>VLOOKUP($A360,'SegEnds_NonXtal_Prot#'!$A:$AL,35,FALSE)</f>
        <v>282</v>
      </c>
      <c r="AO360" s="5">
        <f>VLOOKUP($A360,'SegEnds_NonXtal_Prot#'!$A:$AL,38,FALSE)</f>
        <v>301</v>
      </c>
      <c r="AP360" s="5">
        <f t="shared" si="138"/>
        <v>28</v>
      </c>
      <c r="AQ360" s="4" t="str">
        <f t="shared" si="139"/>
        <v>-</v>
      </c>
      <c r="AR360" s="4">
        <f t="shared" si="140"/>
        <v>24</v>
      </c>
      <c r="AS360" s="4" t="str">
        <f t="shared" si="141"/>
        <v>-</v>
      </c>
      <c r="AT360" s="4">
        <f t="shared" si="142"/>
        <v>33</v>
      </c>
      <c r="AU360" s="4" t="str">
        <f t="shared" si="143"/>
        <v>-</v>
      </c>
      <c r="AV360" s="4">
        <f t="shared" si="144"/>
        <v>24</v>
      </c>
      <c r="AW360" s="4" t="str">
        <f t="shared" si="145"/>
        <v>-</v>
      </c>
      <c r="AX360" s="4">
        <f t="shared" si="146"/>
        <v>22</v>
      </c>
      <c r="AY360" s="4">
        <f t="shared" si="147"/>
        <v>24</v>
      </c>
      <c r="AZ360" s="4">
        <f t="shared" si="148"/>
        <v>21</v>
      </c>
      <c r="BA360" s="4">
        <f t="shared" si="149"/>
        <v>15</v>
      </c>
    </row>
    <row r="361" spans="1:53" x14ac:dyDescent="0.2">
      <c r="A361" s="1" t="str">
        <f>'SegEnds_NonXtal_Prot#'!A356</f>
        <v>gp160_human</v>
      </c>
      <c r="B361" s="1" t="str">
        <f t="shared" si="125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361" s="29" t="str">
        <f>IF(ISERROR(MATCH(A361,'SegEnds_Xtal_Prot#'!B:B, 0)), "NoXtal", "Xtal")</f>
        <v>NoXtal</v>
      </c>
      <c r="D361" s="4" t="str">
        <f>VLOOKUP(A361,Classification!A:D,2,FALSE)</f>
        <v>A</v>
      </c>
      <c r="E361" s="5" t="str">
        <f>VLOOKUP(A361,Seqs!A:B,2,FALSE)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361" s="5" t="str">
        <f t="shared" si="126"/>
        <v>TNQPLDVNYLLFLIILGKILLNILTLGMRRKN</v>
      </c>
      <c r="G361" s="4" t="str">
        <f t="shared" si="127"/>
        <v/>
      </c>
      <c r="H361" s="4" t="str">
        <f t="shared" si="128"/>
        <v>NFMEYFCISLAFVDLLLLVNISIILYFRDF</v>
      </c>
      <c r="I361" s="4" t="str">
        <f t="shared" si="129"/>
        <v/>
      </c>
      <c r="J361" s="4" t="str">
        <f t="shared" si="130"/>
        <v>RFTKYHICLFTQIISFTYGFLHYPVFLTACIDYCLNFSK</v>
      </c>
      <c r="K361" s="4" t="str">
        <f t="shared" si="131"/>
        <v/>
      </c>
      <c r="L361" s="4" t="str">
        <f t="shared" si="132"/>
        <v>QKLFYFFTVILIWISVLAYVLGDPAI</v>
      </c>
      <c r="M361" s="4" t="str">
        <f t="shared" si="133"/>
        <v>CPF</v>
      </c>
      <c r="N361" s="4" t="str">
        <f t="shared" si="134"/>
        <v>QSYWLSFFMVMILFVAFITCWEEVTTLVQAIRITSYMNE</v>
      </c>
      <c r="O361" s="4" t="str">
        <f t="shared" si="135"/>
        <v>SHSSYTVRSKKIFLSKLIVCFLSTWLPFVLLQVIIVLL</v>
      </c>
      <c r="P361" s="4" t="str">
        <f t="shared" si="136"/>
        <v>PAYIEMNIPWLYFVNSFLIATVYWFN</v>
      </c>
      <c r="Q361" s="4" t="str">
        <f t="shared" si="137"/>
        <v>CHKLNLKDIGLPLDP</v>
      </c>
      <c r="R361" s="5">
        <f>VLOOKUP($A361,'SegEnds_NonXtal_Prot#'!$A:$AL,3,FALSE)</f>
        <v>18</v>
      </c>
      <c r="S361" s="5" t="str">
        <f>VLOOKUP($A361,'SegEnds_NonXtal_Prot#'!$A:$AL,6,FALSE)</f>
        <v>-</v>
      </c>
      <c r="T361" s="5">
        <f>VLOOKUP($A361,'SegEnds_NonXtal_Prot#'!$A:$AL,9,FALSE)</f>
        <v>53</v>
      </c>
      <c r="U361" s="5" t="str">
        <f>VLOOKUP($A361,'SegEnds_NonXtal_Prot#'!$A:$AL,12,FALSE)</f>
        <v>-</v>
      </c>
      <c r="V361" s="5">
        <f>VLOOKUP($A361,'SegEnds_NonXtal_Prot#'!$A:$AL,15,FALSE)</f>
        <v>88</v>
      </c>
      <c r="W361" s="5" t="str">
        <f>VLOOKUP($A361,'SegEnds_NonXtal_Prot#'!$A:$AL,18,FALSE)</f>
        <v>-</v>
      </c>
      <c r="X361" s="5">
        <f>VLOOKUP($A361,'SegEnds_NonXtal_Prot#'!$A:$AL,21,FALSE)</f>
        <v>135</v>
      </c>
      <c r="Y361" s="5">
        <f>VLOOKUP($A361,'SegEnds_NonXtal_Prot#'!$A:$AL,24,FALSE)</f>
        <v>174</v>
      </c>
      <c r="Z361" s="5">
        <f>VLOOKUP($A361,'SegEnds_NonXtal_Prot#'!$A:$AL,27,FALSE)</f>
        <v>181</v>
      </c>
      <c r="AA361" s="5">
        <f>VLOOKUP($A361,'SegEnds_NonXtal_Prot#'!$A:$AL,30,FALSE)</f>
        <v>228</v>
      </c>
      <c r="AB361" s="5">
        <f>VLOOKUP($A361,'SegEnds_NonXtal_Prot#'!$A:$AL,33,FALSE)</f>
        <v>270</v>
      </c>
      <c r="AC361" s="5">
        <f>VLOOKUP($A361,'SegEnds_NonXtal_Prot#'!$A:$AL,36,FALSE)</f>
        <v>296</v>
      </c>
      <c r="AD361" s="5">
        <f>VLOOKUP($A361,'SegEnds_NonXtal_Prot#'!$A:$AL,5,FALSE)</f>
        <v>49</v>
      </c>
      <c r="AE361" s="5" t="str">
        <f>VLOOKUP($A361,'SegEnds_NonXtal_Prot#'!$A:$AL,8,FALSE)</f>
        <v>-</v>
      </c>
      <c r="AF361" s="5">
        <f>VLOOKUP($A361,'SegEnds_NonXtal_Prot#'!$A:$AL,11,FALSE)</f>
        <v>82</v>
      </c>
      <c r="AG361" s="5" t="str">
        <f>VLOOKUP($A361,'SegEnds_NonXtal_Prot#'!$A:$AL,14,FALSE)</f>
        <v>-</v>
      </c>
      <c r="AH361" s="5">
        <f>VLOOKUP($A361,'SegEnds_NonXtal_Prot#'!$A:$AL,17,FALSE)</f>
        <v>126</v>
      </c>
      <c r="AI361" s="5" t="str">
        <f>VLOOKUP($A361,'SegEnds_NonXtal_Prot#'!$A:$AL,20,FALSE)</f>
        <v>-</v>
      </c>
      <c r="AJ361" s="5">
        <f>VLOOKUP($A361,'SegEnds_NonXtal_Prot#'!$A:$AL,23,FALSE)</f>
        <v>160</v>
      </c>
      <c r="AK361" s="5">
        <f>VLOOKUP($A361,'SegEnds_NonXtal_Prot#'!$A:$AL,26,FALSE)</f>
        <v>176</v>
      </c>
      <c r="AL361" s="5">
        <f>VLOOKUP($A361,'SegEnds_NonXtal_Prot#'!$A:$AL,29,FALSE)</f>
        <v>219</v>
      </c>
      <c r="AM361" s="5">
        <f>VLOOKUP($A361,'SegEnds_NonXtal_Prot#'!$A:$AL,32,FALSE)</f>
        <v>265</v>
      </c>
      <c r="AN361" s="5">
        <f>VLOOKUP($A361,'SegEnds_NonXtal_Prot#'!$A:$AL,35,FALSE)</f>
        <v>295</v>
      </c>
      <c r="AO361" s="5">
        <f>VLOOKUP($A361,'SegEnds_NonXtal_Prot#'!$A:$AL,38,FALSE)</f>
        <v>310</v>
      </c>
      <c r="AP361" s="5">
        <f t="shared" si="138"/>
        <v>31</v>
      </c>
      <c r="AQ361" s="4" t="str">
        <f t="shared" si="139"/>
        <v>-</v>
      </c>
      <c r="AR361" s="4">
        <f t="shared" si="140"/>
        <v>29</v>
      </c>
      <c r="AS361" s="4" t="str">
        <f t="shared" si="141"/>
        <v>-</v>
      </c>
      <c r="AT361" s="4">
        <f t="shared" si="142"/>
        <v>38</v>
      </c>
      <c r="AU361" s="4" t="str">
        <f t="shared" si="143"/>
        <v>-</v>
      </c>
      <c r="AV361" s="4">
        <f t="shared" si="144"/>
        <v>25</v>
      </c>
      <c r="AW361" s="4">
        <f t="shared" si="145"/>
        <v>2</v>
      </c>
      <c r="AX361" s="4">
        <f t="shared" si="146"/>
        <v>38</v>
      </c>
      <c r="AY361" s="4">
        <f t="shared" si="147"/>
        <v>37</v>
      </c>
      <c r="AZ361" s="4">
        <f t="shared" si="148"/>
        <v>25</v>
      </c>
      <c r="BA361" s="4">
        <f t="shared" si="149"/>
        <v>14</v>
      </c>
    </row>
    <row r="362" spans="1:53" x14ac:dyDescent="0.2">
      <c r="A362" s="1" t="str">
        <f>'SegEnds_NonXtal_Prot#'!A357</f>
        <v>gp176_human</v>
      </c>
      <c r="B362" s="1" t="str">
        <f t="shared" si="125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362" s="29" t="str">
        <f>IF(ISERROR(MATCH(A362,'SegEnds_Xtal_Prot#'!B:B, 0)), "NoXtal", "Xtal")</f>
        <v>NoXtal</v>
      </c>
      <c r="D362" s="4" t="str">
        <f>VLOOKUP(A362,Classification!A:D,2,FALSE)</f>
        <v>A</v>
      </c>
      <c r="E362" s="5" t="str">
        <f>VLOOKUP(A362,Seqs!A:B,2,FALSE)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362" s="5" t="str">
        <f t="shared" si="126"/>
        <v>RQFTTTVQVVIFIGSLLGNFMVLWSTCRT</v>
      </c>
      <c r="G362" s="4" t="str">
        <f t="shared" si="127"/>
        <v>TVFK</v>
      </c>
      <c r="H362" s="4" t="str">
        <f t="shared" si="128"/>
        <v>SVTNRFIKNLACSGICASLVCVPFDIILSTS</v>
      </c>
      <c r="I362" s="4" t="str">
        <f t="shared" si="129"/>
        <v>CWWI</v>
      </c>
      <c r="J362" s="4" t="str">
        <f t="shared" si="130"/>
        <v>YTMLFCKVVKFLHKVFCSVTILSFPAIALDRYYSVLY</v>
      </c>
      <c r="K362" s="4" t="str">
        <f t="shared" si="131"/>
        <v/>
      </c>
      <c r="L362" s="4" t="str">
        <f t="shared" si="132"/>
        <v>SDAKSRELVMYIWAHAVVASVPVFAVT</v>
      </c>
      <c r="M362" s="4" t="str">
        <f t="shared" si="133"/>
        <v>CTE</v>
      </c>
      <c r="N362" s="4" t="str">
        <f t="shared" si="134"/>
        <v>SLGHLVYVLVYNITTVIVPVVVVFLFLILIRRALSASQKKKVI</v>
      </c>
      <c r="O362" s="4" t="str">
        <f t="shared" si="135"/>
        <v>ISIPYASQREAELHATLLSMVMVFILCSVPYATLVVYQTVL</v>
      </c>
      <c r="P362" s="4" t="str">
        <f t="shared" si="136"/>
        <v>SVFLLLTAVWLPKVSLLANPVLFLTV</v>
      </c>
      <c r="Q362" s="4" t="str">
        <f t="shared" si="137"/>
        <v>NKSVRKCLIGTL</v>
      </c>
      <c r="R362" s="5">
        <f>VLOOKUP($A362,'SegEnds_NonXtal_Prot#'!$A:$AL,3,FALSE)</f>
        <v>41</v>
      </c>
      <c r="S362" s="5">
        <f>VLOOKUP($A362,'SegEnds_NonXtal_Prot#'!$A:$AL,6,FALSE)</f>
        <v>70</v>
      </c>
      <c r="T362" s="5">
        <f>VLOOKUP($A362,'SegEnds_NonXtal_Prot#'!$A:$AL,9,FALSE)</f>
        <v>74</v>
      </c>
      <c r="U362" s="5">
        <f>VLOOKUP($A362,'SegEnds_NonXtal_Prot#'!$A:$AL,12,FALSE)</f>
        <v>108</v>
      </c>
      <c r="V362" s="5">
        <f>VLOOKUP($A362,'SegEnds_NonXtal_Prot#'!$A:$AL,15,FALSE)</f>
        <v>112</v>
      </c>
      <c r="W362" s="5" t="str">
        <f>VLOOKUP($A362,'SegEnds_NonXtal_Prot#'!$A:$AL,18,FALSE)</f>
        <v>-</v>
      </c>
      <c r="X362" s="5">
        <f>VLOOKUP($A362,'SegEnds_NonXtal_Prot#'!$A:$AL,21,FALSE)</f>
        <v>155</v>
      </c>
      <c r="Y362" s="5">
        <f>VLOOKUP($A362,'SegEnds_NonXtal_Prot#'!$A:$AL,24,FALSE)</f>
        <v>192</v>
      </c>
      <c r="Z362" s="5">
        <f>VLOOKUP($A362,'SegEnds_NonXtal_Prot#'!$A:$AL,27,FALSE)</f>
        <v>199</v>
      </c>
      <c r="AA362" s="5">
        <f>VLOOKUP($A362,'SegEnds_NonXtal_Prot#'!$A:$AL,30,FALSE)</f>
        <v>252</v>
      </c>
      <c r="AB362" s="5">
        <f>VLOOKUP($A362,'SegEnds_NonXtal_Prot#'!$A:$AL,33,FALSE)</f>
        <v>298</v>
      </c>
      <c r="AC362" s="5">
        <f>VLOOKUP($A362,'SegEnds_NonXtal_Prot#'!$A:$AL,36,FALSE)</f>
        <v>324</v>
      </c>
      <c r="AD362" s="5">
        <f>VLOOKUP($A362,'SegEnds_NonXtal_Prot#'!$A:$AL,5,FALSE)</f>
        <v>69</v>
      </c>
      <c r="AE362" s="5">
        <f>VLOOKUP($A362,'SegEnds_NonXtal_Prot#'!$A:$AL,8,FALSE)</f>
        <v>73</v>
      </c>
      <c r="AF362" s="5">
        <f>VLOOKUP($A362,'SegEnds_NonXtal_Prot#'!$A:$AL,11,FALSE)</f>
        <v>104</v>
      </c>
      <c r="AG362" s="5">
        <f>VLOOKUP($A362,'SegEnds_NonXtal_Prot#'!$A:$AL,14,FALSE)</f>
        <v>111</v>
      </c>
      <c r="AH362" s="5">
        <f>VLOOKUP($A362,'SegEnds_NonXtal_Prot#'!$A:$AL,17,FALSE)</f>
        <v>148</v>
      </c>
      <c r="AI362" s="5" t="str">
        <f>VLOOKUP($A362,'SegEnds_NonXtal_Prot#'!$A:$AL,20,FALSE)</f>
        <v>-</v>
      </c>
      <c r="AJ362" s="5">
        <f>VLOOKUP($A362,'SegEnds_NonXtal_Prot#'!$A:$AL,23,FALSE)</f>
        <v>181</v>
      </c>
      <c r="AK362" s="5">
        <f>VLOOKUP($A362,'SegEnds_NonXtal_Prot#'!$A:$AL,26,FALSE)</f>
        <v>194</v>
      </c>
      <c r="AL362" s="5">
        <f>VLOOKUP($A362,'SegEnds_NonXtal_Prot#'!$A:$AL,29,FALSE)</f>
        <v>241</v>
      </c>
      <c r="AM362" s="5">
        <f>VLOOKUP($A362,'SegEnds_NonXtal_Prot#'!$A:$AL,32,FALSE)</f>
        <v>292</v>
      </c>
      <c r="AN362" s="5">
        <f>VLOOKUP($A362,'SegEnds_NonXtal_Prot#'!$A:$AL,35,FALSE)</f>
        <v>323</v>
      </c>
      <c r="AO362" s="5">
        <f>VLOOKUP($A362,'SegEnds_NonXtal_Prot#'!$A:$AL,38,FALSE)</f>
        <v>335</v>
      </c>
      <c r="AP362" s="5">
        <f t="shared" si="138"/>
        <v>28</v>
      </c>
      <c r="AQ362" s="4">
        <f t="shared" si="139"/>
        <v>3</v>
      </c>
      <c r="AR362" s="4">
        <f t="shared" si="140"/>
        <v>30</v>
      </c>
      <c r="AS362" s="4">
        <f t="shared" si="141"/>
        <v>3</v>
      </c>
      <c r="AT362" s="4">
        <f t="shared" si="142"/>
        <v>36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42</v>
      </c>
      <c r="AY362" s="4">
        <f t="shared" si="147"/>
        <v>40</v>
      </c>
      <c r="AZ362" s="4">
        <f t="shared" si="148"/>
        <v>25</v>
      </c>
      <c r="BA362" s="4">
        <f t="shared" si="149"/>
        <v>11</v>
      </c>
    </row>
    <row r="363" spans="1:53" x14ac:dyDescent="0.2">
      <c r="A363" s="1" t="str">
        <f>'SegEnds_NonXtal_Prot#'!A358</f>
        <v>gp179_human</v>
      </c>
      <c r="B363" s="1" t="str">
        <f t="shared" si="125"/>
        <v>VLRAAVLACQACCMLAIFLSMLVSYRCGVVLLETVLFGFLLLYFPVFILYVFRCIALRWVRLLGFAIVYGTIILKLYRVLQLFSRTAQRSALLSSGRLLRRLGLLLLPVLDRWDYIMVVAELLLLCWGSFLCYATEPRYMGIALHNELLLSAAFHTARFVTLLLFFFHTHSTVTTTLALIFIPKFWKLGAPPREEMVDEVCED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63" s="5" t="str">
        <f t="shared" si="126"/>
        <v>VLRAAVLACQACCMLAIFLSMLVSYRC</v>
      </c>
      <c r="G363" s="4" t="str">
        <f t="shared" si="127"/>
        <v>NKRIWAS</v>
      </c>
      <c r="H363" s="4" t="str">
        <f t="shared" si="128"/>
        <v>GVVLLETVLFGFLLLYFPVFILY</v>
      </c>
      <c r="I363" s="4" t="str">
        <f t="shared" si="129"/>
        <v/>
      </c>
      <c r="J363" s="4" t="str">
        <f t="shared" si="130"/>
        <v>VFRCIALRWVRLLGFAIVYGTIILKLYRVLQLF</v>
      </c>
      <c r="K363" s="4" t="str">
        <f t="shared" si="131"/>
        <v/>
      </c>
      <c r="L363" s="4" t="str">
        <f t="shared" si="132"/>
        <v>SRTAQRSALLSSGRLLRRLGLLLLPVL</v>
      </c>
      <c r="M363" s="4" t="str">
        <f t="shared" si="133"/>
        <v>CHH</v>
      </c>
      <c r="N363" s="4" t="str">
        <f t="shared" si="134"/>
        <v>DRWDYIMVVAELLLLCWGSFLCYAT</v>
      </c>
      <c r="O363" s="4" t="str">
        <f t="shared" si="135"/>
        <v>EPRYMGIALHNELLLSAAFHTARFV</v>
      </c>
      <c r="P363" s="4" t="str">
        <f t="shared" si="136"/>
        <v>TLLLFFFHTHSTVTTTLALIFIPKFWKLGA</v>
      </c>
      <c r="Q363" s="4" t="str">
        <f t="shared" si="137"/>
        <v>PPREEMVDEVCED</v>
      </c>
      <c r="R363" s="5">
        <f>VLOOKUP($A363,'SegEnds_NonXtal_Prot#'!$A:$AL,3,FALSE)</f>
        <v>379</v>
      </c>
      <c r="S363" s="5">
        <f>VLOOKUP($A363,'SegEnds_NonXtal_Prot#'!$A:$AL,6,FALSE)</f>
        <v>408</v>
      </c>
      <c r="T363" s="5">
        <f>VLOOKUP($A363,'SegEnds_NonXtal_Prot#'!$A:$AL,9,FALSE)</f>
        <v>415</v>
      </c>
      <c r="U363" s="5" t="str">
        <f>VLOOKUP($A363,'SegEnds_NonXtal_Prot#'!$A:$AL,12,FALSE)</f>
        <v>-</v>
      </c>
      <c r="V363" s="5">
        <f>VLOOKUP($A363,'SegEnds_NonXtal_Prot#'!$A:$AL,15,FALSE)</f>
        <v>442</v>
      </c>
      <c r="W363" s="5" t="str">
        <f>VLOOKUP($A363,'SegEnds_NonXtal_Prot#'!$A:$AL,18,FALSE)</f>
        <v>-</v>
      </c>
      <c r="X363" s="5">
        <f>VLOOKUP($A363,'SegEnds_NonXtal_Prot#'!$A:$AL,21,FALSE)</f>
        <v>476</v>
      </c>
      <c r="Y363" s="5">
        <f>VLOOKUP($A363,'SegEnds_NonXtal_Prot#'!$A:$AL,24,FALSE)</f>
        <v>537</v>
      </c>
      <c r="Z363" s="5">
        <f>VLOOKUP($A363,'SegEnds_NonXtal_Prot#'!$A:$AL,27,FALSE)</f>
        <v>540</v>
      </c>
      <c r="AA363" s="5">
        <f>VLOOKUP($A363,'SegEnds_NonXtal_Prot#'!$A:$AL,30,FALSE)</f>
        <v>573</v>
      </c>
      <c r="AB363" s="5">
        <f>VLOOKUP($A363,'SegEnds_NonXtal_Prot#'!$A:$AL,33,FALSE)</f>
        <v>607</v>
      </c>
      <c r="AC363" s="5">
        <f>VLOOKUP($A363,'SegEnds_NonXtal_Prot#'!$A:$AL,36,FALSE)</f>
        <v>637</v>
      </c>
      <c r="AD363" s="5">
        <f>VLOOKUP($A363,'SegEnds_NonXtal_Prot#'!$A:$AL,5,FALSE)</f>
        <v>405</v>
      </c>
      <c r="AE363" s="5">
        <f>VLOOKUP($A363,'SegEnds_NonXtal_Prot#'!$A:$AL,8,FALSE)</f>
        <v>414</v>
      </c>
      <c r="AF363" s="5">
        <f>VLOOKUP($A363,'SegEnds_NonXtal_Prot#'!$A:$AL,11,FALSE)</f>
        <v>437</v>
      </c>
      <c r="AG363" s="5" t="str">
        <f>VLOOKUP($A363,'SegEnds_NonXtal_Prot#'!$A:$AL,14,FALSE)</f>
        <v>-</v>
      </c>
      <c r="AH363" s="5">
        <f>VLOOKUP($A363,'SegEnds_NonXtal_Prot#'!$A:$AL,17,FALSE)</f>
        <v>474</v>
      </c>
      <c r="AI363" s="5" t="str">
        <f>VLOOKUP($A363,'SegEnds_NonXtal_Prot#'!$A:$AL,20,FALSE)</f>
        <v>-</v>
      </c>
      <c r="AJ363" s="5">
        <f>VLOOKUP($A363,'SegEnds_NonXtal_Prot#'!$A:$AL,23,FALSE)</f>
        <v>502</v>
      </c>
      <c r="AK363" s="5">
        <f>VLOOKUP($A363,'SegEnds_NonXtal_Prot#'!$A:$AL,26,FALSE)</f>
        <v>539</v>
      </c>
      <c r="AL363" s="5">
        <f>VLOOKUP($A363,'SegEnds_NonXtal_Prot#'!$A:$AL,29,FALSE)</f>
        <v>564</v>
      </c>
      <c r="AM363" s="5">
        <f>VLOOKUP($A363,'SegEnds_NonXtal_Prot#'!$A:$AL,32,FALSE)</f>
        <v>597</v>
      </c>
      <c r="AN363" s="5">
        <f>VLOOKUP($A363,'SegEnds_NonXtal_Prot#'!$A:$AL,35,FALSE)</f>
        <v>636</v>
      </c>
      <c r="AO363" s="5">
        <f>VLOOKUP($A363,'SegEnds_NonXtal_Prot#'!$A:$AL,38,FALSE)</f>
        <v>649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32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24</v>
      </c>
      <c r="AY363" s="4">
        <f t="shared" si="147"/>
        <v>24</v>
      </c>
      <c r="AZ363" s="4">
        <f t="shared" si="148"/>
        <v>29</v>
      </c>
      <c r="BA363" s="4">
        <f t="shared" si="149"/>
        <v>12</v>
      </c>
    </row>
    <row r="364" spans="1:53" x14ac:dyDescent="0.2">
      <c r="A364" s="1" t="str">
        <f>'SegEnds_NonXtal_Prot#'!A359</f>
        <v>gpbar_human</v>
      </c>
      <c r="B364" s="1" t="str">
        <f t="shared" si="125"/>
        <v>PIPKGALGLSLALASLIITANLLLALGIAWDSPPAGCFFLSLLLAGLLTGLALPTLPGLWNQSCLLVYLAPNFSFLSLLANLLLVHGERYMAVLRPPGSIRLALLLTWAGPLLFASLPALGFPAPYLYLEVYGLLLPAVGAAAFLSVRVLATAHRQLQDICEPSALARALTWRQARAQAGAMLLFGLCWGPYVATLLLSVLAPPLGPGTLLSLLSLGSASAAAVPVAMGLGDQRYTAPWRAAAQ</v>
      </c>
      <c r="C364" s="29" t="str">
        <f>IF(ISERROR(MATCH(A364,'SegEnds_Xtal_Prot#'!B:B, 0)), "NoXtal", "Xtal")</f>
        <v>NoXtal</v>
      </c>
      <c r="D364" s="4" t="str">
        <f>VLOOKUP(A364,Classification!A:D,2,FALSE)</f>
        <v>A</v>
      </c>
      <c r="E364" s="5" t="str">
        <f>VLOOKUP(A364,Seqs!A:B,2,FALSE)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364" s="5" t="str">
        <f t="shared" si="126"/>
        <v>PIPKGALGLSLALASLIITANLLLALGIAWD</v>
      </c>
      <c r="G364" s="4" t="str">
        <f t="shared" si="127"/>
        <v>RRLR</v>
      </c>
      <c r="H364" s="4" t="str">
        <f t="shared" si="128"/>
        <v>SPPAGCFFLSLLLAGLLTGLALPTLPGLWNQ</v>
      </c>
      <c r="I364" s="4" t="str">
        <f t="shared" si="129"/>
        <v/>
      </c>
      <c r="J364" s="4" t="str">
        <f t="shared" si="130"/>
        <v>SCLLVYLAPNFSFLSLLANLLLVHGERYMAVLR</v>
      </c>
      <c r="K364" s="4" t="str">
        <f t="shared" si="131"/>
        <v/>
      </c>
      <c r="L364" s="4" t="str">
        <f t="shared" si="132"/>
        <v>PPGSIRLALLLTWAGPLLFASLPALG</v>
      </c>
      <c r="M364" s="4" t="str">
        <f t="shared" si="133"/>
        <v>CSS</v>
      </c>
      <c r="N364" s="4" t="str">
        <f t="shared" si="134"/>
        <v>FPAPYLYLEVYGLLLPAVGAAAFLSVRVLATAHRQLQDIC</v>
      </c>
      <c r="O364" s="4" t="str">
        <f t="shared" si="135"/>
        <v>EPSALARALTWRQARAQAGAMLLFGLCWGPYVATLLLSVLA</v>
      </c>
      <c r="P364" s="4" t="str">
        <f t="shared" si="136"/>
        <v>PPLGPGTLLSLLSLGSASAAAVPVAMGLG</v>
      </c>
      <c r="Q364" s="4" t="str">
        <f t="shared" si="137"/>
        <v>DQRYTAPWRAAAQ</v>
      </c>
      <c r="R364" s="5">
        <f>VLOOKUP($A364,'SegEnds_NonXtal_Prot#'!$A:$AL,3,FALSE)</f>
        <v>12</v>
      </c>
      <c r="S364" s="5">
        <f>VLOOKUP($A364,'SegEnds_NonXtal_Prot#'!$A:$AL,6,FALSE)</f>
        <v>43</v>
      </c>
      <c r="T364" s="5">
        <f>VLOOKUP($A364,'SegEnds_NonXtal_Prot#'!$A:$AL,9,FALSE)</f>
        <v>47</v>
      </c>
      <c r="U364" s="5" t="str">
        <f>VLOOKUP($A364,'SegEnds_NonXtal_Prot#'!$A:$AL,12,FALSE)</f>
        <v>-</v>
      </c>
      <c r="V364" s="5">
        <f>VLOOKUP($A364,'SegEnds_NonXtal_Prot#'!$A:$AL,15,FALSE)</f>
        <v>84</v>
      </c>
      <c r="W364" s="5" t="str">
        <f>VLOOKUP($A364,'SegEnds_NonXtal_Prot#'!$A:$AL,18,FALSE)</f>
        <v>-</v>
      </c>
      <c r="X364" s="5">
        <f>VLOOKUP($A364,'SegEnds_NonXtal_Prot#'!$A:$AL,21,FALSE)</f>
        <v>120</v>
      </c>
      <c r="Y364" s="5">
        <f>VLOOKUP($A364,'SegEnds_NonXtal_Prot#'!$A:$AL,24,FALSE)</f>
        <v>155</v>
      </c>
      <c r="Z364" s="5">
        <f>VLOOKUP($A364,'SegEnds_NonXtal_Prot#'!$A:$AL,27,FALSE)</f>
        <v>161</v>
      </c>
      <c r="AA364" s="5">
        <f>VLOOKUP($A364,'SegEnds_NonXtal_Prot#'!$A:$AL,30,FALSE)</f>
        <v>210</v>
      </c>
      <c r="AB364" s="5">
        <f>VLOOKUP($A364,'SegEnds_NonXtal_Prot#'!$A:$AL,33,FALSE)</f>
        <v>255</v>
      </c>
      <c r="AC364" s="5">
        <f>VLOOKUP($A364,'SegEnds_NonXtal_Prot#'!$A:$AL,36,FALSE)</f>
        <v>284</v>
      </c>
      <c r="AD364" s="5">
        <f>VLOOKUP($A364,'SegEnds_NonXtal_Prot#'!$A:$AL,5,FALSE)</f>
        <v>42</v>
      </c>
      <c r="AE364" s="5">
        <f>VLOOKUP($A364,'SegEnds_NonXtal_Prot#'!$A:$AL,8,FALSE)</f>
        <v>46</v>
      </c>
      <c r="AF364" s="5">
        <f>VLOOKUP($A364,'SegEnds_NonXtal_Prot#'!$A:$AL,11,FALSE)</f>
        <v>77</v>
      </c>
      <c r="AG364" s="5" t="str">
        <f>VLOOKUP($A364,'SegEnds_NonXtal_Prot#'!$A:$AL,14,FALSE)</f>
        <v>-</v>
      </c>
      <c r="AH364" s="5">
        <f>VLOOKUP($A364,'SegEnds_NonXtal_Prot#'!$A:$AL,17,FALSE)</f>
        <v>116</v>
      </c>
      <c r="AI364" s="5" t="str">
        <f>VLOOKUP($A364,'SegEnds_NonXtal_Prot#'!$A:$AL,20,FALSE)</f>
        <v>-</v>
      </c>
      <c r="AJ364" s="5">
        <f>VLOOKUP($A364,'SegEnds_NonXtal_Prot#'!$A:$AL,23,FALSE)</f>
        <v>145</v>
      </c>
      <c r="AK364" s="5">
        <f>VLOOKUP($A364,'SegEnds_NonXtal_Prot#'!$A:$AL,26,FALSE)</f>
        <v>157</v>
      </c>
      <c r="AL364" s="5">
        <f>VLOOKUP($A364,'SegEnds_NonXtal_Prot#'!$A:$AL,29,FALSE)</f>
        <v>200</v>
      </c>
      <c r="AM364" s="5">
        <f>VLOOKUP($A364,'SegEnds_NonXtal_Prot#'!$A:$AL,32,FALSE)</f>
        <v>250</v>
      </c>
      <c r="AN364" s="5">
        <f>VLOOKUP($A364,'SegEnds_NonXtal_Prot#'!$A:$AL,35,FALSE)</f>
        <v>283</v>
      </c>
      <c r="AO364" s="5">
        <f>VLOOKUP($A364,'SegEnds_NonXtal_Prot#'!$A:$AL,38,FALSE)</f>
        <v>296</v>
      </c>
      <c r="AP364" s="5">
        <f t="shared" si="138"/>
        <v>30</v>
      </c>
      <c r="AQ364" s="4">
        <f t="shared" si="139"/>
        <v>3</v>
      </c>
      <c r="AR364" s="4">
        <f t="shared" si="140"/>
        <v>30</v>
      </c>
      <c r="AS364" s="4" t="str">
        <f t="shared" si="141"/>
        <v>-</v>
      </c>
      <c r="AT364" s="4">
        <f t="shared" si="142"/>
        <v>32</v>
      </c>
      <c r="AU364" s="4" t="str">
        <f t="shared" si="143"/>
        <v>-</v>
      </c>
      <c r="AV364" s="4">
        <f t="shared" si="144"/>
        <v>25</v>
      </c>
      <c r="AW364" s="4">
        <f t="shared" si="145"/>
        <v>2</v>
      </c>
      <c r="AX364" s="4">
        <f t="shared" si="146"/>
        <v>39</v>
      </c>
      <c r="AY364" s="4">
        <f t="shared" si="147"/>
        <v>40</v>
      </c>
      <c r="AZ364" s="4">
        <f t="shared" si="148"/>
        <v>28</v>
      </c>
      <c r="BA364" s="4">
        <f t="shared" si="149"/>
        <v>12</v>
      </c>
    </row>
    <row r="365" spans="1:53" x14ac:dyDescent="0.2">
      <c r="A365" s="1" t="str">
        <f>'SegEnds_NonXtal_Prot#'!A360</f>
        <v>gpc5b_human</v>
      </c>
      <c r="B365" s="1" t="str">
        <f t="shared" si="125"/>
        <v>IWGIVVEAVAGAGALITLLLMLILLVREKKSPVGLHFLFLLGTLGLFGLTFAFIETICSVRRFLWGVLFALCFSCLLSQAWRVRRLVAGWQLVGLALCLMLVQVIIAVEWLVLTPMDFVMALIYDMVLLVVTLGLALFTNGAFLLITAFLSVLIWVAWMTMYLFNDPTLAITLAASGWVFVIFHAIPEIHCTLLALQENTPNYFDTS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65" s="5" t="str">
        <f t="shared" si="126"/>
        <v>IWGIVVEAVAGAGALITLLLMLILLVR</v>
      </c>
      <c r="G365" s="4" t="str">
        <f t="shared" si="127"/>
        <v>LPFIKEK</v>
      </c>
      <c r="H365" s="4" t="str">
        <f t="shared" si="128"/>
        <v>EKKSPVGLHFLFLLGTLGLFGLTFAFI</v>
      </c>
      <c r="I365" s="4" t="str">
        <f t="shared" si="129"/>
        <v/>
      </c>
      <c r="J365" s="4" t="str">
        <f t="shared" si="130"/>
        <v>ETICSVRRFLWGVLFALCFSCLLSQAWRVRRLV</v>
      </c>
      <c r="K365" s="4" t="str">
        <f t="shared" si="131"/>
        <v/>
      </c>
      <c r="L365" s="4" t="str">
        <f t="shared" si="132"/>
        <v>AGWQLVGLALCLMLVQVIIAVEWLVLT</v>
      </c>
      <c r="M365" s="4" t="str">
        <f t="shared" si="133"/>
        <v>CAY</v>
      </c>
      <c r="N365" s="4" t="str">
        <f t="shared" si="134"/>
        <v>PMDFVMALIYDMVLLVVTLGLALFT</v>
      </c>
      <c r="O365" s="4" t="str">
        <f t="shared" si="135"/>
        <v>NGAFLLITAFLSVLIWVAWMTMYLF</v>
      </c>
      <c r="P365" s="4" t="str">
        <f t="shared" si="136"/>
        <v>NDPTLAITLAASGWVFVIFHAIPEIHCTLL</v>
      </c>
      <c r="Q365" s="4" t="str">
        <f t="shared" si="137"/>
        <v>ALQENTPNYFDTS</v>
      </c>
      <c r="R365" s="5">
        <f>VLOOKUP($A365,'SegEnds_NonXtal_Prot#'!$A:$AL,3,FALSE)</f>
        <v>54</v>
      </c>
      <c r="S365" s="5">
        <f>VLOOKUP($A365,'SegEnds_NonXtal_Prot#'!$A:$AL,6,FALSE)</f>
        <v>81</v>
      </c>
      <c r="T365" s="5">
        <f>VLOOKUP($A365,'SegEnds_NonXtal_Prot#'!$A:$AL,9,FALSE)</f>
        <v>88</v>
      </c>
      <c r="U365" s="5" t="str">
        <f>VLOOKUP($A365,'SegEnds_NonXtal_Prot#'!$A:$AL,12,FALSE)</f>
        <v>-</v>
      </c>
      <c r="V365" s="5">
        <f>VLOOKUP($A365,'SegEnds_NonXtal_Prot#'!$A:$AL,15,FALSE)</f>
        <v>119</v>
      </c>
      <c r="W365" s="5" t="str">
        <f>VLOOKUP($A365,'SegEnds_NonXtal_Prot#'!$A:$AL,18,FALSE)</f>
        <v>-</v>
      </c>
      <c r="X365" s="5">
        <f>VLOOKUP($A365,'SegEnds_NonXtal_Prot#'!$A:$AL,21,FALSE)</f>
        <v>158</v>
      </c>
      <c r="Y365" s="5">
        <f>VLOOKUP($A365,'SegEnds_NonXtal_Prot#'!$A:$AL,24,FALSE)</f>
        <v>193</v>
      </c>
      <c r="Z365" s="5">
        <f>VLOOKUP($A365,'SegEnds_NonXtal_Prot#'!$A:$AL,27,FALSE)</f>
        <v>197</v>
      </c>
      <c r="AA365" s="5">
        <f>VLOOKUP($A365,'SegEnds_NonXtal_Prot#'!$A:$AL,30,FALSE)</f>
        <v>232</v>
      </c>
      <c r="AB365" s="5">
        <f>VLOOKUP($A365,'SegEnds_NonXtal_Prot#'!$A:$AL,33,FALSE)</f>
        <v>268</v>
      </c>
      <c r="AC365" s="5">
        <f>VLOOKUP($A365,'SegEnds_NonXtal_Prot#'!$A:$AL,36,FALSE)</f>
        <v>299</v>
      </c>
      <c r="AD365" s="5">
        <f>VLOOKUP($A365,'SegEnds_NonXtal_Prot#'!$A:$AL,5,FALSE)</f>
        <v>80</v>
      </c>
      <c r="AE365" s="5">
        <f>VLOOKUP($A365,'SegEnds_NonXtal_Prot#'!$A:$AL,8,FALSE)</f>
        <v>87</v>
      </c>
      <c r="AF365" s="5">
        <f>VLOOKUP($A365,'SegEnds_NonXtal_Prot#'!$A:$AL,11,FALSE)</f>
        <v>114</v>
      </c>
      <c r="AG365" s="5" t="str">
        <f>VLOOKUP($A365,'SegEnds_NonXtal_Prot#'!$A:$AL,14,FALSE)</f>
        <v>-</v>
      </c>
      <c r="AH365" s="5">
        <f>VLOOKUP($A365,'SegEnds_NonXtal_Prot#'!$A:$AL,17,FALSE)</f>
        <v>151</v>
      </c>
      <c r="AI365" s="5" t="str">
        <f>VLOOKUP($A365,'SegEnds_NonXtal_Prot#'!$A:$AL,20,FALSE)</f>
        <v>-</v>
      </c>
      <c r="AJ365" s="5">
        <f>VLOOKUP($A365,'SegEnds_NonXtal_Prot#'!$A:$AL,23,FALSE)</f>
        <v>184</v>
      </c>
      <c r="AK365" s="5">
        <f>VLOOKUP($A365,'SegEnds_NonXtal_Prot#'!$A:$AL,26,FALSE)</f>
        <v>195</v>
      </c>
      <c r="AL365" s="5">
        <f>VLOOKUP($A365,'SegEnds_NonXtal_Prot#'!$A:$AL,29,FALSE)</f>
        <v>221</v>
      </c>
      <c r="AM365" s="5">
        <f>VLOOKUP($A365,'SegEnds_NonXtal_Prot#'!$A:$AL,32,FALSE)</f>
        <v>256</v>
      </c>
      <c r="AN365" s="5">
        <f>VLOOKUP($A365,'SegEnds_NonXtal_Prot#'!$A:$AL,35,FALSE)</f>
        <v>297</v>
      </c>
      <c r="AO365" s="5">
        <f>VLOOKUP($A365,'SegEnds_NonXtal_Prot#'!$A:$AL,38,FALSE)</f>
        <v>311</v>
      </c>
      <c r="AP365" s="5">
        <f t="shared" si="138"/>
        <v>26</v>
      </c>
      <c r="AQ365" s="4">
        <f t="shared" si="139"/>
        <v>6</v>
      </c>
      <c r="AR365" s="4">
        <f t="shared" si="140"/>
        <v>26</v>
      </c>
      <c r="AS365" s="4" t="str">
        <f t="shared" si="141"/>
        <v>-</v>
      </c>
      <c r="AT365" s="4">
        <f t="shared" si="142"/>
        <v>32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24</v>
      </c>
      <c r="AY365" s="4">
        <f t="shared" si="147"/>
        <v>24</v>
      </c>
      <c r="AZ365" s="4">
        <f t="shared" si="148"/>
        <v>29</v>
      </c>
      <c r="BA365" s="4">
        <f t="shared" si="149"/>
        <v>12</v>
      </c>
    </row>
    <row r="366" spans="1:53" x14ac:dyDescent="0.2">
      <c r="A366" s="1" t="str">
        <f>'SegEnds_NonXtal_Prot#'!A361</f>
        <v>gpc5c_human</v>
      </c>
      <c r="B366" s="1" t="str">
        <f t="shared" si="125"/>
        <v>AWGIVLEAVAGAGIVTTFVLTIILVASKKRSLLGTQVFFLLGTLGLFCLVFACVFSTCASRRFLFGVLFAICFSCLAAHVFALNFLARGWVIFTVALLLTLVEVIINTEWLIITNMDFVMALIYVMLLLLGAFLGAWPAHGVFVLLTTATSVAIWVVWIVMYTYDDPTLAIALAANAWAFVLFYVIPEVSQVTKSPEQSYQGDMYPT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66" s="5" t="str">
        <f t="shared" si="126"/>
        <v>AWGIVLEAVAGAGIVTTFVLTIILVAS</v>
      </c>
      <c r="G366" s="4" t="str">
        <f t="shared" si="127"/>
        <v>LPFVQDT</v>
      </c>
      <c r="H366" s="4" t="str">
        <f t="shared" si="128"/>
        <v>KKRSLLGTQVFFLLGTLGLFCLVFACV</v>
      </c>
      <c r="I366" s="4" t="str">
        <f t="shared" si="129"/>
        <v/>
      </c>
      <c r="J366" s="4" t="str">
        <f t="shared" si="130"/>
        <v>FSTCASRRFLFGVLFAICFSCLAAHVFALNFLA</v>
      </c>
      <c r="K366" s="4" t="str">
        <f t="shared" si="131"/>
        <v/>
      </c>
      <c r="L366" s="4" t="str">
        <f t="shared" si="132"/>
        <v>RGWVIFTVALLLTLVEVIINTEWLIIT</v>
      </c>
      <c r="M366" s="4" t="str">
        <f t="shared" si="133"/>
        <v>CAI</v>
      </c>
      <c r="N366" s="4" t="str">
        <f t="shared" si="134"/>
        <v>NMDFVMALIYVMLLLLGAFLGAWPA</v>
      </c>
      <c r="O366" s="4" t="str">
        <f t="shared" si="135"/>
        <v>HGVFVLLTTATSVAIWVVWIVMYTY</v>
      </c>
      <c r="P366" s="4" t="str">
        <f t="shared" si="136"/>
        <v>DDPTLAIALAANAWAFVLFYVIPEVSQVTK</v>
      </c>
      <c r="Q366" s="4" t="str">
        <f t="shared" si="137"/>
        <v>SPEQSYQGDMYPT</v>
      </c>
      <c r="R366" s="5">
        <f>VLOOKUP($A366,'SegEnds_NonXtal_Prot#'!$A:$AL,3,FALSE)</f>
        <v>48</v>
      </c>
      <c r="S366" s="5">
        <f>VLOOKUP($A366,'SegEnds_NonXtal_Prot#'!$A:$AL,6,FALSE)</f>
        <v>75</v>
      </c>
      <c r="T366" s="5">
        <f>VLOOKUP($A366,'SegEnds_NonXtal_Prot#'!$A:$AL,9,FALSE)</f>
        <v>82</v>
      </c>
      <c r="U366" s="5" t="str">
        <f>VLOOKUP($A366,'SegEnds_NonXtal_Prot#'!$A:$AL,12,FALSE)</f>
        <v>-</v>
      </c>
      <c r="V366" s="5">
        <f>VLOOKUP($A366,'SegEnds_NonXtal_Prot#'!$A:$AL,15,FALSE)</f>
        <v>113</v>
      </c>
      <c r="W366" s="5" t="str">
        <f>VLOOKUP($A366,'SegEnds_NonXtal_Prot#'!$A:$AL,18,FALSE)</f>
        <v>-</v>
      </c>
      <c r="X366" s="5">
        <f>VLOOKUP($A366,'SegEnds_NonXtal_Prot#'!$A:$AL,21,FALSE)</f>
        <v>152</v>
      </c>
      <c r="Y366" s="5">
        <f>VLOOKUP($A366,'SegEnds_NonXtal_Prot#'!$A:$AL,24,FALSE)</f>
        <v>202</v>
      </c>
      <c r="Z366" s="5">
        <f>VLOOKUP($A366,'SegEnds_NonXtal_Prot#'!$A:$AL,27,FALSE)</f>
        <v>206</v>
      </c>
      <c r="AA366" s="5">
        <f>VLOOKUP($A366,'SegEnds_NonXtal_Prot#'!$A:$AL,30,FALSE)</f>
        <v>241</v>
      </c>
      <c r="AB366" s="5">
        <f>VLOOKUP($A366,'SegEnds_NonXtal_Prot#'!$A:$AL,33,FALSE)</f>
        <v>276</v>
      </c>
      <c r="AC366" s="5">
        <f>VLOOKUP($A366,'SegEnds_NonXtal_Prot#'!$A:$AL,36,FALSE)</f>
        <v>307</v>
      </c>
      <c r="AD366" s="5">
        <f>VLOOKUP($A366,'SegEnds_NonXtal_Prot#'!$A:$AL,5,FALSE)</f>
        <v>74</v>
      </c>
      <c r="AE366" s="5">
        <f>VLOOKUP($A366,'SegEnds_NonXtal_Prot#'!$A:$AL,8,FALSE)</f>
        <v>81</v>
      </c>
      <c r="AF366" s="5">
        <f>VLOOKUP($A366,'SegEnds_NonXtal_Prot#'!$A:$AL,11,FALSE)</f>
        <v>108</v>
      </c>
      <c r="AG366" s="5" t="str">
        <f>VLOOKUP($A366,'SegEnds_NonXtal_Prot#'!$A:$AL,14,FALSE)</f>
        <v>-</v>
      </c>
      <c r="AH366" s="5">
        <f>VLOOKUP($A366,'SegEnds_NonXtal_Prot#'!$A:$AL,17,FALSE)</f>
        <v>145</v>
      </c>
      <c r="AI366" s="5" t="str">
        <f>VLOOKUP($A366,'SegEnds_NonXtal_Prot#'!$A:$AL,20,FALSE)</f>
        <v>-</v>
      </c>
      <c r="AJ366" s="5">
        <f>VLOOKUP($A366,'SegEnds_NonXtal_Prot#'!$A:$AL,23,FALSE)</f>
        <v>178</v>
      </c>
      <c r="AK366" s="5">
        <f>VLOOKUP($A366,'SegEnds_NonXtal_Prot#'!$A:$AL,26,FALSE)</f>
        <v>204</v>
      </c>
      <c r="AL366" s="5">
        <f>VLOOKUP($A366,'SegEnds_NonXtal_Prot#'!$A:$AL,29,FALSE)</f>
        <v>230</v>
      </c>
      <c r="AM366" s="5">
        <f>VLOOKUP($A366,'SegEnds_NonXtal_Prot#'!$A:$AL,32,FALSE)</f>
        <v>265</v>
      </c>
      <c r="AN366" s="5">
        <f>VLOOKUP($A366,'SegEnds_NonXtal_Prot#'!$A:$AL,35,FALSE)</f>
        <v>305</v>
      </c>
      <c r="AO366" s="5">
        <f>VLOOKUP($A366,'SegEnds_NonXtal_Prot#'!$A:$AL,38,FALSE)</f>
        <v>319</v>
      </c>
      <c r="AP366" s="5">
        <f t="shared" si="138"/>
        <v>26</v>
      </c>
      <c r="AQ366" s="4">
        <f t="shared" si="139"/>
        <v>6</v>
      </c>
      <c r="AR366" s="4">
        <f t="shared" si="140"/>
        <v>26</v>
      </c>
      <c r="AS366" s="4" t="str">
        <f t="shared" si="141"/>
        <v>-</v>
      </c>
      <c r="AT366" s="4">
        <f t="shared" si="142"/>
        <v>32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24</v>
      </c>
      <c r="AY366" s="4">
        <f t="shared" si="147"/>
        <v>24</v>
      </c>
      <c r="AZ366" s="4">
        <f t="shared" si="148"/>
        <v>29</v>
      </c>
      <c r="BA366" s="4">
        <f t="shared" si="149"/>
        <v>12</v>
      </c>
    </row>
    <row r="367" spans="1:53" x14ac:dyDescent="0.2">
      <c r="A367" s="1" t="str">
        <f>'SegEnds_NonXtal_Prot#'!A362</f>
        <v>gpc5d_human</v>
      </c>
      <c r="B367" s="1" t="str">
        <f t="shared" si="125"/>
        <v>PWGIILESLAILGIVVTILLLLAFLFLSQWNVLPTQLLFLLSVLGLFGLAFAFIQQTAPVRYFLFGVLFALCFSCLLAHASNLVKLVSWTTILCIAIGCSLLQIIIATEYVTLINVDFVVLLVYVLFLMALTFFVSKATHGRLIFITVLFSIIIWVVWISMLLRDDPVVCIALVTNAWVFLLLYIVPELCILYRRQECPLQGNACP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67" s="5" t="str">
        <f t="shared" si="126"/>
        <v>PWGIILESLAILGIVVTILLLLAFLFL</v>
      </c>
      <c r="G367" s="4" t="str">
        <f t="shared" si="127"/>
        <v>MRKIQDC</v>
      </c>
      <c r="H367" s="4" t="str">
        <f t="shared" si="128"/>
        <v>SQWNVLPTQLLFLLSVLGLFGLAFAFI</v>
      </c>
      <c r="I367" s="4" t="str">
        <f t="shared" si="129"/>
        <v/>
      </c>
      <c r="J367" s="4" t="str">
        <f t="shared" si="130"/>
        <v>QQTAPVRYFLFGVLFALCFSCLLAHASNLVKLV</v>
      </c>
      <c r="K367" s="4" t="str">
        <f t="shared" si="131"/>
        <v/>
      </c>
      <c r="L367" s="4" t="str">
        <f t="shared" si="132"/>
        <v>SWTTILCIAIGCSLLQIIIATEYVTLI</v>
      </c>
      <c r="M367" s="4" t="str">
        <f t="shared" si="133"/>
        <v/>
      </c>
      <c r="N367" s="4" t="str">
        <f t="shared" si="134"/>
        <v>NVDFVVLLVYVLFLMALTFFVSKAT</v>
      </c>
      <c r="O367" s="4" t="str">
        <f t="shared" si="135"/>
        <v>HGRLIFITVLFSIIIWVVWISMLLR</v>
      </c>
      <c r="P367" s="4" t="str">
        <f t="shared" si="136"/>
        <v>DDPVVCIALVTNAWVFLLLYIVPELCILYR</v>
      </c>
      <c r="Q367" s="4" t="str">
        <f t="shared" si="137"/>
        <v>RQECPLQGNACP</v>
      </c>
      <c r="R367" s="5">
        <f>VLOOKUP($A367,'SegEnds_NonXtal_Prot#'!$A:$AL,3,FALSE)</f>
        <v>21</v>
      </c>
      <c r="S367" s="5">
        <f>VLOOKUP($A367,'SegEnds_NonXtal_Prot#'!$A:$AL,6,FALSE)</f>
        <v>48</v>
      </c>
      <c r="T367" s="5">
        <f>VLOOKUP($A367,'SegEnds_NonXtal_Prot#'!$A:$AL,9,FALSE)</f>
        <v>55</v>
      </c>
      <c r="U367" s="5" t="str">
        <f>VLOOKUP($A367,'SegEnds_NonXtal_Prot#'!$A:$AL,12,FALSE)</f>
        <v>-</v>
      </c>
      <c r="V367" s="5">
        <f>VLOOKUP($A367,'SegEnds_NonXtal_Prot#'!$A:$AL,15,FALSE)</f>
        <v>86</v>
      </c>
      <c r="W367" s="5" t="str">
        <f>VLOOKUP($A367,'SegEnds_NonXtal_Prot#'!$A:$AL,18,FALSE)</f>
        <v>-</v>
      </c>
      <c r="X367" s="5">
        <f>VLOOKUP($A367,'SegEnds_NonXtal_Prot#'!$A:$AL,21,FALSE)</f>
        <v>125</v>
      </c>
      <c r="Y367" s="5" t="str">
        <f>VLOOKUP($A367,'SegEnds_NonXtal_Prot#'!$A:$AL,24,FALSE)</f>
        <v>-</v>
      </c>
      <c r="Z367" s="5">
        <f>VLOOKUP($A367,'SegEnds_NonXtal_Prot#'!$A:$AL,27,FALSE)</f>
        <v>167</v>
      </c>
      <c r="AA367" s="5">
        <f>VLOOKUP($A367,'SegEnds_NonXtal_Prot#'!$A:$AL,30,FALSE)</f>
        <v>202</v>
      </c>
      <c r="AB367" s="5">
        <f>VLOOKUP($A367,'SegEnds_NonXtal_Prot#'!$A:$AL,33,FALSE)</f>
        <v>238</v>
      </c>
      <c r="AC367" s="5">
        <f>VLOOKUP($A367,'SegEnds_NonXtal_Prot#'!$A:$AL,36,FALSE)</f>
        <v>270</v>
      </c>
      <c r="AD367" s="5">
        <f>VLOOKUP($A367,'SegEnds_NonXtal_Prot#'!$A:$AL,5,FALSE)</f>
        <v>47</v>
      </c>
      <c r="AE367" s="5">
        <f>VLOOKUP($A367,'SegEnds_NonXtal_Prot#'!$A:$AL,8,FALSE)</f>
        <v>54</v>
      </c>
      <c r="AF367" s="5">
        <f>VLOOKUP($A367,'SegEnds_NonXtal_Prot#'!$A:$AL,11,FALSE)</f>
        <v>81</v>
      </c>
      <c r="AG367" s="5" t="str">
        <f>VLOOKUP($A367,'SegEnds_NonXtal_Prot#'!$A:$AL,14,FALSE)</f>
        <v>-</v>
      </c>
      <c r="AH367" s="5">
        <f>VLOOKUP($A367,'SegEnds_NonXtal_Prot#'!$A:$AL,17,FALSE)</f>
        <v>118</v>
      </c>
      <c r="AI367" s="5" t="str">
        <f>VLOOKUP($A367,'SegEnds_NonXtal_Prot#'!$A:$AL,20,FALSE)</f>
        <v>-</v>
      </c>
      <c r="AJ367" s="5">
        <f>VLOOKUP($A367,'SegEnds_NonXtal_Prot#'!$A:$AL,23,FALSE)</f>
        <v>151</v>
      </c>
      <c r="AK367" s="5" t="str">
        <f>VLOOKUP($A367,'SegEnds_NonXtal_Prot#'!$A:$AL,26,FALSE)</f>
        <v>-</v>
      </c>
      <c r="AL367" s="5">
        <f>VLOOKUP($A367,'SegEnds_NonXtal_Prot#'!$A:$AL,29,FALSE)</f>
        <v>191</v>
      </c>
      <c r="AM367" s="5">
        <f>VLOOKUP($A367,'SegEnds_NonXtal_Prot#'!$A:$AL,32,FALSE)</f>
        <v>226</v>
      </c>
      <c r="AN367" s="5">
        <f>VLOOKUP($A367,'SegEnds_NonXtal_Prot#'!$A:$AL,35,FALSE)</f>
        <v>267</v>
      </c>
      <c r="AO367" s="5">
        <f>VLOOKUP($A367,'SegEnds_NonXtal_Prot#'!$A:$AL,38,FALSE)</f>
        <v>281</v>
      </c>
      <c r="AP367" s="5">
        <f t="shared" si="138"/>
        <v>26</v>
      </c>
      <c r="AQ367" s="4">
        <f t="shared" si="139"/>
        <v>6</v>
      </c>
      <c r="AR367" s="4">
        <f t="shared" si="140"/>
        <v>26</v>
      </c>
      <c r="AS367" s="4" t="str">
        <f t="shared" si="141"/>
        <v>-</v>
      </c>
      <c r="AT367" s="4">
        <f t="shared" si="142"/>
        <v>32</v>
      </c>
      <c r="AU367" s="4" t="str">
        <f t="shared" si="143"/>
        <v>-</v>
      </c>
      <c r="AV367" s="4">
        <f t="shared" si="144"/>
        <v>26</v>
      </c>
      <c r="AW367" s="4" t="str">
        <f t="shared" si="145"/>
        <v>-</v>
      </c>
      <c r="AX367" s="4">
        <f t="shared" si="146"/>
        <v>24</v>
      </c>
      <c r="AY367" s="4">
        <f t="shared" si="147"/>
        <v>24</v>
      </c>
      <c r="AZ367" s="4">
        <f t="shared" si="148"/>
        <v>29</v>
      </c>
      <c r="BA367" s="4">
        <f t="shared" si="149"/>
        <v>11</v>
      </c>
    </row>
    <row r="368" spans="1:53" x14ac:dyDescent="0.2">
      <c r="A368" s="1" t="str">
        <f>'SegEnds_NonXtal_Prot#'!A364</f>
        <v>gpr45_human</v>
      </c>
      <c r="B368" s="1" t="str">
        <f t="shared" si="125"/>
        <v>APLRISLAIVMLLMTVVGFLGNTVVCIIVYQRSAINLLLATLAFSDIMLSLCCMPFTAVTLITGDHFCRLSATLYWFFVLEGVAILLIISVDRFLIIVQNPRRAKVIIAVSWVLSFCIAGPSLTGDRAYVVTLVVAVFFAPFGVMLCAYMCILNTVRKNAVRVHNQSSVDLSFKTKAFTTILILFVGFSLCWLPHSVYSLLSVFSGSSFYATSTCVLWLSYLKSVFNPIVYCWRIKKFREACIELL</v>
      </c>
      <c r="C368" s="29" t="str">
        <f>IF(ISERROR(MATCH(A368,'SegEnds_Xtal_Prot#'!B:B, 0)), "NoXtal", "Xtal")</f>
        <v>NoXtal</v>
      </c>
      <c r="D368" s="4" t="str">
        <f>VLOOKUP(A368,Classification!A:D,2,FALSE)</f>
        <v>A</v>
      </c>
      <c r="E368" s="5" t="str">
        <f>VLOOKUP(A368,Seqs!A:B,2,FALSE)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368" s="5" t="str">
        <f t="shared" si="126"/>
        <v>APLRISLAIVMLLMTVVGFLGNTVVCIIVYQR</v>
      </c>
      <c r="G368" s="4" t="str">
        <f t="shared" si="127"/>
        <v>PAMR</v>
      </c>
      <c r="H368" s="4" t="str">
        <f t="shared" si="128"/>
        <v>SAINLLLATLAFSDIMLSLCCMPFTAVTLIT</v>
      </c>
      <c r="I368" s="4" t="str">
        <f t="shared" si="129"/>
        <v>RWHF</v>
      </c>
      <c r="J368" s="4" t="str">
        <f t="shared" si="130"/>
        <v>GDHFCRLSATLYWFFVLEGVAILLIISVDRFLIIVQ</v>
      </c>
      <c r="K368" s="4" t="str">
        <f t="shared" si="131"/>
        <v/>
      </c>
      <c r="L368" s="4" t="str">
        <f t="shared" si="132"/>
        <v>NPRRAKVIIAVSWVLSFCIAGPSLTG</v>
      </c>
      <c r="M368" s="4" t="str">
        <f t="shared" si="133"/>
        <v>CVL</v>
      </c>
      <c r="N368" s="4" t="str">
        <f t="shared" si="134"/>
        <v>DRAYVVTLVVAVFFAPFGVMLCAYMCILNTVRKNAVRVHNQS</v>
      </c>
      <c r="O368" s="4" t="str">
        <f t="shared" si="135"/>
        <v>SVDLSFKTKAFTTILILFVGFSLCWLPHSVYSLLSVFS</v>
      </c>
      <c r="P368" s="4" t="str">
        <f t="shared" si="136"/>
        <v>GSSFYATSTCVLWLSYLKSVFNPIVYCWR</v>
      </c>
      <c r="Q368" s="4" t="str">
        <f t="shared" si="137"/>
        <v>IKKFREACIELL</v>
      </c>
      <c r="R368" s="5">
        <f>VLOOKUP($A368,'SegEnds_NonXtal_Prot#'!$A:$AL,3,FALSE)</f>
        <v>31</v>
      </c>
      <c r="S368" s="5">
        <f>VLOOKUP($A368,'SegEnds_NonXtal_Prot#'!$A:$AL,6,FALSE)</f>
        <v>63</v>
      </c>
      <c r="T368" s="5">
        <f>VLOOKUP($A368,'SegEnds_NonXtal_Prot#'!$A:$AL,9,FALSE)</f>
        <v>67</v>
      </c>
      <c r="U368" s="5">
        <f>VLOOKUP($A368,'SegEnds_NonXtal_Prot#'!$A:$AL,12,FALSE)</f>
        <v>99</v>
      </c>
      <c r="V368" s="5">
        <f>VLOOKUP($A368,'SegEnds_NonXtal_Prot#'!$A:$AL,15,FALSE)</f>
        <v>103</v>
      </c>
      <c r="W368" s="5" t="str">
        <f>VLOOKUP($A368,'SegEnds_NonXtal_Prot#'!$A:$AL,18,FALSE)</f>
        <v>-</v>
      </c>
      <c r="X368" s="5">
        <f>VLOOKUP($A368,'SegEnds_NonXtal_Prot#'!$A:$AL,21,FALSE)</f>
        <v>144</v>
      </c>
      <c r="Y368" s="5">
        <f>VLOOKUP($A368,'SegEnds_NonXtal_Prot#'!$A:$AL,24,FALSE)</f>
        <v>182</v>
      </c>
      <c r="Z368" s="5">
        <f>VLOOKUP($A368,'SegEnds_NonXtal_Prot#'!$A:$AL,27,FALSE)</f>
        <v>192</v>
      </c>
      <c r="AA368" s="5">
        <f>VLOOKUP($A368,'SegEnds_NonXtal_Prot#'!$A:$AL,30,FALSE)</f>
        <v>256</v>
      </c>
      <c r="AB368" s="5">
        <f>VLOOKUP($A368,'SegEnds_NonXtal_Prot#'!$A:$AL,33,FALSE)</f>
        <v>299</v>
      </c>
      <c r="AC368" s="5">
        <f>VLOOKUP($A368,'SegEnds_NonXtal_Prot#'!$A:$AL,36,FALSE)</f>
        <v>328</v>
      </c>
      <c r="AD368" s="5">
        <f>VLOOKUP($A368,'SegEnds_NonXtal_Prot#'!$A:$AL,5,FALSE)</f>
        <v>62</v>
      </c>
      <c r="AE368" s="5">
        <f>VLOOKUP($A368,'SegEnds_NonXtal_Prot#'!$A:$AL,8,FALSE)</f>
        <v>66</v>
      </c>
      <c r="AF368" s="5">
        <f>VLOOKUP($A368,'SegEnds_NonXtal_Prot#'!$A:$AL,11,FALSE)</f>
        <v>97</v>
      </c>
      <c r="AG368" s="5">
        <f>VLOOKUP($A368,'SegEnds_NonXtal_Prot#'!$A:$AL,14,FALSE)</f>
        <v>102</v>
      </c>
      <c r="AH368" s="5">
        <f>VLOOKUP($A368,'SegEnds_NonXtal_Prot#'!$A:$AL,17,FALSE)</f>
        <v>138</v>
      </c>
      <c r="AI368" s="5" t="str">
        <f>VLOOKUP($A368,'SegEnds_NonXtal_Prot#'!$A:$AL,20,FALSE)</f>
        <v>-</v>
      </c>
      <c r="AJ368" s="5">
        <f>VLOOKUP($A368,'SegEnds_NonXtal_Prot#'!$A:$AL,23,FALSE)</f>
        <v>169</v>
      </c>
      <c r="AK368" s="5">
        <f>VLOOKUP($A368,'SegEnds_NonXtal_Prot#'!$A:$AL,26,FALSE)</f>
        <v>184</v>
      </c>
      <c r="AL368" s="5">
        <f>VLOOKUP($A368,'SegEnds_NonXtal_Prot#'!$A:$AL,29,FALSE)</f>
        <v>233</v>
      </c>
      <c r="AM368" s="5">
        <f>VLOOKUP($A368,'SegEnds_NonXtal_Prot#'!$A:$AL,32,FALSE)</f>
        <v>293</v>
      </c>
      <c r="AN368" s="5">
        <f>VLOOKUP($A368,'SegEnds_NonXtal_Prot#'!$A:$AL,35,FALSE)</f>
        <v>327</v>
      </c>
      <c r="AO368" s="5">
        <f>VLOOKUP($A368,'SegEnds_NonXtal_Prot#'!$A:$AL,38,FALSE)</f>
        <v>339</v>
      </c>
      <c r="AP368" s="5">
        <f t="shared" si="138"/>
        <v>31</v>
      </c>
      <c r="AQ368" s="4">
        <f t="shared" si="139"/>
        <v>3</v>
      </c>
      <c r="AR368" s="4">
        <f t="shared" si="140"/>
        <v>30</v>
      </c>
      <c r="AS368" s="4">
        <f t="shared" si="141"/>
        <v>3</v>
      </c>
      <c r="AT368" s="4">
        <f t="shared" si="142"/>
        <v>35</v>
      </c>
      <c r="AU368" s="4" t="str">
        <f t="shared" si="143"/>
        <v>-</v>
      </c>
      <c r="AV368" s="4">
        <f t="shared" si="144"/>
        <v>25</v>
      </c>
      <c r="AW368" s="4">
        <f t="shared" si="145"/>
        <v>2</v>
      </c>
      <c r="AX368" s="4">
        <f t="shared" si="146"/>
        <v>41</v>
      </c>
      <c r="AY368" s="4">
        <f t="shared" si="147"/>
        <v>37</v>
      </c>
      <c r="AZ368" s="4">
        <f t="shared" si="148"/>
        <v>28</v>
      </c>
      <c r="BA368" s="4">
        <f t="shared" si="149"/>
        <v>11</v>
      </c>
    </row>
    <row r="369" spans="1:53" x14ac:dyDescent="0.2">
      <c r="A369" s="1" t="str">
        <f>'SegEnds_NonXtal_Prot#'!A365</f>
        <v>gpr62_human</v>
      </c>
      <c r="B369" s="1" t="str">
        <f t="shared" si="125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369" s="29" t="str">
        <f>IF(ISERROR(MATCH(A369,'SegEnds_Xtal_Prot#'!B:B, 0)), "NoXtal", "Xtal")</f>
        <v>NoXtal</v>
      </c>
      <c r="D369" s="4" t="str">
        <f>VLOOKUP(A369,Classification!A:D,2,FALSE)</f>
        <v>A</v>
      </c>
      <c r="E369" s="5" t="str">
        <f>VLOOKUP(A369,Seqs!A:B,2,FALSE)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369" s="5" t="str">
        <f t="shared" si="126"/>
        <v>EVAGSLGLILAAVVEVGALLGNGALLVVVLRT</v>
      </c>
      <c r="G369" s="4" t="str">
        <f t="shared" si="127"/>
        <v/>
      </c>
      <c r="H369" s="4" t="str">
        <f t="shared" si="128"/>
        <v>LRDALYLAHLCVVDLLAAASIMPLGLLAAPP</v>
      </c>
      <c r="I369" s="4" t="str">
        <f t="shared" si="129"/>
        <v/>
      </c>
      <c r="J369" s="4" t="str">
        <f t="shared" si="130"/>
        <v>VRLGPAPCRAARFLSAALLPACTLGVAALGLARYRLIVH</v>
      </c>
      <c r="K369" s="4" t="str">
        <f t="shared" si="131"/>
        <v/>
      </c>
      <c r="L369" s="4" t="str">
        <f t="shared" si="132"/>
        <v>SRPPPVLVLTAVWAAAGLLGALSLLG</v>
      </c>
      <c r="M369" s="4" t="str">
        <f t="shared" si="133"/>
        <v>CSV</v>
      </c>
      <c r="N369" s="4" t="str">
        <f t="shared" si="134"/>
        <v>LGPFRPLWALLAFALPALLLLGAYGGIFVVARRAALRPPRPA</v>
      </c>
      <c r="O369" s="4" t="str">
        <f t="shared" si="135"/>
        <v>LRPRLPGGKAALAPALAVGQFAACWLPYGCACLAP</v>
      </c>
      <c r="P369" s="4" t="str">
        <f t="shared" si="136"/>
        <v>EAAVTWVAYSAFAAHPFLYGLL</v>
      </c>
      <c r="Q369" s="4" t="str">
        <f t="shared" si="137"/>
        <v>QRPVRLALGRLSR</v>
      </c>
      <c r="R369" s="5">
        <f>VLOOKUP($A369,'SegEnds_NonXtal_Prot#'!$A:$AL,3,FALSE)</f>
        <v>11</v>
      </c>
      <c r="S369" s="5" t="str">
        <f>VLOOKUP($A369,'SegEnds_NonXtal_Prot#'!$A:$AL,6,FALSE)</f>
        <v>-</v>
      </c>
      <c r="T369" s="5">
        <f>VLOOKUP($A369,'SegEnds_NonXtal_Prot#'!$A:$AL,9,FALSE)</f>
        <v>45</v>
      </c>
      <c r="U369" s="5" t="str">
        <f>VLOOKUP($A369,'SegEnds_NonXtal_Prot#'!$A:$AL,12,FALSE)</f>
        <v>-</v>
      </c>
      <c r="V369" s="5">
        <f>VLOOKUP($A369,'SegEnds_NonXtal_Prot#'!$A:$AL,15,FALSE)</f>
        <v>81</v>
      </c>
      <c r="W369" s="5" t="str">
        <f>VLOOKUP($A369,'SegEnds_NonXtal_Prot#'!$A:$AL,18,FALSE)</f>
        <v>-</v>
      </c>
      <c r="X369" s="5">
        <f>VLOOKUP($A369,'SegEnds_NonXtal_Prot#'!$A:$AL,21,FALSE)</f>
        <v>125</v>
      </c>
      <c r="Y369" s="5">
        <f>VLOOKUP($A369,'SegEnds_NonXtal_Prot#'!$A:$AL,24,FALSE)</f>
        <v>162</v>
      </c>
      <c r="Z369" s="5">
        <f>VLOOKUP($A369,'SegEnds_NonXtal_Prot#'!$A:$AL,27,FALSE)</f>
        <v>169</v>
      </c>
      <c r="AA369" s="5">
        <f>VLOOKUP($A369,'SegEnds_NonXtal_Prot#'!$A:$AL,30,FALSE)</f>
        <v>230</v>
      </c>
      <c r="AB369" s="5">
        <f>VLOOKUP($A369,'SegEnds_NonXtal_Prot#'!$A:$AL,33,FALSE)</f>
        <v>272</v>
      </c>
      <c r="AC369" s="5">
        <f>VLOOKUP($A369,'SegEnds_NonXtal_Prot#'!$A:$AL,36,FALSE)</f>
        <v>294</v>
      </c>
      <c r="AD369" s="5">
        <f>VLOOKUP($A369,'SegEnds_NonXtal_Prot#'!$A:$AL,5,FALSE)</f>
        <v>42</v>
      </c>
      <c r="AE369" s="5" t="str">
        <f>VLOOKUP($A369,'SegEnds_NonXtal_Prot#'!$A:$AL,8,FALSE)</f>
        <v>-</v>
      </c>
      <c r="AF369" s="5">
        <f>VLOOKUP($A369,'SegEnds_NonXtal_Prot#'!$A:$AL,11,FALSE)</f>
        <v>75</v>
      </c>
      <c r="AG369" s="5" t="str">
        <f>VLOOKUP($A369,'SegEnds_NonXtal_Prot#'!$A:$AL,14,FALSE)</f>
        <v>-</v>
      </c>
      <c r="AH369" s="5">
        <f>VLOOKUP($A369,'SegEnds_NonXtal_Prot#'!$A:$AL,17,FALSE)</f>
        <v>119</v>
      </c>
      <c r="AI369" s="5" t="str">
        <f>VLOOKUP($A369,'SegEnds_NonXtal_Prot#'!$A:$AL,20,FALSE)</f>
        <v>-</v>
      </c>
      <c r="AJ369" s="5">
        <f>VLOOKUP($A369,'SegEnds_NonXtal_Prot#'!$A:$AL,23,FALSE)</f>
        <v>150</v>
      </c>
      <c r="AK369" s="5">
        <f>VLOOKUP($A369,'SegEnds_NonXtal_Prot#'!$A:$AL,26,FALSE)</f>
        <v>164</v>
      </c>
      <c r="AL369" s="5">
        <f>VLOOKUP($A369,'SegEnds_NonXtal_Prot#'!$A:$AL,29,FALSE)</f>
        <v>210</v>
      </c>
      <c r="AM369" s="5">
        <f>VLOOKUP($A369,'SegEnds_NonXtal_Prot#'!$A:$AL,32,FALSE)</f>
        <v>264</v>
      </c>
      <c r="AN369" s="5">
        <f>VLOOKUP($A369,'SegEnds_NonXtal_Prot#'!$A:$AL,35,FALSE)</f>
        <v>293</v>
      </c>
      <c r="AO369" s="5">
        <f>VLOOKUP($A369,'SegEnds_NonXtal_Prot#'!$A:$AL,38,FALSE)</f>
        <v>306</v>
      </c>
      <c r="AP369" s="5">
        <f t="shared" si="138"/>
        <v>31</v>
      </c>
      <c r="AQ369" s="4" t="str">
        <f t="shared" si="139"/>
        <v>-</v>
      </c>
      <c r="AR369" s="4">
        <f t="shared" si="140"/>
        <v>30</v>
      </c>
      <c r="AS369" s="4" t="str">
        <f t="shared" si="141"/>
        <v>-</v>
      </c>
      <c r="AT369" s="4">
        <f t="shared" si="142"/>
        <v>38</v>
      </c>
      <c r="AU369" s="4" t="str">
        <f t="shared" si="143"/>
        <v>-</v>
      </c>
      <c r="AV369" s="4">
        <f t="shared" si="144"/>
        <v>25</v>
      </c>
      <c r="AW369" s="4">
        <f t="shared" si="145"/>
        <v>2</v>
      </c>
      <c r="AX369" s="4">
        <f t="shared" si="146"/>
        <v>41</v>
      </c>
      <c r="AY369" s="4">
        <f t="shared" si="147"/>
        <v>34</v>
      </c>
      <c r="AZ369" s="4">
        <f t="shared" si="148"/>
        <v>21</v>
      </c>
      <c r="BA369" s="4">
        <f t="shared" si="149"/>
        <v>12</v>
      </c>
    </row>
    <row r="370" spans="1:53" x14ac:dyDescent="0.2">
      <c r="A370" s="1" t="str">
        <f>'SegEnds_NonXtal_Prot#'!A366</f>
        <v>gpr63_human</v>
      </c>
      <c r="B370" s="1" t="str">
        <f t="shared" si="125"/>
        <v>QITLSAIMIFILFVSFLGNLVVCLMVYQKSAINILLASLAFADMLLAVLNMPFALVTILTGKFFCRVSAMFFWLFVIEGVAILLIISIDRFLIIVQNPYRAKVLIAVSWATSFCVAFPLAVGNYQAYVILISLISFFIPFLVILYSFMGILNTLRHNALRIHSYPSIDMGFKTRAFTTILILFAVFIVCWAPFTTYSLVATFSQHNFFEISTWLLWLCYLKSALNPLIYYWRIKKFHDACLDMM</v>
      </c>
      <c r="C370" s="29" t="str">
        <f>IF(ISERROR(MATCH(A370,'SegEnds_Xtal_Prot#'!B:B, 0)), "NoXtal", "Xtal")</f>
        <v>NoXtal</v>
      </c>
      <c r="D370" s="4" t="str">
        <f>VLOOKUP(A370,Classification!A:D,2,FALSE)</f>
        <v>A</v>
      </c>
      <c r="E370" s="5" t="str">
        <f>VLOOKUP(A370,Seqs!A:B,2,FALSE)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370" s="5" t="str">
        <f t="shared" si="126"/>
        <v>QITLSAIMIFILFVSFLGNLVVCLMVYQK</v>
      </c>
      <c r="G370" s="4" t="str">
        <f t="shared" si="127"/>
        <v>AAMR</v>
      </c>
      <c r="H370" s="4" t="str">
        <f t="shared" si="128"/>
        <v>SAINILLASLAFADMLLAVLNMPFALVTILT</v>
      </c>
      <c r="I370" s="4" t="str">
        <f t="shared" si="129"/>
        <v>RWIF</v>
      </c>
      <c r="J370" s="4" t="str">
        <f t="shared" si="130"/>
        <v>GKFFCRVSAMFFWLFVIEGVAILLIISIDRFLIIVQ</v>
      </c>
      <c r="K370" s="4" t="str">
        <f t="shared" si="131"/>
        <v/>
      </c>
      <c r="L370" s="4" t="str">
        <f t="shared" si="132"/>
        <v>NPYRAKVLIAVSWATSFCVAFPLAVGN</v>
      </c>
      <c r="M370" s="4" t="str">
        <f t="shared" si="133"/>
        <v>CVF</v>
      </c>
      <c r="N370" s="4" t="str">
        <f t="shared" si="134"/>
        <v>YQAYVILISLISFFIPFLVILYSFMGILNTLRHNALRIHSYP</v>
      </c>
      <c r="O370" s="4" t="str">
        <f t="shared" si="135"/>
        <v>SIDMGFKTRAFTTILILFAVFIVCWAPFTTYSLVATFS</v>
      </c>
      <c r="P370" s="4" t="str">
        <f t="shared" si="136"/>
        <v>QHNFFEISTWLLWLCYLKSALNPLIYYWR</v>
      </c>
      <c r="Q370" s="4" t="str">
        <f t="shared" si="137"/>
        <v>IKKFHDACLDMM</v>
      </c>
      <c r="R370" s="5">
        <f>VLOOKUP($A370,'SegEnds_NonXtal_Prot#'!$A:$AL,3,FALSE)</f>
        <v>81</v>
      </c>
      <c r="S370" s="5">
        <f>VLOOKUP($A370,'SegEnds_NonXtal_Prot#'!$A:$AL,6,FALSE)</f>
        <v>110</v>
      </c>
      <c r="T370" s="5">
        <f>VLOOKUP($A370,'SegEnds_NonXtal_Prot#'!$A:$AL,9,FALSE)</f>
        <v>114</v>
      </c>
      <c r="U370" s="5">
        <f>VLOOKUP($A370,'SegEnds_NonXtal_Prot#'!$A:$AL,12,FALSE)</f>
        <v>146</v>
      </c>
      <c r="V370" s="5">
        <f>VLOOKUP($A370,'SegEnds_NonXtal_Prot#'!$A:$AL,15,FALSE)</f>
        <v>150</v>
      </c>
      <c r="W370" s="5" t="str">
        <f>VLOOKUP($A370,'SegEnds_NonXtal_Prot#'!$A:$AL,18,FALSE)</f>
        <v>-</v>
      </c>
      <c r="X370" s="5">
        <f>VLOOKUP($A370,'SegEnds_NonXtal_Prot#'!$A:$AL,21,FALSE)</f>
        <v>191</v>
      </c>
      <c r="Y370" s="5">
        <f>VLOOKUP($A370,'SegEnds_NonXtal_Prot#'!$A:$AL,24,FALSE)</f>
        <v>229</v>
      </c>
      <c r="Z370" s="5">
        <f>VLOOKUP($A370,'SegEnds_NonXtal_Prot#'!$A:$AL,27,FALSE)</f>
        <v>239</v>
      </c>
      <c r="AA370" s="5">
        <f>VLOOKUP($A370,'SegEnds_NonXtal_Prot#'!$A:$AL,30,FALSE)</f>
        <v>303</v>
      </c>
      <c r="AB370" s="5">
        <f>VLOOKUP($A370,'SegEnds_NonXtal_Prot#'!$A:$AL,33,FALSE)</f>
        <v>346</v>
      </c>
      <c r="AC370" s="5">
        <f>VLOOKUP($A370,'SegEnds_NonXtal_Prot#'!$A:$AL,36,FALSE)</f>
        <v>375</v>
      </c>
      <c r="AD370" s="5">
        <f>VLOOKUP($A370,'SegEnds_NonXtal_Prot#'!$A:$AL,5,FALSE)</f>
        <v>109</v>
      </c>
      <c r="AE370" s="5">
        <f>VLOOKUP($A370,'SegEnds_NonXtal_Prot#'!$A:$AL,8,FALSE)</f>
        <v>113</v>
      </c>
      <c r="AF370" s="5">
        <f>VLOOKUP($A370,'SegEnds_NonXtal_Prot#'!$A:$AL,11,FALSE)</f>
        <v>144</v>
      </c>
      <c r="AG370" s="5">
        <f>VLOOKUP($A370,'SegEnds_NonXtal_Prot#'!$A:$AL,14,FALSE)</f>
        <v>149</v>
      </c>
      <c r="AH370" s="5">
        <f>VLOOKUP($A370,'SegEnds_NonXtal_Prot#'!$A:$AL,17,FALSE)</f>
        <v>185</v>
      </c>
      <c r="AI370" s="5" t="str">
        <f>VLOOKUP($A370,'SegEnds_NonXtal_Prot#'!$A:$AL,20,FALSE)</f>
        <v>-</v>
      </c>
      <c r="AJ370" s="5">
        <f>VLOOKUP($A370,'SegEnds_NonXtal_Prot#'!$A:$AL,23,FALSE)</f>
        <v>217</v>
      </c>
      <c r="AK370" s="5">
        <f>VLOOKUP($A370,'SegEnds_NonXtal_Prot#'!$A:$AL,26,FALSE)</f>
        <v>231</v>
      </c>
      <c r="AL370" s="5">
        <f>VLOOKUP($A370,'SegEnds_NonXtal_Prot#'!$A:$AL,29,FALSE)</f>
        <v>280</v>
      </c>
      <c r="AM370" s="5">
        <f>VLOOKUP($A370,'SegEnds_NonXtal_Prot#'!$A:$AL,32,FALSE)</f>
        <v>340</v>
      </c>
      <c r="AN370" s="5">
        <f>VLOOKUP($A370,'SegEnds_NonXtal_Prot#'!$A:$AL,35,FALSE)</f>
        <v>374</v>
      </c>
      <c r="AO370" s="5">
        <f>VLOOKUP($A370,'SegEnds_NonXtal_Prot#'!$A:$AL,38,FALSE)</f>
        <v>386</v>
      </c>
      <c r="AP370" s="5">
        <f t="shared" si="138"/>
        <v>28</v>
      </c>
      <c r="AQ370" s="4">
        <f t="shared" si="139"/>
        <v>3</v>
      </c>
      <c r="AR370" s="4">
        <f t="shared" si="140"/>
        <v>30</v>
      </c>
      <c r="AS370" s="4">
        <f t="shared" si="141"/>
        <v>3</v>
      </c>
      <c r="AT370" s="4">
        <f t="shared" si="142"/>
        <v>35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41</v>
      </c>
      <c r="AY370" s="4">
        <f t="shared" si="147"/>
        <v>37</v>
      </c>
      <c r="AZ370" s="4">
        <f t="shared" si="148"/>
        <v>28</v>
      </c>
      <c r="BA370" s="4">
        <f t="shared" si="149"/>
        <v>11</v>
      </c>
    </row>
    <row r="371" spans="1:53" x14ac:dyDescent="0.2">
      <c r="A371" s="1" t="str">
        <f>'SegEnds_NonXtal_Prot#'!A368</f>
        <v>gpr83_human</v>
      </c>
      <c r="B371" s="1" t="str">
        <f t="shared" si="125"/>
        <v>VKALLIVAYSFIIVFSLFGNVLVCHVIFKNSATSLFIVNLAVADIMITLLNTPFTLVRFVNGKGMCHVSRFAQYCSLHVSALTLTAIAVDRHQVIMHSITKGVIYIAVIWTMATFFSLPHAICQDLFWKYLDLATFILLYILPLLIISVAYARVAKKLWLCNMIGDQYFALRRKKKKTIKMLMLVVVLFALCWFPLNCYVLLLSSKNNALYFAFHWFAMSSTCYNPFIYCWLNENFRIELKALL</v>
      </c>
      <c r="C371" s="29" t="str">
        <f>IF(ISERROR(MATCH(A371,'SegEnds_Xtal_Prot#'!B:B, 0)), "NoXtal", "Xtal")</f>
        <v>NoXtal</v>
      </c>
      <c r="D371" s="4" t="str">
        <f>VLOOKUP(A371,Classification!A:D,2,FALSE)</f>
        <v>A</v>
      </c>
      <c r="E371" s="5" t="str">
        <f>VLOOKUP(A371,Seqs!A:B,2,FALSE)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371" s="5" t="str">
        <f t="shared" si="126"/>
        <v>VKALLIVAYSFIIVFSLFGNVLVCHVIFKN</v>
      </c>
      <c r="G371" s="4" t="str">
        <f t="shared" si="127"/>
        <v>QRMH</v>
      </c>
      <c r="H371" s="4" t="str">
        <f t="shared" si="128"/>
        <v>SATSLFIVNLAVADIMITLLNTPFTLVRFVN</v>
      </c>
      <c r="I371" s="4" t="str">
        <f t="shared" si="129"/>
        <v>TWIF</v>
      </c>
      <c r="J371" s="4" t="str">
        <f t="shared" si="130"/>
        <v>GKGMCHVSRFAQYCSLHVSALTLTAIAVDRHQVIMH</v>
      </c>
      <c r="K371" s="4" t="str">
        <f t="shared" si="131"/>
        <v/>
      </c>
      <c r="L371" s="4" t="str">
        <f t="shared" si="132"/>
        <v>SITKGVIYIAVIWTMATFFSLPHAICQ</v>
      </c>
      <c r="M371" s="4" t="str">
        <f t="shared" si="133"/>
        <v>CLP</v>
      </c>
      <c r="N371" s="4" t="str">
        <f t="shared" si="134"/>
        <v>DLFWKYLDLATFILLYILPLLIISVAYARVAKKLWLCNMIGD</v>
      </c>
      <c r="O371" s="4" t="str">
        <f t="shared" si="135"/>
        <v>QYFALRRKKKKTIKMLMLVVVLFALCWFPLNCYVLLLSSK</v>
      </c>
      <c r="P371" s="4" t="str">
        <f t="shared" si="136"/>
        <v>NNALYFAFHWFAMSSTCYNPFIYCWL</v>
      </c>
      <c r="Q371" s="4" t="str">
        <f t="shared" si="137"/>
        <v>NENFRIELKALL</v>
      </c>
      <c r="R371" s="5">
        <f>VLOOKUP($A371,'SegEnds_NonXtal_Prot#'!$A:$AL,3,FALSE)</f>
        <v>70</v>
      </c>
      <c r="S371" s="5">
        <f>VLOOKUP($A371,'SegEnds_NonXtal_Prot#'!$A:$AL,6,FALSE)</f>
        <v>100</v>
      </c>
      <c r="T371" s="5">
        <f>VLOOKUP($A371,'SegEnds_NonXtal_Prot#'!$A:$AL,9,FALSE)</f>
        <v>104</v>
      </c>
      <c r="U371" s="5">
        <f>VLOOKUP($A371,'SegEnds_NonXtal_Prot#'!$A:$AL,12,FALSE)</f>
        <v>136</v>
      </c>
      <c r="V371" s="5">
        <f>VLOOKUP($A371,'SegEnds_NonXtal_Prot#'!$A:$AL,15,FALSE)</f>
        <v>140</v>
      </c>
      <c r="W371" s="5" t="str">
        <f>VLOOKUP($A371,'SegEnds_NonXtal_Prot#'!$A:$AL,18,FALSE)</f>
        <v>-</v>
      </c>
      <c r="X371" s="5">
        <f>VLOOKUP($A371,'SegEnds_NonXtal_Prot#'!$A:$AL,21,FALSE)</f>
        <v>182</v>
      </c>
      <c r="Y371" s="5">
        <f>VLOOKUP($A371,'SegEnds_NonXtal_Prot#'!$A:$AL,24,FALSE)</f>
        <v>224</v>
      </c>
      <c r="Z371" s="5">
        <f>VLOOKUP($A371,'SegEnds_NonXtal_Prot#'!$A:$AL,27,FALSE)</f>
        <v>233</v>
      </c>
      <c r="AA371" s="5">
        <f>VLOOKUP($A371,'SegEnds_NonXtal_Prot#'!$A:$AL,30,FALSE)</f>
        <v>279</v>
      </c>
      <c r="AB371" s="5">
        <f>VLOOKUP($A371,'SegEnds_NonXtal_Prot#'!$A:$AL,33,FALSE)</f>
        <v>323</v>
      </c>
      <c r="AC371" s="5">
        <f>VLOOKUP($A371,'SegEnds_NonXtal_Prot#'!$A:$AL,36,FALSE)</f>
        <v>349</v>
      </c>
      <c r="AD371" s="5">
        <f>VLOOKUP($A371,'SegEnds_NonXtal_Prot#'!$A:$AL,5,FALSE)</f>
        <v>99</v>
      </c>
      <c r="AE371" s="5">
        <f>VLOOKUP($A371,'SegEnds_NonXtal_Prot#'!$A:$AL,8,FALSE)</f>
        <v>103</v>
      </c>
      <c r="AF371" s="5">
        <f>VLOOKUP($A371,'SegEnds_NonXtal_Prot#'!$A:$AL,11,FALSE)</f>
        <v>134</v>
      </c>
      <c r="AG371" s="5">
        <f>VLOOKUP($A371,'SegEnds_NonXtal_Prot#'!$A:$AL,14,FALSE)</f>
        <v>139</v>
      </c>
      <c r="AH371" s="5">
        <f>VLOOKUP($A371,'SegEnds_NonXtal_Prot#'!$A:$AL,17,FALSE)</f>
        <v>175</v>
      </c>
      <c r="AI371" s="5" t="str">
        <f>VLOOKUP($A371,'SegEnds_NonXtal_Prot#'!$A:$AL,20,FALSE)</f>
        <v>-</v>
      </c>
      <c r="AJ371" s="5">
        <f>VLOOKUP($A371,'SegEnds_NonXtal_Prot#'!$A:$AL,23,FALSE)</f>
        <v>208</v>
      </c>
      <c r="AK371" s="5">
        <f>VLOOKUP($A371,'SegEnds_NonXtal_Prot#'!$A:$AL,26,FALSE)</f>
        <v>226</v>
      </c>
      <c r="AL371" s="5">
        <f>VLOOKUP($A371,'SegEnds_NonXtal_Prot#'!$A:$AL,29,FALSE)</f>
        <v>274</v>
      </c>
      <c r="AM371" s="5">
        <f>VLOOKUP($A371,'SegEnds_NonXtal_Prot#'!$A:$AL,32,FALSE)</f>
        <v>318</v>
      </c>
      <c r="AN371" s="5">
        <f>VLOOKUP($A371,'SegEnds_NonXtal_Prot#'!$A:$AL,35,FALSE)</f>
        <v>348</v>
      </c>
      <c r="AO371" s="5">
        <f>VLOOKUP($A371,'SegEnds_NonXtal_Prot#'!$A:$AL,38,FALSE)</f>
        <v>360</v>
      </c>
      <c r="AP371" s="5">
        <f t="shared" si="138"/>
        <v>29</v>
      </c>
      <c r="AQ371" s="4">
        <f t="shared" si="139"/>
        <v>3</v>
      </c>
      <c r="AR371" s="4">
        <f t="shared" si="140"/>
        <v>30</v>
      </c>
      <c r="AS371" s="4">
        <f t="shared" si="141"/>
        <v>3</v>
      </c>
      <c r="AT371" s="4">
        <f t="shared" si="142"/>
        <v>35</v>
      </c>
      <c r="AU371" s="4" t="str">
        <f t="shared" si="143"/>
        <v>-</v>
      </c>
      <c r="AV371" s="4">
        <f t="shared" si="144"/>
        <v>26</v>
      </c>
      <c r="AW371" s="4">
        <f t="shared" si="145"/>
        <v>2</v>
      </c>
      <c r="AX371" s="4">
        <f t="shared" si="146"/>
        <v>41</v>
      </c>
      <c r="AY371" s="4">
        <f t="shared" si="147"/>
        <v>39</v>
      </c>
      <c r="AZ371" s="4">
        <f t="shared" si="148"/>
        <v>25</v>
      </c>
      <c r="BA371" s="4">
        <f t="shared" si="149"/>
        <v>11</v>
      </c>
    </row>
    <row r="372" spans="1:53" x14ac:dyDescent="0.2">
      <c r="A372" s="1" t="str">
        <f>'SegEnds_NonXtal_Prot#'!A369</f>
        <v>gpr98_human</v>
      </c>
      <c r="B372" s="1" t="str">
        <f t="shared" si="125"/>
        <v>VYARTDNLSSYNEAFFTSGFICISGLCLAVLSHIFCARMFAAKLLTHMMAASLGTQILFLASAYAESCSAMAAVTHYLYLCQFSWMLIQSVNFWYVLVMRRYLLFFLLSWGLPAFVVILLIVILKGIYYAALFTAALVPLTCLVVVFVVFIHAYQVKPQWKATNAAEIPLILYLFALISVTWLWGGLHFWMLVLFVIFNSLQGLYVFMVYFILHNQMCCPMKASYTVEMN</v>
      </c>
      <c r="C372" s="29" t="str">
        <f>IF(ISERROR(MATCH(A372,'SegEnds_Xtal_Prot#'!B:B, 0)), "NoXtal", "Xtal")</f>
        <v>NoXtal</v>
      </c>
      <c r="D372" s="4" t="str">
        <f>VLOOKUP(A372,Classification!A:D,2,FALSE)</f>
        <v>B2</v>
      </c>
      <c r="E372" s="5" t="str">
        <f>VLOOKUP(A372,Seqs!A:B,2,FALSE)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72" s="5" t="str">
        <f t="shared" si="126"/>
        <v>VYARTDNLSSYNEAFFTSGFICISGLCLAVLSHIFCAR</v>
      </c>
      <c r="G372" s="4" t="str">
        <f t="shared" si="127"/>
        <v/>
      </c>
      <c r="H372" s="4" t="str">
        <f t="shared" si="128"/>
        <v>MFAAKLLTHMMAASLGTQILFLASAYA</v>
      </c>
      <c r="I372" s="4" t="str">
        <f t="shared" si="129"/>
        <v/>
      </c>
      <c r="J372" s="4" t="str">
        <f t="shared" si="130"/>
        <v>ESCSAMAAVTHYLYLCQFSWMLIQSVNFWYVLVM</v>
      </c>
      <c r="K372" s="4" t="str">
        <f t="shared" si="131"/>
        <v/>
      </c>
      <c r="L372" s="4" t="str">
        <f t="shared" si="132"/>
        <v>RRYLLFFLLSWGLPAFVVILLIVILKGIY</v>
      </c>
      <c r="M372" s="4" t="str">
        <f t="shared" si="133"/>
        <v>CFI</v>
      </c>
      <c r="N372" s="4" t="str">
        <f t="shared" si="134"/>
        <v>YAALFTAALVPLTCLVVVFVVFIHAYQVKPQWKA</v>
      </c>
      <c r="O372" s="4" t="str">
        <f t="shared" si="135"/>
        <v>TNAAEIPLILYLFALISVTWLWGGL</v>
      </c>
      <c r="P372" s="4" t="str">
        <f t="shared" si="136"/>
        <v>HFWMLVLFVIFNSLQGLYVFMVYFIL</v>
      </c>
      <c r="Q372" s="4" t="str">
        <f t="shared" si="137"/>
        <v>HNQMCCPMKASYTVEMN</v>
      </c>
      <c r="R372" s="5">
        <f>VLOOKUP($A372,'SegEnds_NonXtal_Prot#'!$A:$AL,3,FALSE)</f>
        <v>5895</v>
      </c>
      <c r="S372" s="5" t="str">
        <f>VLOOKUP($A372,'SegEnds_NonXtal_Prot#'!$A:$AL,6,FALSE)</f>
        <v>-</v>
      </c>
      <c r="T372" s="5">
        <f>VLOOKUP($A372,'SegEnds_NonXtal_Prot#'!$A:$AL,9,FALSE)</f>
        <v>5935</v>
      </c>
      <c r="U372" s="5" t="str">
        <f>VLOOKUP($A372,'SegEnds_NonXtal_Prot#'!$A:$AL,12,FALSE)</f>
        <v>-</v>
      </c>
      <c r="V372" s="5">
        <f>VLOOKUP($A372,'SegEnds_NonXtal_Prot#'!$A:$AL,15,FALSE)</f>
        <v>5968</v>
      </c>
      <c r="W372" s="5" t="str">
        <f>VLOOKUP($A372,'SegEnds_NonXtal_Prot#'!$A:$AL,18,FALSE)</f>
        <v>-</v>
      </c>
      <c r="X372" s="5">
        <f>VLOOKUP($A372,'SegEnds_NonXtal_Prot#'!$A:$AL,21,FALSE)</f>
        <v>6008</v>
      </c>
      <c r="Y372" s="5">
        <f>VLOOKUP($A372,'SegEnds_NonXtal_Prot#'!$A:$AL,24,FALSE)</f>
        <v>6052</v>
      </c>
      <c r="Z372" s="5">
        <f>VLOOKUP($A372,'SegEnds_NonXtal_Prot#'!$A:$AL,27,FALSE)</f>
        <v>6058</v>
      </c>
      <c r="AA372" s="5">
        <f>VLOOKUP($A372,'SegEnds_NonXtal_Prot#'!$A:$AL,30,FALSE)</f>
        <v>6100</v>
      </c>
      <c r="AB372" s="5">
        <f>VLOOKUP($A372,'SegEnds_NonXtal_Prot#'!$A:$AL,33,FALSE)</f>
        <v>6130</v>
      </c>
      <c r="AC372" s="5">
        <f>VLOOKUP($A372,'SegEnds_NonXtal_Prot#'!$A:$AL,36,FALSE)</f>
        <v>6156</v>
      </c>
      <c r="AD372" s="5">
        <f>VLOOKUP($A372,'SegEnds_NonXtal_Prot#'!$A:$AL,5,FALSE)</f>
        <v>5932</v>
      </c>
      <c r="AE372" s="5" t="str">
        <f>VLOOKUP($A372,'SegEnds_NonXtal_Prot#'!$A:$AL,8,FALSE)</f>
        <v>-</v>
      </c>
      <c r="AF372" s="5">
        <f>VLOOKUP($A372,'SegEnds_NonXtal_Prot#'!$A:$AL,11,FALSE)</f>
        <v>5961</v>
      </c>
      <c r="AG372" s="5" t="str">
        <f>VLOOKUP($A372,'SegEnds_NonXtal_Prot#'!$A:$AL,14,FALSE)</f>
        <v>-</v>
      </c>
      <c r="AH372" s="5">
        <f>VLOOKUP($A372,'SegEnds_NonXtal_Prot#'!$A:$AL,17,FALSE)</f>
        <v>6001</v>
      </c>
      <c r="AI372" s="5" t="str">
        <f>VLOOKUP($A372,'SegEnds_NonXtal_Prot#'!$A:$AL,20,FALSE)</f>
        <v>-</v>
      </c>
      <c r="AJ372" s="5">
        <f>VLOOKUP($A372,'SegEnds_NonXtal_Prot#'!$A:$AL,23,FALSE)</f>
        <v>6036</v>
      </c>
      <c r="AK372" s="5">
        <f>VLOOKUP($A372,'SegEnds_NonXtal_Prot#'!$A:$AL,26,FALSE)</f>
        <v>6054</v>
      </c>
      <c r="AL372" s="5">
        <f>VLOOKUP($A372,'SegEnds_NonXtal_Prot#'!$A:$AL,29,FALSE)</f>
        <v>6091</v>
      </c>
      <c r="AM372" s="5">
        <f>VLOOKUP($A372,'SegEnds_NonXtal_Prot#'!$A:$AL,32,FALSE)</f>
        <v>6124</v>
      </c>
      <c r="AN372" s="5">
        <f>VLOOKUP($A372,'SegEnds_NonXtal_Prot#'!$A:$AL,35,FALSE)</f>
        <v>6155</v>
      </c>
      <c r="AO372" s="5">
        <f>VLOOKUP($A372,'SegEnds_NonXtal_Prot#'!$A:$AL,38,FALSE)</f>
        <v>6172</v>
      </c>
      <c r="AP372" s="5">
        <f t="shared" si="138"/>
        <v>37</v>
      </c>
      <c r="AQ372" s="4" t="str">
        <f t="shared" si="139"/>
        <v>-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28</v>
      </c>
      <c r="AW372" s="4">
        <f t="shared" si="145"/>
        <v>2</v>
      </c>
      <c r="AX372" s="4">
        <f t="shared" si="146"/>
        <v>33</v>
      </c>
      <c r="AY372" s="4">
        <f t="shared" si="147"/>
        <v>24</v>
      </c>
      <c r="AZ372" s="4">
        <f t="shared" si="148"/>
        <v>25</v>
      </c>
      <c r="BA372" s="4">
        <f t="shared" si="149"/>
        <v>16</v>
      </c>
    </row>
    <row r="373" spans="1:53" x14ac:dyDescent="0.2">
      <c r="A373" s="1" t="str">
        <f>'SegEnds_NonXtal_Prot#'!A370</f>
        <v>grm1_human</v>
      </c>
      <c r="B373" s="1" t="str">
        <f t="shared" si="125"/>
        <v>IESIIAIAFSCLGILVTLFVTLIFVLYSRELCYIILAGIFLGYVCPFTLITTSCYLQRLLVGLSSAMCYSALVTKTNRIARILSAWAQVIIASILISVQLTLVVTLIIMENLGVVAPLGYNGLLIMSCTYYAFKTEAKYIAFTMYTTCIIWLAFVPIYFGKIITTCFAVSLSVTVALGCMFTPKMYIIIAKPERNVRSAFTTS</v>
      </c>
      <c r="C373" s="29" t="str">
        <f>IF(ISERROR(MATCH(A373,'SegEnds_Xtal_Prot#'!B:B, 0)), "NoXtal", "Xtal")</f>
        <v>Xtal</v>
      </c>
      <c r="D373" s="4" t="str">
        <f>VLOOKUP(A373,Classification!A:D,2,FALSE)</f>
        <v>C</v>
      </c>
      <c r="E373" s="5" t="str">
        <f>VLOOKUP(A373,Seqs!A:B,2,FALSE)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73" s="5" t="str">
        <f t="shared" si="126"/>
        <v>IESIIAIAFSCLGILVTLFVTLIFVLY</v>
      </c>
      <c r="G373" s="4" t="str">
        <f t="shared" si="127"/>
        <v>TPVVKSS</v>
      </c>
      <c r="H373" s="4" t="str">
        <f t="shared" si="128"/>
        <v>SRELCYIILAGIFLGYVCPFTLI</v>
      </c>
      <c r="I373" s="4" t="str">
        <f t="shared" si="129"/>
        <v/>
      </c>
      <c r="J373" s="4" t="str">
        <f t="shared" si="130"/>
        <v>TTSCYLQRLLVGLSSAMCYSALVTKTNRIARIL</v>
      </c>
      <c r="K373" s="4" t="str">
        <f t="shared" si="131"/>
        <v/>
      </c>
      <c r="L373" s="4" t="str">
        <f t="shared" si="132"/>
        <v>SAWAQVIIASILISVQLTLVVTLIIME</v>
      </c>
      <c r="M373" s="4" t="str">
        <f t="shared" si="133"/>
        <v>CNT</v>
      </c>
      <c r="N373" s="4" t="str">
        <f t="shared" si="134"/>
        <v>NLGVVAPLGYNGLLIMSCTYYAFKT</v>
      </c>
      <c r="O373" s="4" t="str">
        <f t="shared" si="135"/>
        <v>EAKYIAFTMYTTCIIWLAFVPIYFG</v>
      </c>
      <c r="P373" s="4" t="str">
        <f t="shared" si="136"/>
        <v>KIITTCFAVSLSVTVALGCMFTPKMYIIIA</v>
      </c>
      <c r="Q373" s="4" t="str">
        <f t="shared" si="137"/>
        <v>KPERNVRSAFTTS</v>
      </c>
      <c r="R373" s="5">
        <f>VLOOKUP($A373,'SegEnds_NonXtal_Prot#'!$A:$AL,3,FALSE)</f>
        <v>591</v>
      </c>
      <c r="S373" s="5">
        <f>VLOOKUP($A373,'SegEnds_NonXtal_Prot#'!$A:$AL,6,FALSE)</f>
        <v>620</v>
      </c>
      <c r="T373" s="5">
        <f>VLOOKUP($A373,'SegEnds_NonXtal_Prot#'!$A:$AL,9,FALSE)</f>
        <v>627</v>
      </c>
      <c r="U373" s="5" t="str">
        <f>VLOOKUP($A373,'SegEnds_NonXtal_Prot#'!$A:$AL,12,FALSE)</f>
        <v>-</v>
      </c>
      <c r="V373" s="5">
        <f>VLOOKUP($A373,'SegEnds_NonXtal_Prot#'!$A:$AL,15,FALSE)</f>
        <v>654</v>
      </c>
      <c r="W373" s="5" t="str">
        <f>VLOOKUP($A373,'SegEnds_NonXtal_Prot#'!$A:$AL,18,FALSE)</f>
        <v>-</v>
      </c>
      <c r="X373" s="5">
        <f>VLOOKUP($A373,'SegEnds_NonXtal_Prot#'!$A:$AL,21,FALSE)</f>
        <v>702</v>
      </c>
      <c r="Y373" s="5">
        <f>VLOOKUP($A373,'SegEnds_NonXtal_Prot#'!$A:$AL,24,FALSE)</f>
        <v>746</v>
      </c>
      <c r="Z373" s="5">
        <f>VLOOKUP($A373,'SegEnds_NonXtal_Prot#'!$A:$AL,27,FALSE)</f>
        <v>750</v>
      </c>
      <c r="AA373" s="5">
        <f>VLOOKUP($A373,'SegEnds_NonXtal_Prot#'!$A:$AL,30,FALSE)</f>
        <v>783</v>
      </c>
      <c r="AB373" s="5">
        <f>VLOOKUP($A373,'SegEnds_NonXtal_Prot#'!$A:$AL,33,FALSE)</f>
        <v>811</v>
      </c>
      <c r="AC373" s="5">
        <f>VLOOKUP($A373,'SegEnds_NonXtal_Prot#'!$A:$AL,36,FALSE)</f>
        <v>841</v>
      </c>
      <c r="AD373" s="5">
        <f>VLOOKUP($A373,'SegEnds_NonXtal_Prot#'!$A:$AL,5,FALSE)</f>
        <v>617</v>
      </c>
      <c r="AE373" s="5">
        <f>VLOOKUP($A373,'SegEnds_NonXtal_Prot#'!$A:$AL,8,FALSE)</f>
        <v>626</v>
      </c>
      <c r="AF373" s="5">
        <f>VLOOKUP($A373,'SegEnds_NonXtal_Prot#'!$A:$AL,11,FALSE)</f>
        <v>649</v>
      </c>
      <c r="AG373" s="5" t="str">
        <f>VLOOKUP($A373,'SegEnds_NonXtal_Prot#'!$A:$AL,14,FALSE)</f>
        <v>-</v>
      </c>
      <c r="AH373" s="5">
        <f>VLOOKUP($A373,'SegEnds_NonXtal_Prot#'!$A:$AL,17,FALSE)</f>
        <v>686</v>
      </c>
      <c r="AI373" s="5" t="str">
        <f>VLOOKUP($A373,'SegEnds_NonXtal_Prot#'!$A:$AL,20,FALSE)</f>
        <v>-</v>
      </c>
      <c r="AJ373" s="5">
        <f>VLOOKUP($A373,'SegEnds_NonXtal_Prot#'!$A:$AL,23,FALSE)</f>
        <v>728</v>
      </c>
      <c r="AK373" s="5">
        <f>VLOOKUP($A373,'SegEnds_NonXtal_Prot#'!$A:$AL,26,FALSE)</f>
        <v>748</v>
      </c>
      <c r="AL373" s="5">
        <f>VLOOKUP($A373,'SegEnds_NonXtal_Prot#'!$A:$AL,29,FALSE)</f>
        <v>774</v>
      </c>
      <c r="AM373" s="5">
        <f>VLOOKUP($A373,'SegEnds_NonXtal_Prot#'!$A:$AL,32,FALSE)</f>
        <v>807</v>
      </c>
      <c r="AN373" s="5">
        <f>VLOOKUP($A373,'SegEnds_NonXtal_Prot#'!$A:$AL,35,FALSE)</f>
        <v>840</v>
      </c>
      <c r="AO373" s="5">
        <f>VLOOKUP($A373,'SegEnds_NonXtal_Prot#'!$A:$AL,38,FALSE)</f>
        <v>853</v>
      </c>
      <c r="AP373" s="5">
        <f t="shared" si="138"/>
        <v>26</v>
      </c>
      <c r="AQ373" s="4">
        <f t="shared" si="139"/>
        <v>6</v>
      </c>
      <c r="AR373" s="4">
        <f t="shared" si="140"/>
        <v>22</v>
      </c>
      <c r="AS373" s="4" t="str">
        <f t="shared" si="141"/>
        <v>-</v>
      </c>
      <c r="AT373" s="4">
        <f t="shared" si="142"/>
        <v>32</v>
      </c>
      <c r="AU373" s="4" t="str">
        <f t="shared" si="143"/>
        <v>-</v>
      </c>
      <c r="AV373" s="4">
        <f t="shared" si="144"/>
        <v>26</v>
      </c>
      <c r="AW373" s="4">
        <f t="shared" si="145"/>
        <v>2</v>
      </c>
      <c r="AX373" s="4">
        <f t="shared" si="146"/>
        <v>24</v>
      </c>
      <c r="AY373" s="4">
        <f t="shared" si="147"/>
        <v>24</v>
      </c>
      <c r="AZ373" s="4">
        <f t="shared" si="148"/>
        <v>29</v>
      </c>
      <c r="BA373" s="4">
        <f t="shared" si="149"/>
        <v>12</v>
      </c>
    </row>
    <row r="374" spans="1:53" x14ac:dyDescent="0.2">
      <c r="A374" s="1" t="str">
        <f>'SegEnds_NonXtal_Prot#'!A371</f>
        <v>grm2_human</v>
      </c>
      <c r="B374" s="1" t="str">
        <f t="shared" si="125"/>
        <v>AWAVGPVTIACLGALATLFVLGVFVRHGRELCYILLGGVFLCYCMTFIFITAVCTLRRLGLGTAFSVCYSALLTKTNRIARIFSPASQVAICLALISGQLLIVVAWLVVEDASMLGSLAYNVLLIALCTLYAFKTEAKFIGFTMYTTCIIWLAFLPIFYVQTTTMCVSVSLSGSVVLGCLFAPKLHIILFQPQKNVVSHRAPT</v>
      </c>
      <c r="C374" s="29" t="str">
        <f>IF(ISERROR(MATCH(A374,'SegEnds_Xtal_Prot#'!B:B, 0)), "NoXtal", "Xtal")</f>
        <v>NoXtal</v>
      </c>
      <c r="D374" s="4" t="str">
        <f>VLOOKUP(A374,Classification!A:D,2,FALSE)</f>
        <v>C</v>
      </c>
      <c r="E374" s="5" t="str">
        <f>VLOOKUP(A374,Seqs!A:B,2,FALSE)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74" s="5" t="str">
        <f t="shared" si="126"/>
        <v>AWAVGPVTIACLGALATLFVLGVFVRH</v>
      </c>
      <c r="G374" s="4" t="str">
        <f t="shared" si="127"/>
        <v>TPVVKAS</v>
      </c>
      <c r="H374" s="4" t="str">
        <f t="shared" si="128"/>
        <v>GRELCYILLGGVFLCYCMTFIFI</v>
      </c>
      <c r="I374" s="4" t="str">
        <f t="shared" si="129"/>
        <v/>
      </c>
      <c r="J374" s="4" t="str">
        <f t="shared" si="130"/>
        <v>TAVCTLRRLGLGTAFSVCYSALLTKTNRIARIF</v>
      </c>
      <c r="K374" s="4" t="str">
        <f t="shared" si="131"/>
        <v/>
      </c>
      <c r="L374" s="4" t="str">
        <f t="shared" si="132"/>
        <v>SPASQVAICLALISGQLLIVVAWLVVE</v>
      </c>
      <c r="M374" s="4" t="str">
        <f t="shared" si="133"/>
        <v>CNH</v>
      </c>
      <c r="N374" s="4" t="str">
        <f t="shared" si="134"/>
        <v>DASMLGSLAYNVLLIALCTLYAFKT</v>
      </c>
      <c r="O374" s="4" t="str">
        <f t="shared" si="135"/>
        <v>EAKFIGFTMYTTCIIWLAFLPIFYV</v>
      </c>
      <c r="P374" s="4" t="str">
        <f t="shared" si="136"/>
        <v>QTTTMCVSVSLSGSVVLGCLFAPKLHIILF</v>
      </c>
      <c r="Q374" s="4" t="str">
        <f t="shared" si="137"/>
        <v>QPQKNVVSHRAPT</v>
      </c>
      <c r="R374" s="5">
        <f>VLOOKUP($A374,'SegEnds_NonXtal_Prot#'!$A:$AL,3,FALSE)</f>
        <v>566</v>
      </c>
      <c r="S374" s="5">
        <f>VLOOKUP($A374,'SegEnds_NonXtal_Prot#'!$A:$AL,6,FALSE)</f>
        <v>595</v>
      </c>
      <c r="T374" s="5">
        <f>VLOOKUP($A374,'SegEnds_NonXtal_Prot#'!$A:$AL,9,FALSE)</f>
        <v>602</v>
      </c>
      <c r="U374" s="5" t="str">
        <f>VLOOKUP($A374,'SegEnds_NonXtal_Prot#'!$A:$AL,12,FALSE)</f>
        <v>-</v>
      </c>
      <c r="V374" s="5">
        <f>VLOOKUP($A374,'SegEnds_NonXtal_Prot#'!$A:$AL,15,FALSE)</f>
        <v>629</v>
      </c>
      <c r="W374" s="5" t="str">
        <f>VLOOKUP($A374,'SegEnds_NonXtal_Prot#'!$A:$AL,18,FALSE)</f>
        <v>-</v>
      </c>
      <c r="X374" s="5">
        <f>VLOOKUP($A374,'SegEnds_NonXtal_Prot#'!$A:$AL,21,FALSE)</f>
        <v>675</v>
      </c>
      <c r="Y374" s="5">
        <f>VLOOKUP($A374,'SegEnds_NonXtal_Prot#'!$A:$AL,24,FALSE)</f>
        <v>721</v>
      </c>
      <c r="Z374" s="5">
        <f>VLOOKUP($A374,'SegEnds_NonXtal_Prot#'!$A:$AL,27,FALSE)</f>
        <v>725</v>
      </c>
      <c r="AA374" s="5">
        <f>VLOOKUP($A374,'SegEnds_NonXtal_Prot#'!$A:$AL,30,FALSE)</f>
        <v>758</v>
      </c>
      <c r="AB374" s="5">
        <f>VLOOKUP($A374,'SegEnds_NonXtal_Prot#'!$A:$AL,33,FALSE)</f>
        <v>790</v>
      </c>
      <c r="AC374" s="5">
        <f>VLOOKUP($A374,'SegEnds_NonXtal_Prot#'!$A:$AL,36,FALSE)</f>
        <v>820</v>
      </c>
      <c r="AD374" s="5">
        <f>VLOOKUP($A374,'SegEnds_NonXtal_Prot#'!$A:$AL,5,FALSE)</f>
        <v>592</v>
      </c>
      <c r="AE374" s="5">
        <f>VLOOKUP($A374,'SegEnds_NonXtal_Prot#'!$A:$AL,8,FALSE)</f>
        <v>601</v>
      </c>
      <c r="AF374" s="5">
        <f>VLOOKUP($A374,'SegEnds_NonXtal_Prot#'!$A:$AL,11,FALSE)</f>
        <v>624</v>
      </c>
      <c r="AG374" s="5" t="str">
        <f>VLOOKUP($A374,'SegEnds_NonXtal_Prot#'!$A:$AL,14,FALSE)</f>
        <v>-</v>
      </c>
      <c r="AH374" s="5">
        <f>VLOOKUP($A374,'SegEnds_NonXtal_Prot#'!$A:$AL,17,FALSE)</f>
        <v>661</v>
      </c>
      <c r="AI374" s="5" t="str">
        <f>VLOOKUP($A374,'SegEnds_NonXtal_Prot#'!$A:$AL,20,FALSE)</f>
        <v>-</v>
      </c>
      <c r="AJ374" s="5">
        <f>VLOOKUP($A374,'SegEnds_NonXtal_Prot#'!$A:$AL,23,FALSE)</f>
        <v>701</v>
      </c>
      <c r="AK374" s="5">
        <f>VLOOKUP($A374,'SegEnds_NonXtal_Prot#'!$A:$AL,26,FALSE)</f>
        <v>723</v>
      </c>
      <c r="AL374" s="5">
        <f>VLOOKUP($A374,'SegEnds_NonXtal_Prot#'!$A:$AL,29,FALSE)</f>
        <v>749</v>
      </c>
      <c r="AM374" s="5">
        <f>VLOOKUP($A374,'SegEnds_NonXtal_Prot#'!$A:$AL,32,FALSE)</f>
        <v>782</v>
      </c>
      <c r="AN374" s="5">
        <f>VLOOKUP($A374,'SegEnds_NonXtal_Prot#'!$A:$AL,35,FALSE)</f>
        <v>819</v>
      </c>
      <c r="AO374" s="5">
        <f>VLOOKUP($A374,'SegEnds_NonXtal_Prot#'!$A:$AL,38,FALSE)</f>
        <v>832</v>
      </c>
      <c r="AP374" s="5">
        <f t="shared" si="138"/>
        <v>26</v>
      </c>
      <c r="AQ374" s="4">
        <f t="shared" si="139"/>
        <v>6</v>
      </c>
      <c r="AR374" s="4">
        <f t="shared" si="140"/>
        <v>22</v>
      </c>
      <c r="AS374" s="4" t="str">
        <f t="shared" si="141"/>
        <v>-</v>
      </c>
      <c r="AT374" s="4">
        <f t="shared" si="142"/>
        <v>32</v>
      </c>
      <c r="AU374" s="4" t="str">
        <f t="shared" si="143"/>
        <v>-</v>
      </c>
      <c r="AV374" s="4">
        <f t="shared" si="144"/>
        <v>26</v>
      </c>
      <c r="AW374" s="4">
        <f t="shared" si="145"/>
        <v>2</v>
      </c>
      <c r="AX374" s="4">
        <f t="shared" si="146"/>
        <v>24</v>
      </c>
      <c r="AY374" s="4">
        <f t="shared" si="147"/>
        <v>24</v>
      </c>
      <c r="AZ374" s="4">
        <f t="shared" si="148"/>
        <v>29</v>
      </c>
      <c r="BA374" s="4">
        <f t="shared" si="149"/>
        <v>12</v>
      </c>
    </row>
    <row r="375" spans="1:53" x14ac:dyDescent="0.2">
      <c r="A375" s="1" t="str">
        <f>'SegEnds_NonXtal_Prot#'!A372</f>
        <v>grm3_human</v>
      </c>
      <c r="B375" s="1" t="str">
        <f t="shared" si="125"/>
        <v>AWAIGPVTIACLGFMCTCMVVTVFIKHGRELCYILLFGVGLSYCMTFFFIPVICALRRLGLGSSFAICYSALLTKTNCIARIFSPSSQVFICLGLILVQIVMVSVWLILEDSSMLISLTYDVILVILCTVYAFKTEAKFIGFTMYTTCIIWLAFLPIFYVQTTTMCISVSLSGFVVLGCLFAPKVHIILFQPQKNVVTHRLHL</v>
      </c>
      <c r="C375" s="29" t="str">
        <f>IF(ISERROR(MATCH(A375,'SegEnds_Xtal_Prot#'!B:B, 0)), "NoXtal", "Xtal")</f>
        <v>NoXtal</v>
      </c>
      <c r="D375" s="4" t="str">
        <f>VLOOKUP(A375,Classification!A:D,2,FALSE)</f>
        <v>C</v>
      </c>
      <c r="E375" s="5" t="str">
        <f>VLOOKUP(A375,Seqs!A:B,2,FALSE)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75" s="5" t="str">
        <f t="shared" si="126"/>
        <v>AWAIGPVTIACLGFMCTCMVVTVFIKH</v>
      </c>
      <c r="G375" s="4" t="str">
        <f t="shared" si="127"/>
        <v>TPLVKAS</v>
      </c>
      <c r="H375" s="4" t="str">
        <f t="shared" si="128"/>
        <v>GRELCYILLFGVGLSYCMTFFFI</v>
      </c>
      <c r="I375" s="4" t="str">
        <f t="shared" si="129"/>
        <v/>
      </c>
      <c r="J375" s="4" t="str">
        <f t="shared" si="130"/>
        <v>PVICALRRLGLGSSFAICYSALLTKTNCIARIF</v>
      </c>
      <c r="K375" s="4" t="str">
        <f t="shared" si="131"/>
        <v/>
      </c>
      <c r="L375" s="4" t="str">
        <f t="shared" si="132"/>
        <v>SPSSQVFICLGLILVQIVMVSVWLILE</v>
      </c>
      <c r="M375" s="4" t="str">
        <f t="shared" si="133"/>
        <v>CNV</v>
      </c>
      <c r="N375" s="4" t="str">
        <f t="shared" si="134"/>
        <v>DSSMLISLTYDVILVILCTVYAFKT</v>
      </c>
      <c r="O375" s="4" t="str">
        <f t="shared" si="135"/>
        <v>EAKFIGFTMYTTCIIWLAFLPIFYV</v>
      </c>
      <c r="P375" s="4" t="str">
        <f t="shared" si="136"/>
        <v>QTTTMCISVSLSGFVVLGCLFAPKVHIILF</v>
      </c>
      <c r="Q375" s="4" t="str">
        <f t="shared" si="137"/>
        <v>QPQKNVVTHRLHL</v>
      </c>
      <c r="R375" s="5">
        <f>VLOOKUP($A375,'SegEnds_NonXtal_Prot#'!$A:$AL,3,FALSE)</f>
        <v>575</v>
      </c>
      <c r="S375" s="5">
        <f>VLOOKUP($A375,'SegEnds_NonXtal_Prot#'!$A:$AL,6,FALSE)</f>
        <v>604</v>
      </c>
      <c r="T375" s="5">
        <f>VLOOKUP($A375,'SegEnds_NonXtal_Prot#'!$A:$AL,9,FALSE)</f>
        <v>611</v>
      </c>
      <c r="U375" s="5" t="str">
        <f>VLOOKUP($A375,'SegEnds_NonXtal_Prot#'!$A:$AL,12,FALSE)</f>
        <v>-</v>
      </c>
      <c r="V375" s="5">
        <f>VLOOKUP($A375,'SegEnds_NonXtal_Prot#'!$A:$AL,15,FALSE)</f>
        <v>638</v>
      </c>
      <c r="W375" s="5" t="str">
        <f>VLOOKUP($A375,'SegEnds_NonXtal_Prot#'!$A:$AL,18,FALSE)</f>
        <v>-</v>
      </c>
      <c r="X375" s="5">
        <f>VLOOKUP($A375,'SegEnds_NonXtal_Prot#'!$A:$AL,21,FALSE)</f>
        <v>684</v>
      </c>
      <c r="Y375" s="5">
        <f>VLOOKUP($A375,'SegEnds_NonXtal_Prot#'!$A:$AL,24,FALSE)</f>
        <v>730</v>
      </c>
      <c r="Z375" s="5">
        <f>VLOOKUP($A375,'SegEnds_NonXtal_Prot#'!$A:$AL,27,FALSE)</f>
        <v>734</v>
      </c>
      <c r="AA375" s="5">
        <f>VLOOKUP($A375,'SegEnds_NonXtal_Prot#'!$A:$AL,30,FALSE)</f>
        <v>767</v>
      </c>
      <c r="AB375" s="5">
        <f>VLOOKUP($A375,'SegEnds_NonXtal_Prot#'!$A:$AL,33,FALSE)</f>
        <v>799</v>
      </c>
      <c r="AC375" s="5">
        <f>VLOOKUP($A375,'SegEnds_NonXtal_Prot#'!$A:$AL,36,FALSE)</f>
        <v>829</v>
      </c>
      <c r="AD375" s="5">
        <f>VLOOKUP($A375,'SegEnds_NonXtal_Prot#'!$A:$AL,5,FALSE)</f>
        <v>601</v>
      </c>
      <c r="AE375" s="5">
        <f>VLOOKUP($A375,'SegEnds_NonXtal_Prot#'!$A:$AL,8,FALSE)</f>
        <v>610</v>
      </c>
      <c r="AF375" s="5">
        <f>VLOOKUP($A375,'SegEnds_NonXtal_Prot#'!$A:$AL,11,FALSE)</f>
        <v>633</v>
      </c>
      <c r="AG375" s="5" t="str">
        <f>VLOOKUP($A375,'SegEnds_NonXtal_Prot#'!$A:$AL,14,FALSE)</f>
        <v>-</v>
      </c>
      <c r="AH375" s="5">
        <f>VLOOKUP($A375,'SegEnds_NonXtal_Prot#'!$A:$AL,17,FALSE)</f>
        <v>670</v>
      </c>
      <c r="AI375" s="5" t="str">
        <f>VLOOKUP($A375,'SegEnds_NonXtal_Prot#'!$A:$AL,20,FALSE)</f>
        <v>-</v>
      </c>
      <c r="AJ375" s="5">
        <f>VLOOKUP($A375,'SegEnds_NonXtal_Prot#'!$A:$AL,23,FALSE)</f>
        <v>710</v>
      </c>
      <c r="AK375" s="5">
        <f>VLOOKUP($A375,'SegEnds_NonXtal_Prot#'!$A:$AL,26,FALSE)</f>
        <v>732</v>
      </c>
      <c r="AL375" s="5">
        <f>VLOOKUP($A375,'SegEnds_NonXtal_Prot#'!$A:$AL,29,FALSE)</f>
        <v>758</v>
      </c>
      <c r="AM375" s="5">
        <f>VLOOKUP($A375,'SegEnds_NonXtal_Prot#'!$A:$AL,32,FALSE)</f>
        <v>791</v>
      </c>
      <c r="AN375" s="5">
        <f>VLOOKUP($A375,'SegEnds_NonXtal_Prot#'!$A:$AL,35,FALSE)</f>
        <v>828</v>
      </c>
      <c r="AO375" s="5">
        <f>VLOOKUP($A375,'SegEnds_NonXtal_Prot#'!$A:$AL,38,FALSE)</f>
        <v>841</v>
      </c>
      <c r="AP375" s="5">
        <f t="shared" si="138"/>
        <v>26</v>
      </c>
      <c r="AQ375" s="4">
        <f t="shared" si="139"/>
        <v>6</v>
      </c>
      <c r="AR375" s="4">
        <f t="shared" si="140"/>
        <v>22</v>
      </c>
      <c r="AS375" s="4" t="str">
        <f t="shared" si="141"/>
        <v>-</v>
      </c>
      <c r="AT375" s="4">
        <f t="shared" si="142"/>
        <v>32</v>
      </c>
      <c r="AU375" s="4" t="str">
        <f t="shared" si="143"/>
        <v>-</v>
      </c>
      <c r="AV375" s="4">
        <f t="shared" si="144"/>
        <v>26</v>
      </c>
      <c r="AW375" s="4">
        <f t="shared" si="145"/>
        <v>2</v>
      </c>
      <c r="AX375" s="4">
        <f t="shared" si="146"/>
        <v>24</v>
      </c>
      <c r="AY375" s="4">
        <f t="shared" si="147"/>
        <v>24</v>
      </c>
      <c r="AZ375" s="4">
        <f t="shared" si="148"/>
        <v>29</v>
      </c>
      <c r="BA375" s="4">
        <f t="shared" si="149"/>
        <v>12</v>
      </c>
    </row>
    <row r="376" spans="1:53" x14ac:dyDescent="0.2">
      <c r="A376" s="1" t="str">
        <f>'SegEnds_NonXtal_Prot#'!A373</f>
        <v>grm4_human</v>
      </c>
      <c r="B376" s="1" t="str">
        <f t="shared" si="125"/>
        <v>PWAVLPLFLAVVGIAATLFVVITFVRYGRELSYVLLAGIFLCYATTFLMILGTCSLRRIFLGLGMSISYAALLTKTNRIYRIFSPASQLAITFSLISLQLLGICVWFVVDDLSLICLLGYSMLLMVTCTVYAIKTEAKPIGFTMYTTCIVWLAFIPIFFGQTTTLTVSVSLSASVSLGMLYMPKVYIILFHPEQNVPKRKRSL</v>
      </c>
      <c r="C376" s="29" t="str">
        <f>IF(ISERROR(MATCH(A376,'SegEnds_Xtal_Prot#'!B:B, 0)), "NoXtal", "Xtal")</f>
        <v>NoXtal</v>
      </c>
      <c r="D376" s="4" t="str">
        <f>VLOOKUP(A376,Classification!A:D,2,FALSE)</f>
        <v>C</v>
      </c>
      <c r="E376" s="5" t="str">
        <f>VLOOKUP(A376,Seqs!A:B,2,FALSE)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76" s="5" t="str">
        <f t="shared" si="126"/>
        <v>PWAVLPLFLAVVGIAATLFVVITFVRY</v>
      </c>
      <c r="G376" s="4" t="str">
        <f t="shared" si="127"/>
        <v>TPIVKAS</v>
      </c>
      <c r="H376" s="4" t="str">
        <f t="shared" si="128"/>
        <v>GRELSYVLLAGIFLCYATTFLMI</v>
      </c>
      <c r="I376" s="4" t="str">
        <f t="shared" si="129"/>
        <v/>
      </c>
      <c r="J376" s="4" t="str">
        <f t="shared" si="130"/>
        <v>LGTCSLRRIFLGLGMSISYAALLTKTNRIYRIF</v>
      </c>
      <c r="K376" s="4" t="str">
        <f t="shared" si="131"/>
        <v/>
      </c>
      <c r="L376" s="4" t="str">
        <f t="shared" si="132"/>
        <v>SPASQLAITFSLISLQLLGICVWFVVD</v>
      </c>
      <c r="M376" s="4" t="str">
        <f t="shared" si="133"/>
        <v>CDI</v>
      </c>
      <c r="N376" s="4" t="str">
        <f t="shared" si="134"/>
        <v>DLSLICLLGYSMLLMVTCTVYAIKT</v>
      </c>
      <c r="O376" s="4" t="str">
        <f t="shared" si="135"/>
        <v>EAKPIGFTMYTTCIVWLAFIPIFFG</v>
      </c>
      <c r="P376" s="4" t="str">
        <f t="shared" si="136"/>
        <v>QTTTLTVSVSLSASVSLGMLYMPKVYIILF</v>
      </c>
      <c r="Q376" s="4" t="str">
        <f t="shared" si="137"/>
        <v>HPEQNVPKRKRSL</v>
      </c>
      <c r="R376" s="5">
        <f>VLOOKUP($A376,'SegEnds_NonXtal_Prot#'!$A:$AL,3,FALSE)</f>
        <v>586</v>
      </c>
      <c r="S376" s="5">
        <f>VLOOKUP($A376,'SegEnds_NonXtal_Prot#'!$A:$AL,6,FALSE)</f>
        <v>615</v>
      </c>
      <c r="T376" s="5">
        <f>VLOOKUP($A376,'SegEnds_NonXtal_Prot#'!$A:$AL,9,FALSE)</f>
        <v>622</v>
      </c>
      <c r="U376" s="5" t="str">
        <f>VLOOKUP($A376,'SegEnds_NonXtal_Prot#'!$A:$AL,12,FALSE)</f>
        <v>-</v>
      </c>
      <c r="V376" s="5">
        <f>VLOOKUP($A376,'SegEnds_NonXtal_Prot#'!$A:$AL,15,FALSE)</f>
        <v>649</v>
      </c>
      <c r="W376" s="5" t="str">
        <f>VLOOKUP($A376,'SegEnds_NonXtal_Prot#'!$A:$AL,18,FALSE)</f>
        <v>-</v>
      </c>
      <c r="X376" s="5">
        <f>VLOOKUP($A376,'SegEnds_NonXtal_Prot#'!$A:$AL,21,FALSE)</f>
        <v>695</v>
      </c>
      <c r="Y376" s="5">
        <f>VLOOKUP($A376,'SegEnds_NonXtal_Prot#'!$A:$AL,24,FALSE)</f>
        <v>746</v>
      </c>
      <c r="Z376" s="5">
        <f>VLOOKUP($A376,'SegEnds_NonXtal_Prot#'!$A:$AL,27,FALSE)</f>
        <v>750</v>
      </c>
      <c r="AA376" s="5">
        <f>VLOOKUP($A376,'SegEnds_NonXtal_Prot#'!$A:$AL,30,FALSE)</f>
        <v>783</v>
      </c>
      <c r="AB376" s="5">
        <f>VLOOKUP($A376,'SegEnds_NonXtal_Prot#'!$A:$AL,33,FALSE)</f>
        <v>818</v>
      </c>
      <c r="AC376" s="5">
        <f>VLOOKUP($A376,'SegEnds_NonXtal_Prot#'!$A:$AL,36,FALSE)</f>
        <v>848</v>
      </c>
      <c r="AD376" s="5">
        <f>VLOOKUP($A376,'SegEnds_NonXtal_Prot#'!$A:$AL,5,FALSE)</f>
        <v>612</v>
      </c>
      <c r="AE376" s="5">
        <f>VLOOKUP($A376,'SegEnds_NonXtal_Prot#'!$A:$AL,8,FALSE)</f>
        <v>621</v>
      </c>
      <c r="AF376" s="5">
        <f>VLOOKUP($A376,'SegEnds_NonXtal_Prot#'!$A:$AL,11,FALSE)</f>
        <v>644</v>
      </c>
      <c r="AG376" s="5" t="str">
        <f>VLOOKUP($A376,'SegEnds_NonXtal_Prot#'!$A:$AL,14,FALSE)</f>
        <v>-</v>
      </c>
      <c r="AH376" s="5">
        <f>VLOOKUP($A376,'SegEnds_NonXtal_Prot#'!$A:$AL,17,FALSE)</f>
        <v>681</v>
      </c>
      <c r="AI376" s="5" t="str">
        <f>VLOOKUP($A376,'SegEnds_NonXtal_Prot#'!$A:$AL,20,FALSE)</f>
        <v>-</v>
      </c>
      <c r="AJ376" s="5">
        <f>VLOOKUP($A376,'SegEnds_NonXtal_Prot#'!$A:$AL,23,FALSE)</f>
        <v>721</v>
      </c>
      <c r="AK376" s="5">
        <f>VLOOKUP($A376,'SegEnds_NonXtal_Prot#'!$A:$AL,26,FALSE)</f>
        <v>748</v>
      </c>
      <c r="AL376" s="5">
        <f>VLOOKUP($A376,'SegEnds_NonXtal_Prot#'!$A:$AL,29,FALSE)</f>
        <v>774</v>
      </c>
      <c r="AM376" s="5">
        <f>VLOOKUP($A376,'SegEnds_NonXtal_Prot#'!$A:$AL,32,FALSE)</f>
        <v>807</v>
      </c>
      <c r="AN376" s="5">
        <f>VLOOKUP($A376,'SegEnds_NonXtal_Prot#'!$A:$AL,35,FALSE)</f>
        <v>847</v>
      </c>
      <c r="AO376" s="5">
        <f>VLOOKUP($A376,'SegEnds_NonXtal_Prot#'!$A:$AL,38,FALSE)</f>
        <v>860</v>
      </c>
      <c r="AP376" s="5">
        <f t="shared" si="138"/>
        <v>26</v>
      </c>
      <c r="AQ376" s="4">
        <f t="shared" si="139"/>
        <v>6</v>
      </c>
      <c r="AR376" s="4">
        <f t="shared" si="140"/>
        <v>22</v>
      </c>
      <c r="AS376" s="4" t="str">
        <f t="shared" si="141"/>
        <v>-</v>
      </c>
      <c r="AT376" s="4">
        <f t="shared" si="142"/>
        <v>32</v>
      </c>
      <c r="AU376" s="4" t="str">
        <f t="shared" si="143"/>
        <v>-</v>
      </c>
      <c r="AV376" s="4">
        <f t="shared" si="144"/>
        <v>26</v>
      </c>
      <c r="AW376" s="4">
        <f t="shared" si="145"/>
        <v>2</v>
      </c>
      <c r="AX376" s="4">
        <f t="shared" si="146"/>
        <v>24</v>
      </c>
      <c r="AY376" s="4">
        <f t="shared" si="147"/>
        <v>24</v>
      </c>
      <c r="AZ376" s="4">
        <f t="shared" si="148"/>
        <v>29</v>
      </c>
      <c r="BA376" s="4">
        <f t="shared" si="149"/>
        <v>12</v>
      </c>
    </row>
    <row r="377" spans="1:53" x14ac:dyDescent="0.2">
      <c r="A377" s="1" t="str">
        <f>'SegEnds_NonXtal_Prot#'!A374</f>
        <v>grm5_human</v>
      </c>
      <c r="B377" s="1" t="str">
        <f t="shared" si="125"/>
        <v>PEPIAAVVFACLGLLATLFVTVVFIIYSRELCYIILAGICLGYLCTFCLIQIYCYLQRIGIGLSPAMSYSALVTKTNRIARILSACAQLVIAFILICIQLGIIVALFIMENLGVVTPLGYNGLLILSCTFYAFKTEAKYIAFTMYTTCIIWLAFVPIYFGKIITMCFSVSLSATVALGCMFVPKVYIILAKPERNVRSAFTTS</v>
      </c>
      <c r="C377" s="29" t="str">
        <f>IF(ISERROR(MATCH(A377,'SegEnds_Xtal_Prot#'!B:B, 0)), "NoXtal", "Xtal")</f>
        <v>Xtal</v>
      </c>
      <c r="D377" s="4" t="str">
        <f>VLOOKUP(A377,Classification!A:D,2,FALSE)</f>
        <v>C</v>
      </c>
      <c r="E377" s="5" t="str">
        <f>VLOOKUP(A377,Seqs!A:B,2,FALSE)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77" s="5" t="str">
        <f t="shared" si="126"/>
        <v>PEPIAAVVFACLGLLATLFVTVVFIIY</v>
      </c>
      <c r="G377" s="4" t="str">
        <f t="shared" si="127"/>
        <v>TPVVKSS</v>
      </c>
      <c r="H377" s="4" t="str">
        <f t="shared" si="128"/>
        <v>SRELCYIILAGICLGYLCTFCLI</v>
      </c>
      <c r="I377" s="4" t="str">
        <f t="shared" si="129"/>
        <v/>
      </c>
      <c r="J377" s="4" t="str">
        <f t="shared" si="130"/>
        <v>QIYCYLQRIGIGLSPAMSYSALVTKTNRIARIL</v>
      </c>
      <c r="K377" s="4" t="str">
        <f t="shared" si="131"/>
        <v/>
      </c>
      <c r="L377" s="4" t="str">
        <f t="shared" si="132"/>
        <v>SACAQLVIAFILICIQLGIIVALFIME</v>
      </c>
      <c r="M377" s="4" t="str">
        <f t="shared" si="133"/>
        <v>CNT</v>
      </c>
      <c r="N377" s="4" t="str">
        <f t="shared" si="134"/>
        <v>NLGVVTPLGYNGLLILSCTFYAFKT</v>
      </c>
      <c r="O377" s="4" t="str">
        <f t="shared" si="135"/>
        <v>EAKYIAFTMYTTCIIWLAFVPIYFG</v>
      </c>
      <c r="P377" s="4" t="str">
        <f t="shared" si="136"/>
        <v>KIITMCFSVSLSATVALGCMFVPKVYIILA</v>
      </c>
      <c r="Q377" s="4" t="str">
        <f t="shared" si="137"/>
        <v>KPERNVRSAFTTS</v>
      </c>
      <c r="R377" s="5">
        <f>VLOOKUP($A377,'SegEnds_NonXtal_Prot#'!$A:$AL,3,FALSE)</f>
        <v>578</v>
      </c>
      <c r="S377" s="5">
        <f>VLOOKUP($A377,'SegEnds_NonXtal_Prot#'!$A:$AL,6,FALSE)</f>
        <v>607</v>
      </c>
      <c r="T377" s="5">
        <f>VLOOKUP($A377,'SegEnds_NonXtal_Prot#'!$A:$AL,9,FALSE)</f>
        <v>614</v>
      </c>
      <c r="U377" s="5" t="str">
        <f>VLOOKUP($A377,'SegEnds_NonXtal_Prot#'!$A:$AL,12,FALSE)</f>
        <v>-</v>
      </c>
      <c r="V377" s="5">
        <f>VLOOKUP($A377,'SegEnds_NonXtal_Prot#'!$A:$AL,15,FALSE)</f>
        <v>641</v>
      </c>
      <c r="W377" s="5" t="str">
        <f>VLOOKUP($A377,'SegEnds_NonXtal_Prot#'!$A:$AL,18,FALSE)</f>
        <v>-</v>
      </c>
      <c r="X377" s="5">
        <f>VLOOKUP($A377,'SegEnds_NonXtal_Prot#'!$A:$AL,21,FALSE)</f>
        <v>689</v>
      </c>
      <c r="Y377" s="5">
        <f>VLOOKUP($A377,'SegEnds_NonXtal_Prot#'!$A:$AL,24,FALSE)</f>
        <v>733</v>
      </c>
      <c r="Z377" s="5">
        <f>VLOOKUP($A377,'SegEnds_NonXtal_Prot#'!$A:$AL,27,FALSE)</f>
        <v>737</v>
      </c>
      <c r="AA377" s="5">
        <f>VLOOKUP($A377,'SegEnds_NonXtal_Prot#'!$A:$AL,30,FALSE)</f>
        <v>770</v>
      </c>
      <c r="AB377" s="5">
        <f>VLOOKUP($A377,'SegEnds_NonXtal_Prot#'!$A:$AL,33,FALSE)</f>
        <v>798</v>
      </c>
      <c r="AC377" s="5">
        <f>VLOOKUP($A377,'SegEnds_NonXtal_Prot#'!$A:$AL,36,FALSE)</f>
        <v>828</v>
      </c>
      <c r="AD377" s="5">
        <f>VLOOKUP($A377,'SegEnds_NonXtal_Prot#'!$A:$AL,5,FALSE)</f>
        <v>604</v>
      </c>
      <c r="AE377" s="5">
        <f>VLOOKUP($A377,'SegEnds_NonXtal_Prot#'!$A:$AL,8,FALSE)</f>
        <v>613</v>
      </c>
      <c r="AF377" s="5">
        <f>VLOOKUP($A377,'SegEnds_NonXtal_Prot#'!$A:$AL,11,FALSE)</f>
        <v>636</v>
      </c>
      <c r="AG377" s="5" t="str">
        <f>VLOOKUP($A377,'SegEnds_NonXtal_Prot#'!$A:$AL,14,FALSE)</f>
        <v>-</v>
      </c>
      <c r="AH377" s="5">
        <f>VLOOKUP($A377,'SegEnds_NonXtal_Prot#'!$A:$AL,17,FALSE)</f>
        <v>673</v>
      </c>
      <c r="AI377" s="5" t="str">
        <f>VLOOKUP($A377,'SegEnds_NonXtal_Prot#'!$A:$AL,20,FALSE)</f>
        <v>-</v>
      </c>
      <c r="AJ377" s="5">
        <f>VLOOKUP($A377,'SegEnds_NonXtal_Prot#'!$A:$AL,23,FALSE)</f>
        <v>715</v>
      </c>
      <c r="AK377" s="5">
        <f>VLOOKUP($A377,'SegEnds_NonXtal_Prot#'!$A:$AL,26,FALSE)</f>
        <v>735</v>
      </c>
      <c r="AL377" s="5">
        <f>VLOOKUP($A377,'SegEnds_NonXtal_Prot#'!$A:$AL,29,FALSE)</f>
        <v>761</v>
      </c>
      <c r="AM377" s="5">
        <f>VLOOKUP($A377,'SegEnds_NonXtal_Prot#'!$A:$AL,32,FALSE)</f>
        <v>794</v>
      </c>
      <c r="AN377" s="5">
        <f>VLOOKUP($A377,'SegEnds_NonXtal_Prot#'!$A:$AL,35,FALSE)</f>
        <v>827</v>
      </c>
      <c r="AO377" s="5">
        <f>VLOOKUP($A377,'SegEnds_NonXtal_Prot#'!$A:$AL,38,FALSE)</f>
        <v>840</v>
      </c>
      <c r="AP377" s="5">
        <f t="shared" si="138"/>
        <v>26</v>
      </c>
      <c r="AQ377" s="4">
        <f t="shared" si="139"/>
        <v>6</v>
      </c>
      <c r="AR377" s="4">
        <f t="shared" si="140"/>
        <v>22</v>
      </c>
      <c r="AS377" s="4" t="str">
        <f t="shared" si="141"/>
        <v>-</v>
      </c>
      <c r="AT377" s="4">
        <f t="shared" si="142"/>
        <v>32</v>
      </c>
      <c r="AU377" s="4" t="str">
        <f t="shared" si="143"/>
        <v>-</v>
      </c>
      <c r="AV377" s="4">
        <f t="shared" si="144"/>
        <v>26</v>
      </c>
      <c r="AW377" s="4">
        <f t="shared" si="145"/>
        <v>2</v>
      </c>
      <c r="AX377" s="4">
        <f t="shared" si="146"/>
        <v>24</v>
      </c>
      <c r="AY377" s="4">
        <f t="shared" si="147"/>
        <v>24</v>
      </c>
      <c r="AZ377" s="4">
        <f t="shared" si="148"/>
        <v>29</v>
      </c>
      <c r="BA377" s="4">
        <f t="shared" si="149"/>
        <v>12</v>
      </c>
    </row>
    <row r="378" spans="1:53" x14ac:dyDescent="0.2">
      <c r="A378" s="1" t="str">
        <f>'SegEnds_NonXtal_Prot#'!A375</f>
        <v>grm6_human</v>
      </c>
      <c r="B378" s="1" t="str">
        <f t="shared" si="125"/>
        <v>PWAAPPLLLAVLGIVATTTVVATFVRYGRELSYVLLTGIFLIYAITFLMVAAVCAARRLFLGLGTTLSYSALLTKTNRIYRIFSPTSQLVITFSLTSLQVVGMIAWLGARDLSLIGCLGYSLLLMVTCTVYAIKAEAKPIGFTMYTTCIIWLAFVPIFFGQTTTLTVSLSLSASVSLGMLYVPKTYVILFHPEQNVQKRKRSL</v>
      </c>
      <c r="C378" s="29" t="str">
        <f>IF(ISERROR(MATCH(A378,'SegEnds_Xtal_Prot#'!B:B, 0)), "NoXtal", "Xtal")</f>
        <v>NoXtal</v>
      </c>
      <c r="D378" s="4" t="str">
        <f>VLOOKUP(A378,Classification!A:D,2,FALSE)</f>
        <v>C</v>
      </c>
      <c r="E378" s="5" t="str">
        <f>VLOOKUP(A378,Seqs!A:B,2,FALSE)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78" s="5" t="str">
        <f t="shared" si="126"/>
        <v>PWAAPPLLLAVLGIVATTTVVATFVRY</v>
      </c>
      <c r="G378" s="4" t="str">
        <f t="shared" si="127"/>
        <v>TPIVRAS</v>
      </c>
      <c r="H378" s="4" t="str">
        <f t="shared" si="128"/>
        <v>GRELSYVLLTGIFLIYAITFLMV</v>
      </c>
      <c r="I378" s="4" t="str">
        <f t="shared" si="129"/>
        <v/>
      </c>
      <c r="J378" s="4" t="str">
        <f t="shared" si="130"/>
        <v>AAVCAARRLFLGLGTTLSYSALLTKTNRIYRIF</v>
      </c>
      <c r="K378" s="4" t="str">
        <f t="shared" si="131"/>
        <v/>
      </c>
      <c r="L378" s="4" t="str">
        <f t="shared" si="132"/>
        <v>SPTSQLVITFSLTSLQVVGMIAWLGAR</v>
      </c>
      <c r="M378" s="4" t="str">
        <f t="shared" si="133"/>
        <v>CDM</v>
      </c>
      <c r="N378" s="4" t="str">
        <f t="shared" si="134"/>
        <v>DLSLIGCLGYSLLLMVTCTVYAIKA</v>
      </c>
      <c r="O378" s="4" t="str">
        <f t="shared" si="135"/>
        <v>EAKPIGFTMYTTCIIWLAFVPIFFG</v>
      </c>
      <c r="P378" s="4" t="str">
        <f t="shared" si="136"/>
        <v>QTTTLTVSLSLSASVSLGMLYVPKTYVILF</v>
      </c>
      <c r="Q378" s="4" t="str">
        <f t="shared" si="137"/>
        <v>HPEQNVQKRKRSL</v>
      </c>
      <c r="R378" s="5">
        <f>VLOOKUP($A378,'SegEnds_NonXtal_Prot#'!$A:$AL,3,FALSE)</f>
        <v>584</v>
      </c>
      <c r="S378" s="5">
        <f>VLOOKUP($A378,'SegEnds_NonXtal_Prot#'!$A:$AL,6,FALSE)</f>
        <v>613</v>
      </c>
      <c r="T378" s="5">
        <f>VLOOKUP($A378,'SegEnds_NonXtal_Prot#'!$A:$AL,9,FALSE)</f>
        <v>620</v>
      </c>
      <c r="U378" s="5" t="str">
        <f>VLOOKUP($A378,'SegEnds_NonXtal_Prot#'!$A:$AL,12,FALSE)</f>
        <v>-</v>
      </c>
      <c r="V378" s="5">
        <f>VLOOKUP($A378,'SegEnds_NonXtal_Prot#'!$A:$AL,15,FALSE)</f>
        <v>647</v>
      </c>
      <c r="W378" s="5" t="str">
        <f>VLOOKUP($A378,'SegEnds_NonXtal_Prot#'!$A:$AL,18,FALSE)</f>
        <v>-</v>
      </c>
      <c r="X378" s="5">
        <f>VLOOKUP($A378,'SegEnds_NonXtal_Prot#'!$A:$AL,21,FALSE)</f>
        <v>693</v>
      </c>
      <c r="Y378" s="5">
        <f>VLOOKUP($A378,'SegEnds_NonXtal_Prot#'!$A:$AL,24,FALSE)</f>
        <v>744</v>
      </c>
      <c r="Z378" s="5">
        <f>VLOOKUP($A378,'SegEnds_NonXtal_Prot#'!$A:$AL,27,FALSE)</f>
        <v>748</v>
      </c>
      <c r="AA378" s="5">
        <f>VLOOKUP($A378,'SegEnds_NonXtal_Prot#'!$A:$AL,30,FALSE)</f>
        <v>781</v>
      </c>
      <c r="AB378" s="5">
        <f>VLOOKUP($A378,'SegEnds_NonXtal_Prot#'!$A:$AL,33,FALSE)</f>
        <v>816</v>
      </c>
      <c r="AC378" s="5">
        <f>VLOOKUP($A378,'SegEnds_NonXtal_Prot#'!$A:$AL,36,FALSE)</f>
        <v>846</v>
      </c>
      <c r="AD378" s="5">
        <f>VLOOKUP($A378,'SegEnds_NonXtal_Prot#'!$A:$AL,5,FALSE)</f>
        <v>610</v>
      </c>
      <c r="AE378" s="5">
        <f>VLOOKUP($A378,'SegEnds_NonXtal_Prot#'!$A:$AL,8,FALSE)</f>
        <v>619</v>
      </c>
      <c r="AF378" s="5">
        <f>VLOOKUP($A378,'SegEnds_NonXtal_Prot#'!$A:$AL,11,FALSE)</f>
        <v>642</v>
      </c>
      <c r="AG378" s="5" t="str">
        <f>VLOOKUP($A378,'SegEnds_NonXtal_Prot#'!$A:$AL,14,FALSE)</f>
        <v>-</v>
      </c>
      <c r="AH378" s="5">
        <f>VLOOKUP($A378,'SegEnds_NonXtal_Prot#'!$A:$AL,17,FALSE)</f>
        <v>679</v>
      </c>
      <c r="AI378" s="5" t="str">
        <f>VLOOKUP($A378,'SegEnds_NonXtal_Prot#'!$A:$AL,20,FALSE)</f>
        <v>-</v>
      </c>
      <c r="AJ378" s="5">
        <f>VLOOKUP($A378,'SegEnds_NonXtal_Prot#'!$A:$AL,23,FALSE)</f>
        <v>719</v>
      </c>
      <c r="AK378" s="5">
        <f>VLOOKUP($A378,'SegEnds_NonXtal_Prot#'!$A:$AL,26,FALSE)</f>
        <v>746</v>
      </c>
      <c r="AL378" s="5">
        <f>VLOOKUP($A378,'SegEnds_NonXtal_Prot#'!$A:$AL,29,FALSE)</f>
        <v>772</v>
      </c>
      <c r="AM378" s="5">
        <f>VLOOKUP($A378,'SegEnds_NonXtal_Prot#'!$A:$AL,32,FALSE)</f>
        <v>805</v>
      </c>
      <c r="AN378" s="5">
        <f>VLOOKUP($A378,'SegEnds_NonXtal_Prot#'!$A:$AL,35,FALSE)</f>
        <v>845</v>
      </c>
      <c r="AO378" s="5">
        <f>VLOOKUP($A378,'SegEnds_NonXtal_Prot#'!$A:$AL,38,FALSE)</f>
        <v>858</v>
      </c>
      <c r="AP378" s="5">
        <f t="shared" si="138"/>
        <v>26</v>
      </c>
      <c r="AQ378" s="4">
        <f t="shared" si="139"/>
        <v>6</v>
      </c>
      <c r="AR378" s="4">
        <f t="shared" si="140"/>
        <v>22</v>
      </c>
      <c r="AS378" s="4" t="str">
        <f t="shared" si="141"/>
        <v>-</v>
      </c>
      <c r="AT378" s="4">
        <f t="shared" si="142"/>
        <v>32</v>
      </c>
      <c r="AU378" s="4" t="str">
        <f t="shared" si="143"/>
        <v>-</v>
      </c>
      <c r="AV378" s="4">
        <f t="shared" si="144"/>
        <v>26</v>
      </c>
      <c r="AW378" s="4">
        <f t="shared" si="145"/>
        <v>2</v>
      </c>
      <c r="AX378" s="4">
        <f t="shared" si="146"/>
        <v>24</v>
      </c>
      <c r="AY378" s="4">
        <f t="shared" si="147"/>
        <v>24</v>
      </c>
      <c r="AZ378" s="4">
        <f t="shared" si="148"/>
        <v>29</v>
      </c>
      <c r="BA378" s="4">
        <f t="shared" si="149"/>
        <v>12</v>
      </c>
    </row>
    <row r="379" spans="1:53" x14ac:dyDescent="0.2">
      <c r="A379" s="1" t="str">
        <f>'SegEnds_NonXtal_Prot#'!A376</f>
        <v>grm7_human</v>
      </c>
      <c r="B379" s="1" t="str">
        <f t="shared" si="125"/>
        <v>PWAVIPVFLAMLGIIATIFVMATFIRYGRELSYVLLTGIFLCYIITFLMIVAVCSFRRVFLGLGMCISYAALLTKTNRIYRIFSPTSQLAITSSLISVQLLGVFIWFGVDDLQIICSLGYSILLMVTCTVYAIKTEAKPIGFTMYTTCIVWLAFIPIFFGQTTTLTISMNLSASVALGMLYMPKVYIIIFHPELNVQKRKRSF</v>
      </c>
      <c r="C379" s="29" t="str">
        <f>IF(ISERROR(MATCH(A379,'SegEnds_Xtal_Prot#'!B:B, 0)), "NoXtal", "Xtal")</f>
        <v>NoXtal</v>
      </c>
      <c r="D379" s="4" t="str">
        <f>VLOOKUP(A379,Classification!A:D,2,FALSE)</f>
        <v>C</v>
      </c>
      <c r="E379" s="5" t="str">
        <f>VLOOKUP(A379,Seqs!A:B,2,FALSE)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79" s="5" t="str">
        <f t="shared" si="126"/>
        <v>PWAVIPVFLAMLGIIATIFVMATFIRY</v>
      </c>
      <c r="G379" s="4" t="str">
        <f t="shared" si="127"/>
        <v>TPIVRAS</v>
      </c>
      <c r="H379" s="4" t="str">
        <f t="shared" si="128"/>
        <v>GRELSYVLLTGIFLCYIITFLMI</v>
      </c>
      <c r="I379" s="4" t="str">
        <f t="shared" si="129"/>
        <v/>
      </c>
      <c r="J379" s="4" t="str">
        <f t="shared" si="130"/>
        <v>VAVCSFRRVFLGLGMCISYAALLTKTNRIYRIF</v>
      </c>
      <c r="K379" s="4" t="str">
        <f t="shared" si="131"/>
        <v/>
      </c>
      <c r="L379" s="4" t="str">
        <f t="shared" si="132"/>
        <v>SPTSQLAITSSLISVQLLGVFIWFGVD</v>
      </c>
      <c r="M379" s="4" t="str">
        <f t="shared" si="133"/>
        <v>CDI</v>
      </c>
      <c r="N379" s="4" t="str">
        <f t="shared" si="134"/>
        <v>DLQIICSLGYSILLMVTCTVYAIKT</v>
      </c>
      <c r="O379" s="4" t="str">
        <f t="shared" si="135"/>
        <v>EAKPIGFTMYTTCIVWLAFIPIFFG</v>
      </c>
      <c r="P379" s="4" t="str">
        <f t="shared" si="136"/>
        <v>QTTTLTISMNLSASVALGMLYMPKVYIIIF</v>
      </c>
      <c r="Q379" s="4" t="str">
        <f t="shared" si="137"/>
        <v>HPELNVQKRKRSF</v>
      </c>
      <c r="R379" s="5">
        <f>VLOOKUP($A379,'SegEnds_NonXtal_Prot#'!$A:$AL,3,FALSE)</f>
        <v>589</v>
      </c>
      <c r="S379" s="5">
        <f>VLOOKUP($A379,'SegEnds_NonXtal_Prot#'!$A:$AL,6,FALSE)</f>
        <v>618</v>
      </c>
      <c r="T379" s="5">
        <f>VLOOKUP($A379,'SegEnds_NonXtal_Prot#'!$A:$AL,9,FALSE)</f>
        <v>625</v>
      </c>
      <c r="U379" s="5" t="str">
        <f>VLOOKUP($A379,'SegEnds_NonXtal_Prot#'!$A:$AL,12,FALSE)</f>
        <v>-</v>
      </c>
      <c r="V379" s="5">
        <f>VLOOKUP($A379,'SegEnds_NonXtal_Prot#'!$A:$AL,15,FALSE)</f>
        <v>652</v>
      </c>
      <c r="W379" s="5" t="str">
        <f>VLOOKUP($A379,'SegEnds_NonXtal_Prot#'!$A:$AL,18,FALSE)</f>
        <v>-</v>
      </c>
      <c r="X379" s="5">
        <f>VLOOKUP($A379,'SegEnds_NonXtal_Prot#'!$A:$AL,21,FALSE)</f>
        <v>698</v>
      </c>
      <c r="Y379" s="5">
        <f>VLOOKUP($A379,'SegEnds_NonXtal_Prot#'!$A:$AL,24,FALSE)</f>
        <v>749</v>
      </c>
      <c r="Z379" s="5">
        <f>VLOOKUP($A379,'SegEnds_NonXtal_Prot#'!$A:$AL,27,FALSE)</f>
        <v>753</v>
      </c>
      <c r="AA379" s="5">
        <f>VLOOKUP($A379,'SegEnds_NonXtal_Prot#'!$A:$AL,30,FALSE)</f>
        <v>786</v>
      </c>
      <c r="AB379" s="5">
        <f>VLOOKUP($A379,'SegEnds_NonXtal_Prot#'!$A:$AL,33,FALSE)</f>
        <v>821</v>
      </c>
      <c r="AC379" s="5">
        <f>VLOOKUP($A379,'SegEnds_NonXtal_Prot#'!$A:$AL,36,FALSE)</f>
        <v>851</v>
      </c>
      <c r="AD379" s="5">
        <f>VLOOKUP($A379,'SegEnds_NonXtal_Prot#'!$A:$AL,5,FALSE)</f>
        <v>615</v>
      </c>
      <c r="AE379" s="5">
        <f>VLOOKUP($A379,'SegEnds_NonXtal_Prot#'!$A:$AL,8,FALSE)</f>
        <v>624</v>
      </c>
      <c r="AF379" s="5">
        <f>VLOOKUP($A379,'SegEnds_NonXtal_Prot#'!$A:$AL,11,FALSE)</f>
        <v>647</v>
      </c>
      <c r="AG379" s="5" t="str">
        <f>VLOOKUP($A379,'SegEnds_NonXtal_Prot#'!$A:$AL,14,FALSE)</f>
        <v>-</v>
      </c>
      <c r="AH379" s="5">
        <f>VLOOKUP($A379,'SegEnds_NonXtal_Prot#'!$A:$AL,17,FALSE)</f>
        <v>684</v>
      </c>
      <c r="AI379" s="5" t="str">
        <f>VLOOKUP($A379,'SegEnds_NonXtal_Prot#'!$A:$AL,20,FALSE)</f>
        <v>-</v>
      </c>
      <c r="AJ379" s="5">
        <f>VLOOKUP($A379,'SegEnds_NonXtal_Prot#'!$A:$AL,23,FALSE)</f>
        <v>724</v>
      </c>
      <c r="AK379" s="5">
        <f>VLOOKUP($A379,'SegEnds_NonXtal_Prot#'!$A:$AL,26,FALSE)</f>
        <v>751</v>
      </c>
      <c r="AL379" s="5">
        <f>VLOOKUP($A379,'SegEnds_NonXtal_Prot#'!$A:$AL,29,FALSE)</f>
        <v>777</v>
      </c>
      <c r="AM379" s="5">
        <f>VLOOKUP($A379,'SegEnds_NonXtal_Prot#'!$A:$AL,32,FALSE)</f>
        <v>810</v>
      </c>
      <c r="AN379" s="5">
        <f>VLOOKUP($A379,'SegEnds_NonXtal_Prot#'!$A:$AL,35,FALSE)</f>
        <v>850</v>
      </c>
      <c r="AO379" s="5">
        <f>VLOOKUP($A379,'SegEnds_NonXtal_Prot#'!$A:$AL,38,FALSE)</f>
        <v>863</v>
      </c>
      <c r="AP379" s="5">
        <f t="shared" si="138"/>
        <v>26</v>
      </c>
      <c r="AQ379" s="4">
        <f t="shared" si="139"/>
        <v>6</v>
      </c>
      <c r="AR379" s="4">
        <f t="shared" si="140"/>
        <v>22</v>
      </c>
      <c r="AS379" s="4" t="str">
        <f t="shared" si="141"/>
        <v>-</v>
      </c>
      <c r="AT379" s="4">
        <f t="shared" si="142"/>
        <v>32</v>
      </c>
      <c r="AU379" s="4" t="str">
        <f t="shared" si="143"/>
        <v>-</v>
      </c>
      <c r="AV379" s="4">
        <f t="shared" si="144"/>
        <v>26</v>
      </c>
      <c r="AW379" s="4">
        <f t="shared" si="145"/>
        <v>2</v>
      </c>
      <c r="AX379" s="4">
        <f t="shared" si="146"/>
        <v>24</v>
      </c>
      <c r="AY379" s="4">
        <f t="shared" si="147"/>
        <v>24</v>
      </c>
      <c r="AZ379" s="4">
        <f t="shared" si="148"/>
        <v>29</v>
      </c>
      <c r="BA379" s="4">
        <f t="shared" si="149"/>
        <v>12</v>
      </c>
    </row>
    <row r="380" spans="1:53" x14ac:dyDescent="0.2">
      <c r="A380" s="1" t="str">
        <f>'SegEnds_NonXtal_Prot#'!A378</f>
        <v>nk1r_human</v>
      </c>
      <c r="B380" s="1" t="str">
        <f t="shared" si="125"/>
        <v>QIVLWAAAYTVIVVTSVVGNVVVMWIILAHTVTNYFLVNLAFAEASMAAFNTVVNFTYAVHGLFYCKFHNFFPIAAVFASIYSMTAVAFDRYMAIIHSATATKVVICVIWVLALLLAFPQGYYSKIYEKVYHICVTVLIYFLPLLVIGYAYTVVGITLWASEIPGDRYHEQVSAKRKVVKMMIVVVCTFAICWLPFHIFFLLPYINKKFIQQVYLAIMWLAMSSTMYNPIIYCCLNDRFRLGFKHAF</v>
      </c>
      <c r="C380" s="29" t="str">
        <f>IF(ISERROR(MATCH(A380,'SegEnds_Xtal_Prot#'!B:B, 0)), "NoXtal", "Xtal")</f>
        <v>NoXtal</v>
      </c>
      <c r="D380" s="4" t="str">
        <f>VLOOKUP(A380,Classification!A:D,2,FALSE)</f>
        <v>A</v>
      </c>
      <c r="E380" s="5" t="str">
        <f>VLOOKUP(A380,Seqs!A:B,2,FALSE)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380" s="5" t="str">
        <f t="shared" si="126"/>
        <v>QIVLWAAAYTVIVVTSVVGNVVVMWIILAH</v>
      </c>
      <c r="G380" s="4" t="str">
        <f t="shared" si="127"/>
        <v>KRMR</v>
      </c>
      <c r="H380" s="4" t="str">
        <f t="shared" si="128"/>
        <v>TVTNYFLVNLAFAEASMAAFNTVVNFTYAVH</v>
      </c>
      <c r="I380" s="4" t="str">
        <f t="shared" si="129"/>
        <v>EWYY</v>
      </c>
      <c r="J380" s="4" t="str">
        <f t="shared" si="130"/>
        <v>GLFYCKFHNFFPIAAVFASIYSMTAVAFDRYMAIIH</v>
      </c>
      <c r="K380" s="4" t="str">
        <f t="shared" si="131"/>
        <v/>
      </c>
      <c r="L380" s="4" t="str">
        <f t="shared" si="132"/>
        <v>SATATKVVICVIWVLALLLAFPQGYYS</v>
      </c>
      <c r="M380" s="4" t="str">
        <f t="shared" si="133"/>
        <v>CMI</v>
      </c>
      <c r="N380" s="4" t="str">
        <f t="shared" si="134"/>
        <v>KIYEKVYHICVTVLIYFLPLLVIGYAYTVVGITLWASEIPGD</v>
      </c>
      <c r="O380" s="4" t="str">
        <f t="shared" si="135"/>
        <v>RYHEQVSAKRKVVKMMIVVVCTFAICWLPFHIFFLLPYIN</v>
      </c>
      <c r="P380" s="4" t="str">
        <f t="shared" si="136"/>
        <v>KKFIQQVYLAIMWLAMSSTMYNPIIYCCL</v>
      </c>
      <c r="Q380" s="4" t="str">
        <f t="shared" si="137"/>
        <v>NDRFRLGFKHAF</v>
      </c>
      <c r="R380" s="5">
        <f>VLOOKUP($A380,'SegEnds_NonXtal_Prot#'!$A:$AL,3,FALSE)</f>
        <v>31</v>
      </c>
      <c r="S380" s="5">
        <f>VLOOKUP($A380,'SegEnds_NonXtal_Prot#'!$A:$AL,6,FALSE)</f>
        <v>61</v>
      </c>
      <c r="T380" s="5">
        <f>VLOOKUP($A380,'SegEnds_NonXtal_Prot#'!$A:$AL,9,FALSE)</f>
        <v>65</v>
      </c>
      <c r="U380" s="5">
        <f>VLOOKUP($A380,'SegEnds_NonXtal_Prot#'!$A:$AL,12,FALSE)</f>
        <v>97</v>
      </c>
      <c r="V380" s="5">
        <f>VLOOKUP($A380,'SegEnds_NonXtal_Prot#'!$A:$AL,15,FALSE)</f>
        <v>101</v>
      </c>
      <c r="W380" s="5" t="str">
        <f>VLOOKUP($A380,'SegEnds_NonXtal_Prot#'!$A:$AL,18,FALSE)</f>
        <v>-</v>
      </c>
      <c r="X380" s="5">
        <f>VLOOKUP($A380,'SegEnds_NonXtal_Prot#'!$A:$AL,21,FALSE)</f>
        <v>143</v>
      </c>
      <c r="Y380" s="5">
        <f>VLOOKUP($A380,'SegEnds_NonXtal_Prot#'!$A:$AL,24,FALSE)</f>
        <v>180</v>
      </c>
      <c r="Z380" s="5">
        <f>VLOOKUP($A380,'SegEnds_NonXtal_Prot#'!$A:$AL,27,FALSE)</f>
        <v>190</v>
      </c>
      <c r="AA380" s="5">
        <f>VLOOKUP($A380,'SegEnds_NonXtal_Prot#'!$A:$AL,30,FALSE)</f>
        <v>235</v>
      </c>
      <c r="AB380" s="5">
        <f>VLOOKUP($A380,'SegEnds_NonXtal_Prot#'!$A:$AL,33,FALSE)</f>
        <v>280</v>
      </c>
      <c r="AC380" s="5">
        <f>VLOOKUP($A380,'SegEnds_NonXtal_Prot#'!$A:$AL,36,FALSE)</f>
        <v>309</v>
      </c>
      <c r="AD380" s="5">
        <f>VLOOKUP($A380,'SegEnds_NonXtal_Prot#'!$A:$AL,5,FALSE)</f>
        <v>60</v>
      </c>
      <c r="AE380" s="5">
        <f>VLOOKUP($A380,'SegEnds_NonXtal_Prot#'!$A:$AL,8,FALSE)</f>
        <v>64</v>
      </c>
      <c r="AF380" s="5">
        <f>VLOOKUP($A380,'SegEnds_NonXtal_Prot#'!$A:$AL,11,FALSE)</f>
        <v>95</v>
      </c>
      <c r="AG380" s="5">
        <f>VLOOKUP($A380,'SegEnds_NonXtal_Prot#'!$A:$AL,14,FALSE)</f>
        <v>100</v>
      </c>
      <c r="AH380" s="5">
        <f>VLOOKUP($A380,'SegEnds_NonXtal_Prot#'!$A:$AL,17,FALSE)</f>
        <v>136</v>
      </c>
      <c r="AI380" s="5" t="str">
        <f>VLOOKUP($A380,'SegEnds_NonXtal_Prot#'!$A:$AL,20,FALSE)</f>
        <v>-</v>
      </c>
      <c r="AJ380" s="5">
        <f>VLOOKUP($A380,'SegEnds_NonXtal_Prot#'!$A:$AL,23,FALSE)</f>
        <v>169</v>
      </c>
      <c r="AK380" s="5">
        <f>VLOOKUP($A380,'SegEnds_NonXtal_Prot#'!$A:$AL,26,FALSE)</f>
        <v>182</v>
      </c>
      <c r="AL380" s="5">
        <f>VLOOKUP($A380,'SegEnds_NonXtal_Prot#'!$A:$AL,29,FALSE)</f>
        <v>231</v>
      </c>
      <c r="AM380" s="5">
        <f>VLOOKUP($A380,'SegEnds_NonXtal_Prot#'!$A:$AL,32,FALSE)</f>
        <v>274</v>
      </c>
      <c r="AN380" s="5">
        <f>VLOOKUP($A380,'SegEnds_NonXtal_Prot#'!$A:$AL,35,FALSE)</f>
        <v>308</v>
      </c>
      <c r="AO380" s="5">
        <f>VLOOKUP($A380,'SegEnds_NonXtal_Prot#'!$A:$AL,38,FALSE)</f>
        <v>320</v>
      </c>
      <c r="AP380" s="5">
        <f t="shared" si="138"/>
        <v>29</v>
      </c>
      <c r="AQ380" s="4">
        <f t="shared" si="139"/>
        <v>3</v>
      </c>
      <c r="AR380" s="4">
        <f t="shared" si="140"/>
        <v>30</v>
      </c>
      <c r="AS380" s="4">
        <f t="shared" si="141"/>
        <v>3</v>
      </c>
      <c r="AT380" s="4">
        <f t="shared" si="142"/>
        <v>35</v>
      </c>
      <c r="AU380" s="4" t="str">
        <f t="shared" si="143"/>
        <v>-</v>
      </c>
      <c r="AV380" s="4">
        <f t="shared" si="144"/>
        <v>26</v>
      </c>
      <c r="AW380" s="4">
        <f t="shared" si="145"/>
        <v>2</v>
      </c>
      <c r="AX380" s="4">
        <f t="shared" si="146"/>
        <v>41</v>
      </c>
      <c r="AY380" s="4">
        <f t="shared" si="147"/>
        <v>39</v>
      </c>
      <c r="AZ380" s="4">
        <f t="shared" si="148"/>
        <v>28</v>
      </c>
      <c r="BA380" s="4">
        <f t="shared" si="149"/>
        <v>11</v>
      </c>
    </row>
    <row r="381" spans="1:53" x14ac:dyDescent="0.2">
      <c r="A381" s="1" t="str">
        <f>'SegEnds_NonXtal_Prot#'!A377</f>
        <v>grm8_human</v>
      </c>
      <c r="B381" s="1" t="str">
        <f t="shared" si="125"/>
        <v>PWAVVPVFVAILGIIATTFVIVTFVRYGRELSYVLLTGIFLCYSITFLMITIICSFRRVFLGLGMCFSYAALLTKTNRIHRIFSPASQLVITFSLISVQLLGVFVWFVVDDLSLICSLGYSILLMVTCTVYAIKTEAKPIGFTMYTTCIIWLAFIPIFFGQTTTLTVSMSLSASVSLGMLYMPKVYIIIFHPEQNVQKRKRSF</v>
      </c>
      <c r="C381" s="29" t="str">
        <f>IF(ISERROR(MATCH(A381,'SegEnds_Xtal_Prot#'!B:B, 0)), "NoXtal", "Xtal")</f>
        <v>NoXtal</v>
      </c>
      <c r="D381" s="4" t="str">
        <f>VLOOKUP(A381,Classification!A:D,2,FALSE)</f>
        <v>C</v>
      </c>
      <c r="E381" s="5" t="str">
        <f>VLOOKUP(A381,Seqs!A:B,2,FALSE)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81" s="5" t="str">
        <f t="shared" si="126"/>
        <v>PWAVVPVFVAILGIIATTFVIVTFVRY</v>
      </c>
      <c r="G381" s="4" t="str">
        <f t="shared" si="127"/>
        <v>TPIVRAS</v>
      </c>
      <c r="H381" s="4" t="str">
        <f t="shared" si="128"/>
        <v>GRELSYVLLTGIFLCYSITFLMI</v>
      </c>
      <c r="I381" s="4" t="str">
        <f t="shared" si="129"/>
        <v/>
      </c>
      <c r="J381" s="4" t="str">
        <f t="shared" si="130"/>
        <v>TIICSFRRVFLGLGMCFSYAALLTKTNRIHRIF</v>
      </c>
      <c r="K381" s="4" t="str">
        <f t="shared" si="131"/>
        <v/>
      </c>
      <c r="L381" s="4" t="str">
        <f t="shared" si="132"/>
        <v>SPASQLVITFSLISVQLLGVFVWFVVD</v>
      </c>
      <c r="M381" s="4" t="str">
        <f t="shared" si="133"/>
        <v>CDI</v>
      </c>
      <c r="N381" s="4" t="str">
        <f t="shared" si="134"/>
        <v>DLSLICSLGYSILLMVTCTVYAIKT</v>
      </c>
      <c r="O381" s="4" t="str">
        <f t="shared" si="135"/>
        <v>EAKPIGFTMYTTCIIWLAFIPIFFG</v>
      </c>
      <c r="P381" s="4" t="str">
        <f t="shared" si="136"/>
        <v>QTTTLTVSMSLSASVSLGMLYMPKVYIIIF</v>
      </c>
      <c r="Q381" s="4" t="str">
        <f t="shared" si="137"/>
        <v>HPEQNVQKRKRSF</v>
      </c>
      <c r="R381" s="5">
        <f>VLOOKUP($A381,'SegEnds_NonXtal_Prot#'!$A:$AL,3,FALSE)</f>
        <v>582</v>
      </c>
      <c r="S381" s="5">
        <f>VLOOKUP($A381,'SegEnds_NonXtal_Prot#'!$A:$AL,6,FALSE)</f>
        <v>611</v>
      </c>
      <c r="T381" s="5">
        <f>VLOOKUP($A381,'SegEnds_NonXtal_Prot#'!$A:$AL,9,FALSE)</f>
        <v>618</v>
      </c>
      <c r="U381" s="5" t="str">
        <f>VLOOKUP($A381,'SegEnds_NonXtal_Prot#'!$A:$AL,12,FALSE)</f>
        <v>-</v>
      </c>
      <c r="V381" s="5">
        <f>VLOOKUP($A381,'SegEnds_NonXtal_Prot#'!$A:$AL,15,FALSE)</f>
        <v>645</v>
      </c>
      <c r="W381" s="5" t="str">
        <f>VLOOKUP($A381,'SegEnds_NonXtal_Prot#'!$A:$AL,18,FALSE)</f>
        <v>-</v>
      </c>
      <c r="X381" s="5">
        <f>VLOOKUP($A381,'SegEnds_NonXtal_Prot#'!$A:$AL,21,FALSE)</f>
        <v>691</v>
      </c>
      <c r="Y381" s="5">
        <f>VLOOKUP($A381,'SegEnds_NonXtal_Prot#'!$A:$AL,24,FALSE)</f>
        <v>742</v>
      </c>
      <c r="Z381" s="5">
        <f>VLOOKUP($A381,'SegEnds_NonXtal_Prot#'!$A:$AL,27,FALSE)</f>
        <v>746</v>
      </c>
      <c r="AA381" s="5">
        <f>VLOOKUP($A381,'SegEnds_NonXtal_Prot#'!$A:$AL,30,FALSE)</f>
        <v>779</v>
      </c>
      <c r="AB381" s="5">
        <f>VLOOKUP($A381,'SegEnds_NonXtal_Prot#'!$A:$AL,33,FALSE)</f>
        <v>814</v>
      </c>
      <c r="AC381" s="5">
        <f>VLOOKUP($A381,'SegEnds_NonXtal_Prot#'!$A:$AL,36,FALSE)</f>
        <v>844</v>
      </c>
      <c r="AD381" s="5">
        <f>VLOOKUP($A381,'SegEnds_NonXtal_Prot#'!$A:$AL,5,FALSE)</f>
        <v>608</v>
      </c>
      <c r="AE381" s="5">
        <f>VLOOKUP($A381,'SegEnds_NonXtal_Prot#'!$A:$AL,8,FALSE)</f>
        <v>617</v>
      </c>
      <c r="AF381" s="5">
        <f>VLOOKUP($A381,'SegEnds_NonXtal_Prot#'!$A:$AL,11,FALSE)</f>
        <v>640</v>
      </c>
      <c r="AG381" s="5" t="str">
        <f>VLOOKUP($A381,'SegEnds_NonXtal_Prot#'!$A:$AL,14,FALSE)</f>
        <v>-</v>
      </c>
      <c r="AH381" s="5">
        <f>VLOOKUP($A381,'SegEnds_NonXtal_Prot#'!$A:$AL,17,FALSE)</f>
        <v>677</v>
      </c>
      <c r="AI381" s="5" t="str">
        <f>VLOOKUP($A381,'SegEnds_NonXtal_Prot#'!$A:$AL,20,FALSE)</f>
        <v>-</v>
      </c>
      <c r="AJ381" s="5">
        <f>VLOOKUP($A381,'SegEnds_NonXtal_Prot#'!$A:$AL,23,FALSE)</f>
        <v>717</v>
      </c>
      <c r="AK381" s="5">
        <f>VLOOKUP($A381,'SegEnds_NonXtal_Prot#'!$A:$AL,26,FALSE)</f>
        <v>744</v>
      </c>
      <c r="AL381" s="5">
        <f>VLOOKUP($A381,'SegEnds_NonXtal_Prot#'!$A:$AL,29,FALSE)</f>
        <v>770</v>
      </c>
      <c r="AM381" s="5">
        <f>VLOOKUP($A381,'SegEnds_NonXtal_Prot#'!$A:$AL,32,FALSE)</f>
        <v>803</v>
      </c>
      <c r="AN381" s="5">
        <f>VLOOKUP($A381,'SegEnds_NonXtal_Prot#'!$A:$AL,35,FALSE)</f>
        <v>843</v>
      </c>
      <c r="AO381" s="5">
        <f>VLOOKUP($A381,'SegEnds_NonXtal_Prot#'!$A:$AL,38,FALSE)</f>
        <v>856</v>
      </c>
      <c r="AP381" s="5">
        <f t="shared" si="138"/>
        <v>26</v>
      </c>
      <c r="AQ381" s="4">
        <f t="shared" si="139"/>
        <v>6</v>
      </c>
      <c r="AR381" s="4">
        <f t="shared" si="140"/>
        <v>22</v>
      </c>
      <c r="AS381" s="4" t="str">
        <f t="shared" si="141"/>
        <v>-</v>
      </c>
      <c r="AT381" s="4">
        <f t="shared" si="142"/>
        <v>32</v>
      </c>
      <c r="AU381" s="4" t="str">
        <f t="shared" si="143"/>
        <v>-</v>
      </c>
      <c r="AV381" s="4">
        <f t="shared" si="144"/>
        <v>26</v>
      </c>
      <c r="AW381" s="4">
        <f t="shared" si="145"/>
        <v>2</v>
      </c>
      <c r="AX381" s="4">
        <f t="shared" si="146"/>
        <v>24</v>
      </c>
      <c r="AY381" s="4">
        <f t="shared" si="147"/>
        <v>24</v>
      </c>
      <c r="AZ381" s="4">
        <f t="shared" si="148"/>
        <v>29</v>
      </c>
      <c r="BA381" s="4">
        <f t="shared" si="149"/>
        <v>12</v>
      </c>
    </row>
    <row r="382" spans="1:53" x14ac:dyDescent="0.2">
      <c r="A382" s="1" t="str">
        <f>'SegEnds_NonXtal_Prot#'!A380</f>
        <v>nk3r_human</v>
      </c>
      <c r="B382" s="1" t="str">
        <f t="shared" si="125"/>
        <v>RIALWSLAYGVVVAVAVLGNLIVIWIILAHTVTNYFLVNLAFSDASMAAFNTLVNFIYALHGANYCRFQNFFPITAVFASIYSMTAIAVDRYMAIIDSATATKIVIGSIWILAFLLAFPQCLYSPKQHFTYHIIVIILVYCFPLLIMGITYTIVGITLWGGEIPGDKYHEQLKAKRKVVKMMIIVVMTFAICWLPYHIYFILTAIYWKYIQQVYLASFWLAMSSTMYNPIIYCCLNKRFRAGFKRAF</v>
      </c>
      <c r="C382" s="29" t="str">
        <f>IF(ISERROR(MATCH(A382,'SegEnds_Xtal_Prot#'!B:B, 0)), "NoXtal", "Xtal")</f>
        <v>NoXtal</v>
      </c>
      <c r="D382" s="4" t="str">
        <f>VLOOKUP(A382,Classification!A:D,2,FALSE)</f>
        <v>A</v>
      </c>
      <c r="E382" s="5" t="str">
        <f>VLOOKUP(A382,Seqs!A:B,2,FALSE)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382" s="5" t="str">
        <f t="shared" si="126"/>
        <v>RIALWSLAYGVVVAVAVLGNLIVIWIILAH</v>
      </c>
      <c r="G382" s="4" t="str">
        <f t="shared" si="127"/>
        <v>KRMR</v>
      </c>
      <c r="H382" s="4" t="str">
        <f t="shared" si="128"/>
        <v>TVTNYFLVNLAFSDASMAAFNTLVNFIYALH</v>
      </c>
      <c r="I382" s="4" t="str">
        <f t="shared" si="129"/>
        <v>EWYF</v>
      </c>
      <c r="J382" s="4" t="str">
        <f t="shared" si="130"/>
        <v>GANYCRFQNFFPITAVFASIYSMTAIAVDRYMAIID</v>
      </c>
      <c r="K382" s="4" t="str">
        <f t="shared" si="131"/>
        <v/>
      </c>
      <c r="L382" s="4" t="str">
        <f t="shared" si="132"/>
        <v>SATATKIVIGSIWILAFLLAFPQCLYS</v>
      </c>
      <c r="M382" s="4" t="str">
        <f t="shared" si="133"/>
        <v>CFV</v>
      </c>
      <c r="N382" s="4" t="str">
        <f t="shared" si="134"/>
        <v>PKQHFTYHIIVIILVYCFPLLIMGITYTIVGITLWGGEIPGD</v>
      </c>
      <c r="O382" s="4" t="str">
        <f t="shared" si="135"/>
        <v>KYHEQLKAKRKVVKMMIIVVMTFAICWLPYHIYFILTAIY</v>
      </c>
      <c r="P382" s="4" t="str">
        <f t="shared" si="136"/>
        <v>WKYIQQVYLASFWLAMSSTMYNPIIYCCL</v>
      </c>
      <c r="Q382" s="4" t="str">
        <f t="shared" si="137"/>
        <v>NKRFRAGFKRAF</v>
      </c>
      <c r="R382" s="5">
        <f>VLOOKUP($A382,'SegEnds_NonXtal_Prot#'!$A:$AL,3,FALSE)</f>
        <v>84</v>
      </c>
      <c r="S382" s="5">
        <f>VLOOKUP($A382,'SegEnds_NonXtal_Prot#'!$A:$AL,6,FALSE)</f>
        <v>114</v>
      </c>
      <c r="T382" s="5">
        <f>VLOOKUP($A382,'SegEnds_NonXtal_Prot#'!$A:$AL,9,FALSE)</f>
        <v>118</v>
      </c>
      <c r="U382" s="5">
        <f>VLOOKUP($A382,'SegEnds_NonXtal_Prot#'!$A:$AL,12,FALSE)</f>
        <v>150</v>
      </c>
      <c r="V382" s="5">
        <f>VLOOKUP($A382,'SegEnds_NonXtal_Prot#'!$A:$AL,15,FALSE)</f>
        <v>154</v>
      </c>
      <c r="W382" s="5" t="str">
        <f>VLOOKUP($A382,'SegEnds_NonXtal_Prot#'!$A:$AL,18,FALSE)</f>
        <v>-</v>
      </c>
      <c r="X382" s="5">
        <f>VLOOKUP($A382,'SegEnds_NonXtal_Prot#'!$A:$AL,21,FALSE)</f>
        <v>196</v>
      </c>
      <c r="Y382" s="5">
        <f>VLOOKUP($A382,'SegEnds_NonXtal_Prot#'!$A:$AL,24,FALSE)</f>
        <v>233</v>
      </c>
      <c r="Z382" s="5">
        <f>VLOOKUP($A382,'SegEnds_NonXtal_Prot#'!$A:$AL,27,FALSE)</f>
        <v>241</v>
      </c>
      <c r="AA382" s="5">
        <f>VLOOKUP($A382,'SegEnds_NonXtal_Prot#'!$A:$AL,30,FALSE)</f>
        <v>286</v>
      </c>
      <c r="AB382" s="5">
        <f>VLOOKUP($A382,'SegEnds_NonXtal_Prot#'!$A:$AL,33,FALSE)</f>
        <v>331</v>
      </c>
      <c r="AC382" s="5">
        <f>VLOOKUP($A382,'SegEnds_NonXtal_Prot#'!$A:$AL,36,FALSE)</f>
        <v>360</v>
      </c>
      <c r="AD382" s="5">
        <f>VLOOKUP($A382,'SegEnds_NonXtal_Prot#'!$A:$AL,5,FALSE)</f>
        <v>113</v>
      </c>
      <c r="AE382" s="5">
        <f>VLOOKUP($A382,'SegEnds_NonXtal_Prot#'!$A:$AL,8,FALSE)</f>
        <v>117</v>
      </c>
      <c r="AF382" s="5">
        <f>VLOOKUP($A382,'SegEnds_NonXtal_Prot#'!$A:$AL,11,FALSE)</f>
        <v>148</v>
      </c>
      <c r="AG382" s="5">
        <f>VLOOKUP($A382,'SegEnds_NonXtal_Prot#'!$A:$AL,14,FALSE)</f>
        <v>153</v>
      </c>
      <c r="AH382" s="5">
        <f>VLOOKUP($A382,'SegEnds_NonXtal_Prot#'!$A:$AL,17,FALSE)</f>
        <v>189</v>
      </c>
      <c r="AI382" s="5" t="str">
        <f>VLOOKUP($A382,'SegEnds_NonXtal_Prot#'!$A:$AL,20,FALSE)</f>
        <v>-</v>
      </c>
      <c r="AJ382" s="5">
        <f>VLOOKUP($A382,'SegEnds_NonXtal_Prot#'!$A:$AL,23,FALSE)</f>
        <v>222</v>
      </c>
      <c r="AK382" s="5">
        <f>VLOOKUP($A382,'SegEnds_NonXtal_Prot#'!$A:$AL,26,FALSE)</f>
        <v>235</v>
      </c>
      <c r="AL382" s="5">
        <f>VLOOKUP($A382,'SegEnds_NonXtal_Prot#'!$A:$AL,29,FALSE)</f>
        <v>282</v>
      </c>
      <c r="AM382" s="5">
        <f>VLOOKUP($A382,'SegEnds_NonXtal_Prot#'!$A:$AL,32,FALSE)</f>
        <v>325</v>
      </c>
      <c r="AN382" s="5">
        <f>VLOOKUP($A382,'SegEnds_NonXtal_Prot#'!$A:$AL,35,FALSE)</f>
        <v>359</v>
      </c>
      <c r="AO382" s="5">
        <f>VLOOKUP($A382,'SegEnds_NonXtal_Prot#'!$A:$AL,38,FALSE)</f>
        <v>371</v>
      </c>
      <c r="AP382" s="5">
        <f t="shared" si="138"/>
        <v>29</v>
      </c>
      <c r="AQ382" s="4">
        <f t="shared" si="139"/>
        <v>3</v>
      </c>
      <c r="AR382" s="4">
        <f t="shared" si="140"/>
        <v>30</v>
      </c>
      <c r="AS382" s="4">
        <f t="shared" si="141"/>
        <v>3</v>
      </c>
      <c r="AT382" s="4">
        <f t="shared" si="142"/>
        <v>35</v>
      </c>
      <c r="AU382" s="4" t="str">
        <f t="shared" si="143"/>
        <v>-</v>
      </c>
      <c r="AV382" s="4">
        <f t="shared" si="144"/>
        <v>26</v>
      </c>
      <c r="AW382" s="4">
        <f t="shared" si="145"/>
        <v>2</v>
      </c>
      <c r="AX382" s="4">
        <f t="shared" si="146"/>
        <v>41</v>
      </c>
      <c r="AY382" s="4">
        <f t="shared" si="147"/>
        <v>39</v>
      </c>
      <c r="AZ382" s="4">
        <f t="shared" si="148"/>
        <v>28</v>
      </c>
      <c r="BA382" s="4">
        <f t="shared" si="149"/>
        <v>11</v>
      </c>
    </row>
    <row r="383" spans="1:53" x14ac:dyDescent="0.2">
      <c r="A383" s="1" t="str">
        <f>'SegEnds_NonXtal_Prot#'!A381</f>
        <v>npbw1_human</v>
      </c>
      <c r="B383" s="1" t="str">
        <f t="shared" si="125"/>
        <v>PLAVAVPVVYAVICAVGLAGNSAVLYVLLRATVTNLFILNLAIADELFTLVLPINIADFLLGELMCKLIVAIDQYNTFSSLYFLTVMSADRYLVVLATYSAARAVSLAVWGIVTLVVLPFAVFAEAFWWRASRLYTLVLGFAIPVSTICVLYTTLLCRLHAMAKALERAKKRVTFLVVAILAVCLLCWTPYHLSTVVALTTTPLVIAISYFITSLSYANSCLNPFLYAFLDASFRRNLRQLIT</v>
      </c>
      <c r="C383" s="29" t="str">
        <f>IF(ISERROR(MATCH(A383,'SegEnds_Xtal_Prot#'!B:B, 0)), "NoXtal", "Xtal")</f>
        <v>NoXtal</v>
      </c>
      <c r="D383" s="4" t="str">
        <f>VLOOKUP(A383,Classification!A:D,2,FALSE)</f>
        <v>A</v>
      </c>
      <c r="E383" s="5" t="str">
        <f>VLOOKUP(A383,Seqs!A:B,2,FALSE)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383" s="5" t="str">
        <f t="shared" si="126"/>
        <v>PLAVAVPVVYAVICAVGLAGNSAVLYVLLRA</v>
      </c>
      <c r="G383" s="4" t="str">
        <f t="shared" si="127"/>
        <v>PRMK</v>
      </c>
      <c r="H383" s="4" t="str">
        <f t="shared" si="128"/>
        <v>TVTNLFILNLAIADELFTLVLPINIADFLL</v>
      </c>
      <c r="I383" s="4" t="str">
        <f t="shared" si="129"/>
        <v>QWPF</v>
      </c>
      <c r="J383" s="4" t="str">
        <f t="shared" si="130"/>
        <v>GELMCKLIVAIDQYNTFSSLYFLTVMSADRYLVVLA</v>
      </c>
      <c r="K383" s="4" t="str">
        <f t="shared" si="131"/>
        <v/>
      </c>
      <c r="L383" s="4" t="str">
        <f t="shared" si="132"/>
        <v>TYSAARAVSLAVWGIVTLVVLPFAVFA</v>
      </c>
      <c r="M383" s="4" t="str">
        <f t="shared" si="133"/>
        <v>CVL</v>
      </c>
      <c r="N383" s="4" t="str">
        <f t="shared" si="134"/>
        <v>EAFWWRASRLYTLVLGFAIPVSTICVLYTTLLCRLHAM</v>
      </c>
      <c r="O383" s="4" t="str">
        <f t="shared" si="135"/>
        <v>AKALERAKKRVTFLVVAILAVCLLCWTPYHLSTVVALTT</v>
      </c>
      <c r="P383" s="4" t="str">
        <f t="shared" si="136"/>
        <v>TPLVIAISYFITSLSYANSCLNPFLYAFL</v>
      </c>
      <c r="Q383" s="4" t="str">
        <f t="shared" si="137"/>
        <v>DASFRRNLRQLIT</v>
      </c>
      <c r="R383" s="5">
        <f>VLOOKUP($A383,'SegEnds_NonXtal_Prot#'!$A:$AL,3,FALSE)</f>
        <v>35</v>
      </c>
      <c r="S383" s="5">
        <f>VLOOKUP($A383,'SegEnds_NonXtal_Prot#'!$A:$AL,6,FALSE)</f>
        <v>66</v>
      </c>
      <c r="T383" s="5">
        <f>VLOOKUP($A383,'SegEnds_NonXtal_Prot#'!$A:$AL,9,FALSE)</f>
        <v>70</v>
      </c>
      <c r="U383" s="5">
        <f>VLOOKUP($A383,'SegEnds_NonXtal_Prot#'!$A:$AL,12,FALSE)</f>
        <v>101</v>
      </c>
      <c r="V383" s="5">
        <f>VLOOKUP($A383,'SegEnds_NonXtal_Prot#'!$A:$AL,15,FALSE)</f>
        <v>105</v>
      </c>
      <c r="W383" s="5" t="str">
        <f>VLOOKUP($A383,'SegEnds_NonXtal_Prot#'!$A:$AL,18,FALSE)</f>
        <v>-</v>
      </c>
      <c r="X383" s="5">
        <f>VLOOKUP($A383,'SegEnds_NonXtal_Prot#'!$A:$AL,21,FALSE)</f>
        <v>151</v>
      </c>
      <c r="Y383" s="5">
        <f>VLOOKUP($A383,'SegEnds_NonXtal_Prot#'!$A:$AL,24,FALSE)</f>
        <v>188</v>
      </c>
      <c r="Z383" s="5">
        <f>VLOOKUP($A383,'SegEnds_NonXtal_Prot#'!$A:$AL,27,FALSE)</f>
        <v>196</v>
      </c>
      <c r="AA383" s="5">
        <f>VLOOKUP($A383,'SegEnds_NonXtal_Prot#'!$A:$AL,30,FALSE)</f>
        <v>239</v>
      </c>
      <c r="AB383" s="5">
        <f>VLOOKUP($A383,'SegEnds_NonXtal_Prot#'!$A:$AL,33,FALSE)</f>
        <v>282</v>
      </c>
      <c r="AC383" s="5">
        <f>VLOOKUP($A383,'SegEnds_NonXtal_Prot#'!$A:$AL,36,FALSE)</f>
        <v>311</v>
      </c>
      <c r="AD383" s="5">
        <f>VLOOKUP($A383,'SegEnds_NonXtal_Prot#'!$A:$AL,5,FALSE)</f>
        <v>65</v>
      </c>
      <c r="AE383" s="5">
        <f>VLOOKUP($A383,'SegEnds_NonXtal_Prot#'!$A:$AL,8,FALSE)</f>
        <v>69</v>
      </c>
      <c r="AF383" s="5">
        <f>VLOOKUP($A383,'SegEnds_NonXtal_Prot#'!$A:$AL,11,FALSE)</f>
        <v>99</v>
      </c>
      <c r="AG383" s="5">
        <f>VLOOKUP($A383,'SegEnds_NonXtal_Prot#'!$A:$AL,14,FALSE)</f>
        <v>104</v>
      </c>
      <c r="AH383" s="5">
        <f>VLOOKUP($A383,'SegEnds_NonXtal_Prot#'!$A:$AL,17,FALSE)</f>
        <v>140</v>
      </c>
      <c r="AI383" s="5" t="str">
        <f>VLOOKUP($A383,'SegEnds_NonXtal_Prot#'!$A:$AL,20,FALSE)</f>
        <v>-</v>
      </c>
      <c r="AJ383" s="5">
        <f>VLOOKUP($A383,'SegEnds_NonXtal_Prot#'!$A:$AL,23,FALSE)</f>
        <v>177</v>
      </c>
      <c r="AK383" s="5">
        <f>VLOOKUP($A383,'SegEnds_NonXtal_Prot#'!$A:$AL,26,FALSE)</f>
        <v>190</v>
      </c>
      <c r="AL383" s="5">
        <f>VLOOKUP($A383,'SegEnds_NonXtal_Prot#'!$A:$AL,29,FALSE)</f>
        <v>233</v>
      </c>
      <c r="AM383" s="5">
        <f>VLOOKUP($A383,'SegEnds_NonXtal_Prot#'!$A:$AL,32,FALSE)</f>
        <v>277</v>
      </c>
      <c r="AN383" s="5">
        <f>VLOOKUP($A383,'SegEnds_NonXtal_Prot#'!$A:$AL,35,FALSE)</f>
        <v>310</v>
      </c>
      <c r="AO383" s="5">
        <f>VLOOKUP($A383,'SegEnds_NonXtal_Prot#'!$A:$AL,38,FALSE)</f>
        <v>323</v>
      </c>
      <c r="AP383" s="5">
        <f t="shared" si="138"/>
        <v>30</v>
      </c>
      <c r="AQ383" s="4">
        <f t="shared" si="139"/>
        <v>3</v>
      </c>
      <c r="AR383" s="4">
        <f t="shared" si="140"/>
        <v>29</v>
      </c>
      <c r="AS383" s="4">
        <f t="shared" si="141"/>
        <v>3</v>
      </c>
      <c r="AT383" s="4">
        <f t="shared" si="142"/>
        <v>35</v>
      </c>
      <c r="AU383" s="4" t="str">
        <f t="shared" si="143"/>
        <v>-</v>
      </c>
      <c r="AV383" s="4">
        <f t="shared" si="144"/>
        <v>26</v>
      </c>
      <c r="AW383" s="4">
        <f t="shared" si="145"/>
        <v>2</v>
      </c>
      <c r="AX383" s="4">
        <f t="shared" si="146"/>
        <v>37</v>
      </c>
      <c r="AY383" s="4">
        <f t="shared" si="147"/>
        <v>38</v>
      </c>
      <c r="AZ383" s="4">
        <f t="shared" si="148"/>
        <v>28</v>
      </c>
      <c r="BA383" s="4">
        <f t="shared" si="149"/>
        <v>12</v>
      </c>
    </row>
    <row r="384" spans="1:53" x14ac:dyDescent="0.2">
      <c r="A384" s="1" t="str">
        <f>'SegEnds_NonXtal_Prot#'!A379</f>
        <v>nk2r_human</v>
      </c>
      <c r="B384" s="1" t="str">
        <f t="shared" si="125"/>
        <v>LALWATAYLALVLVAVTGNAIVIWIILAHTVTNYFIVNLALADLCMAAFNAAFNFVYASHGRAFCYFQNLFPITAMFVSIYSMTAIAADRYMAIVHSAPSTKAVIAGIWLVALALASPQCFYSGKTLLLYHLVVIALIYFLPLAVMFVAYSVIGLTLWRRAVPGHANLRHLQAMKKFVKTMVLVVLTFAICWLPYHLYFILGSFQHKFIQQVYLALFWLAMSSTMYNPIIYCCLNHRFRSGFRLAF</v>
      </c>
      <c r="C384" s="29" t="str">
        <f>IF(ISERROR(MATCH(A384,'SegEnds_Xtal_Prot#'!B:B, 0)), "NoXtal", "Xtal")</f>
        <v>NoXtal</v>
      </c>
      <c r="D384" s="4" t="str">
        <f>VLOOKUP(A384,Classification!A:D,2,FALSE)</f>
        <v>A</v>
      </c>
      <c r="E384" s="5" t="str">
        <f>VLOOKUP(A384,Seqs!A:B,2,FALSE)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384" s="5" t="str">
        <f t="shared" si="126"/>
        <v>LALWATAYLALVLVAVTGNAIVIWIILAH</v>
      </c>
      <c r="G384" s="4" t="str">
        <f t="shared" si="127"/>
        <v>RRMR</v>
      </c>
      <c r="H384" s="4" t="str">
        <f t="shared" si="128"/>
        <v>TVTNYFIVNLALADLCMAAFNAAFNFVYASH</v>
      </c>
      <c r="I384" s="4" t="str">
        <f t="shared" si="129"/>
        <v>IWYF</v>
      </c>
      <c r="J384" s="4" t="str">
        <f t="shared" si="130"/>
        <v>GRAFCYFQNLFPITAMFVSIYSMTAIAADRYMAIVH</v>
      </c>
      <c r="K384" s="4" t="str">
        <f t="shared" si="131"/>
        <v/>
      </c>
      <c r="L384" s="4" t="str">
        <f t="shared" si="132"/>
        <v>SAPSTKAVIAGIWLVALALASPQCFYS</v>
      </c>
      <c r="M384" s="4" t="str">
        <f t="shared" si="133"/>
        <v>CVV</v>
      </c>
      <c r="N384" s="4" t="str">
        <f t="shared" si="134"/>
        <v>GKTLLLYHLVVIALIYFLPLAVMFVAYSVIGLTLWRRAVPGH</v>
      </c>
      <c r="O384" s="4" t="str">
        <f t="shared" si="135"/>
        <v>ANLRHLQAMKKFVKTMVLVVLTFAICWLPYHLYFILGSFQ</v>
      </c>
      <c r="P384" s="4" t="str">
        <f t="shared" si="136"/>
        <v>HKFIQQVYLALFWLAMSSTMYNPIIYCCL</v>
      </c>
      <c r="Q384" s="4" t="str">
        <f t="shared" si="137"/>
        <v>NHRFRSGFRLAF</v>
      </c>
      <c r="R384" s="5">
        <f>VLOOKUP($A384,'SegEnds_NonXtal_Prot#'!$A:$AL,3,FALSE)</f>
        <v>33</v>
      </c>
      <c r="S384" s="5">
        <f>VLOOKUP($A384,'SegEnds_NonXtal_Prot#'!$A:$AL,6,FALSE)</f>
        <v>62</v>
      </c>
      <c r="T384" s="5">
        <f>VLOOKUP($A384,'SegEnds_NonXtal_Prot#'!$A:$AL,9,FALSE)</f>
        <v>66</v>
      </c>
      <c r="U384" s="5">
        <f>VLOOKUP($A384,'SegEnds_NonXtal_Prot#'!$A:$AL,12,FALSE)</f>
        <v>98</v>
      </c>
      <c r="V384" s="5">
        <f>VLOOKUP($A384,'SegEnds_NonXtal_Prot#'!$A:$AL,15,FALSE)</f>
        <v>102</v>
      </c>
      <c r="W384" s="5" t="str">
        <f>VLOOKUP($A384,'SegEnds_NonXtal_Prot#'!$A:$AL,18,FALSE)</f>
        <v>-</v>
      </c>
      <c r="X384" s="5">
        <f>VLOOKUP($A384,'SegEnds_NonXtal_Prot#'!$A:$AL,21,FALSE)</f>
        <v>144</v>
      </c>
      <c r="Y384" s="5">
        <f>VLOOKUP($A384,'SegEnds_NonXtal_Prot#'!$A:$AL,24,FALSE)</f>
        <v>181</v>
      </c>
      <c r="Z384" s="5">
        <f>VLOOKUP($A384,'SegEnds_NonXtal_Prot#'!$A:$AL,27,FALSE)</f>
        <v>191</v>
      </c>
      <c r="AA384" s="5">
        <f>VLOOKUP($A384,'SegEnds_NonXtal_Prot#'!$A:$AL,30,FALSE)</f>
        <v>237</v>
      </c>
      <c r="AB384" s="5">
        <f>VLOOKUP($A384,'SegEnds_NonXtal_Prot#'!$A:$AL,33,FALSE)</f>
        <v>282</v>
      </c>
      <c r="AC384" s="5">
        <f>VLOOKUP($A384,'SegEnds_NonXtal_Prot#'!$A:$AL,36,FALSE)</f>
        <v>311</v>
      </c>
      <c r="AD384" s="5">
        <f>VLOOKUP($A384,'SegEnds_NonXtal_Prot#'!$A:$AL,5,FALSE)</f>
        <v>61</v>
      </c>
      <c r="AE384" s="5">
        <f>VLOOKUP($A384,'SegEnds_NonXtal_Prot#'!$A:$AL,8,FALSE)</f>
        <v>65</v>
      </c>
      <c r="AF384" s="5">
        <f>VLOOKUP($A384,'SegEnds_NonXtal_Prot#'!$A:$AL,11,FALSE)</f>
        <v>96</v>
      </c>
      <c r="AG384" s="5">
        <f>VLOOKUP($A384,'SegEnds_NonXtal_Prot#'!$A:$AL,14,FALSE)</f>
        <v>101</v>
      </c>
      <c r="AH384" s="5">
        <f>VLOOKUP($A384,'SegEnds_NonXtal_Prot#'!$A:$AL,17,FALSE)</f>
        <v>137</v>
      </c>
      <c r="AI384" s="5" t="str">
        <f>VLOOKUP($A384,'SegEnds_NonXtal_Prot#'!$A:$AL,20,FALSE)</f>
        <v>-</v>
      </c>
      <c r="AJ384" s="5">
        <f>VLOOKUP($A384,'SegEnds_NonXtal_Prot#'!$A:$AL,23,FALSE)</f>
        <v>170</v>
      </c>
      <c r="AK384" s="5">
        <f>VLOOKUP($A384,'SegEnds_NonXtal_Prot#'!$A:$AL,26,FALSE)</f>
        <v>183</v>
      </c>
      <c r="AL384" s="5">
        <f>VLOOKUP($A384,'SegEnds_NonXtal_Prot#'!$A:$AL,29,FALSE)</f>
        <v>232</v>
      </c>
      <c r="AM384" s="5">
        <f>VLOOKUP($A384,'SegEnds_NonXtal_Prot#'!$A:$AL,32,FALSE)</f>
        <v>276</v>
      </c>
      <c r="AN384" s="5">
        <f>VLOOKUP($A384,'SegEnds_NonXtal_Prot#'!$A:$AL,35,FALSE)</f>
        <v>310</v>
      </c>
      <c r="AO384" s="5">
        <f>VLOOKUP($A384,'SegEnds_NonXtal_Prot#'!$A:$AL,38,FALSE)</f>
        <v>322</v>
      </c>
      <c r="AP384" s="5">
        <f t="shared" si="138"/>
        <v>28</v>
      </c>
      <c r="AQ384" s="4">
        <f t="shared" si="139"/>
        <v>3</v>
      </c>
      <c r="AR384" s="4">
        <f t="shared" si="140"/>
        <v>30</v>
      </c>
      <c r="AS384" s="4">
        <f t="shared" si="141"/>
        <v>3</v>
      </c>
      <c r="AT384" s="4">
        <f t="shared" si="142"/>
        <v>35</v>
      </c>
      <c r="AU384" s="4" t="str">
        <f t="shared" si="143"/>
        <v>-</v>
      </c>
      <c r="AV384" s="4">
        <f t="shared" si="144"/>
        <v>26</v>
      </c>
      <c r="AW384" s="4">
        <f t="shared" si="145"/>
        <v>2</v>
      </c>
      <c r="AX384" s="4">
        <f t="shared" si="146"/>
        <v>41</v>
      </c>
      <c r="AY384" s="4">
        <f t="shared" si="147"/>
        <v>39</v>
      </c>
      <c r="AZ384" s="4">
        <f t="shared" si="148"/>
        <v>28</v>
      </c>
      <c r="BA384" s="4">
        <f t="shared" si="149"/>
        <v>11</v>
      </c>
    </row>
    <row r="385" spans="1:53" x14ac:dyDescent="0.2">
      <c r="A385" s="1" t="str">
        <f>'SegEnds_NonXtal_Prot#'!A382</f>
        <v>npbw2_human</v>
      </c>
      <c r="B385" s="1" t="str">
        <f t="shared" si="125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385" s="29" t="str">
        <f>IF(ISERROR(MATCH(A385,'SegEnds_Xtal_Prot#'!B:B, 0)), "NoXtal", "Xtal")</f>
        <v>NoXtal</v>
      </c>
      <c r="D385" s="4" t="str">
        <f>VLOOKUP(A385,Classification!A:D,2,FALSE)</f>
        <v>A</v>
      </c>
      <c r="E385" s="5" t="str">
        <f>VLOOKUP(A385,Seqs!A:B,2,FALSE)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385" s="5" t="str">
        <f t="shared" si="126"/>
        <v>ATFSEPLPFLYVLLPAVYSGICAVGLTGNTAVILVILRA</v>
      </c>
      <c r="G385" s="4" t="str">
        <f t="shared" si="127"/>
        <v>PKMK</v>
      </c>
      <c r="H385" s="4" t="str">
        <f t="shared" si="128"/>
        <v>TVTNVFILNLAVADGLFTLVLPVNIAEHLL</v>
      </c>
      <c r="I385" s="4" t="str">
        <f t="shared" si="129"/>
        <v>YWPF</v>
      </c>
      <c r="J385" s="4" t="str">
        <f t="shared" si="130"/>
        <v>GELLCKLVLAVDHYNIFSSIYFLAVMSVDRYLVVLA</v>
      </c>
      <c r="K385" s="4" t="str">
        <f t="shared" si="131"/>
        <v/>
      </c>
      <c r="L385" s="4" t="str">
        <f t="shared" si="132"/>
        <v>TYRGAKVASLCVWLGVTVLVLPFFSFA</v>
      </c>
      <c r="M385" s="4" t="str">
        <f t="shared" si="133"/>
        <v>CGL</v>
      </c>
      <c r="N385" s="4" t="str">
        <f t="shared" si="134"/>
        <v>EQVWFKASRVYTLVLGFVLPVCTICVLYTDLLRRLRAV</v>
      </c>
      <c r="O385" s="4" t="str">
        <f t="shared" si="135"/>
        <v>AKALGKARRKVTVLVLVVLAVCLLCWTPFHLASVVALTT</v>
      </c>
      <c r="P385" s="4" t="str">
        <f t="shared" si="136"/>
        <v>TPLVISMSYVITSLSYANSCLNPFLYAFL</v>
      </c>
      <c r="Q385" s="4" t="str">
        <f t="shared" si="137"/>
        <v>DDNFRKNFRSILRC</v>
      </c>
      <c r="R385" s="5">
        <f>VLOOKUP($A385,'SegEnds_NonXtal_Prot#'!$A:$AL,3,FALSE)</f>
        <v>35</v>
      </c>
      <c r="S385" s="5">
        <f>VLOOKUP($A385,'SegEnds_NonXtal_Prot#'!$A:$AL,6,FALSE)</f>
        <v>74</v>
      </c>
      <c r="T385" s="5">
        <f>VLOOKUP($A385,'SegEnds_NonXtal_Prot#'!$A:$AL,9,FALSE)</f>
        <v>78</v>
      </c>
      <c r="U385" s="5">
        <f>VLOOKUP($A385,'SegEnds_NonXtal_Prot#'!$A:$AL,12,FALSE)</f>
        <v>109</v>
      </c>
      <c r="V385" s="5">
        <f>VLOOKUP($A385,'SegEnds_NonXtal_Prot#'!$A:$AL,15,FALSE)</f>
        <v>113</v>
      </c>
      <c r="W385" s="5" t="str">
        <f>VLOOKUP($A385,'SegEnds_NonXtal_Prot#'!$A:$AL,18,FALSE)</f>
        <v>-</v>
      </c>
      <c r="X385" s="5">
        <f>VLOOKUP($A385,'SegEnds_NonXtal_Prot#'!$A:$AL,21,FALSE)</f>
        <v>159</v>
      </c>
      <c r="Y385" s="5">
        <f>VLOOKUP($A385,'SegEnds_NonXtal_Prot#'!$A:$AL,24,FALSE)</f>
        <v>197</v>
      </c>
      <c r="Z385" s="5">
        <f>VLOOKUP($A385,'SegEnds_NonXtal_Prot#'!$A:$AL,27,FALSE)</f>
        <v>205</v>
      </c>
      <c r="AA385" s="5">
        <f>VLOOKUP($A385,'SegEnds_NonXtal_Prot#'!$A:$AL,30,FALSE)</f>
        <v>248</v>
      </c>
      <c r="AB385" s="5">
        <f>VLOOKUP($A385,'SegEnds_NonXtal_Prot#'!$A:$AL,33,FALSE)</f>
        <v>291</v>
      </c>
      <c r="AC385" s="5">
        <f>VLOOKUP($A385,'SegEnds_NonXtal_Prot#'!$A:$AL,36,FALSE)</f>
        <v>320</v>
      </c>
      <c r="AD385" s="5">
        <f>VLOOKUP($A385,'SegEnds_NonXtal_Prot#'!$A:$AL,5,FALSE)</f>
        <v>73</v>
      </c>
      <c r="AE385" s="5">
        <f>VLOOKUP($A385,'SegEnds_NonXtal_Prot#'!$A:$AL,8,FALSE)</f>
        <v>77</v>
      </c>
      <c r="AF385" s="5">
        <f>VLOOKUP($A385,'SegEnds_NonXtal_Prot#'!$A:$AL,11,FALSE)</f>
        <v>107</v>
      </c>
      <c r="AG385" s="5">
        <f>VLOOKUP($A385,'SegEnds_NonXtal_Prot#'!$A:$AL,14,FALSE)</f>
        <v>112</v>
      </c>
      <c r="AH385" s="5">
        <f>VLOOKUP($A385,'SegEnds_NonXtal_Prot#'!$A:$AL,17,FALSE)</f>
        <v>148</v>
      </c>
      <c r="AI385" s="5" t="str">
        <f>VLOOKUP($A385,'SegEnds_NonXtal_Prot#'!$A:$AL,20,FALSE)</f>
        <v>-</v>
      </c>
      <c r="AJ385" s="5">
        <f>VLOOKUP($A385,'SegEnds_NonXtal_Prot#'!$A:$AL,23,FALSE)</f>
        <v>185</v>
      </c>
      <c r="AK385" s="5">
        <f>VLOOKUP($A385,'SegEnds_NonXtal_Prot#'!$A:$AL,26,FALSE)</f>
        <v>199</v>
      </c>
      <c r="AL385" s="5">
        <f>VLOOKUP($A385,'SegEnds_NonXtal_Prot#'!$A:$AL,29,FALSE)</f>
        <v>242</v>
      </c>
      <c r="AM385" s="5">
        <f>VLOOKUP($A385,'SegEnds_NonXtal_Prot#'!$A:$AL,32,FALSE)</f>
        <v>286</v>
      </c>
      <c r="AN385" s="5">
        <f>VLOOKUP($A385,'SegEnds_NonXtal_Prot#'!$A:$AL,35,FALSE)</f>
        <v>319</v>
      </c>
      <c r="AO385" s="5">
        <f>VLOOKUP($A385,'SegEnds_NonXtal_Prot#'!$A:$AL,38,FALSE)</f>
        <v>333</v>
      </c>
      <c r="AP385" s="5">
        <f t="shared" si="138"/>
        <v>38</v>
      </c>
      <c r="AQ385" s="4">
        <f t="shared" si="139"/>
        <v>3</v>
      </c>
      <c r="AR385" s="4">
        <f t="shared" si="140"/>
        <v>29</v>
      </c>
      <c r="AS385" s="4">
        <f t="shared" si="141"/>
        <v>3</v>
      </c>
      <c r="AT385" s="4">
        <f t="shared" si="142"/>
        <v>35</v>
      </c>
      <c r="AU385" s="4" t="str">
        <f t="shared" si="143"/>
        <v>-</v>
      </c>
      <c r="AV385" s="4">
        <f t="shared" si="144"/>
        <v>26</v>
      </c>
      <c r="AW385" s="4">
        <f t="shared" si="145"/>
        <v>2</v>
      </c>
      <c r="AX385" s="4">
        <f t="shared" si="146"/>
        <v>37</v>
      </c>
      <c r="AY385" s="4">
        <f t="shared" si="147"/>
        <v>38</v>
      </c>
      <c r="AZ385" s="4">
        <f t="shared" si="148"/>
        <v>28</v>
      </c>
      <c r="BA385" s="4">
        <f t="shared" si="149"/>
        <v>13</v>
      </c>
    </row>
    <row r="386" spans="1:53" x14ac:dyDescent="0.2">
      <c r="A386" s="1" t="str">
        <f>'SegEnds_NonXtal_Prot#'!A384</f>
        <v>npff2_human</v>
      </c>
      <c r="B386" s="1" t="str">
        <f t="shared" ref="B386:B406" si="150">F386&amp;H386&amp;J386&amp;L386&amp;N386&amp;O386&amp;P386&amp;Q386</f>
        <v>VAAIFIISYFLIFFLCMMGNTVVCFIVMRNTVTNLFILNLAISDLLVGIFCMPITLLDNIIGNTMCKISGLVQGISVAASVFTLVAIAVDRFQCVVYTIKTAFVIIMIIWVLAITIMSPSAVMLQEMRKIYTTVLFANIYLAPLSLIVIMYGRIGISLFRAAVPHTHVVSRKKQKIIKMLLIVALLFILSWLPLWTLMMLSDYAQIINIYIYPFAHWLAFGNSSVNPIIYGFFNENFRRGFQEAF</v>
      </c>
      <c r="C386" s="29" t="str">
        <f>IF(ISERROR(MATCH(A386,'SegEnds_Xtal_Prot#'!B:B, 0)), "NoXtal", "Xtal")</f>
        <v>NoXtal</v>
      </c>
      <c r="D386" s="4" t="str">
        <f>VLOOKUP(A386,Classification!A:D,2,FALSE)</f>
        <v>A</v>
      </c>
      <c r="E386" s="5" t="str">
        <f>VLOOKUP(A386,Seqs!A:B,2,FALSE)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386" s="5" t="str">
        <f t="shared" ref="F386:F406" si="151">IFERROR(MID($E386,R386,(AP386+1)),"")</f>
        <v>VAAIFIISYFLIFFLCMMGNTVVCFIVMRN</v>
      </c>
      <c r="G386" s="4" t="str">
        <f t="shared" ref="G386:G406" si="152">IFERROR(MID($E386,S386,(AQ386+1)),"")</f>
        <v>KHMH</v>
      </c>
      <c r="H386" s="4" t="str">
        <f t="shared" ref="H386:H406" si="153">IFERROR(MID($E386,T386,(AR386+1)),"")</f>
        <v>TVTNLFILNLAISDLLVGIFCMPITLLDNII</v>
      </c>
      <c r="I386" s="4" t="str">
        <f t="shared" ref="I386:I406" si="154">IFERROR(MID($E386,U386,(AS386+1)),"")</f>
        <v>GWPF</v>
      </c>
      <c r="J386" s="4" t="str">
        <f t="shared" ref="J386:J406" si="155">IFERROR(MID($E386,V386,(AT386+1)),"")</f>
        <v>GNTMCKISGLVQGISVAASVFTLVAIAVDRFQCVVY</v>
      </c>
      <c r="K386" s="4" t="str">
        <f t="shared" ref="K386:K406" si="156">IFERROR(MID($E386,W386,(AU386+1)),"")</f>
        <v/>
      </c>
      <c r="L386" s="4" t="str">
        <f t="shared" ref="L386:L406" si="157">IFERROR(MID($E386,X386,(AV386+1)),"")</f>
        <v>TIKTAFVIIMIIWVLAITIMSPSAVML</v>
      </c>
      <c r="M386" s="4" t="str">
        <f t="shared" ref="M386:M406" si="158">IFERROR(MID($E386,Y386,(AW386+1)),"")</f>
        <v>CRE</v>
      </c>
      <c r="N386" s="4" t="str">
        <f t="shared" ref="N386:N406" si="159">IFERROR(MID($E386,Z386,(AX386+1)),"")</f>
        <v>QEMRKIYTTVLFANIYLAPLSLIVIMYGRIGISLFRAAVPHT</v>
      </c>
      <c r="O386" s="4" t="str">
        <f t="shared" ref="O386:O406" si="160">IFERROR(MID($E386,AA386,(AY386+1)),"")</f>
        <v>HVVSRKKQKIIKMLLIVALLFILSWLPLWTLMMLSDYA</v>
      </c>
      <c r="P386" s="4" t="str">
        <f t="shared" ref="P386:P406" si="161">IFERROR(MID($E386,AB386,(AZ386+1)),"")</f>
        <v>QIINIYIYPFAHWLAFGNSSVNPIIYGFF</v>
      </c>
      <c r="Q386" s="4" t="str">
        <f t="shared" ref="Q386:Q406" si="162">IFERROR(MID($E386,AC386,(BA386+1)),"")</f>
        <v>NENFRRGFQEAF</v>
      </c>
      <c r="R386" s="5">
        <f>VLOOKUP($A386,'SegEnds_NonXtal_Prot#'!$A:$AL,3,FALSE)</f>
        <v>146</v>
      </c>
      <c r="S386" s="5">
        <f>VLOOKUP($A386,'SegEnds_NonXtal_Prot#'!$A:$AL,6,FALSE)</f>
        <v>176</v>
      </c>
      <c r="T386" s="5">
        <f>VLOOKUP($A386,'SegEnds_NonXtal_Prot#'!$A:$AL,9,FALSE)</f>
        <v>180</v>
      </c>
      <c r="U386" s="5">
        <f>VLOOKUP($A386,'SegEnds_NonXtal_Prot#'!$A:$AL,12,FALSE)</f>
        <v>212</v>
      </c>
      <c r="V386" s="5">
        <f>VLOOKUP($A386,'SegEnds_NonXtal_Prot#'!$A:$AL,15,FALSE)</f>
        <v>216</v>
      </c>
      <c r="W386" s="5" t="str">
        <f>VLOOKUP($A386,'SegEnds_NonXtal_Prot#'!$A:$AL,18,FALSE)</f>
        <v>-</v>
      </c>
      <c r="X386" s="5">
        <f>VLOOKUP($A386,'SegEnds_NonXtal_Prot#'!$A:$AL,21,FALSE)</f>
        <v>258</v>
      </c>
      <c r="Y386" s="5">
        <f>VLOOKUP($A386,'SegEnds_NonXtal_Prot#'!$A:$AL,24,FALSE)</f>
        <v>308</v>
      </c>
      <c r="Z386" s="5">
        <f>VLOOKUP($A386,'SegEnds_NonXtal_Prot#'!$A:$AL,27,FALSE)</f>
        <v>315</v>
      </c>
      <c r="AA386" s="5">
        <f>VLOOKUP($A386,'SegEnds_NonXtal_Prot#'!$A:$AL,30,FALSE)</f>
        <v>365</v>
      </c>
      <c r="AB386" s="5">
        <f>VLOOKUP($A386,'SegEnds_NonXtal_Prot#'!$A:$AL,33,FALSE)</f>
        <v>410</v>
      </c>
      <c r="AC386" s="5">
        <f>VLOOKUP($A386,'SegEnds_NonXtal_Prot#'!$A:$AL,36,FALSE)</f>
        <v>439</v>
      </c>
      <c r="AD386" s="5">
        <f>VLOOKUP($A386,'SegEnds_NonXtal_Prot#'!$A:$AL,5,FALSE)</f>
        <v>175</v>
      </c>
      <c r="AE386" s="5">
        <f>VLOOKUP($A386,'SegEnds_NonXtal_Prot#'!$A:$AL,8,FALSE)</f>
        <v>179</v>
      </c>
      <c r="AF386" s="5">
        <f>VLOOKUP($A386,'SegEnds_NonXtal_Prot#'!$A:$AL,11,FALSE)</f>
        <v>210</v>
      </c>
      <c r="AG386" s="5">
        <f>VLOOKUP($A386,'SegEnds_NonXtal_Prot#'!$A:$AL,14,FALSE)</f>
        <v>215</v>
      </c>
      <c r="AH386" s="5">
        <f>VLOOKUP($A386,'SegEnds_NonXtal_Prot#'!$A:$AL,17,FALSE)</f>
        <v>251</v>
      </c>
      <c r="AI386" s="5" t="str">
        <f>VLOOKUP($A386,'SegEnds_NonXtal_Prot#'!$A:$AL,20,FALSE)</f>
        <v>-</v>
      </c>
      <c r="AJ386" s="5">
        <f>VLOOKUP($A386,'SegEnds_NonXtal_Prot#'!$A:$AL,23,FALSE)</f>
        <v>284</v>
      </c>
      <c r="AK386" s="5">
        <f>VLOOKUP($A386,'SegEnds_NonXtal_Prot#'!$A:$AL,26,FALSE)</f>
        <v>310</v>
      </c>
      <c r="AL386" s="5">
        <f>VLOOKUP($A386,'SegEnds_NonXtal_Prot#'!$A:$AL,29,FALSE)</f>
        <v>356</v>
      </c>
      <c r="AM386" s="5">
        <f>VLOOKUP($A386,'SegEnds_NonXtal_Prot#'!$A:$AL,32,FALSE)</f>
        <v>402</v>
      </c>
      <c r="AN386" s="5">
        <f>VLOOKUP($A386,'SegEnds_NonXtal_Prot#'!$A:$AL,35,FALSE)</f>
        <v>438</v>
      </c>
      <c r="AO386" s="5">
        <f>VLOOKUP($A386,'SegEnds_NonXtal_Prot#'!$A:$AL,38,FALSE)</f>
        <v>450</v>
      </c>
      <c r="AP386" s="5">
        <f t="shared" ref="AP386:AP406" si="163">IFERROR(AD386-R386,"-")</f>
        <v>29</v>
      </c>
      <c r="AQ386" s="4">
        <f t="shared" ref="AQ386:AQ406" si="164">IFERROR(AE386-S386,"-")</f>
        <v>3</v>
      </c>
      <c r="AR386" s="4">
        <f t="shared" ref="AR386:AR406" si="165">IFERROR(AF386-T386,"-")</f>
        <v>30</v>
      </c>
      <c r="AS386" s="4">
        <f t="shared" ref="AS386:AS406" si="166">IFERROR(AG386-U386,"-")</f>
        <v>3</v>
      </c>
      <c r="AT386" s="4">
        <f t="shared" ref="AT386:AT406" si="167">IFERROR(AH386-V386,"-")</f>
        <v>35</v>
      </c>
      <c r="AU386" s="4" t="str">
        <f t="shared" ref="AU386:AU406" si="168">IFERROR(AI386-W386,"-")</f>
        <v>-</v>
      </c>
      <c r="AV386" s="4">
        <f t="shared" ref="AV386:AV406" si="169">IFERROR(AJ386-X386,"-")</f>
        <v>26</v>
      </c>
      <c r="AW386" s="4">
        <f t="shared" ref="AW386:AW406" si="170">IFERROR(AK386-Y386,"-")</f>
        <v>2</v>
      </c>
      <c r="AX386" s="4">
        <f t="shared" ref="AX386:AX406" si="171">IFERROR(AL386-Z386,"-")</f>
        <v>41</v>
      </c>
      <c r="AY386" s="4">
        <f t="shared" ref="AY386:AY406" si="172">IFERROR(AM386-AA386,"-")</f>
        <v>37</v>
      </c>
      <c r="AZ386" s="4">
        <f t="shared" ref="AZ386:AZ406" si="173">IFERROR(AN386-AB386,"-")</f>
        <v>28</v>
      </c>
      <c r="BA386" s="4">
        <f t="shared" ref="BA386:BA406" si="174">IFERROR(AO386-AC386,"-")</f>
        <v>11</v>
      </c>
    </row>
    <row r="387" spans="1:53" x14ac:dyDescent="0.2">
      <c r="A387" s="1" t="str">
        <f>'SegEnds_NonXtal_Prot#'!A385</f>
        <v>npy1r_human</v>
      </c>
      <c r="B387" s="1" t="str">
        <f t="shared" si="150"/>
        <v>IFTLALAYGAVIILGVSGNLALIIIILKQNVTNILIVNLSFSDLLVAIMCLPFTFVYTLMGEAMCKLNPFVQCVSITVSIFSLVLIAVERHQLIINNNRHAYVGIAVIWVLAVASSLPFLIYQDSHRLSYTTLLLVLQYFGPLCFIFICYFKIYIRLKRRNNMMDDNKYRSSETKRINIMLLSIVVAFAVCWLPLTIFNTVFDWNTCNHNLLFLLCHLTAMISTCVNPIFYGFLNKNFQRDLQFFF</v>
      </c>
      <c r="C387" s="29" t="str">
        <f>IF(ISERROR(MATCH(A387,'SegEnds_Xtal_Prot#'!B:B, 0)), "NoXtal", "Xtal")</f>
        <v>NoXtal</v>
      </c>
      <c r="D387" s="4" t="str">
        <f>VLOOKUP(A387,Classification!A:D,2,FALSE)</f>
        <v>A</v>
      </c>
      <c r="E387" s="5" t="str">
        <f>VLOOKUP(A387,Seqs!A:B,2,FALSE)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387" s="5" t="str">
        <f t="shared" si="151"/>
        <v>IFTLALAYGAVIILGVSGNLALIIIILKQ</v>
      </c>
      <c r="G387" s="4" t="str">
        <f t="shared" si="152"/>
        <v>KEMR</v>
      </c>
      <c r="H387" s="4" t="str">
        <f t="shared" si="153"/>
        <v>NVTNILIVNLSFSDLLVAIMCLPFTFVYTLM</v>
      </c>
      <c r="I387" s="4" t="str">
        <f t="shared" si="154"/>
        <v>HWVF</v>
      </c>
      <c r="J387" s="4" t="str">
        <f t="shared" si="155"/>
        <v>GEAMCKLNPFVQCVSITVSIFSLVLIAVERHQLIIN</v>
      </c>
      <c r="K387" s="4" t="str">
        <f t="shared" si="156"/>
        <v/>
      </c>
      <c r="L387" s="4" t="str">
        <f t="shared" si="157"/>
        <v>NNRHAYVGIAVIWVLAVASSLPFLIYQ</v>
      </c>
      <c r="M387" s="4" t="str">
        <f t="shared" si="158"/>
        <v>CFD</v>
      </c>
      <c r="N387" s="4" t="str">
        <f t="shared" si="159"/>
        <v>DSHRLSYTTLLLVLQYFGPLCFIFICYFKIYIRLKRRNNMMD</v>
      </c>
      <c r="O387" s="4" t="str">
        <f t="shared" si="160"/>
        <v>DNKYRSSETKRINIMLLSIVVAFAVCWLPLTIFNTVFDWN</v>
      </c>
      <c r="P387" s="4" t="str">
        <f t="shared" si="161"/>
        <v>TCNHNLLFLLCHLTAMISTCVNPIFYGFL</v>
      </c>
      <c r="Q387" s="4" t="str">
        <f t="shared" si="162"/>
        <v>NKNFQRDLQFFF</v>
      </c>
      <c r="R387" s="5">
        <f>VLOOKUP($A387,'SegEnds_NonXtal_Prot#'!$A:$AL,3,FALSE)</f>
        <v>40</v>
      </c>
      <c r="S387" s="5">
        <f>VLOOKUP($A387,'SegEnds_NonXtal_Prot#'!$A:$AL,6,FALSE)</f>
        <v>69</v>
      </c>
      <c r="T387" s="5">
        <f>VLOOKUP($A387,'SegEnds_NonXtal_Prot#'!$A:$AL,9,FALSE)</f>
        <v>73</v>
      </c>
      <c r="U387" s="5">
        <f>VLOOKUP($A387,'SegEnds_NonXtal_Prot#'!$A:$AL,12,FALSE)</f>
        <v>105</v>
      </c>
      <c r="V387" s="5">
        <f>VLOOKUP($A387,'SegEnds_NonXtal_Prot#'!$A:$AL,15,FALSE)</f>
        <v>109</v>
      </c>
      <c r="W387" s="5" t="str">
        <f>VLOOKUP($A387,'SegEnds_NonXtal_Prot#'!$A:$AL,18,FALSE)</f>
        <v>-</v>
      </c>
      <c r="X387" s="5">
        <f>VLOOKUP($A387,'SegEnds_NonXtal_Prot#'!$A:$AL,21,FALSE)</f>
        <v>151</v>
      </c>
      <c r="Y387" s="5">
        <f>VLOOKUP($A387,'SegEnds_NonXtal_Prot#'!$A:$AL,24,FALSE)</f>
        <v>198</v>
      </c>
      <c r="Z387" s="5">
        <f>VLOOKUP($A387,'SegEnds_NonXtal_Prot#'!$A:$AL,27,FALSE)</f>
        <v>205</v>
      </c>
      <c r="AA387" s="5">
        <f>VLOOKUP($A387,'SegEnds_NonXtal_Prot#'!$A:$AL,30,FALSE)</f>
        <v>250</v>
      </c>
      <c r="AB387" s="5">
        <f>VLOOKUP($A387,'SegEnds_NonXtal_Prot#'!$A:$AL,33,FALSE)</f>
        <v>295</v>
      </c>
      <c r="AC387" s="5">
        <f>VLOOKUP($A387,'SegEnds_NonXtal_Prot#'!$A:$AL,36,FALSE)</f>
        <v>324</v>
      </c>
      <c r="AD387" s="5">
        <f>VLOOKUP($A387,'SegEnds_NonXtal_Prot#'!$A:$AL,5,FALSE)</f>
        <v>68</v>
      </c>
      <c r="AE387" s="5">
        <f>VLOOKUP($A387,'SegEnds_NonXtal_Prot#'!$A:$AL,8,FALSE)</f>
        <v>72</v>
      </c>
      <c r="AF387" s="5">
        <f>VLOOKUP($A387,'SegEnds_NonXtal_Prot#'!$A:$AL,11,FALSE)</f>
        <v>103</v>
      </c>
      <c r="AG387" s="5">
        <f>VLOOKUP($A387,'SegEnds_NonXtal_Prot#'!$A:$AL,14,FALSE)</f>
        <v>108</v>
      </c>
      <c r="AH387" s="5">
        <f>VLOOKUP($A387,'SegEnds_NonXtal_Prot#'!$A:$AL,17,FALSE)</f>
        <v>144</v>
      </c>
      <c r="AI387" s="5" t="str">
        <f>VLOOKUP($A387,'SegEnds_NonXtal_Prot#'!$A:$AL,20,FALSE)</f>
        <v>-</v>
      </c>
      <c r="AJ387" s="5">
        <f>VLOOKUP($A387,'SegEnds_NonXtal_Prot#'!$A:$AL,23,FALSE)</f>
        <v>177</v>
      </c>
      <c r="AK387" s="5">
        <f>VLOOKUP($A387,'SegEnds_NonXtal_Prot#'!$A:$AL,26,FALSE)</f>
        <v>200</v>
      </c>
      <c r="AL387" s="5">
        <f>VLOOKUP($A387,'SegEnds_NonXtal_Prot#'!$A:$AL,29,FALSE)</f>
        <v>246</v>
      </c>
      <c r="AM387" s="5">
        <f>VLOOKUP($A387,'SegEnds_NonXtal_Prot#'!$A:$AL,32,FALSE)</f>
        <v>289</v>
      </c>
      <c r="AN387" s="5">
        <f>VLOOKUP($A387,'SegEnds_NonXtal_Prot#'!$A:$AL,35,FALSE)</f>
        <v>323</v>
      </c>
      <c r="AO387" s="5">
        <f>VLOOKUP($A387,'SegEnds_NonXtal_Prot#'!$A:$AL,38,FALSE)</f>
        <v>335</v>
      </c>
      <c r="AP387" s="5">
        <f t="shared" si="163"/>
        <v>28</v>
      </c>
      <c r="AQ387" s="4">
        <f t="shared" si="164"/>
        <v>3</v>
      </c>
      <c r="AR387" s="4">
        <f t="shared" si="165"/>
        <v>30</v>
      </c>
      <c r="AS387" s="4">
        <f t="shared" si="166"/>
        <v>3</v>
      </c>
      <c r="AT387" s="4">
        <f t="shared" si="167"/>
        <v>35</v>
      </c>
      <c r="AU387" s="4" t="str">
        <f t="shared" si="168"/>
        <v>-</v>
      </c>
      <c r="AV387" s="4">
        <f t="shared" si="169"/>
        <v>26</v>
      </c>
      <c r="AW387" s="4">
        <f t="shared" si="170"/>
        <v>2</v>
      </c>
      <c r="AX387" s="4">
        <f t="shared" si="171"/>
        <v>41</v>
      </c>
      <c r="AY387" s="4">
        <f t="shared" si="172"/>
        <v>39</v>
      </c>
      <c r="AZ387" s="4">
        <f t="shared" si="173"/>
        <v>28</v>
      </c>
      <c r="BA387" s="4">
        <f t="shared" si="174"/>
        <v>11</v>
      </c>
    </row>
    <row r="388" spans="1:53" x14ac:dyDescent="0.2">
      <c r="A388" s="1" t="str">
        <f>'SegEnds_NonXtal_Prot#'!A386</f>
        <v>npy2r_human</v>
      </c>
      <c r="B388" s="1" t="str">
        <f t="shared" si="150"/>
        <v>QVVLILAYCSIILLGVIGNSLVIHVVIKFTVTNFFIANLAVADLLVNTLCLPFTLTYTLMGPVLCHLVPYAQGLAVQVSTITLTVIALDRHRCIVYSKRISFLIIGLAWGISALLASPLAIFRSIYGTVYSLSSLLILYVLPLGIISFSYTRIWSKLKNHVSPGDHYHQRRQKTTKMLVCVVVVFAVSWLPLHAFQLAVDIDLKEYKLIFTVFHIIAMCSTFANPLLYGWMNSNYRKAFLSAF</v>
      </c>
      <c r="C388" s="29" t="str">
        <f>IF(ISERROR(MATCH(A388,'SegEnds_Xtal_Prot#'!B:B, 0)), "NoXtal", "Xtal")</f>
        <v>NoXtal</v>
      </c>
      <c r="D388" s="4" t="str">
        <f>VLOOKUP(A388,Classification!A:D,2,FALSE)</f>
        <v>A</v>
      </c>
      <c r="E388" s="5" t="str">
        <f>VLOOKUP(A388,Seqs!A:B,2,FALSE)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388" s="5" t="str">
        <f t="shared" si="151"/>
        <v>QVVLILAYCSIILLGVIGNSLVIHVVIKF</v>
      </c>
      <c r="G388" s="4" t="str">
        <f t="shared" si="152"/>
        <v>KSMR</v>
      </c>
      <c r="H388" s="4" t="str">
        <f t="shared" si="153"/>
        <v>TVTNFFIANLAVADLLVNTLCLPFTLTYTLM</v>
      </c>
      <c r="I388" s="4" t="str">
        <f t="shared" si="154"/>
        <v>EWKM</v>
      </c>
      <c r="J388" s="4" t="str">
        <f t="shared" si="155"/>
        <v>GPVLCHLVPYAQGLAVQVSTITLTVIALDRHRCIVY</v>
      </c>
      <c r="K388" s="4" t="str">
        <f t="shared" si="156"/>
        <v/>
      </c>
      <c r="L388" s="4" t="str">
        <f t="shared" si="157"/>
        <v>SKRISFLIIGLAWGISALLASPLAIFR</v>
      </c>
      <c r="M388" s="4" t="str">
        <f t="shared" si="158"/>
        <v>CTE</v>
      </c>
      <c r="N388" s="4" t="str">
        <f t="shared" si="159"/>
        <v>SIYGTVYSLSSLLILYVLPLGIISFSYTRIWSKLKNHVSPG</v>
      </c>
      <c r="O388" s="4" t="str">
        <f t="shared" si="160"/>
        <v>DHYHQRRQKTTKMLVCVVVVFAVSWLPLHAFQLAVDID</v>
      </c>
      <c r="P388" s="4" t="str">
        <f t="shared" si="161"/>
        <v>LKEYKLIFTVFHIIAMCSTFANPLLYGWM</v>
      </c>
      <c r="Q388" s="4" t="str">
        <f t="shared" si="162"/>
        <v>NSNYRKAFLSAF</v>
      </c>
      <c r="R388" s="5">
        <f>VLOOKUP($A388,'SegEnds_NonXtal_Prot#'!$A:$AL,3,FALSE)</f>
        <v>50</v>
      </c>
      <c r="S388" s="5">
        <f>VLOOKUP($A388,'SegEnds_NonXtal_Prot#'!$A:$AL,6,FALSE)</f>
        <v>79</v>
      </c>
      <c r="T388" s="5">
        <f>VLOOKUP($A388,'SegEnds_NonXtal_Prot#'!$A:$AL,9,FALSE)</f>
        <v>83</v>
      </c>
      <c r="U388" s="5">
        <f>VLOOKUP($A388,'SegEnds_NonXtal_Prot#'!$A:$AL,12,FALSE)</f>
        <v>115</v>
      </c>
      <c r="V388" s="5">
        <f>VLOOKUP($A388,'SegEnds_NonXtal_Prot#'!$A:$AL,15,FALSE)</f>
        <v>119</v>
      </c>
      <c r="W388" s="5" t="str">
        <f>VLOOKUP($A388,'SegEnds_NonXtal_Prot#'!$A:$AL,18,FALSE)</f>
        <v>-</v>
      </c>
      <c r="X388" s="5">
        <f>VLOOKUP($A388,'SegEnds_NonXtal_Prot#'!$A:$AL,21,FALSE)</f>
        <v>161</v>
      </c>
      <c r="Y388" s="5">
        <f>VLOOKUP($A388,'SegEnds_NonXtal_Prot#'!$A:$AL,24,FALSE)</f>
        <v>203</v>
      </c>
      <c r="Z388" s="5">
        <f>VLOOKUP($A388,'SegEnds_NonXtal_Prot#'!$A:$AL,27,FALSE)</f>
        <v>213</v>
      </c>
      <c r="AA388" s="5">
        <f>VLOOKUP($A388,'SegEnds_NonXtal_Prot#'!$A:$AL,30,FALSE)</f>
        <v>257</v>
      </c>
      <c r="AB388" s="5">
        <f>VLOOKUP($A388,'SegEnds_NonXtal_Prot#'!$A:$AL,33,FALSE)</f>
        <v>300</v>
      </c>
      <c r="AC388" s="5">
        <f>VLOOKUP($A388,'SegEnds_NonXtal_Prot#'!$A:$AL,36,FALSE)</f>
        <v>329</v>
      </c>
      <c r="AD388" s="5">
        <f>VLOOKUP($A388,'SegEnds_NonXtal_Prot#'!$A:$AL,5,FALSE)</f>
        <v>78</v>
      </c>
      <c r="AE388" s="5">
        <f>VLOOKUP($A388,'SegEnds_NonXtal_Prot#'!$A:$AL,8,FALSE)</f>
        <v>82</v>
      </c>
      <c r="AF388" s="5">
        <f>VLOOKUP($A388,'SegEnds_NonXtal_Prot#'!$A:$AL,11,FALSE)</f>
        <v>113</v>
      </c>
      <c r="AG388" s="5">
        <f>VLOOKUP($A388,'SegEnds_NonXtal_Prot#'!$A:$AL,14,FALSE)</f>
        <v>118</v>
      </c>
      <c r="AH388" s="5">
        <f>VLOOKUP($A388,'SegEnds_NonXtal_Prot#'!$A:$AL,17,FALSE)</f>
        <v>154</v>
      </c>
      <c r="AI388" s="5" t="str">
        <f>VLOOKUP($A388,'SegEnds_NonXtal_Prot#'!$A:$AL,20,FALSE)</f>
        <v>-</v>
      </c>
      <c r="AJ388" s="5">
        <f>VLOOKUP($A388,'SegEnds_NonXtal_Prot#'!$A:$AL,23,FALSE)</f>
        <v>187</v>
      </c>
      <c r="AK388" s="5">
        <f>VLOOKUP($A388,'SegEnds_NonXtal_Prot#'!$A:$AL,26,FALSE)</f>
        <v>205</v>
      </c>
      <c r="AL388" s="5">
        <f>VLOOKUP($A388,'SegEnds_NonXtal_Prot#'!$A:$AL,29,FALSE)</f>
        <v>253</v>
      </c>
      <c r="AM388" s="5">
        <f>VLOOKUP($A388,'SegEnds_NonXtal_Prot#'!$A:$AL,32,FALSE)</f>
        <v>294</v>
      </c>
      <c r="AN388" s="5">
        <f>VLOOKUP($A388,'SegEnds_NonXtal_Prot#'!$A:$AL,35,FALSE)</f>
        <v>328</v>
      </c>
      <c r="AO388" s="5">
        <f>VLOOKUP($A388,'SegEnds_NonXtal_Prot#'!$A:$AL,38,FALSE)</f>
        <v>340</v>
      </c>
      <c r="AP388" s="5">
        <f t="shared" si="163"/>
        <v>28</v>
      </c>
      <c r="AQ388" s="4">
        <f t="shared" si="164"/>
        <v>3</v>
      </c>
      <c r="AR388" s="4">
        <f t="shared" si="165"/>
        <v>30</v>
      </c>
      <c r="AS388" s="4">
        <f t="shared" si="166"/>
        <v>3</v>
      </c>
      <c r="AT388" s="4">
        <f t="shared" si="167"/>
        <v>35</v>
      </c>
      <c r="AU388" s="4" t="str">
        <f t="shared" si="168"/>
        <v>-</v>
      </c>
      <c r="AV388" s="4">
        <f t="shared" si="169"/>
        <v>26</v>
      </c>
      <c r="AW388" s="4">
        <f t="shared" si="170"/>
        <v>2</v>
      </c>
      <c r="AX388" s="4">
        <f t="shared" si="171"/>
        <v>40</v>
      </c>
      <c r="AY388" s="4">
        <f t="shared" si="172"/>
        <v>37</v>
      </c>
      <c r="AZ388" s="4">
        <f t="shared" si="173"/>
        <v>28</v>
      </c>
      <c r="BA388" s="4">
        <f t="shared" si="174"/>
        <v>11</v>
      </c>
    </row>
    <row r="389" spans="1:53" x14ac:dyDescent="0.2">
      <c r="A389" s="1" t="str">
        <f>'SegEnds_NonXtal_Prot#'!A387</f>
        <v>npy4r_human</v>
      </c>
      <c r="B389" s="1" t="str">
        <f t="shared" si="150"/>
        <v>VMVFIVTSYSIETVVGVLGNLCLMCVTVRQNVTNLLIANLAFSDFLMCLLCQPLTAVYTIMGETLCKMSAFIQCMSVTVSILSLVLVALERHQLIINSISQAYLGIVLIWVIACVLSLPFLANSAHHRTIYTTFLLLFQYCLPLGFILVCYARIYRRLQRQGRVFSLRAGHMKQVNVVLVVMVVAFAVLWLPLHVFNSLEDWHICHGNLIFLVCHLLAMASTCVNPFIYGFLNTNFKKEIKALV</v>
      </c>
      <c r="C389" s="29" t="str">
        <f>IF(ISERROR(MATCH(A389,'SegEnds_Xtal_Prot#'!B:B, 0)), "NoXtal", "Xtal")</f>
        <v>NoXtal</v>
      </c>
      <c r="D389" s="4" t="str">
        <f>VLOOKUP(A389,Classification!A:D,2,FALSE)</f>
        <v>A</v>
      </c>
      <c r="E389" s="5" t="str">
        <f>VLOOKUP(A389,Seqs!A:B,2,FALSE)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389" s="5" t="str">
        <f t="shared" si="151"/>
        <v>VMVFIVTSYSIETVVGVLGNLCLMCVTVRQ</v>
      </c>
      <c r="G389" s="4" t="str">
        <f t="shared" si="152"/>
        <v>KEKA</v>
      </c>
      <c r="H389" s="4" t="str">
        <f t="shared" si="153"/>
        <v>NVTNLLIANLAFSDFLMCLLCQPLTAVYTIM</v>
      </c>
      <c r="I389" s="4" t="str">
        <f t="shared" si="154"/>
        <v>YWIF</v>
      </c>
      <c r="J389" s="4" t="str">
        <f t="shared" si="155"/>
        <v>GETLCKMSAFIQCMSVTVSILSLVLVALERHQLIIN</v>
      </c>
      <c r="K389" s="4" t="str">
        <f t="shared" si="156"/>
        <v/>
      </c>
      <c r="L389" s="4" t="str">
        <f t="shared" si="157"/>
        <v>SISQAYLGIVLIWVIACVLSLPFLANS</v>
      </c>
      <c r="M389" s="4" t="str">
        <f t="shared" si="158"/>
        <v>CTE</v>
      </c>
      <c r="N389" s="4" t="str">
        <f t="shared" si="159"/>
        <v>AHHRTIYTTFLLLFQYCLPLGFILVCYARIYRRLQRQGRVF</v>
      </c>
      <c r="O389" s="4" t="str">
        <f t="shared" si="160"/>
        <v>SLRAGHMKQVNVVLVVMVVAFAVLWLPLHVFNSLEDWH</v>
      </c>
      <c r="P389" s="4" t="str">
        <f t="shared" si="161"/>
        <v>ICHGNLIFLVCHLLAMASTCVNPFIYGFL</v>
      </c>
      <c r="Q389" s="4" t="str">
        <f t="shared" si="162"/>
        <v>NTNFKKEIKALV</v>
      </c>
      <c r="R389" s="5">
        <f>VLOOKUP($A389,'SegEnds_NonXtal_Prot#'!$A:$AL,3,FALSE)</f>
        <v>40</v>
      </c>
      <c r="S389" s="5">
        <f>VLOOKUP($A389,'SegEnds_NonXtal_Prot#'!$A:$AL,6,FALSE)</f>
        <v>70</v>
      </c>
      <c r="T389" s="5">
        <f>VLOOKUP($A389,'SegEnds_NonXtal_Prot#'!$A:$AL,9,FALSE)</f>
        <v>74</v>
      </c>
      <c r="U389" s="5">
        <f>VLOOKUP($A389,'SegEnds_NonXtal_Prot#'!$A:$AL,12,FALSE)</f>
        <v>106</v>
      </c>
      <c r="V389" s="5">
        <f>VLOOKUP($A389,'SegEnds_NonXtal_Prot#'!$A:$AL,15,FALSE)</f>
        <v>110</v>
      </c>
      <c r="W389" s="5" t="str">
        <f>VLOOKUP($A389,'SegEnds_NonXtal_Prot#'!$A:$AL,18,FALSE)</f>
        <v>-</v>
      </c>
      <c r="X389" s="5">
        <f>VLOOKUP($A389,'SegEnds_NonXtal_Prot#'!$A:$AL,21,FALSE)</f>
        <v>152</v>
      </c>
      <c r="Y389" s="5">
        <f>VLOOKUP($A389,'SegEnds_NonXtal_Prot#'!$A:$AL,24,FALSE)</f>
        <v>201</v>
      </c>
      <c r="Z389" s="5">
        <f>VLOOKUP($A389,'SegEnds_NonXtal_Prot#'!$A:$AL,27,FALSE)</f>
        <v>208</v>
      </c>
      <c r="AA389" s="5">
        <f>VLOOKUP($A389,'SegEnds_NonXtal_Prot#'!$A:$AL,30,FALSE)</f>
        <v>254</v>
      </c>
      <c r="AB389" s="5">
        <f>VLOOKUP($A389,'SegEnds_NonXtal_Prot#'!$A:$AL,33,FALSE)</f>
        <v>297</v>
      </c>
      <c r="AC389" s="5">
        <f>VLOOKUP($A389,'SegEnds_NonXtal_Prot#'!$A:$AL,36,FALSE)</f>
        <v>326</v>
      </c>
      <c r="AD389" s="5">
        <f>VLOOKUP($A389,'SegEnds_NonXtal_Prot#'!$A:$AL,5,FALSE)</f>
        <v>69</v>
      </c>
      <c r="AE389" s="5">
        <f>VLOOKUP($A389,'SegEnds_NonXtal_Prot#'!$A:$AL,8,FALSE)</f>
        <v>73</v>
      </c>
      <c r="AF389" s="5">
        <f>VLOOKUP($A389,'SegEnds_NonXtal_Prot#'!$A:$AL,11,FALSE)</f>
        <v>104</v>
      </c>
      <c r="AG389" s="5">
        <f>VLOOKUP($A389,'SegEnds_NonXtal_Prot#'!$A:$AL,14,FALSE)</f>
        <v>109</v>
      </c>
      <c r="AH389" s="5">
        <f>VLOOKUP($A389,'SegEnds_NonXtal_Prot#'!$A:$AL,17,FALSE)</f>
        <v>145</v>
      </c>
      <c r="AI389" s="5" t="str">
        <f>VLOOKUP($A389,'SegEnds_NonXtal_Prot#'!$A:$AL,20,FALSE)</f>
        <v>-</v>
      </c>
      <c r="AJ389" s="5">
        <f>VLOOKUP($A389,'SegEnds_NonXtal_Prot#'!$A:$AL,23,FALSE)</f>
        <v>178</v>
      </c>
      <c r="AK389" s="5">
        <f>VLOOKUP($A389,'SegEnds_NonXtal_Prot#'!$A:$AL,26,FALSE)</f>
        <v>203</v>
      </c>
      <c r="AL389" s="5">
        <f>VLOOKUP($A389,'SegEnds_NonXtal_Prot#'!$A:$AL,29,FALSE)</f>
        <v>248</v>
      </c>
      <c r="AM389" s="5">
        <f>VLOOKUP($A389,'SegEnds_NonXtal_Prot#'!$A:$AL,32,FALSE)</f>
        <v>291</v>
      </c>
      <c r="AN389" s="5">
        <f>VLOOKUP($A389,'SegEnds_NonXtal_Prot#'!$A:$AL,35,FALSE)</f>
        <v>325</v>
      </c>
      <c r="AO389" s="5">
        <f>VLOOKUP($A389,'SegEnds_NonXtal_Prot#'!$A:$AL,38,FALSE)</f>
        <v>337</v>
      </c>
      <c r="AP389" s="5">
        <f t="shared" si="163"/>
        <v>29</v>
      </c>
      <c r="AQ389" s="4">
        <f t="shared" si="164"/>
        <v>3</v>
      </c>
      <c r="AR389" s="4">
        <f t="shared" si="165"/>
        <v>30</v>
      </c>
      <c r="AS389" s="4">
        <f t="shared" si="166"/>
        <v>3</v>
      </c>
      <c r="AT389" s="4">
        <f t="shared" si="167"/>
        <v>35</v>
      </c>
      <c r="AU389" s="4" t="str">
        <f t="shared" si="168"/>
        <v>-</v>
      </c>
      <c r="AV389" s="4">
        <f t="shared" si="169"/>
        <v>26</v>
      </c>
      <c r="AW389" s="4">
        <f t="shared" si="170"/>
        <v>2</v>
      </c>
      <c r="AX389" s="4">
        <f t="shared" si="171"/>
        <v>40</v>
      </c>
      <c r="AY389" s="4">
        <f t="shared" si="172"/>
        <v>37</v>
      </c>
      <c r="AZ389" s="4">
        <f t="shared" si="173"/>
        <v>28</v>
      </c>
      <c r="BA389" s="4">
        <f t="shared" si="174"/>
        <v>11</v>
      </c>
    </row>
    <row r="390" spans="1:53" x14ac:dyDescent="0.2">
      <c r="A390" s="1" t="str">
        <f>'SegEnds_NonXtal_Prot#'!A388</f>
        <v>npy5r_human</v>
      </c>
      <c r="B390" s="1" t="str">
        <f t="shared" si="150"/>
        <v>LQYFLIGLYTFVSLLGFMGNLLILMALMKKTTVNFLIGNLAFSDILVVLFCSPFTLTSVLLGKVMCHIMPFLQCVSVLVSTLILISIAIVRYHMIKHTANHGYFLIATVWTLGFAICSPLPVFHDSYRIAFTISLLLVQYILPLVCLTVSHTSVCRSISCGLSNKENRLTRIKKRSRSVFYRLTILILVFAVSWMPLHLFHVVTDFNNRHFKLVYCICHLLGMMSCCLNPILYGFLNNGIKADLVSLI</v>
      </c>
      <c r="C390" s="29" t="str">
        <f>IF(ISERROR(MATCH(A390,'SegEnds_Xtal_Prot#'!B:B, 0)), "NoXtal", "Xtal")</f>
        <v>NoXtal</v>
      </c>
      <c r="D390" s="4" t="str">
        <f>VLOOKUP(A390,Classification!A:D,2,FALSE)</f>
        <v>A</v>
      </c>
      <c r="E390" s="5" t="str">
        <f>VLOOKUP(A390,Seqs!A:B,2,FALSE)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390" s="5" t="str">
        <f t="shared" si="151"/>
        <v>LQYFLIGLYTFVSLLGFMGNLLILMALMKK</v>
      </c>
      <c r="G390" s="4" t="str">
        <f t="shared" si="152"/>
        <v>RNQK</v>
      </c>
      <c r="H390" s="4" t="str">
        <f t="shared" si="153"/>
        <v>TTVNFLIGNLAFSDILVVLFCSPFTLTSVLL</v>
      </c>
      <c r="I390" s="4" t="str">
        <f t="shared" si="154"/>
        <v>QWMF</v>
      </c>
      <c r="J390" s="4" t="str">
        <f t="shared" si="155"/>
        <v>GKVMCHIMPFLQCVSVLVSTLILISIAIVRYHMIKH</v>
      </c>
      <c r="K390" s="4" t="str">
        <f t="shared" si="156"/>
        <v/>
      </c>
      <c r="L390" s="4" t="str">
        <f t="shared" si="157"/>
        <v>TANHGYFLIATVWTLGFAICSPLPVFH</v>
      </c>
      <c r="M390" s="4" t="str">
        <f t="shared" si="158"/>
        <v>CVE</v>
      </c>
      <c r="N390" s="4" t="str">
        <f t="shared" si="159"/>
        <v>DSYRIAFTISLLLVQYILPLVCLTVSHTSVCRSISCGLSNKENRL</v>
      </c>
      <c r="O390" s="4" t="str">
        <f t="shared" si="160"/>
        <v>TRIKKRSRSVFYRLTILILVFAVSWMPLHLFHVVTDFN</v>
      </c>
      <c r="P390" s="4" t="str">
        <f t="shared" si="161"/>
        <v>NRHFKLVYCICHLLGMMSCCLNPILYGFL</v>
      </c>
      <c r="Q390" s="4" t="str">
        <f t="shared" si="162"/>
        <v>NNGIKADLVSLI</v>
      </c>
      <c r="R390" s="5">
        <f>VLOOKUP($A390,'SegEnds_NonXtal_Prot#'!$A:$AL,3,FALSE)</f>
        <v>40</v>
      </c>
      <c r="S390" s="5">
        <f>VLOOKUP($A390,'SegEnds_NonXtal_Prot#'!$A:$AL,6,FALSE)</f>
        <v>70</v>
      </c>
      <c r="T390" s="5">
        <f>VLOOKUP($A390,'SegEnds_NonXtal_Prot#'!$A:$AL,9,FALSE)</f>
        <v>74</v>
      </c>
      <c r="U390" s="5">
        <f>VLOOKUP($A390,'SegEnds_NonXtal_Prot#'!$A:$AL,12,FALSE)</f>
        <v>106</v>
      </c>
      <c r="V390" s="5">
        <f>VLOOKUP($A390,'SegEnds_NonXtal_Prot#'!$A:$AL,15,FALSE)</f>
        <v>110</v>
      </c>
      <c r="W390" s="5" t="str">
        <f>VLOOKUP($A390,'SegEnds_NonXtal_Prot#'!$A:$AL,18,FALSE)</f>
        <v>-</v>
      </c>
      <c r="X390" s="5">
        <f>VLOOKUP($A390,'SegEnds_NonXtal_Prot#'!$A:$AL,21,FALSE)</f>
        <v>152</v>
      </c>
      <c r="Y390" s="5">
        <f>VLOOKUP($A390,'SegEnds_NonXtal_Prot#'!$A:$AL,24,FALSE)</f>
        <v>198</v>
      </c>
      <c r="Z390" s="5">
        <f>VLOOKUP($A390,'SegEnds_NonXtal_Prot#'!$A:$AL,27,FALSE)</f>
        <v>205</v>
      </c>
      <c r="AA390" s="5">
        <f>VLOOKUP($A390,'SegEnds_NonXtal_Prot#'!$A:$AL,30,FALSE)</f>
        <v>357</v>
      </c>
      <c r="AB390" s="5">
        <f>VLOOKUP($A390,'SegEnds_NonXtal_Prot#'!$A:$AL,33,FALSE)</f>
        <v>400</v>
      </c>
      <c r="AC390" s="5">
        <f>VLOOKUP($A390,'SegEnds_NonXtal_Prot#'!$A:$AL,36,FALSE)</f>
        <v>429</v>
      </c>
      <c r="AD390" s="5">
        <f>VLOOKUP($A390,'SegEnds_NonXtal_Prot#'!$A:$AL,5,FALSE)</f>
        <v>69</v>
      </c>
      <c r="AE390" s="5">
        <f>VLOOKUP($A390,'SegEnds_NonXtal_Prot#'!$A:$AL,8,FALSE)</f>
        <v>73</v>
      </c>
      <c r="AF390" s="5">
        <f>VLOOKUP($A390,'SegEnds_NonXtal_Prot#'!$A:$AL,11,FALSE)</f>
        <v>104</v>
      </c>
      <c r="AG390" s="5">
        <f>VLOOKUP($A390,'SegEnds_NonXtal_Prot#'!$A:$AL,14,FALSE)</f>
        <v>109</v>
      </c>
      <c r="AH390" s="5">
        <f>VLOOKUP($A390,'SegEnds_NonXtal_Prot#'!$A:$AL,17,FALSE)</f>
        <v>145</v>
      </c>
      <c r="AI390" s="5" t="str">
        <f>VLOOKUP($A390,'SegEnds_NonXtal_Prot#'!$A:$AL,20,FALSE)</f>
        <v>-</v>
      </c>
      <c r="AJ390" s="5">
        <f>VLOOKUP($A390,'SegEnds_NonXtal_Prot#'!$A:$AL,23,FALSE)</f>
        <v>178</v>
      </c>
      <c r="AK390" s="5">
        <f>VLOOKUP($A390,'SegEnds_NonXtal_Prot#'!$A:$AL,26,FALSE)</f>
        <v>200</v>
      </c>
      <c r="AL390" s="5">
        <f>VLOOKUP($A390,'SegEnds_NonXtal_Prot#'!$A:$AL,29,FALSE)</f>
        <v>249</v>
      </c>
      <c r="AM390" s="5">
        <f>VLOOKUP($A390,'SegEnds_NonXtal_Prot#'!$A:$AL,32,FALSE)</f>
        <v>394</v>
      </c>
      <c r="AN390" s="5">
        <f>VLOOKUP($A390,'SegEnds_NonXtal_Prot#'!$A:$AL,35,FALSE)</f>
        <v>428</v>
      </c>
      <c r="AO390" s="5">
        <f>VLOOKUP($A390,'SegEnds_NonXtal_Prot#'!$A:$AL,38,FALSE)</f>
        <v>440</v>
      </c>
      <c r="AP390" s="5">
        <f t="shared" si="163"/>
        <v>29</v>
      </c>
      <c r="AQ390" s="4">
        <f t="shared" si="164"/>
        <v>3</v>
      </c>
      <c r="AR390" s="4">
        <f t="shared" si="165"/>
        <v>30</v>
      </c>
      <c r="AS390" s="4">
        <f t="shared" si="166"/>
        <v>3</v>
      </c>
      <c r="AT390" s="4">
        <f t="shared" si="167"/>
        <v>35</v>
      </c>
      <c r="AU390" s="4" t="str">
        <f t="shared" si="168"/>
        <v>-</v>
      </c>
      <c r="AV390" s="4">
        <f t="shared" si="169"/>
        <v>26</v>
      </c>
      <c r="AW390" s="4">
        <f t="shared" si="170"/>
        <v>2</v>
      </c>
      <c r="AX390" s="4">
        <f t="shared" si="171"/>
        <v>44</v>
      </c>
      <c r="AY390" s="4">
        <f t="shared" si="172"/>
        <v>37</v>
      </c>
      <c r="AZ390" s="4">
        <f t="shared" si="173"/>
        <v>28</v>
      </c>
      <c r="BA390" s="4">
        <f t="shared" si="174"/>
        <v>11</v>
      </c>
    </row>
    <row r="391" spans="1:53" x14ac:dyDescent="0.2">
      <c r="A391" s="1" t="str">
        <f>'SegEnds_NonXtal_Prot#'!A389</f>
        <v>opn3_human</v>
      </c>
      <c r="B391" s="1" t="str">
        <f t="shared" si="150"/>
        <v>PGTYERLALLLGSIGLLGVGNNLLVLVLYYKFTPTHLLLVNISLSDLLVSLFGVTFTFVSCLRDTVGCVWDGFSGSLFGIVSIATLTVLAYERYIRVVHNFSWAWRAITYIWLYSLAWAGAPLLNDSSFVLFLFLGCLVVPLGVIAHCYGHILYSIRMLRCVEDQVIKILKYEKKLAKMCFLMIFTFLVCWMPYIVICFLVVNGTPTISIVSYLFAKSNTVYNPVIYVFMIRKFRRSLLQLLC</v>
      </c>
      <c r="C391" s="29" t="str">
        <f>IF(ISERROR(MATCH(A391,'SegEnds_Xtal_Prot#'!B:B, 0)), "NoXtal", "Xtal")</f>
        <v>NoXtal</v>
      </c>
      <c r="D391" s="4" t="str">
        <f>VLOOKUP(A391,Classification!A:D,2,FALSE)</f>
        <v>A</v>
      </c>
      <c r="E391" s="5" t="str">
        <f>VLOOKUP(A391,Seqs!A:B,2,FALSE)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91" s="5" t="str">
        <f t="shared" si="151"/>
        <v>PGTYERLALLLGSIGLLGVGNNLLVLVLYYKF</v>
      </c>
      <c r="G391" s="4" t="str">
        <f t="shared" si="152"/>
        <v>QRLR</v>
      </c>
      <c r="H391" s="4" t="str">
        <f t="shared" si="153"/>
        <v>TPTHLLLVNISLSDLLVSLFGVTFTFVSCLR</v>
      </c>
      <c r="I391" s="4" t="str">
        <f t="shared" si="154"/>
        <v>GWVW</v>
      </c>
      <c r="J391" s="4" t="str">
        <f t="shared" si="155"/>
        <v>DTVGCVWDGFSGSLFGIVSIATLTVLAYERYIRVVH</v>
      </c>
      <c r="K391" s="4" t="str">
        <f t="shared" si="156"/>
        <v/>
      </c>
      <c r="L391" s="4" t="str">
        <f t="shared" si="157"/>
        <v>NFSWAWRAITYIWLYSLAWAGAPLL</v>
      </c>
      <c r="M391" s="4" t="str">
        <f t="shared" si="158"/>
        <v>CTV</v>
      </c>
      <c r="N391" s="4" t="str">
        <f t="shared" si="159"/>
        <v>NDSSFVLFLFLGCLVVPLGVIAHCYGHILYSIRMLRCVED</v>
      </c>
      <c r="O391" s="4" t="str">
        <f t="shared" si="160"/>
        <v>QVIKILKYEKKLAKMCFLMIFTFLVCWMPYIVICFLVVNG</v>
      </c>
      <c r="P391" s="4" t="str">
        <f t="shared" si="161"/>
        <v>TPTISIVSYLFAKSNTVYNPVIYVFM</v>
      </c>
      <c r="Q391" s="4" t="str">
        <f t="shared" si="162"/>
        <v>IRKFRRSLLQLLC</v>
      </c>
      <c r="R391" s="5">
        <f>VLOOKUP($A391,'SegEnds_NonXtal_Prot#'!$A:$AL,3,FALSE)</f>
        <v>38</v>
      </c>
      <c r="S391" s="5">
        <f>VLOOKUP($A391,'SegEnds_NonXtal_Prot#'!$A:$AL,6,FALSE)</f>
        <v>70</v>
      </c>
      <c r="T391" s="5">
        <f>VLOOKUP($A391,'SegEnds_NonXtal_Prot#'!$A:$AL,9,FALSE)</f>
        <v>74</v>
      </c>
      <c r="U391" s="5">
        <f>VLOOKUP($A391,'SegEnds_NonXtal_Prot#'!$A:$AL,12,FALSE)</f>
        <v>106</v>
      </c>
      <c r="V391" s="5">
        <f>VLOOKUP($A391,'SegEnds_NonXtal_Prot#'!$A:$AL,15,FALSE)</f>
        <v>110</v>
      </c>
      <c r="W391" s="5" t="str">
        <f>VLOOKUP($A391,'SegEnds_NonXtal_Prot#'!$A:$AL,18,FALSE)</f>
        <v>-</v>
      </c>
      <c r="X391" s="5">
        <f>VLOOKUP($A391,'SegEnds_NonXtal_Prot#'!$A:$AL,21,FALSE)</f>
        <v>150</v>
      </c>
      <c r="Y391" s="5">
        <f>VLOOKUP($A391,'SegEnds_NonXtal_Prot#'!$A:$AL,24,FALSE)</f>
        <v>188</v>
      </c>
      <c r="Z391" s="5">
        <f>VLOOKUP($A391,'SegEnds_NonXtal_Prot#'!$A:$AL,27,FALSE)</f>
        <v>198</v>
      </c>
      <c r="AA391" s="5">
        <f>VLOOKUP($A391,'SegEnds_NonXtal_Prot#'!$A:$AL,30,FALSE)</f>
        <v>242</v>
      </c>
      <c r="AB391" s="5">
        <f>VLOOKUP($A391,'SegEnds_NonXtal_Prot#'!$A:$AL,33,FALSE)</f>
        <v>287</v>
      </c>
      <c r="AC391" s="5">
        <f>VLOOKUP($A391,'SegEnds_NonXtal_Prot#'!$A:$AL,36,FALSE)</f>
        <v>313</v>
      </c>
      <c r="AD391" s="5">
        <f>VLOOKUP($A391,'SegEnds_NonXtal_Prot#'!$A:$AL,5,FALSE)</f>
        <v>69</v>
      </c>
      <c r="AE391" s="5">
        <f>VLOOKUP($A391,'SegEnds_NonXtal_Prot#'!$A:$AL,8,FALSE)</f>
        <v>73</v>
      </c>
      <c r="AF391" s="5">
        <f>VLOOKUP($A391,'SegEnds_NonXtal_Prot#'!$A:$AL,11,FALSE)</f>
        <v>104</v>
      </c>
      <c r="AG391" s="5">
        <f>VLOOKUP($A391,'SegEnds_NonXtal_Prot#'!$A:$AL,14,FALSE)</f>
        <v>109</v>
      </c>
      <c r="AH391" s="5">
        <f>VLOOKUP($A391,'SegEnds_NonXtal_Prot#'!$A:$AL,17,FALSE)</f>
        <v>145</v>
      </c>
      <c r="AI391" s="5" t="str">
        <f>VLOOKUP($A391,'SegEnds_NonXtal_Prot#'!$A:$AL,20,FALSE)</f>
        <v>-</v>
      </c>
      <c r="AJ391" s="5">
        <f>VLOOKUP($A391,'SegEnds_NonXtal_Prot#'!$A:$AL,23,FALSE)</f>
        <v>174</v>
      </c>
      <c r="AK391" s="5">
        <f>VLOOKUP($A391,'SegEnds_NonXtal_Prot#'!$A:$AL,26,FALSE)</f>
        <v>190</v>
      </c>
      <c r="AL391" s="5">
        <f>VLOOKUP($A391,'SegEnds_NonXtal_Prot#'!$A:$AL,29,FALSE)</f>
        <v>237</v>
      </c>
      <c r="AM391" s="5">
        <f>VLOOKUP($A391,'SegEnds_NonXtal_Prot#'!$A:$AL,32,FALSE)</f>
        <v>281</v>
      </c>
      <c r="AN391" s="5">
        <f>VLOOKUP($A391,'SegEnds_NonXtal_Prot#'!$A:$AL,35,FALSE)</f>
        <v>312</v>
      </c>
      <c r="AO391" s="5">
        <f>VLOOKUP($A391,'SegEnds_NonXtal_Prot#'!$A:$AL,38,FALSE)</f>
        <v>325</v>
      </c>
      <c r="AP391" s="5">
        <f t="shared" si="163"/>
        <v>31</v>
      </c>
      <c r="AQ391" s="4">
        <f t="shared" si="164"/>
        <v>3</v>
      </c>
      <c r="AR391" s="4">
        <f t="shared" si="165"/>
        <v>30</v>
      </c>
      <c r="AS391" s="4">
        <f t="shared" si="166"/>
        <v>3</v>
      </c>
      <c r="AT391" s="4">
        <f t="shared" si="167"/>
        <v>35</v>
      </c>
      <c r="AU391" s="4" t="str">
        <f t="shared" si="168"/>
        <v>-</v>
      </c>
      <c r="AV391" s="4">
        <f t="shared" si="169"/>
        <v>24</v>
      </c>
      <c r="AW391" s="4">
        <f t="shared" si="170"/>
        <v>2</v>
      </c>
      <c r="AX391" s="4">
        <f t="shared" si="171"/>
        <v>39</v>
      </c>
      <c r="AY391" s="4">
        <f t="shared" si="172"/>
        <v>39</v>
      </c>
      <c r="AZ391" s="4">
        <f t="shared" si="173"/>
        <v>25</v>
      </c>
      <c r="BA391" s="4">
        <f t="shared" si="174"/>
        <v>12</v>
      </c>
    </row>
    <row r="392" spans="1:53" x14ac:dyDescent="0.2">
      <c r="A392" s="1" t="str">
        <f>'SegEnds_NonXtal_Prot#'!A390</f>
        <v>oxyr_human</v>
      </c>
      <c r="B392" s="1" t="str">
        <f t="shared" si="150"/>
        <v>ARVEVAVLCLILLLALSGNACVLLALRTTSRLFFFMKHLSIADLVVAVFQVLPQLLWDIYGPDLLCRLVKYLQVVGMFASTYLLLLMSLDRCLAICQRRRTDRLAVLATWLGCLVASAPQVHIFPWGPKAYITWITLAVYIVPVIVLAACYGLISFKIWQNLRLKTAAAKLISKAKIRTVKMTFIIVLAFIVCWTPFFFVQMWSVWDEASAFIIVMLLASLNSCCNPWIYMLFTGHLFHELVQRF</v>
      </c>
      <c r="C392" s="29" t="str">
        <f>IF(ISERROR(MATCH(A392,'SegEnds_Xtal_Prot#'!B:B, 0)), "NoXtal", "Xtal")</f>
        <v>NoXtal</v>
      </c>
      <c r="D392" s="4" t="str">
        <f>VLOOKUP(A392,Classification!A:D,2,FALSE)</f>
        <v>A</v>
      </c>
      <c r="E392" s="5" t="str">
        <f>VLOOKUP(A392,Seqs!A:B,2,FALSE)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92" s="5" t="str">
        <f t="shared" si="151"/>
        <v>ARVEVAVLCLILLLALSGNACVLLALRTT</v>
      </c>
      <c r="G392" s="4" t="str">
        <f t="shared" si="152"/>
        <v>RQKH</v>
      </c>
      <c r="H392" s="4" t="str">
        <f t="shared" si="153"/>
        <v>SRLFFFMKHLSIADLVVAVFQVLPQLLWDI</v>
      </c>
      <c r="I392" s="4" t="str">
        <f t="shared" si="154"/>
        <v>TFRF</v>
      </c>
      <c r="J392" s="4" t="str">
        <f t="shared" si="155"/>
        <v>YGPDLLCRLVKYLQVVGMFASTYLLLLMSLDRCLAICQ</v>
      </c>
      <c r="K392" s="4" t="str">
        <f t="shared" si="156"/>
        <v/>
      </c>
      <c r="L392" s="4" t="str">
        <f t="shared" si="157"/>
        <v>RRRTDRLAVLATWLGCLVASAPQVHIF</v>
      </c>
      <c r="M392" s="4" t="str">
        <f t="shared" si="158"/>
        <v>CWA</v>
      </c>
      <c r="N392" s="4" t="str">
        <f t="shared" si="159"/>
        <v>PWGPKAYITWITLAVYIVPVIVLAACYGLISFKIWQNLRLKTAAA</v>
      </c>
      <c r="O392" s="4" t="str">
        <f t="shared" si="160"/>
        <v>KLISKAKIRTVKMTFIIVLAFIVCWTPFFFVQMWSVWD</v>
      </c>
      <c r="P392" s="4" t="str">
        <f t="shared" si="161"/>
        <v>EASAFIIVMLLASLNSCCNPWIYMLF</v>
      </c>
      <c r="Q392" s="4" t="str">
        <f t="shared" si="162"/>
        <v>TGHLFHELVQRF</v>
      </c>
      <c r="R392" s="5">
        <f>VLOOKUP($A392,'SegEnds_NonXtal_Prot#'!$A:$AL,3,FALSE)</f>
        <v>39</v>
      </c>
      <c r="S392" s="5">
        <f>VLOOKUP($A392,'SegEnds_NonXtal_Prot#'!$A:$AL,6,FALSE)</f>
        <v>68</v>
      </c>
      <c r="T392" s="5">
        <f>VLOOKUP($A392,'SegEnds_NonXtal_Prot#'!$A:$AL,9,FALSE)</f>
        <v>72</v>
      </c>
      <c r="U392" s="5">
        <f>VLOOKUP($A392,'SegEnds_NonXtal_Prot#'!$A:$AL,12,FALSE)</f>
        <v>102</v>
      </c>
      <c r="V392" s="5">
        <f>VLOOKUP($A392,'SegEnds_NonXtal_Prot#'!$A:$AL,15,FALSE)</f>
        <v>106</v>
      </c>
      <c r="W392" s="5" t="str">
        <f>VLOOKUP($A392,'SegEnds_NonXtal_Prot#'!$A:$AL,18,FALSE)</f>
        <v>-</v>
      </c>
      <c r="X392" s="5">
        <f>VLOOKUP($A392,'SegEnds_NonXtal_Prot#'!$A:$AL,21,FALSE)</f>
        <v>149</v>
      </c>
      <c r="Y392" s="5">
        <f>VLOOKUP($A392,'SegEnds_NonXtal_Prot#'!$A:$AL,24,FALSE)</f>
        <v>187</v>
      </c>
      <c r="Z392" s="5">
        <f>VLOOKUP($A392,'SegEnds_NonXtal_Prot#'!$A:$AL,27,FALSE)</f>
        <v>194</v>
      </c>
      <c r="AA392" s="5">
        <f>VLOOKUP($A392,'SegEnds_NonXtal_Prot#'!$A:$AL,30,FALSE)</f>
        <v>264</v>
      </c>
      <c r="AB392" s="5">
        <f>VLOOKUP($A392,'SegEnds_NonXtal_Prot#'!$A:$AL,33,FALSE)</f>
        <v>307</v>
      </c>
      <c r="AC392" s="5">
        <f>VLOOKUP($A392,'SegEnds_NonXtal_Prot#'!$A:$AL,36,FALSE)</f>
        <v>333</v>
      </c>
      <c r="AD392" s="5">
        <f>VLOOKUP($A392,'SegEnds_NonXtal_Prot#'!$A:$AL,5,FALSE)</f>
        <v>67</v>
      </c>
      <c r="AE392" s="5">
        <f>VLOOKUP($A392,'SegEnds_NonXtal_Prot#'!$A:$AL,8,FALSE)</f>
        <v>71</v>
      </c>
      <c r="AF392" s="5">
        <f>VLOOKUP($A392,'SegEnds_NonXtal_Prot#'!$A:$AL,11,FALSE)</f>
        <v>101</v>
      </c>
      <c r="AG392" s="5">
        <f>VLOOKUP($A392,'SegEnds_NonXtal_Prot#'!$A:$AL,14,FALSE)</f>
        <v>105</v>
      </c>
      <c r="AH392" s="5">
        <f>VLOOKUP($A392,'SegEnds_NonXtal_Prot#'!$A:$AL,17,FALSE)</f>
        <v>143</v>
      </c>
      <c r="AI392" s="5" t="str">
        <f>VLOOKUP($A392,'SegEnds_NonXtal_Prot#'!$A:$AL,20,FALSE)</f>
        <v>-</v>
      </c>
      <c r="AJ392" s="5">
        <f>VLOOKUP($A392,'SegEnds_NonXtal_Prot#'!$A:$AL,23,FALSE)</f>
        <v>175</v>
      </c>
      <c r="AK392" s="5">
        <f>VLOOKUP($A392,'SegEnds_NonXtal_Prot#'!$A:$AL,26,FALSE)</f>
        <v>189</v>
      </c>
      <c r="AL392" s="5">
        <f>VLOOKUP($A392,'SegEnds_NonXtal_Prot#'!$A:$AL,29,FALSE)</f>
        <v>238</v>
      </c>
      <c r="AM392" s="5">
        <f>VLOOKUP($A392,'SegEnds_NonXtal_Prot#'!$A:$AL,32,FALSE)</f>
        <v>301</v>
      </c>
      <c r="AN392" s="5">
        <f>VLOOKUP($A392,'SegEnds_NonXtal_Prot#'!$A:$AL,35,FALSE)</f>
        <v>332</v>
      </c>
      <c r="AO392" s="5">
        <f>VLOOKUP($A392,'SegEnds_NonXtal_Prot#'!$A:$AL,38,FALSE)</f>
        <v>344</v>
      </c>
      <c r="AP392" s="5">
        <f t="shared" si="163"/>
        <v>28</v>
      </c>
      <c r="AQ392" s="4">
        <f t="shared" si="164"/>
        <v>3</v>
      </c>
      <c r="AR392" s="4">
        <f t="shared" si="165"/>
        <v>29</v>
      </c>
      <c r="AS392" s="4">
        <f t="shared" si="166"/>
        <v>3</v>
      </c>
      <c r="AT392" s="4">
        <f t="shared" si="167"/>
        <v>37</v>
      </c>
      <c r="AU392" s="4" t="str">
        <f t="shared" si="168"/>
        <v>-</v>
      </c>
      <c r="AV392" s="4">
        <f t="shared" si="169"/>
        <v>26</v>
      </c>
      <c r="AW392" s="4">
        <f t="shared" si="170"/>
        <v>2</v>
      </c>
      <c r="AX392" s="4">
        <f t="shared" si="171"/>
        <v>44</v>
      </c>
      <c r="AY392" s="4">
        <f t="shared" si="172"/>
        <v>37</v>
      </c>
      <c r="AZ392" s="4">
        <f t="shared" si="173"/>
        <v>25</v>
      </c>
      <c r="BA392" s="4">
        <f t="shared" si="174"/>
        <v>11</v>
      </c>
    </row>
    <row r="393" spans="1:53" x14ac:dyDescent="0.2">
      <c r="A393" s="1" t="str">
        <f>'SegEnds_NonXtal_Prot#'!A391</f>
        <v>pacr_human</v>
      </c>
      <c r="B393" s="1" t="str">
        <f t="shared" si="150"/>
        <v>TGDQDYYYLSVKALYTVGYSTSLVTLTTAMVILCRFCTRNFIHMNLFVSFMLRAISVFIKDWILSTVECKAVMVFFHYCVVSNYFWLFIEGLYLFTLLVERYFYWYTIIGWGTPTVCVTVWATLRLYFDLWWVIKGPVVGSIMVNFVLFIGIIVILVQKLNESSIYLRLARSTLLLIPLFGIHYTVFAFKRERLVFELGLGSFQGFVVAVLYCFLNGEVQAEIKRKWRSWKVNRYFAVDFK</v>
      </c>
      <c r="C393" s="29" t="str">
        <f>IF(ISERROR(MATCH(A393,'SegEnds_Xtal_Prot#'!B:B, 0)), "NoXtal", "Xtal")</f>
        <v>NoXtal</v>
      </c>
      <c r="D393" s="4" t="str">
        <f>VLOOKUP(A393,Classification!A:D,2,FALSE)</f>
        <v>B1</v>
      </c>
      <c r="E393" s="5" t="str">
        <f>VLOOKUP(A393,Seqs!A:B,2,FALSE)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93" s="5" t="str">
        <f t="shared" si="151"/>
        <v>TGDQDYYYLSVKALYTVGYSTSLVTLTTAMVILCRF</v>
      </c>
      <c r="G393" s="4" t="str">
        <f t="shared" si="152"/>
        <v>RKLH</v>
      </c>
      <c r="H393" s="4" t="str">
        <f t="shared" si="153"/>
        <v>CTRNFIHMNLFVSFMLRAISVFIKDWIL</v>
      </c>
      <c r="I393" s="4" t="str">
        <f t="shared" si="154"/>
        <v/>
      </c>
      <c r="J393" s="4" t="str">
        <f t="shared" si="155"/>
        <v>STVECKAVMVFFHYCVVSNYFWLFIEGLYLFTLLVE</v>
      </c>
      <c r="K393" s="4" t="str">
        <f t="shared" si="156"/>
        <v/>
      </c>
      <c r="L393" s="4" t="str">
        <f t="shared" si="157"/>
        <v>RYFYWYTIIGWGTPTVCVTVWATLRLYFD</v>
      </c>
      <c r="M393" s="4" t="str">
        <f t="shared" si="158"/>
        <v>CWD</v>
      </c>
      <c r="N393" s="4" t="str">
        <f t="shared" si="159"/>
        <v>LWWVIKGPVVGSIMVNFVLFIGIIVILVQKL</v>
      </c>
      <c r="O393" s="4" t="str">
        <f t="shared" si="160"/>
        <v>NESSIYLRLARSTLLLIPLFGIHYTVFAF</v>
      </c>
      <c r="P393" s="4" t="str">
        <f t="shared" si="161"/>
        <v>KRERLVFELGLGSFQGFVVAVLYCFL</v>
      </c>
      <c r="Q393" s="4" t="str">
        <f t="shared" si="162"/>
        <v>NGEVQAEIKRKWRSWKVNRYFAVDFK</v>
      </c>
      <c r="R393" s="5">
        <f>VLOOKUP($A393,'SegEnds_NonXtal_Prot#'!$A:$AL,3,FALSE)</f>
        <v>143</v>
      </c>
      <c r="S393" s="5">
        <f>VLOOKUP($A393,'SegEnds_NonXtal_Prot#'!$A:$AL,6,FALSE)</f>
        <v>179</v>
      </c>
      <c r="T393" s="5">
        <f>VLOOKUP($A393,'SegEnds_NonXtal_Prot#'!$A:$AL,9,FALSE)</f>
        <v>183</v>
      </c>
      <c r="U393" s="5" t="str">
        <f>VLOOKUP($A393,'SegEnds_NonXtal_Prot#'!$A:$AL,12,FALSE)</f>
        <v>-</v>
      </c>
      <c r="V393" s="5">
        <f>VLOOKUP($A393,'SegEnds_NonXtal_Prot#'!$A:$AL,15,FALSE)</f>
        <v>222</v>
      </c>
      <c r="W393" s="5" t="str">
        <f>VLOOKUP($A393,'SegEnds_NonXtal_Prot#'!$A:$AL,18,FALSE)</f>
        <v>-</v>
      </c>
      <c r="X393" s="5">
        <f>VLOOKUP($A393,'SegEnds_NonXtal_Prot#'!$A:$AL,21,FALSE)</f>
        <v>264</v>
      </c>
      <c r="Y393" s="5">
        <f>VLOOKUP($A393,'SegEnds_NonXtal_Prot#'!$A:$AL,24,FALSE)</f>
        <v>296</v>
      </c>
      <c r="Z393" s="5">
        <f>VLOOKUP($A393,'SegEnds_NonXtal_Prot#'!$A:$AL,27,FALSE)</f>
        <v>305</v>
      </c>
      <c r="AA393" s="5">
        <f>VLOOKUP($A393,'SegEnds_NonXtal_Prot#'!$A:$AL,30,FALSE)</f>
        <v>343</v>
      </c>
      <c r="AB393" s="5">
        <f>VLOOKUP($A393,'SegEnds_NonXtal_Prot#'!$A:$AL,33,FALSE)</f>
        <v>378</v>
      </c>
      <c r="AC393" s="5">
        <f>VLOOKUP($A393,'SegEnds_NonXtal_Prot#'!$A:$AL,36,FALSE)</f>
        <v>404</v>
      </c>
      <c r="AD393" s="5">
        <f>VLOOKUP($A393,'SegEnds_NonXtal_Prot#'!$A:$AL,5,FALSE)</f>
        <v>178</v>
      </c>
      <c r="AE393" s="5">
        <f>VLOOKUP($A393,'SegEnds_NonXtal_Prot#'!$A:$AL,8,FALSE)</f>
        <v>182</v>
      </c>
      <c r="AF393" s="5">
        <f>VLOOKUP($A393,'SegEnds_NonXtal_Prot#'!$A:$AL,11,FALSE)</f>
        <v>210</v>
      </c>
      <c r="AG393" s="5" t="str">
        <f>VLOOKUP($A393,'SegEnds_NonXtal_Prot#'!$A:$AL,14,FALSE)</f>
        <v>-</v>
      </c>
      <c r="AH393" s="5">
        <f>VLOOKUP($A393,'SegEnds_NonXtal_Prot#'!$A:$AL,17,FALSE)</f>
        <v>257</v>
      </c>
      <c r="AI393" s="5" t="str">
        <f>VLOOKUP($A393,'SegEnds_NonXtal_Prot#'!$A:$AL,20,FALSE)</f>
        <v>-</v>
      </c>
      <c r="AJ393" s="5">
        <f>VLOOKUP($A393,'SegEnds_NonXtal_Prot#'!$A:$AL,23,FALSE)</f>
        <v>292</v>
      </c>
      <c r="AK393" s="5">
        <f>VLOOKUP($A393,'SegEnds_NonXtal_Prot#'!$A:$AL,26,FALSE)</f>
        <v>298</v>
      </c>
      <c r="AL393" s="5">
        <f>VLOOKUP($A393,'SegEnds_NonXtal_Prot#'!$A:$AL,29,FALSE)</f>
        <v>335</v>
      </c>
      <c r="AM393" s="5">
        <f>VLOOKUP($A393,'SegEnds_NonXtal_Prot#'!$A:$AL,32,FALSE)</f>
        <v>371</v>
      </c>
      <c r="AN393" s="5">
        <f>VLOOKUP($A393,'SegEnds_NonXtal_Prot#'!$A:$AL,35,FALSE)</f>
        <v>403</v>
      </c>
      <c r="AO393" s="5">
        <f>VLOOKUP($A393,'SegEnds_NonXtal_Prot#'!$A:$AL,38,FALSE)</f>
        <v>429</v>
      </c>
      <c r="AP393" s="5">
        <f t="shared" si="163"/>
        <v>35</v>
      </c>
      <c r="AQ393" s="4">
        <f t="shared" si="164"/>
        <v>3</v>
      </c>
      <c r="AR393" s="4">
        <f t="shared" si="165"/>
        <v>27</v>
      </c>
      <c r="AS393" s="4" t="str">
        <f t="shared" si="166"/>
        <v>-</v>
      </c>
      <c r="AT393" s="4">
        <f t="shared" si="167"/>
        <v>35</v>
      </c>
      <c r="AU393" s="4" t="str">
        <f t="shared" si="168"/>
        <v>-</v>
      </c>
      <c r="AV393" s="4">
        <f t="shared" si="169"/>
        <v>28</v>
      </c>
      <c r="AW393" s="4">
        <f t="shared" si="170"/>
        <v>2</v>
      </c>
      <c r="AX393" s="4">
        <f t="shared" si="171"/>
        <v>30</v>
      </c>
      <c r="AY393" s="4">
        <f t="shared" si="172"/>
        <v>28</v>
      </c>
      <c r="AZ393" s="4">
        <f t="shared" si="173"/>
        <v>25</v>
      </c>
      <c r="BA393" s="4">
        <f t="shared" si="174"/>
        <v>25</v>
      </c>
    </row>
    <row r="394" spans="1:53" x14ac:dyDescent="0.2">
      <c r="A394" s="1" t="str">
        <f>'SegEnds_NonXtal_Prot#'!A393</f>
        <v>pkr2_human</v>
      </c>
      <c r="B394" s="1" t="str">
        <f t="shared" si="150"/>
        <v>AKIVIGIALAGIMLVCGIGNFVFIAALTRYNLTNLLIANLAISDFLVAIICCPFEMDYYVVGHVLCASVNYLRTVSLYVSTNALLAIAIDRYLAIVHNYQTASFLIALVWMVSILIAIPSAYFAQLYYKSYFLFIFGVEFVGPVVTMTLCYARISRELWFKAVPGFQIRKRLRCRRKTVLVLMCILTAYVLCWAPFYGFTIVRDFFEKHYLTAFYVVECIAMSNSMINTVCFVTVNNTMKYFKKMML</v>
      </c>
      <c r="C394" s="29" t="str">
        <f>IF(ISERROR(MATCH(A394,'SegEnds_Xtal_Prot#'!B:B, 0)), "NoXtal", "Xtal")</f>
        <v>NoXtal</v>
      </c>
      <c r="D394" s="4" t="str">
        <f>VLOOKUP(A394,Classification!A:D,2,FALSE)</f>
        <v>A</v>
      </c>
      <c r="E394" s="5" t="str">
        <f>VLOOKUP(A394,Seqs!A:B,2,FALSE)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394" s="5" t="str">
        <f t="shared" si="151"/>
        <v>AKIVIGIALAGIMLVCGIGNFVFIAALTRY</v>
      </c>
      <c r="G394" s="4" t="str">
        <f t="shared" si="152"/>
        <v>KKLR</v>
      </c>
      <c r="H394" s="4" t="str">
        <f t="shared" si="153"/>
        <v>NLTNLLIANLAISDFLVAIICCPFEMDYYVV</v>
      </c>
      <c r="I394" s="4" t="str">
        <f t="shared" si="154"/>
        <v>SWEH</v>
      </c>
      <c r="J394" s="4" t="str">
        <f t="shared" si="155"/>
        <v>GHVLCASVNYLRTVSLYVSTNALLAIAIDRYLAIVH</v>
      </c>
      <c r="K394" s="4" t="str">
        <f t="shared" si="156"/>
        <v/>
      </c>
      <c r="L394" s="4" t="str">
        <f t="shared" si="157"/>
        <v>NYQTASFLIALVWMVSILIAIPSAYFA</v>
      </c>
      <c r="M394" s="4" t="str">
        <f t="shared" si="158"/>
        <v>CGQ</v>
      </c>
      <c r="N394" s="4" t="str">
        <f t="shared" si="159"/>
        <v>QLYYKSYFLFIFGVEFVGPVVTMTLCYARISRELWFKAVPGF</v>
      </c>
      <c r="O394" s="4" t="str">
        <f t="shared" si="160"/>
        <v>QIRKRLRCRRKTVLVLMCILTAYVLCWAPFYGFTIVRDFF</v>
      </c>
      <c r="P394" s="4" t="str">
        <f t="shared" si="161"/>
        <v>EKHYLTAFYVVECIAMSNSMINTVCFVTV</v>
      </c>
      <c r="Q394" s="4" t="str">
        <f t="shared" si="162"/>
        <v>NNTMKYFKKMML</v>
      </c>
      <c r="R394" s="5">
        <f>VLOOKUP($A394,'SegEnds_NonXtal_Prot#'!$A:$AL,3,FALSE)</f>
        <v>52</v>
      </c>
      <c r="S394" s="5">
        <f>VLOOKUP($A394,'SegEnds_NonXtal_Prot#'!$A:$AL,6,FALSE)</f>
        <v>82</v>
      </c>
      <c r="T394" s="5">
        <f>VLOOKUP($A394,'SegEnds_NonXtal_Prot#'!$A:$AL,9,FALSE)</f>
        <v>86</v>
      </c>
      <c r="U394" s="5">
        <f>VLOOKUP($A394,'SegEnds_NonXtal_Prot#'!$A:$AL,12,FALSE)</f>
        <v>120</v>
      </c>
      <c r="V394" s="5">
        <f>VLOOKUP($A394,'SegEnds_NonXtal_Prot#'!$A:$AL,15,FALSE)</f>
        <v>124</v>
      </c>
      <c r="W394" s="5" t="str">
        <f>VLOOKUP($A394,'SegEnds_NonXtal_Prot#'!$A:$AL,18,FALSE)</f>
        <v>-</v>
      </c>
      <c r="X394" s="5">
        <f>VLOOKUP($A394,'SegEnds_NonXtal_Prot#'!$A:$AL,21,FALSE)</f>
        <v>166</v>
      </c>
      <c r="Y394" s="5">
        <f>VLOOKUP($A394,'SegEnds_NonXtal_Prot#'!$A:$AL,24,FALSE)</f>
        <v>208</v>
      </c>
      <c r="Z394" s="5">
        <f>VLOOKUP($A394,'SegEnds_NonXtal_Prot#'!$A:$AL,27,FALSE)</f>
        <v>217</v>
      </c>
      <c r="AA394" s="5">
        <f>VLOOKUP($A394,'SegEnds_NonXtal_Prot#'!$A:$AL,30,FALSE)</f>
        <v>262</v>
      </c>
      <c r="AB394" s="5">
        <f>VLOOKUP($A394,'SegEnds_NonXtal_Prot#'!$A:$AL,33,FALSE)</f>
        <v>308</v>
      </c>
      <c r="AC394" s="5">
        <f>VLOOKUP($A394,'SegEnds_NonXtal_Prot#'!$A:$AL,36,FALSE)</f>
        <v>338</v>
      </c>
      <c r="AD394" s="5">
        <f>VLOOKUP($A394,'SegEnds_NonXtal_Prot#'!$A:$AL,5,FALSE)</f>
        <v>81</v>
      </c>
      <c r="AE394" s="5">
        <f>VLOOKUP($A394,'SegEnds_NonXtal_Prot#'!$A:$AL,8,FALSE)</f>
        <v>85</v>
      </c>
      <c r="AF394" s="5">
        <f>VLOOKUP($A394,'SegEnds_NonXtal_Prot#'!$A:$AL,11,FALSE)</f>
        <v>116</v>
      </c>
      <c r="AG394" s="5">
        <f>VLOOKUP($A394,'SegEnds_NonXtal_Prot#'!$A:$AL,14,FALSE)</f>
        <v>123</v>
      </c>
      <c r="AH394" s="5">
        <f>VLOOKUP($A394,'SegEnds_NonXtal_Prot#'!$A:$AL,17,FALSE)</f>
        <v>159</v>
      </c>
      <c r="AI394" s="5" t="str">
        <f>VLOOKUP($A394,'SegEnds_NonXtal_Prot#'!$A:$AL,20,FALSE)</f>
        <v>-</v>
      </c>
      <c r="AJ394" s="5">
        <f>VLOOKUP($A394,'SegEnds_NonXtal_Prot#'!$A:$AL,23,FALSE)</f>
        <v>192</v>
      </c>
      <c r="AK394" s="5">
        <f>VLOOKUP($A394,'SegEnds_NonXtal_Prot#'!$A:$AL,26,FALSE)</f>
        <v>210</v>
      </c>
      <c r="AL394" s="5">
        <f>VLOOKUP($A394,'SegEnds_NonXtal_Prot#'!$A:$AL,29,FALSE)</f>
        <v>258</v>
      </c>
      <c r="AM394" s="5">
        <f>VLOOKUP($A394,'SegEnds_NonXtal_Prot#'!$A:$AL,32,FALSE)</f>
        <v>301</v>
      </c>
      <c r="AN394" s="5">
        <f>VLOOKUP($A394,'SegEnds_NonXtal_Prot#'!$A:$AL,35,FALSE)</f>
        <v>336</v>
      </c>
      <c r="AO394" s="5">
        <f>VLOOKUP($A394,'SegEnds_NonXtal_Prot#'!$A:$AL,38,FALSE)</f>
        <v>349</v>
      </c>
      <c r="AP394" s="5">
        <f t="shared" si="163"/>
        <v>29</v>
      </c>
      <c r="AQ394" s="4">
        <f t="shared" si="164"/>
        <v>3</v>
      </c>
      <c r="AR394" s="4">
        <f t="shared" si="165"/>
        <v>30</v>
      </c>
      <c r="AS394" s="4">
        <f t="shared" si="166"/>
        <v>3</v>
      </c>
      <c r="AT394" s="4">
        <f t="shared" si="167"/>
        <v>35</v>
      </c>
      <c r="AU394" s="4" t="str">
        <f t="shared" si="168"/>
        <v>-</v>
      </c>
      <c r="AV394" s="4">
        <f t="shared" si="169"/>
        <v>26</v>
      </c>
      <c r="AW394" s="4">
        <f t="shared" si="170"/>
        <v>2</v>
      </c>
      <c r="AX394" s="4">
        <f t="shared" si="171"/>
        <v>41</v>
      </c>
      <c r="AY394" s="4">
        <f t="shared" si="172"/>
        <v>39</v>
      </c>
      <c r="AZ394" s="4">
        <f t="shared" si="173"/>
        <v>28</v>
      </c>
      <c r="BA394" s="4">
        <f t="shared" si="174"/>
        <v>11</v>
      </c>
    </row>
    <row r="395" spans="1:53" x14ac:dyDescent="0.2">
      <c r="A395" s="1" t="str">
        <f>'SegEnds_NonXtal_Prot#'!A394</f>
        <v>pth1r_human</v>
      </c>
      <c r="B395" s="1" t="str">
        <f t="shared" si="150"/>
        <v>REVFDRLGMIYTVGYSVSLASLTVAVLILAYFCTRNYIHMHLFLSFMLRAVSIFVKDAVLYSGAAAGYAGCRVAVTFFLYFLATNYYWILVEGLYLHSLIFMEKKYLWGFTVFGWGLPAVFVAVWVSVRATLAKKWIIQVPILASIVLNFILFINIVRVLATKLDTRQQYRKLLKSTLVLMPLFGVHYIVFMATPYTESGTLWQVQMHYEMLFNSFQGFFVAIIYCFCNGEVQAEIKKSWSRWTLALDFKRKAR</v>
      </c>
      <c r="C395" s="29" t="str">
        <f>IF(ISERROR(MATCH(A395,'SegEnds_Xtal_Prot#'!B:B, 0)), "NoXtal", "Xtal")</f>
        <v>NoXtal</v>
      </c>
      <c r="D395" s="4" t="str">
        <f>VLOOKUP(A395,Classification!A:D,2,FALSE)</f>
        <v>B1</v>
      </c>
      <c r="E395" s="5" t="str">
        <f>VLOOKUP(A395,Seqs!A:B,2,FALSE)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95" s="5" t="str">
        <f t="shared" si="151"/>
        <v>REVFDRLGMIYTVGYSVSLASLTVAVLILAYF</v>
      </c>
      <c r="G395" s="4" t="str">
        <f t="shared" si="152"/>
        <v>RRLH</v>
      </c>
      <c r="H395" s="4" t="str">
        <f t="shared" si="153"/>
        <v>CTRNYIHMHLFLSFMLRAVSIFVKDAVLYSG</v>
      </c>
      <c r="I395" s="4" t="str">
        <f t="shared" si="154"/>
        <v/>
      </c>
      <c r="J395" s="4" t="str">
        <f t="shared" si="155"/>
        <v>AAAGYAGCRVAVTFFLYFLATNYYWILVEGLYLHSLIFM</v>
      </c>
      <c r="K395" s="4" t="str">
        <f t="shared" si="156"/>
        <v/>
      </c>
      <c r="L395" s="4" t="str">
        <f t="shared" si="157"/>
        <v>EKKYLWGFTVFGWGLPAVFVAVWVSVRATLA</v>
      </c>
      <c r="M395" s="4" t="str">
        <f t="shared" si="158"/>
        <v>CWD</v>
      </c>
      <c r="N395" s="4" t="str">
        <f t="shared" si="159"/>
        <v>KKWIIQVPILASIVLNFILFINIVRVLATKL</v>
      </c>
      <c r="O395" s="4" t="str">
        <f t="shared" si="160"/>
        <v>DTRQQYRKLLKSTLVLMPLFGVHYIVFMATPYTE</v>
      </c>
      <c r="P395" s="4" t="str">
        <f t="shared" si="161"/>
        <v>SGTLWQVQMHYEMLFNSFQGFFVAIIYCFC</v>
      </c>
      <c r="Q395" s="4" t="str">
        <f t="shared" si="162"/>
        <v>NGEVQAEIKKSWSRWTLALDFKRKAR</v>
      </c>
      <c r="R395" s="5">
        <f>VLOOKUP($A395,'SegEnds_NonXtal_Prot#'!$A:$AL,3,FALSE)</f>
        <v>181</v>
      </c>
      <c r="S395" s="5">
        <f>VLOOKUP($A395,'SegEnds_NonXtal_Prot#'!$A:$AL,6,FALSE)</f>
        <v>213</v>
      </c>
      <c r="T395" s="5">
        <f>VLOOKUP($A395,'SegEnds_NonXtal_Prot#'!$A:$AL,9,FALSE)</f>
        <v>217</v>
      </c>
      <c r="U395" s="5" t="str">
        <f>VLOOKUP($A395,'SegEnds_NonXtal_Prot#'!$A:$AL,12,FALSE)</f>
        <v>-</v>
      </c>
      <c r="V395" s="5">
        <f>VLOOKUP($A395,'SegEnds_NonXtal_Prot#'!$A:$AL,15,FALSE)</f>
        <v>274</v>
      </c>
      <c r="W395" s="5" t="str">
        <f>VLOOKUP($A395,'SegEnds_NonXtal_Prot#'!$A:$AL,18,FALSE)</f>
        <v>-</v>
      </c>
      <c r="X395" s="5">
        <f>VLOOKUP($A395,'SegEnds_NonXtal_Prot#'!$A:$AL,21,FALSE)</f>
        <v>317</v>
      </c>
      <c r="Y395" s="5">
        <f>VLOOKUP($A395,'SegEnds_NonXtal_Prot#'!$A:$AL,24,FALSE)</f>
        <v>351</v>
      </c>
      <c r="Z395" s="5">
        <f>VLOOKUP($A395,'SegEnds_NonXtal_Prot#'!$A:$AL,27,FALSE)</f>
        <v>359</v>
      </c>
      <c r="AA395" s="5">
        <f>VLOOKUP($A395,'SegEnds_NonXtal_Prot#'!$A:$AL,30,FALSE)</f>
        <v>398</v>
      </c>
      <c r="AB395" s="5">
        <f>VLOOKUP($A395,'SegEnds_NonXtal_Prot#'!$A:$AL,33,FALSE)</f>
        <v>433</v>
      </c>
      <c r="AC395" s="5">
        <f>VLOOKUP($A395,'SegEnds_NonXtal_Prot#'!$A:$AL,36,FALSE)</f>
        <v>463</v>
      </c>
      <c r="AD395" s="5">
        <f>VLOOKUP($A395,'SegEnds_NonXtal_Prot#'!$A:$AL,5,FALSE)</f>
        <v>212</v>
      </c>
      <c r="AE395" s="5">
        <f>VLOOKUP($A395,'SegEnds_NonXtal_Prot#'!$A:$AL,8,FALSE)</f>
        <v>216</v>
      </c>
      <c r="AF395" s="5">
        <f>VLOOKUP($A395,'SegEnds_NonXtal_Prot#'!$A:$AL,11,FALSE)</f>
        <v>247</v>
      </c>
      <c r="AG395" s="5" t="str">
        <f>VLOOKUP($A395,'SegEnds_NonXtal_Prot#'!$A:$AL,14,FALSE)</f>
        <v>-</v>
      </c>
      <c r="AH395" s="5">
        <f>VLOOKUP($A395,'SegEnds_NonXtal_Prot#'!$A:$AL,17,FALSE)</f>
        <v>312</v>
      </c>
      <c r="AI395" s="5" t="str">
        <f>VLOOKUP($A395,'SegEnds_NonXtal_Prot#'!$A:$AL,20,FALSE)</f>
        <v>-</v>
      </c>
      <c r="AJ395" s="5">
        <f>VLOOKUP($A395,'SegEnds_NonXtal_Prot#'!$A:$AL,23,FALSE)</f>
        <v>347</v>
      </c>
      <c r="AK395" s="5">
        <f>VLOOKUP($A395,'SegEnds_NonXtal_Prot#'!$A:$AL,26,FALSE)</f>
        <v>353</v>
      </c>
      <c r="AL395" s="5">
        <f>VLOOKUP($A395,'SegEnds_NonXtal_Prot#'!$A:$AL,29,FALSE)</f>
        <v>389</v>
      </c>
      <c r="AM395" s="5">
        <f>VLOOKUP($A395,'SegEnds_NonXtal_Prot#'!$A:$AL,32,FALSE)</f>
        <v>431</v>
      </c>
      <c r="AN395" s="5">
        <f>VLOOKUP($A395,'SegEnds_NonXtal_Prot#'!$A:$AL,35,FALSE)</f>
        <v>462</v>
      </c>
      <c r="AO395" s="5">
        <f>VLOOKUP($A395,'SegEnds_NonXtal_Prot#'!$A:$AL,38,FALSE)</f>
        <v>488</v>
      </c>
      <c r="AP395" s="5">
        <f t="shared" si="163"/>
        <v>31</v>
      </c>
      <c r="AQ395" s="4">
        <f t="shared" si="164"/>
        <v>3</v>
      </c>
      <c r="AR395" s="4">
        <f t="shared" si="165"/>
        <v>30</v>
      </c>
      <c r="AS395" s="4" t="str">
        <f t="shared" si="166"/>
        <v>-</v>
      </c>
      <c r="AT395" s="4">
        <f t="shared" si="167"/>
        <v>38</v>
      </c>
      <c r="AU395" s="4" t="str">
        <f t="shared" si="168"/>
        <v>-</v>
      </c>
      <c r="AV395" s="4">
        <f t="shared" si="169"/>
        <v>30</v>
      </c>
      <c r="AW395" s="4">
        <f t="shared" si="170"/>
        <v>2</v>
      </c>
      <c r="AX395" s="4">
        <f t="shared" si="171"/>
        <v>30</v>
      </c>
      <c r="AY395" s="4">
        <f t="shared" si="172"/>
        <v>33</v>
      </c>
      <c r="AZ395" s="4">
        <f t="shared" si="173"/>
        <v>29</v>
      </c>
      <c r="BA395" s="4">
        <f t="shared" si="174"/>
        <v>25</v>
      </c>
    </row>
    <row r="396" spans="1:53" x14ac:dyDescent="0.2">
      <c r="A396" s="1" t="str">
        <f>'SegEnds_NonXtal_Prot#'!A395</f>
        <v>pth2r_human</v>
      </c>
      <c r="B396" s="1" t="str">
        <f t="shared" si="150"/>
        <v>QEFFERLYVMYTVGYSISFGSLAVAILIIGYFCTRNYIHMHLFVSFMLRATSIFVKDRVVHAHDKSQYIGCKIAVVMFIYFLATNYYWILVEGLYLHNLIFVDTKYLWGFILIGWGFPAAFVAAWAVARATLAIKWIYQAPILAAIGLNFILFLNTVRVLATKIDTRKQYRKLAKSTLVLVLVFGVHYIVFVCLPHSFTGLGWEIRMHCELFFNSFQGFFVSIIYCYCNGEVQAEVKKMWSRWNLSVDWKRTPP</v>
      </c>
      <c r="C396" s="29" t="str">
        <f>IF(ISERROR(MATCH(A396,'SegEnds_Xtal_Prot#'!B:B, 0)), "NoXtal", "Xtal")</f>
        <v>NoXtal</v>
      </c>
      <c r="D396" s="4" t="str">
        <f>VLOOKUP(A396,Classification!A:D,2,FALSE)</f>
        <v>B1</v>
      </c>
      <c r="E396" s="5" t="str">
        <f>VLOOKUP(A396,Seqs!A:B,2,FALSE)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96" s="5" t="str">
        <f t="shared" si="151"/>
        <v>QEFFERLYVMYTVGYSISFGSLAVAILIIGYF</v>
      </c>
      <c r="G396" s="4" t="str">
        <f t="shared" si="152"/>
        <v>RRLH</v>
      </c>
      <c r="H396" s="4" t="str">
        <f t="shared" si="153"/>
        <v>CTRNYIHMHLFVSFMLRATSIFVKDRVVHAH</v>
      </c>
      <c r="I396" s="4" t="str">
        <f t="shared" si="154"/>
        <v/>
      </c>
      <c r="J396" s="4" t="str">
        <f t="shared" si="155"/>
        <v>DKSQYIGCKIAVVMFIYFLATNYYWILVEGLYLHNLIFV</v>
      </c>
      <c r="K396" s="4" t="str">
        <f t="shared" si="156"/>
        <v/>
      </c>
      <c r="L396" s="4" t="str">
        <f t="shared" si="157"/>
        <v>DTKYLWGFILIGWGFPAAFVAAWAVARATLA</v>
      </c>
      <c r="M396" s="4" t="str">
        <f t="shared" si="158"/>
        <v>CWE</v>
      </c>
      <c r="N396" s="4" t="str">
        <f t="shared" si="159"/>
        <v>IKWIYQAPILAAIGLNFILFLNTVRVLATKI</v>
      </c>
      <c r="O396" s="4" t="str">
        <f t="shared" si="160"/>
        <v>DTRKQYRKLAKSTLVLVLVFGVHYIVFVCLPHSF</v>
      </c>
      <c r="P396" s="4" t="str">
        <f t="shared" si="161"/>
        <v>TGLGWEIRMHCELFFNSFQGFFVSIIYCYC</v>
      </c>
      <c r="Q396" s="4" t="str">
        <f t="shared" si="162"/>
        <v>NGEVQAEVKKMWSRWNLSVDWKRTPP</v>
      </c>
      <c r="R396" s="5">
        <f>VLOOKUP($A396,'SegEnds_NonXtal_Prot#'!$A:$AL,3,FALSE)</f>
        <v>138</v>
      </c>
      <c r="S396" s="5">
        <f>VLOOKUP($A396,'SegEnds_NonXtal_Prot#'!$A:$AL,6,FALSE)</f>
        <v>170</v>
      </c>
      <c r="T396" s="5">
        <f>VLOOKUP($A396,'SegEnds_NonXtal_Prot#'!$A:$AL,9,FALSE)</f>
        <v>174</v>
      </c>
      <c r="U396" s="5" t="str">
        <f>VLOOKUP($A396,'SegEnds_NonXtal_Prot#'!$A:$AL,12,FALSE)</f>
        <v>-</v>
      </c>
      <c r="V396" s="5">
        <f>VLOOKUP($A396,'SegEnds_NonXtal_Prot#'!$A:$AL,15,FALSE)</f>
        <v>229</v>
      </c>
      <c r="W396" s="5" t="str">
        <f>VLOOKUP($A396,'SegEnds_NonXtal_Prot#'!$A:$AL,18,FALSE)</f>
        <v>-</v>
      </c>
      <c r="X396" s="5">
        <f>VLOOKUP($A396,'SegEnds_NonXtal_Prot#'!$A:$AL,21,FALSE)</f>
        <v>272</v>
      </c>
      <c r="Y396" s="5">
        <f>VLOOKUP($A396,'SegEnds_NonXtal_Prot#'!$A:$AL,24,FALSE)</f>
        <v>306</v>
      </c>
      <c r="Z396" s="5">
        <f>VLOOKUP($A396,'SegEnds_NonXtal_Prot#'!$A:$AL,27,FALSE)</f>
        <v>314</v>
      </c>
      <c r="AA396" s="5">
        <f>VLOOKUP($A396,'SegEnds_NonXtal_Prot#'!$A:$AL,30,FALSE)</f>
        <v>353</v>
      </c>
      <c r="AB396" s="5">
        <f>VLOOKUP($A396,'SegEnds_NonXtal_Prot#'!$A:$AL,33,FALSE)</f>
        <v>387</v>
      </c>
      <c r="AC396" s="5">
        <f>VLOOKUP($A396,'SegEnds_NonXtal_Prot#'!$A:$AL,36,FALSE)</f>
        <v>417</v>
      </c>
      <c r="AD396" s="5">
        <f>VLOOKUP($A396,'SegEnds_NonXtal_Prot#'!$A:$AL,5,FALSE)</f>
        <v>169</v>
      </c>
      <c r="AE396" s="5">
        <f>VLOOKUP($A396,'SegEnds_NonXtal_Prot#'!$A:$AL,8,FALSE)</f>
        <v>173</v>
      </c>
      <c r="AF396" s="5">
        <f>VLOOKUP($A396,'SegEnds_NonXtal_Prot#'!$A:$AL,11,FALSE)</f>
        <v>204</v>
      </c>
      <c r="AG396" s="5" t="str">
        <f>VLOOKUP($A396,'SegEnds_NonXtal_Prot#'!$A:$AL,14,FALSE)</f>
        <v>-</v>
      </c>
      <c r="AH396" s="5">
        <f>VLOOKUP($A396,'SegEnds_NonXtal_Prot#'!$A:$AL,17,FALSE)</f>
        <v>267</v>
      </c>
      <c r="AI396" s="5" t="str">
        <f>VLOOKUP($A396,'SegEnds_NonXtal_Prot#'!$A:$AL,20,FALSE)</f>
        <v>-</v>
      </c>
      <c r="AJ396" s="5">
        <f>VLOOKUP($A396,'SegEnds_NonXtal_Prot#'!$A:$AL,23,FALSE)</f>
        <v>302</v>
      </c>
      <c r="AK396" s="5">
        <f>VLOOKUP($A396,'SegEnds_NonXtal_Prot#'!$A:$AL,26,FALSE)</f>
        <v>308</v>
      </c>
      <c r="AL396" s="5">
        <f>VLOOKUP($A396,'SegEnds_NonXtal_Prot#'!$A:$AL,29,FALSE)</f>
        <v>344</v>
      </c>
      <c r="AM396" s="5">
        <f>VLOOKUP($A396,'SegEnds_NonXtal_Prot#'!$A:$AL,32,FALSE)</f>
        <v>386</v>
      </c>
      <c r="AN396" s="5">
        <f>VLOOKUP($A396,'SegEnds_NonXtal_Prot#'!$A:$AL,35,FALSE)</f>
        <v>416</v>
      </c>
      <c r="AO396" s="5">
        <f>VLOOKUP($A396,'SegEnds_NonXtal_Prot#'!$A:$AL,38,FALSE)</f>
        <v>442</v>
      </c>
      <c r="AP396" s="5">
        <f t="shared" si="163"/>
        <v>31</v>
      </c>
      <c r="AQ396" s="4">
        <f t="shared" si="164"/>
        <v>3</v>
      </c>
      <c r="AR396" s="4">
        <f t="shared" si="165"/>
        <v>30</v>
      </c>
      <c r="AS396" s="4" t="str">
        <f t="shared" si="166"/>
        <v>-</v>
      </c>
      <c r="AT396" s="4">
        <f t="shared" si="167"/>
        <v>38</v>
      </c>
      <c r="AU396" s="4" t="str">
        <f t="shared" si="168"/>
        <v>-</v>
      </c>
      <c r="AV396" s="4">
        <f t="shared" si="169"/>
        <v>30</v>
      </c>
      <c r="AW396" s="4">
        <f t="shared" si="170"/>
        <v>2</v>
      </c>
      <c r="AX396" s="4">
        <f t="shared" si="171"/>
        <v>30</v>
      </c>
      <c r="AY396" s="4">
        <f t="shared" si="172"/>
        <v>33</v>
      </c>
      <c r="AZ396" s="4">
        <f t="shared" si="173"/>
        <v>29</v>
      </c>
      <c r="BA396" s="4">
        <f t="shared" si="174"/>
        <v>25</v>
      </c>
    </row>
    <row r="397" spans="1:53" x14ac:dyDescent="0.2">
      <c r="A397" s="1" t="str">
        <f>'SegEnds_NonXtal_Prot#'!A396</f>
        <v>rai3_human</v>
      </c>
      <c r="B397" s="1" t="str">
        <f t="shared" si="150"/>
        <v>AWGIVLETVATAGVVTSVAFMLTLPILNRRKMLPTQFLFLLGVLGIFGLTFAFIGSTGPTRFFLFGILFSICFSCLLAHAVSLTKLVSLLVILGLAVGFSLVQDVIAIEYIVLTNEDFVLLLTYVLFLMALTFLMSSFTHGAHIYLTMLLSIAIWVAWITLLMLDDTILSSALAANGWVFLLAYVSPEFWLLTKNPMDYPVEDAFCK</v>
      </c>
      <c r="C397" s="29" t="str">
        <f>IF(ISERROR(MATCH(A397,'SegEnds_Xtal_Prot#'!B:B, 0)), "NoXtal", "Xtal")</f>
        <v>NoXtal</v>
      </c>
      <c r="D397" s="4" t="str">
        <f>VLOOKUP(A397,Classification!A:D,2,FALSE)</f>
        <v>C</v>
      </c>
      <c r="E397" s="5" t="str">
        <f>VLOOKUP(A397,Seqs!A:B,2,FALSE)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97" s="5" t="str">
        <f t="shared" si="151"/>
        <v>AWGIVLETVATAGVVTSVAFMLTLPIL</v>
      </c>
      <c r="G397" s="4" t="str">
        <f t="shared" si="152"/>
        <v>VCKVQDS</v>
      </c>
      <c r="H397" s="4" t="str">
        <f t="shared" si="153"/>
        <v>NRRKMLPTQFLFLLGVLGIFGLTFAFI</v>
      </c>
      <c r="I397" s="4" t="str">
        <f t="shared" si="154"/>
        <v/>
      </c>
      <c r="J397" s="4" t="str">
        <f t="shared" si="155"/>
        <v>GSTGPTRFFLFGILFSICFSCLLAHAVSLTKLV</v>
      </c>
      <c r="K397" s="4" t="str">
        <f t="shared" si="156"/>
        <v/>
      </c>
      <c r="L397" s="4" t="str">
        <f t="shared" si="157"/>
        <v>SLLVILGLAVGFSLVQDVIAIEYIVLT</v>
      </c>
      <c r="M397" s="4" t="str">
        <f t="shared" si="158"/>
        <v/>
      </c>
      <c r="N397" s="4" t="str">
        <f t="shared" si="159"/>
        <v>NEDFVLLLTYVLFLMALTFLMSSFT</v>
      </c>
      <c r="O397" s="4" t="str">
        <f t="shared" si="160"/>
        <v>HGAHIYLTMLLSIAIWVAWITLLML</v>
      </c>
      <c r="P397" s="4" t="str">
        <f t="shared" si="161"/>
        <v>DDTILSSALAANGWVFLLAYVSPEFWLLTK</v>
      </c>
      <c r="Q397" s="4" t="str">
        <f t="shared" si="162"/>
        <v>NPMDYPVEDAFCK</v>
      </c>
      <c r="R397" s="5">
        <f>VLOOKUP($A397,'SegEnds_NonXtal_Prot#'!$A:$AL,3,FALSE)</f>
        <v>26</v>
      </c>
      <c r="S397" s="5">
        <f>VLOOKUP($A397,'SegEnds_NonXtal_Prot#'!$A:$AL,6,FALSE)</f>
        <v>53</v>
      </c>
      <c r="T397" s="5">
        <f>VLOOKUP($A397,'SegEnds_NonXtal_Prot#'!$A:$AL,9,FALSE)</f>
        <v>60</v>
      </c>
      <c r="U397" s="5" t="str">
        <f>VLOOKUP($A397,'SegEnds_NonXtal_Prot#'!$A:$AL,12,FALSE)</f>
        <v>-</v>
      </c>
      <c r="V397" s="5">
        <f>VLOOKUP($A397,'SegEnds_NonXtal_Prot#'!$A:$AL,15,FALSE)</f>
        <v>91</v>
      </c>
      <c r="W397" s="5" t="str">
        <f>VLOOKUP($A397,'SegEnds_NonXtal_Prot#'!$A:$AL,18,FALSE)</f>
        <v>-</v>
      </c>
      <c r="X397" s="5">
        <f>VLOOKUP($A397,'SegEnds_NonXtal_Prot#'!$A:$AL,21,FALSE)</f>
        <v>130</v>
      </c>
      <c r="Y397" s="5" t="str">
        <f>VLOOKUP($A397,'SegEnds_NonXtal_Prot#'!$A:$AL,24,FALSE)</f>
        <v>-</v>
      </c>
      <c r="Z397" s="5">
        <f>VLOOKUP($A397,'SegEnds_NonXtal_Prot#'!$A:$AL,27,FALSE)</f>
        <v>174</v>
      </c>
      <c r="AA397" s="5">
        <f>VLOOKUP($A397,'SegEnds_NonXtal_Prot#'!$A:$AL,30,FALSE)</f>
        <v>209</v>
      </c>
      <c r="AB397" s="5">
        <f>VLOOKUP($A397,'SegEnds_NonXtal_Prot#'!$A:$AL,33,FALSE)</f>
        <v>241</v>
      </c>
      <c r="AC397" s="5">
        <f>VLOOKUP($A397,'SegEnds_NonXtal_Prot#'!$A:$AL,36,FALSE)</f>
        <v>273</v>
      </c>
      <c r="AD397" s="5">
        <f>VLOOKUP($A397,'SegEnds_NonXtal_Prot#'!$A:$AL,5,FALSE)</f>
        <v>52</v>
      </c>
      <c r="AE397" s="5">
        <f>VLOOKUP($A397,'SegEnds_NonXtal_Prot#'!$A:$AL,8,FALSE)</f>
        <v>59</v>
      </c>
      <c r="AF397" s="5">
        <f>VLOOKUP($A397,'SegEnds_NonXtal_Prot#'!$A:$AL,11,FALSE)</f>
        <v>86</v>
      </c>
      <c r="AG397" s="5" t="str">
        <f>VLOOKUP($A397,'SegEnds_NonXtal_Prot#'!$A:$AL,14,FALSE)</f>
        <v>-</v>
      </c>
      <c r="AH397" s="5">
        <f>VLOOKUP($A397,'SegEnds_NonXtal_Prot#'!$A:$AL,17,FALSE)</f>
        <v>123</v>
      </c>
      <c r="AI397" s="5" t="str">
        <f>VLOOKUP($A397,'SegEnds_NonXtal_Prot#'!$A:$AL,20,FALSE)</f>
        <v>-</v>
      </c>
      <c r="AJ397" s="5">
        <f>VLOOKUP($A397,'SegEnds_NonXtal_Prot#'!$A:$AL,23,FALSE)</f>
        <v>156</v>
      </c>
      <c r="AK397" s="5" t="str">
        <f>VLOOKUP($A397,'SegEnds_NonXtal_Prot#'!$A:$AL,26,FALSE)</f>
        <v>-</v>
      </c>
      <c r="AL397" s="5">
        <f>VLOOKUP($A397,'SegEnds_NonXtal_Prot#'!$A:$AL,29,FALSE)</f>
        <v>198</v>
      </c>
      <c r="AM397" s="5">
        <f>VLOOKUP($A397,'SegEnds_NonXtal_Prot#'!$A:$AL,32,FALSE)</f>
        <v>233</v>
      </c>
      <c r="AN397" s="5">
        <f>VLOOKUP($A397,'SegEnds_NonXtal_Prot#'!$A:$AL,35,FALSE)</f>
        <v>270</v>
      </c>
      <c r="AO397" s="5">
        <f>VLOOKUP($A397,'SegEnds_NonXtal_Prot#'!$A:$AL,38,FALSE)</f>
        <v>285</v>
      </c>
      <c r="AP397" s="5">
        <f t="shared" si="163"/>
        <v>26</v>
      </c>
      <c r="AQ397" s="4">
        <f t="shared" si="164"/>
        <v>6</v>
      </c>
      <c r="AR397" s="4">
        <f t="shared" si="165"/>
        <v>26</v>
      </c>
      <c r="AS397" s="4" t="str">
        <f t="shared" si="166"/>
        <v>-</v>
      </c>
      <c r="AT397" s="4">
        <f t="shared" si="167"/>
        <v>32</v>
      </c>
      <c r="AU397" s="4" t="str">
        <f t="shared" si="168"/>
        <v>-</v>
      </c>
      <c r="AV397" s="4">
        <f t="shared" si="169"/>
        <v>26</v>
      </c>
      <c r="AW397" s="4" t="str">
        <f t="shared" si="170"/>
        <v>-</v>
      </c>
      <c r="AX397" s="4">
        <f t="shared" si="171"/>
        <v>24</v>
      </c>
      <c r="AY397" s="4">
        <f t="shared" si="172"/>
        <v>24</v>
      </c>
      <c r="AZ397" s="4">
        <f t="shared" si="173"/>
        <v>29</v>
      </c>
      <c r="BA397" s="4">
        <f t="shared" si="174"/>
        <v>12</v>
      </c>
    </row>
    <row r="398" spans="1:53" x14ac:dyDescent="0.2">
      <c r="A398" s="1" t="str">
        <f>'SegEnds_NonXtal_Prot#'!A397</f>
        <v>rl3r1_human</v>
      </c>
      <c r="B398" s="1" t="str">
        <f t="shared" si="150"/>
        <v>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98" s="29" t="str">
        <f>IF(ISERROR(MATCH(A398,'SegEnds_Xtal_Prot#'!B:B, 0)), "NoXtal", "Xtal")</f>
        <v>NoXtal</v>
      </c>
      <c r="D398" s="4" t="str">
        <f>VLOOKUP(A398,Classification!A:D,2,FALSE)</f>
        <v>A</v>
      </c>
      <c r="E398" s="5" t="str">
        <f>VLOOKUP(A398,Seqs!A:B,2,FALSE)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98" s="5" t="str">
        <f t="shared" si="151"/>
        <v>RVRILISVVYWVVCALGLAGNLLVLYLMKSM</v>
      </c>
      <c r="G398" s="4" t="str">
        <f t="shared" si="152"/>
        <v>QGWR</v>
      </c>
      <c r="H398" s="4" t="str">
        <f t="shared" si="153"/>
        <v>KSSINLFVTNLALTDFQFVLTLPFWAVENAL</v>
      </c>
      <c r="I398" s="4" t="str">
        <f t="shared" si="154"/>
        <v>KWPF</v>
      </c>
      <c r="J398" s="4" t="str">
        <f t="shared" si="155"/>
        <v>GKAMCKIVSMVTSMNMYASVFFLTAMSVTRYHSVAS</v>
      </c>
      <c r="K398" s="4" t="str">
        <f t="shared" si="156"/>
        <v/>
      </c>
      <c r="L398" s="4" t="str">
        <f t="shared" si="157"/>
        <v>CCFSAKALCVWIWALAALASLPSAIFS</v>
      </c>
      <c r="M398" s="4" t="str">
        <f t="shared" si="158"/>
        <v>CLV</v>
      </c>
      <c r="N398" s="4" t="str">
        <f t="shared" si="159"/>
        <v>WLGLYHSQKVLLGFVLPLGIIILCYLLLVRFIADRRAAGTK</v>
      </c>
      <c r="O398" s="4" t="str">
        <f t="shared" si="160"/>
        <v>RPTGASARRLSKVTKSVTIVVLSFFLCWLPNQALTTWSILIKFN</v>
      </c>
      <c r="P398" s="4" t="str">
        <f t="shared" si="161"/>
        <v>SQEYFLCQVYAFPVSVCLAHSNSCLNPVLYCLV</v>
      </c>
      <c r="Q398" s="4" t="str">
        <f t="shared" si="162"/>
        <v>RREFRKALKSLLWRI</v>
      </c>
      <c r="R398" s="5">
        <f>VLOOKUP($A398,'SegEnds_NonXtal_Prot#'!$A:$AL,3,FALSE)</f>
        <v>79</v>
      </c>
      <c r="S398" s="5">
        <f>VLOOKUP($A398,'SegEnds_NonXtal_Prot#'!$A:$AL,6,FALSE)</f>
        <v>110</v>
      </c>
      <c r="T398" s="5">
        <f>VLOOKUP($A398,'SegEnds_NonXtal_Prot#'!$A:$AL,9,FALSE)</f>
        <v>114</v>
      </c>
      <c r="U398" s="5">
        <f>VLOOKUP($A398,'SegEnds_NonXtal_Prot#'!$A:$AL,12,FALSE)</f>
        <v>147</v>
      </c>
      <c r="V398" s="5">
        <f>VLOOKUP($A398,'SegEnds_NonXtal_Prot#'!$A:$AL,15,FALSE)</f>
        <v>151</v>
      </c>
      <c r="W398" s="5" t="str">
        <f>VLOOKUP($A398,'SegEnds_NonXtal_Prot#'!$A:$AL,18,FALSE)</f>
        <v>-</v>
      </c>
      <c r="X398" s="5">
        <f>VLOOKUP($A398,'SegEnds_NonXtal_Prot#'!$A:$AL,21,FALSE)</f>
        <v>210</v>
      </c>
      <c r="Y398" s="5">
        <f>VLOOKUP($A398,'SegEnds_NonXtal_Prot#'!$A:$AL,24,FALSE)</f>
        <v>247</v>
      </c>
      <c r="Z398" s="5">
        <f>VLOOKUP($A398,'SegEnds_NonXtal_Prot#'!$A:$AL,27,FALSE)</f>
        <v>263</v>
      </c>
      <c r="AA398" s="5">
        <f>VLOOKUP($A398,'SegEnds_NonXtal_Prot#'!$A:$AL,30,FALSE)</f>
        <v>312</v>
      </c>
      <c r="AB398" s="5">
        <f>VLOOKUP($A398,'SegEnds_NonXtal_Prot#'!$A:$AL,33,FALSE)</f>
        <v>360</v>
      </c>
      <c r="AC398" s="5">
        <f>VLOOKUP($A398,'SegEnds_NonXtal_Prot#'!$A:$AL,36,FALSE)</f>
        <v>393</v>
      </c>
      <c r="AD398" s="5">
        <f>VLOOKUP($A398,'SegEnds_NonXtal_Prot#'!$A:$AL,5,FALSE)</f>
        <v>109</v>
      </c>
      <c r="AE398" s="5">
        <f>VLOOKUP($A398,'SegEnds_NonXtal_Prot#'!$A:$AL,8,FALSE)</f>
        <v>113</v>
      </c>
      <c r="AF398" s="5">
        <f>VLOOKUP($A398,'SegEnds_NonXtal_Prot#'!$A:$AL,11,FALSE)</f>
        <v>144</v>
      </c>
      <c r="AG398" s="5">
        <f>VLOOKUP($A398,'SegEnds_NonXtal_Prot#'!$A:$AL,14,FALSE)</f>
        <v>150</v>
      </c>
      <c r="AH398" s="5">
        <f>VLOOKUP($A398,'SegEnds_NonXtal_Prot#'!$A:$AL,17,FALSE)</f>
        <v>186</v>
      </c>
      <c r="AI398" s="5" t="str">
        <f>VLOOKUP($A398,'SegEnds_NonXtal_Prot#'!$A:$AL,20,FALSE)</f>
        <v>-</v>
      </c>
      <c r="AJ398" s="5">
        <f>VLOOKUP($A398,'SegEnds_NonXtal_Prot#'!$A:$AL,23,FALSE)</f>
        <v>236</v>
      </c>
      <c r="AK398" s="5">
        <f>VLOOKUP($A398,'SegEnds_NonXtal_Prot#'!$A:$AL,26,FALSE)</f>
        <v>249</v>
      </c>
      <c r="AL398" s="5">
        <f>VLOOKUP($A398,'SegEnds_NonXtal_Prot#'!$A:$AL,29,FALSE)</f>
        <v>303</v>
      </c>
      <c r="AM398" s="5">
        <f>VLOOKUP($A398,'SegEnds_NonXtal_Prot#'!$A:$AL,32,FALSE)</f>
        <v>355</v>
      </c>
      <c r="AN398" s="5">
        <f>VLOOKUP($A398,'SegEnds_NonXtal_Prot#'!$A:$AL,35,FALSE)</f>
        <v>392</v>
      </c>
      <c r="AO398" s="5">
        <f>VLOOKUP($A398,'SegEnds_NonXtal_Prot#'!$A:$AL,38,FALSE)</f>
        <v>407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>
        <f t="shared" si="166"/>
        <v>3</v>
      </c>
      <c r="AT398" s="4">
        <f t="shared" si="167"/>
        <v>35</v>
      </c>
      <c r="AU398" s="4" t="str">
        <f t="shared" si="168"/>
        <v>-</v>
      </c>
      <c r="AV398" s="4">
        <f t="shared" si="169"/>
        <v>26</v>
      </c>
      <c r="AW398" s="4">
        <f t="shared" si="170"/>
        <v>2</v>
      </c>
      <c r="AX398" s="4">
        <f t="shared" si="171"/>
        <v>40</v>
      </c>
      <c r="AY398" s="4">
        <f t="shared" si="172"/>
        <v>43</v>
      </c>
      <c r="AZ398" s="4">
        <f t="shared" si="173"/>
        <v>32</v>
      </c>
      <c r="BA398" s="4">
        <f t="shared" si="174"/>
        <v>14</v>
      </c>
    </row>
    <row r="399" spans="1:53" x14ac:dyDescent="0.2">
      <c r="A399" s="1" t="str">
        <f>'SegEnds_NonXtal_Prot#'!A399</f>
        <v>smo_human</v>
      </c>
      <c r="B399" s="1" t="str">
        <f t="shared" si="150"/>
        <v>EAEHQDMHSYIAAFGAVTGLCTLFTLATFVADRYPAVILFYVNACFFVGSIGWLAQFLSCVIIFVIVYYALMAGVVWFVVLTYAWHTSFKALGTLSGKTSYFHLLTWSLPFVLTVAILAVYRYRAGFVLAPIGLVLIVGGYFLIRGVMTLFSIKSNHASKINETMLRLGIFGFLAFGFVLITFSCHFYDFFNQAEWERSFRDYVLCQANVTILLVEKINLFAMFGTGIAMSTWVWTKATLLIWRRTWCRLT</v>
      </c>
      <c r="C399" s="29" t="str">
        <f>IF(ISERROR(MATCH(A399,'SegEnds_Xtal_Prot#'!B:B, 0)), "NoXtal", "Xtal")</f>
        <v>Xtal</v>
      </c>
      <c r="D399" s="4" t="str">
        <f>VLOOKUP(A399,Classification!A:D,2,FALSE)</f>
        <v>F</v>
      </c>
      <c r="E399" s="5" t="str">
        <f>VLOOKUP(A399,Seqs!A:B,2,FALSE)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99" s="5" t="str">
        <f t="shared" si="151"/>
        <v>EAEHQDMHSYIAAFGAVTGLCTLFTLATFVAD</v>
      </c>
      <c r="G399" s="4" t="str">
        <f t="shared" si="152"/>
        <v>WRNSN</v>
      </c>
      <c r="H399" s="4" t="str">
        <f t="shared" si="153"/>
        <v>RYPAVILFYVNACFFVGSIGWLAQF</v>
      </c>
      <c r="I399" s="4" t="str">
        <f t="shared" si="154"/>
        <v/>
      </c>
      <c r="J399" s="4" t="str">
        <f t="shared" si="155"/>
        <v>LSCVIIFVIVYYALMAGVVWFVVLTYAWHTSFKALGT</v>
      </c>
      <c r="K399" s="4" t="str">
        <f t="shared" si="156"/>
        <v/>
      </c>
      <c r="L399" s="4" t="str">
        <f t="shared" si="157"/>
        <v>LSGKTSYFHLLTWSLPFVLTVAILAV</v>
      </c>
      <c r="M399" s="4" t="str">
        <f t="shared" si="158"/>
        <v>CFV</v>
      </c>
      <c r="N399" s="4" t="str">
        <f t="shared" si="159"/>
        <v>YRYRAGFVLAPIGLVLIVGGYFLIRGVMTLFSIKSNH</v>
      </c>
      <c r="O399" s="4" t="str">
        <f t="shared" si="160"/>
        <v>ASKINETMLRLGIFGFLAFGFVLITFSCHFYDFFNQAEWERSFRDYVLCQANVTI</v>
      </c>
      <c r="P399" s="4" t="str">
        <f t="shared" si="161"/>
        <v>LLVEKINLFAMFGTGIAMSTWVW</v>
      </c>
      <c r="Q399" s="4" t="str">
        <f t="shared" si="162"/>
        <v>TKATLLIWRRTWCRLT</v>
      </c>
      <c r="R399" s="5">
        <f>VLOOKUP($A399,'SegEnds_NonXtal_Prot#'!$A:$AL,3,FALSE)</f>
        <v>224</v>
      </c>
      <c r="S399" s="5">
        <f>VLOOKUP($A399,'SegEnds_NonXtal_Prot#'!$A:$AL,6,FALSE)</f>
        <v>256</v>
      </c>
      <c r="T399" s="5">
        <f>VLOOKUP($A399,'SegEnds_NonXtal_Prot#'!$A:$AL,9,FALSE)</f>
        <v>261</v>
      </c>
      <c r="U399" s="5" t="str">
        <f>VLOOKUP($A399,'SegEnds_NonXtal_Prot#'!$A:$AL,12,FALSE)</f>
        <v>-</v>
      </c>
      <c r="V399" s="5">
        <f>VLOOKUP($A399,'SegEnds_NonXtal_Prot#'!$A:$AL,15,FALSE)</f>
        <v>312</v>
      </c>
      <c r="W399" s="5" t="str">
        <f>VLOOKUP($A399,'SegEnds_NonXtal_Prot#'!$A:$AL,18,FALSE)</f>
        <v>-</v>
      </c>
      <c r="X399" s="5">
        <f>VLOOKUP($A399,'SegEnds_NonXtal_Prot#'!$A:$AL,21,FALSE)</f>
        <v>353</v>
      </c>
      <c r="Y399" s="5">
        <f>VLOOKUP($A399,'SegEnds_NonXtal_Prot#'!$A:$AL,24,FALSE)</f>
        <v>390</v>
      </c>
      <c r="Z399" s="5">
        <f>VLOOKUP($A399,'SegEnds_NonXtal_Prot#'!$A:$AL,27,FALSE)</f>
        <v>397</v>
      </c>
      <c r="AA399" s="5">
        <f>VLOOKUP($A399,'SegEnds_NonXtal_Prot#'!$A:$AL,30,FALSE)</f>
        <v>442</v>
      </c>
      <c r="AB399" s="5">
        <f>VLOOKUP($A399,'SegEnds_NonXtal_Prot#'!$A:$AL,33,FALSE)</f>
        <v>515</v>
      </c>
      <c r="AC399" s="5">
        <f>VLOOKUP($A399,'SegEnds_NonXtal_Prot#'!$A:$AL,36,FALSE)</f>
        <v>538</v>
      </c>
      <c r="AD399" s="5">
        <f>VLOOKUP($A399,'SegEnds_NonXtal_Prot#'!$A:$AL,5,FALSE)</f>
        <v>255</v>
      </c>
      <c r="AE399" s="5">
        <f>VLOOKUP($A399,'SegEnds_NonXtal_Prot#'!$A:$AL,8,FALSE)</f>
        <v>260</v>
      </c>
      <c r="AF399" s="5">
        <f>VLOOKUP($A399,'SegEnds_NonXtal_Prot#'!$A:$AL,11,FALSE)</f>
        <v>285</v>
      </c>
      <c r="AG399" s="5" t="str">
        <f>VLOOKUP($A399,'SegEnds_NonXtal_Prot#'!$A:$AL,14,FALSE)</f>
        <v>-</v>
      </c>
      <c r="AH399" s="5">
        <f>VLOOKUP($A399,'SegEnds_NonXtal_Prot#'!$A:$AL,17,FALSE)</f>
        <v>348</v>
      </c>
      <c r="AI399" s="5" t="str">
        <f>VLOOKUP($A399,'SegEnds_NonXtal_Prot#'!$A:$AL,20,FALSE)</f>
        <v>-</v>
      </c>
      <c r="AJ399" s="5">
        <f>VLOOKUP($A399,'SegEnds_NonXtal_Prot#'!$A:$AL,23,FALSE)</f>
        <v>378</v>
      </c>
      <c r="AK399" s="5">
        <f>VLOOKUP($A399,'SegEnds_NonXtal_Prot#'!$A:$AL,26,FALSE)</f>
        <v>392</v>
      </c>
      <c r="AL399" s="5">
        <f>VLOOKUP($A399,'SegEnds_NonXtal_Prot#'!$A:$AL,29,FALSE)</f>
        <v>433</v>
      </c>
      <c r="AM399" s="5">
        <f>VLOOKUP($A399,'SegEnds_NonXtal_Prot#'!$A:$AL,32,FALSE)</f>
        <v>496</v>
      </c>
      <c r="AN399" s="5">
        <f>VLOOKUP($A399,'SegEnds_NonXtal_Prot#'!$A:$AL,35,FALSE)</f>
        <v>537</v>
      </c>
      <c r="AO399" s="5">
        <f>VLOOKUP($A399,'SegEnds_NonXtal_Prot#'!$A:$AL,38,FALSE)</f>
        <v>553</v>
      </c>
      <c r="AP399" s="5">
        <f t="shared" si="163"/>
        <v>31</v>
      </c>
      <c r="AQ399" s="4">
        <f t="shared" si="164"/>
        <v>4</v>
      </c>
      <c r="AR399" s="4">
        <f t="shared" si="165"/>
        <v>24</v>
      </c>
      <c r="AS399" s="4" t="str">
        <f t="shared" si="166"/>
        <v>-</v>
      </c>
      <c r="AT399" s="4">
        <f t="shared" si="167"/>
        <v>36</v>
      </c>
      <c r="AU399" s="4" t="str">
        <f t="shared" si="168"/>
        <v>-</v>
      </c>
      <c r="AV399" s="4">
        <f t="shared" si="169"/>
        <v>25</v>
      </c>
      <c r="AW399" s="4">
        <f t="shared" si="170"/>
        <v>2</v>
      </c>
      <c r="AX399" s="4">
        <f t="shared" si="171"/>
        <v>36</v>
      </c>
      <c r="AY399" s="4">
        <f t="shared" si="172"/>
        <v>54</v>
      </c>
      <c r="AZ399" s="4">
        <f t="shared" si="173"/>
        <v>22</v>
      </c>
      <c r="BA399" s="4">
        <f t="shared" si="174"/>
        <v>15</v>
      </c>
    </row>
    <row r="400" spans="1:53" x14ac:dyDescent="0.2">
      <c r="A400" s="1" t="str">
        <f>'SegEnds_NonXtal_Prot#'!A400</f>
        <v>tpra1_human</v>
      </c>
      <c r="B400" s="1" t="str">
        <f t="shared" si="150"/>
        <v>PHRCLLLLYEDIGTSRVRYWDLLLLIPNVLFLIFLLWKLPSARAKIRIILVFVVALVGIARAVVSMTVSTSNADKILWEITRFFLLAIELSVIILGLAFGHLESKSSYSVTQGTLEILYPDAHLSAEDFGHGGRQFWLVSSCFFFLVYSLVDIIEGLCCVDATTFLYFSFFAPLIYYKCQVDETEEPDVHLPQPYAVALEAAGAAGASAASYSSTQFDS</v>
      </c>
      <c r="C400" s="29" t="str">
        <f>IF(ISERROR(MATCH(A400,'SegEnds_Xtal_Prot#'!B:B, 0)), "NoXtal", "Xtal")</f>
        <v>NoXtal</v>
      </c>
      <c r="D400" s="4" t="str">
        <f>VLOOKUP(A400,Classification!A:D,2,FALSE)</f>
        <v>O</v>
      </c>
      <c r="E400" s="5" t="str">
        <f>VLOOKUP(A400,Seqs!A:B,2,FALSE)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400" s="5" t="str">
        <f t="shared" si="151"/>
        <v>PHRCLLLLYEDIGTSRVRYWDLLLLIPNVLFLIFLLWKLPSARAKIRI</v>
      </c>
      <c r="G400" s="4" t="str">
        <f t="shared" si="152"/>
        <v/>
      </c>
      <c r="H400" s="4" t="str">
        <f t="shared" si="153"/>
        <v>ILVFVVALVGIARAVVSMTVSTSNA</v>
      </c>
      <c r="I400" s="4" t="str">
        <f t="shared" si="154"/>
        <v/>
      </c>
      <c r="J400" s="4" t="str">
        <f t="shared" si="155"/>
        <v>DKILWEITRFFLLAIELSVIILGLAFGHLESKSS</v>
      </c>
      <c r="K400" s="4" t="str">
        <f t="shared" si="156"/>
        <v/>
      </c>
      <c r="L400" s="4" t="str">
        <f t="shared" si="157"/>
        <v>YSVTQGTLEILYPDAHLSAEDF</v>
      </c>
      <c r="M400" s="4" t="str">
        <f t="shared" si="158"/>
        <v/>
      </c>
      <c r="N400" s="4" t="str">
        <f t="shared" si="159"/>
        <v>GHGGRQFWLVSSCFFFLVYSLV</v>
      </c>
      <c r="O400" s="4" t="str">
        <f t="shared" si="160"/>
        <v>DIIEGLCCVDATTFLYFSFFAPLIY</v>
      </c>
      <c r="P400" s="4" t="str">
        <f t="shared" si="161"/>
        <v>YKCQVDETEEPDVHLPQPYAVA</v>
      </c>
      <c r="Q400" s="4" t="str">
        <f t="shared" si="162"/>
        <v>LEAAGAAGASAASYSSTQFDS</v>
      </c>
      <c r="R400" s="5">
        <f>VLOOKUP($A400,'SegEnds_NonXtal_Prot#'!$A:$AL,3,FALSE)</f>
        <v>27</v>
      </c>
      <c r="S400" s="5" t="str">
        <f>VLOOKUP($A400,'SegEnds_NonXtal_Prot#'!$A:$AL,6,FALSE)</f>
        <v>-</v>
      </c>
      <c r="T400" s="5">
        <f>VLOOKUP($A400,'SegEnds_NonXtal_Prot#'!$A:$AL,9,FALSE)</f>
        <v>85</v>
      </c>
      <c r="U400" s="5" t="str">
        <f>VLOOKUP($A400,'SegEnds_NonXtal_Prot#'!$A:$AL,12,FALSE)</f>
        <v>-</v>
      </c>
      <c r="V400" s="5">
        <f>VLOOKUP($A400,'SegEnds_NonXtal_Prot#'!$A:$AL,15,FALSE)</f>
        <v>114</v>
      </c>
      <c r="W400" s="5" t="str">
        <f>VLOOKUP($A400,'SegEnds_NonXtal_Prot#'!$A:$AL,18,FALSE)</f>
        <v>-</v>
      </c>
      <c r="X400" s="5">
        <f>VLOOKUP($A400,'SegEnds_NonXtal_Prot#'!$A:$AL,21,FALSE)</f>
        <v>162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252</v>
      </c>
      <c r="AB400" s="5">
        <f>VLOOKUP($A400,'SegEnds_NonXtal_Prot#'!$A:$AL,33,FALSE)</f>
        <v>294</v>
      </c>
      <c r="AC400" s="5">
        <f>VLOOKUP($A400,'SegEnds_NonXtal_Prot#'!$A:$AL,36,FALSE)</f>
        <v>320</v>
      </c>
      <c r="AD400" s="5">
        <f>VLOOKUP($A400,'SegEnds_NonXtal_Prot#'!$A:$AL,5,FALSE)</f>
        <v>74</v>
      </c>
      <c r="AE400" s="5" t="str">
        <f>VLOOKUP($A400,'SegEnds_NonXtal_Prot#'!$A:$AL,8,FALSE)</f>
        <v>-</v>
      </c>
      <c r="AF400" s="5">
        <f>VLOOKUP($A400,'SegEnds_NonXtal_Prot#'!$A:$AL,11,FALSE)</f>
        <v>109</v>
      </c>
      <c r="AG400" s="5" t="str">
        <f>VLOOKUP($A400,'SegEnds_NonXtal_Prot#'!$A:$AL,14,FALSE)</f>
        <v>-</v>
      </c>
      <c r="AH400" s="5">
        <f>VLOOKUP($A400,'SegEnds_NonXtal_Prot#'!$A:$AL,17,FALSE)</f>
        <v>147</v>
      </c>
      <c r="AI400" s="5" t="str">
        <f>VLOOKUP($A400,'SegEnds_NonXtal_Prot#'!$A:$AL,20,FALSE)</f>
        <v>-</v>
      </c>
      <c r="AJ400" s="5">
        <f>VLOOKUP($A400,'SegEnds_NonXtal_Prot#'!$A:$AL,23,FALSE)</f>
        <v>183</v>
      </c>
      <c r="AK400" s="5" t="str">
        <f>VLOOKUP($A400,'SegEnds_NonXtal_Prot#'!$A:$AL,26,FALSE)</f>
        <v>-</v>
      </c>
      <c r="AL400" s="5">
        <f>VLOOKUP($A400,'SegEnds_NonXtal_Prot#'!$A:$AL,29,FALSE)</f>
        <v>208</v>
      </c>
      <c r="AM400" s="5">
        <f>VLOOKUP($A400,'SegEnds_NonXtal_Prot#'!$A:$AL,32,FALSE)</f>
        <v>276</v>
      </c>
      <c r="AN400" s="5">
        <f>VLOOKUP($A400,'SegEnds_NonXtal_Prot#'!$A:$AL,35,FALSE)</f>
        <v>315</v>
      </c>
      <c r="AO400" s="5">
        <f>VLOOKUP($A400,'SegEnds_NonXtal_Prot#'!$A:$AL,38,FALSE)</f>
        <v>340</v>
      </c>
      <c r="AP400" s="5">
        <f t="shared" si="163"/>
        <v>47</v>
      </c>
      <c r="AQ400" s="4" t="str">
        <f t="shared" si="164"/>
        <v>-</v>
      </c>
      <c r="AR400" s="4">
        <f t="shared" si="165"/>
        <v>24</v>
      </c>
      <c r="AS400" s="4" t="str">
        <f t="shared" si="166"/>
        <v>-</v>
      </c>
      <c r="AT400" s="4">
        <f t="shared" si="167"/>
        <v>33</v>
      </c>
      <c r="AU400" s="4" t="str">
        <f t="shared" si="168"/>
        <v>-</v>
      </c>
      <c r="AV400" s="4">
        <f t="shared" si="169"/>
        <v>21</v>
      </c>
      <c r="AW400" s="4" t="str">
        <f t="shared" si="170"/>
        <v>-</v>
      </c>
      <c r="AX400" s="4">
        <f t="shared" si="171"/>
        <v>21</v>
      </c>
      <c r="AY400" s="4">
        <f t="shared" si="172"/>
        <v>24</v>
      </c>
      <c r="AZ400" s="4">
        <f t="shared" si="173"/>
        <v>21</v>
      </c>
      <c r="BA400" s="4">
        <f t="shared" si="174"/>
        <v>20</v>
      </c>
    </row>
    <row r="401" spans="1:53" x14ac:dyDescent="0.2">
      <c r="A401" s="1" t="str">
        <f>'SegEnds_NonXtal_Prot#'!A401</f>
        <v>ts1r1_human</v>
      </c>
      <c r="B401" s="1" t="str">
        <f t="shared" si="150"/>
        <v>HTSWVLLAANTLLLLLLLGTAGLFAWHGGRLCFLMLGSLAAGSGSLYGFFRPACLLRQALFALGFTIFLSCLTVRSFQLIIIFQNHGAGLFVMISSAAQLLICLTWLVVWSLGFILAFLYNGLLSISAFACSYLGEAKCVTFSLLFNFVSWIAFFTTASVLPAANMMAGLSSLSSGFGGYFLPKCYVILCRPDLNSTEHFQAS</v>
      </c>
      <c r="C401" s="29" t="str">
        <f>IF(ISERROR(MATCH(A401,'SegEnds_Xtal_Prot#'!B:B, 0)), "NoXtal", "Xtal")</f>
        <v>NoXtal</v>
      </c>
      <c r="D401" s="4" t="str">
        <f>VLOOKUP(A401,Classification!A:D,2,FALSE)</f>
        <v>C</v>
      </c>
      <c r="E401" s="5" t="str">
        <f>VLOOKUP(A401,Seqs!A:B,2,FALSE)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401" s="5" t="str">
        <f t="shared" si="151"/>
        <v>HTSWVLLAANTLLLLLLLGTAGLFAWH</v>
      </c>
      <c r="G401" s="4" t="str">
        <f t="shared" si="152"/>
        <v>TPVVRSA</v>
      </c>
      <c r="H401" s="4" t="str">
        <f t="shared" si="153"/>
        <v>GGRLCFLMLGSLAAGSGSLYGFF</v>
      </c>
      <c r="I401" s="4" t="str">
        <f t="shared" si="154"/>
        <v/>
      </c>
      <c r="J401" s="4" t="str">
        <f t="shared" si="155"/>
        <v>RPACLLRQALFALGFTIFLSCLTVRSFQLIIIF</v>
      </c>
      <c r="K401" s="4" t="str">
        <f t="shared" si="156"/>
        <v/>
      </c>
      <c r="L401" s="4" t="str">
        <f t="shared" si="157"/>
        <v>QNHGAGLFVMISSAAQLLICLTWLVVW</v>
      </c>
      <c r="M401" s="4" t="str">
        <f t="shared" si="158"/>
        <v>CTE</v>
      </c>
      <c r="N401" s="4" t="str">
        <f t="shared" si="159"/>
        <v>SLGFILAFLYNGLLSISAFACSYLG</v>
      </c>
      <c r="O401" s="4" t="str">
        <f t="shared" si="160"/>
        <v>EAKCVTFSLLFNFVSWIAFFTTASV</v>
      </c>
      <c r="P401" s="4" t="str">
        <f t="shared" si="161"/>
        <v>LPAANMMAGLSSLSSGFGGYFLPKCYVILC</v>
      </c>
      <c r="Q401" s="4" t="str">
        <f t="shared" si="162"/>
        <v>RPDLNSTEHFQAS</v>
      </c>
      <c r="R401" s="5">
        <f>VLOOKUP($A401,'SegEnds_NonXtal_Prot#'!$A:$AL,3,FALSE)</f>
        <v>565</v>
      </c>
      <c r="S401" s="5">
        <f>VLOOKUP($A401,'SegEnds_NonXtal_Prot#'!$A:$AL,6,FALSE)</f>
        <v>594</v>
      </c>
      <c r="T401" s="5">
        <f>VLOOKUP($A401,'SegEnds_NonXtal_Prot#'!$A:$AL,9,FALSE)</f>
        <v>601</v>
      </c>
      <c r="U401" s="5" t="str">
        <f>VLOOKUP($A401,'SegEnds_NonXtal_Prot#'!$A:$AL,12,FALSE)</f>
        <v>-</v>
      </c>
      <c r="V401" s="5">
        <f>VLOOKUP($A401,'SegEnds_NonXtal_Prot#'!$A:$AL,15,FALSE)</f>
        <v>628</v>
      </c>
      <c r="W401" s="5" t="str">
        <f>VLOOKUP($A401,'SegEnds_NonXtal_Prot#'!$A:$AL,18,FALSE)</f>
        <v>-</v>
      </c>
      <c r="X401" s="5">
        <f>VLOOKUP($A401,'SegEnds_NonXtal_Prot#'!$A:$AL,21,FALSE)</f>
        <v>675</v>
      </c>
      <c r="Y401" s="5">
        <f>VLOOKUP($A401,'SegEnds_NonXtal_Prot#'!$A:$AL,24,FALSE)</f>
        <v>720</v>
      </c>
      <c r="Z401" s="5">
        <f>VLOOKUP($A401,'SegEnds_NonXtal_Prot#'!$A:$AL,27,FALSE)</f>
        <v>725</v>
      </c>
      <c r="AA401" s="5">
        <f>VLOOKUP($A401,'SegEnds_NonXtal_Prot#'!$A:$AL,30,FALSE)</f>
        <v>758</v>
      </c>
      <c r="AB401" s="5">
        <f>VLOOKUP($A401,'SegEnds_NonXtal_Prot#'!$A:$AL,33,FALSE)</f>
        <v>788</v>
      </c>
      <c r="AC401" s="5">
        <f>VLOOKUP($A401,'SegEnds_NonXtal_Prot#'!$A:$AL,36,FALSE)</f>
        <v>818</v>
      </c>
      <c r="AD401" s="5">
        <f>VLOOKUP($A401,'SegEnds_NonXtal_Prot#'!$A:$AL,5,FALSE)</f>
        <v>591</v>
      </c>
      <c r="AE401" s="5">
        <f>VLOOKUP($A401,'SegEnds_NonXtal_Prot#'!$A:$AL,8,FALSE)</f>
        <v>600</v>
      </c>
      <c r="AF401" s="5">
        <f>VLOOKUP($A401,'SegEnds_NonXtal_Prot#'!$A:$AL,11,FALSE)</f>
        <v>623</v>
      </c>
      <c r="AG401" s="5" t="str">
        <f>VLOOKUP($A401,'SegEnds_NonXtal_Prot#'!$A:$AL,14,FALSE)</f>
        <v>-</v>
      </c>
      <c r="AH401" s="5">
        <f>VLOOKUP($A401,'SegEnds_NonXtal_Prot#'!$A:$AL,17,FALSE)</f>
        <v>660</v>
      </c>
      <c r="AI401" s="5" t="str">
        <f>VLOOKUP($A401,'SegEnds_NonXtal_Prot#'!$A:$AL,20,FALSE)</f>
        <v>-</v>
      </c>
      <c r="AJ401" s="5">
        <f>VLOOKUP($A401,'SegEnds_NonXtal_Prot#'!$A:$AL,23,FALSE)</f>
        <v>701</v>
      </c>
      <c r="AK401" s="5">
        <f>VLOOKUP($A401,'SegEnds_NonXtal_Prot#'!$A:$AL,26,FALSE)</f>
        <v>722</v>
      </c>
      <c r="AL401" s="5">
        <f>VLOOKUP($A401,'SegEnds_NonXtal_Prot#'!$A:$AL,29,FALSE)</f>
        <v>749</v>
      </c>
      <c r="AM401" s="5">
        <f>VLOOKUP($A401,'SegEnds_NonXtal_Prot#'!$A:$AL,32,FALSE)</f>
        <v>782</v>
      </c>
      <c r="AN401" s="5">
        <f>VLOOKUP($A401,'SegEnds_NonXtal_Prot#'!$A:$AL,35,FALSE)</f>
        <v>817</v>
      </c>
      <c r="AO401" s="5">
        <f>VLOOKUP($A401,'SegEnds_NonXtal_Prot#'!$A:$AL,38,FALSE)</f>
        <v>830</v>
      </c>
      <c r="AP401" s="5">
        <f t="shared" si="163"/>
        <v>26</v>
      </c>
      <c r="AQ401" s="4">
        <f t="shared" si="164"/>
        <v>6</v>
      </c>
      <c r="AR401" s="4">
        <f t="shared" si="165"/>
        <v>22</v>
      </c>
      <c r="AS401" s="4" t="str">
        <f t="shared" si="166"/>
        <v>-</v>
      </c>
      <c r="AT401" s="4">
        <f t="shared" si="167"/>
        <v>32</v>
      </c>
      <c r="AU401" s="4" t="str">
        <f t="shared" si="168"/>
        <v>-</v>
      </c>
      <c r="AV401" s="4">
        <f t="shared" si="169"/>
        <v>26</v>
      </c>
      <c r="AW401" s="4">
        <f t="shared" si="170"/>
        <v>2</v>
      </c>
      <c r="AX401" s="4">
        <f t="shared" si="171"/>
        <v>24</v>
      </c>
      <c r="AY401" s="4">
        <f t="shared" si="172"/>
        <v>24</v>
      </c>
      <c r="AZ401" s="4">
        <f t="shared" si="173"/>
        <v>29</v>
      </c>
      <c r="BA401" s="4">
        <f t="shared" si="174"/>
        <v>12</v>
      </c>
    </row>
    <row r="402" spans="1:53" x14ac:dyDescent="0.2">
      <c r="A402" s="1" t="str">
        <f>'SegEnds_NonXtal_Prot#'!A402</f>
        <v>ts1r2_human</v>
      </c>
      <c r="B402" s="1" t="str">
        <f t="shared" si="150"/>
        <v>APTIAVALLAALGFLSTLAILVIFWRHGGPMCFLMLTLLLVAYMVVPVYVVSTCLCRQALFPLCFTICISCIAVRSFQIVCAFRYQGPYVSMAFITVLKMVIVVIGMLATRNSLLFNTSLDLLLSVVGFSFAYMGEAKFITLSMTFYFTSSVSLCTFMSAVTIVDLLVTVLNLLAISLGYFGPKCYMILFYPERNTPAYFNSM</v>
      </c>
      <c r="C402" s="29" t="str">
        <f>IF(ISERROR(MATCH(A402,'SegEnds_Xtal_Prot#'!B:B, 0)), "NoXtal", "Xtal")</f>
        <v>NoXtal</v>
      </c>
      <c r="D402" s="4" t="str">
        <f>VLOOKUP(A402,Classification!A:D,2,FALSE)</f>
        <v>C</v>
      </c>
      <c r="E402" s="5" t="str">
        <f>VLOOKUP(A402,Seqs!A:B,2,FALSE)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402" s="5" t="str">
        <f t="shared" si="151"/>
        <v>APTIAVALLAALGFLSTLAILVIFWRH</v>
      </c>
      <c r="G402" s="4" t="str">
        <f t="shared" si="152"/>
        <v>TPIVRSA</v>
      </c>
      <c r="H402" s="4" t="str">
        <f t="shared" si="153"/>
        <v>GGPMCFLMLTLLLVAYMVVPVYV</v>
      </c>
      <c r="I402" s="4" t="str">
        <f t="shared" si="154"/>
        <v/>
      </c>
      <c r="J402" s="4" t="str">
        <f t="shared" si="155"/>
        <v>VSTCLCRQALFPLCFTICISCIAVRSFQIVCAF</v>
      </c>
      <c r="K402" s="4" t="str">
        <f t="shared" si="156"/>
        <v/>
      </c>
      <c r="L402" s="4" t="str">
        <f t="shared" si="157"/>
        <v>RYQGPYVSMAFITVLKMVIVVIGMLAT</v>
      </c>
      <c r="M402" s="4" t="str">
        <f t="shared" si="158"/>
        <v>CNP</v>
      </c>
      <c r="N402" s="4" t="str">
        <f t="shared" si="159"/>
        <v>RNSLLFNTSLDLLLSVVGFSFAYMG</v>
      </c>
      <c r="O402" s="4" t="str">
        <f t="shared" si="160"/>
        <v>EAKFITLSMTFYFTSSVSLCTFMSA</v>
      </c>
      <c r="P402" s="4" t="str">
        <f t="shared" si="161"/>
        <v>VTIVDLLVTVLNLLAISLGYFGPKCYMILF</v>
      </c>
      <c r="Q402" s="4" t="str">
        <f t="shared" si="162"/>
        <v>YPERNTPAYFNSM</v>
      </c>
      <c r="R402" s="5">
        <f>VLOOKUP($A402,'SegEnds_NonXtal_Prot#'!$A:$AL,3,FALSE)</f>
        <v>564</v>
      </c>
      <c r="S402" s="5">
        <f>VLOOKUP($A402,'SegEnds_NonXtal_Prot#'!$A:$AL,6,FALSE)</f>
        <v>593</v>
      </c>
      <c r="T402" s="5">
        <f>VLOOKUP($A402,'SegEnds_NonXtal_Prot#'!$A:$AL,9,FALSE)</f>
        <v>600</v>
      </c>
      <c r="U402" s="5" t="str">
        <f>VLOOKUP($A402,'SegEnds_NonXtal_Prot#'!$A:$AL,12,FALSE)</f>
        <v>-</v>
      </c>
      <c r="V402" s="5">
        <f>VLOOKUP($A402,'SegEnds_NonXtal_Prot#'!$A:$AL,15,FALSE)</f>
        <v>627</v>
      </c>
      <c r="W402" s="5" t="str">
        <f>VLOOKUP($A402,'SegEnds_NonXtal_Prot#'!$A:$AL,18,FALSE)</f>
        <v>-</v>
      </c>
      <c r="X402" s="5">
        <f>VLOOKUP($A402,'SegEnds_NonXtal_Prot#'!$A:$AL,21,FALSE)</f>
        <v>674</v>
      </c>
      <c r="Y402" s="5">
        <f>VLOOKUP($A402,'SegEnds_NonXtal_Prot#'!$A:$AL,24,FALSE)</f>
        <v>720</v>
      </c>
      <c r="Z402" s="5">
        <f>VLOOKUP($A402,'SegEnds_NonXtal_Prot#'!$A:$AL,27,FALSE)</f>
        <v>725</v>
      </c>
      <c r="AA402" s="5">
        <f>VLOOKUP($A402,'SegEnds_NonXtal_Prot#'!$A:$AL,30,FALSE)</f>
        <v>758</v>
      </c>
      <c r="AB402" s="5">
        <f>VLOOKUP($A402,'SegEnds_NonXtal_Prot#'!$A:$AL,33,FALSE)</f>
        <v>788</v>
      </c>
      <c r="AC402" s="5">
        <f>VLOOKUP($A402,'SegEnds_NonXtal_Prot#'!$A:$AL,36,FALSE)</f>
        <v>818</v>
      </c>
      <c r="AD402" s="5">
        <f>VLOOKUP($A402,'SegEnds_NonXtal_Prot#'!$A:$AL,5,FALSE)</f>
        <v>590</v>
      </c>
      <c r="AE402" s="5">
        <f>VLOOKUP($A402,'SegEnds_NonXtal_Prot#'!$A:$AL,8,FALSE)</f>
        <v>599</v>
      </c>
      <c r="AF402" s="5">
        <f>VLOOKUP($A402,'SegEnds_NonXtal_Prot#'!$A:$AL,11,FALSE)</f>
        <v>622</v>
      </c>
      <c r="AG402" s="5" t="str">
        <f>VLOOKUP($A402,'SegEnds_NonXtal_Prot#'!$A:$AL,14,FALSE)</f>
        <v>-</v>
      </c>
      <c r="AH402" s="5">
        <f>VLOOKUP($A402,'SegEnds_NonXtal_Prot#'!$A:$AL,17,FALSE)</f>
        <v>659</v>
      </c>
      <c r="AI402" s="5" t="str">
        <f>VLOOKUP($A402,'SegEnds_NonXtal_Prot#'!$A:$AL,20,FALSE)</f>
        <v>-</v>
      </c>
      <c r="AJ402" s="5">
        <f>VLOOKUP($A402,'SegEnds_NonXtal_Prot#'!$A:$AL,23,FALSE)</f>
        <v>700</v>
      </c>
      <c r="AK402" s="5">
        <f>VLOOKUP($A402,'SegEnds_NonXtal_Prot#'!$A:$AL,26,FALSE)</f>
        <v>722</v>
      </c>
      <c r="AL402" s="5">
        <f>VLOOKUP($A402,'SegEnds_NonXtal_Prot#'!$A:$AL,29,FALSE)</f>
        <v>749</v>
      </c>
      <c r="AM402" s="5">
        <f>VLOOKUP($A402,'SegEnds_NonXtal_Prot#'!$A:$AL,32,FALSE)</f>
        <v>782</v>
      </c>
      <c r="AN402" s="5">
        <f>VLOOKUP($A402,'SegEnds_NonXtal_Prot#'!$A:$AL,35,FALSE)</f>
        <v>817</v>
      </c>
      <c r="AO402" s="5">
        <f>VLOOKUP($A402,'SegEnds_NonXtal_Prot#'!$A:$AL,38,FALSE)</f>
        <v>830</v>
      </c>
      <c r="AP402" s="5">
        <f t="shared" si="163"/>
        <v>26</v>
      </c>
      <c r="AQ402" s="4">
        <f t="shared" si="164"/>
        <v>6</v>
      </c>
      <c r="AR402" s="4">
        <f t="shared" si="165"/>
        <v>22</v>
      </c>
      <c r="AS402" s="4" t="str">
        <f t="shared" si="166"/>
        <v>-</v>
      </c>
      <c r="AT402" s="4">
        <f t="shared" si="167"/>
        <v>32</v>
      </c>
      <c r="AU402" s="4" t="str">
        <f t="shared" si="168"/>
        <v>-</v>
      </c>
      <c r="AV402" s="4">
        <f t="shared" si="169"/>
        <v>26</v>
      </c>
      <c r="AW402" s="4">
        <f t="shared" si="170"/>
        <v>2</v>
      </c>
      <c r="AX402" s="4">
        <f t="shared" si="171"/>
        <v>24</v>
      </c>
      <c r="AY402" s="4">
        <f t="shared" si="172"/>
        <v>24</v>
      </c>
      <c r="AZ402" s="4">
        <f t="shared" si="173"/>
        <v>29</v>
      </c>
      <c r="BA402" s="4">
        <f t="shared" si="174"/>
        <v>12</v>
      </c>
    </row>
    <row r="403" spans="1:53" x14ac:dyDescent="0.2">
      <c r="A403" s="1" t="str">
        <f>'SegEnds_NonXtal_Prot#'!A403</f>
        <v>ts1r3_human</v>
      </c>
      <c r="B403" s="1" t="str">
        <f t="shared" si="150"/>
        <v>PAVLLLLLLLSLALGLVLAALGLFVHHGGPLACFGLVCLGLVCLSVLLFPPARCLAQQPLSHLPLTGCLSTLFLQAAEIFVESRGPWAWLVVLLAMLVEVALCTWYLVAFWVSFGLAHATNATLAFLCFLGTFLVRARGLTFAMLAYFITWVSFVPLLANRPAVQMGALLLCVLGILAAFHLPRCYLLMRQPGLNTPEFFLGG</v>
      </c>
      <c r="C403" s="29" t="str">
        <f>IF(ISERROR(MATCH(A403,'SegEnds_Xtal_Prot#'!B:B, 0)), "NoXtal", "Xtal")</f>
        <v>NoXtal</v>
      </c>
      <c r="D403" s="4" t="str">
        <f>VLOOKUP(A403,Classification!A:D,2,FALSE)</f>
        <v>C</v>
      </c>
      <c r="E403" s="5" t="str">
        <f>VLOOKUP(A403,Seqs!A:B,2,FALSE)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403" s="5" t="str">
        <f t="shared" si="151"/>
        <v>PAVLLLLLLLSLALGLVLAALGLFVHH</v>
      </c>
      <c r="G403" s="4" t="str">
        <f t="shared" si="152"/>
        <v>SPLVQAS</v>
      </c>
      <c r="H403" s="4" t="str">
        <f t="shared" si="153"/>
        <v>GGPLACFGLVCLGLVCLSVLLFP</v>
      </c>
      <c r="I403" s="4" t="str">
        <f t="shared" si="154"/>
        <v/>
      </c>
      <c r="J403" s="4" t="str">
        <f t="shared" si="155"/>
        <v>PARCLAQQPLSHLPLTGCLSTLFLQAAEIFVES</v>
      </c>
      <c r="K403" s="4" t="str">
        <f t="shared" si="156"/>
        <v/>
      </c>
      <c r="L403" s="4" t="str">
        <f t="shared" si="157"/>
        <v>RGPWAWLVVLLAMLVEVALCTWYLVAF</v>
      </c>
      <c r="M403" s="4" t="str">
        <f t="shared" si="158"/>
        <v>CRT</v>
      </c>
      <c r="N403" s="4" t="str">
        <f t="shared" si="159"/>
        <v>WVSFGLAHATNATLAFLCFLGTFLV</v>
      </c>
      <c r="O403" s="4" t="str">
        <f t="shared" si="160"/>
        <v>RARGLTFAMLAYFITWVSFVPLLAN</v>
      </c>
      <c r="P403" s="4" t="str">
        <f t="shared" si="161"/>
        <v>RPAVQMGALLLCVLGILAAFHLPRCYLLMR</v>
      </c>
      <c r="Q403" s="4" t="str">
        <f t="shared" si="162"/>
        <v>QPGLNTPEFFLGG</v>
      </c>
      <c r="R403" s="5">
        <f>VLOOKUP($A403,'SegEnds_NonXtal_Prot#'!$A:$AL,3,FALSE)</f>
        <v>567</v>
      </c>
      <c r="S403" s="5">
        <f>VLOOKUP($A403,'SegEnds_NonXtal_Prot#'!$A:$AL,6,FALSE)</f>
        <v>596</v>
      </c>
      <c r="T403" s="5">
        <f>VLOOKUP($A403,'SegEnds_NonXtal_Prot#'!$A:$AL,9,FALSE)</f>
        <v>603</v>
      </c>
      <c r="U403" s="5" t="str">
        <f>VLOOKUP($A403,'SegEnds_NonXtal_Prot#'!$A:$AL,12,FALSE)</f>
        <v>-</v>
      </c>
      <c r="V403" s="5">
        <f>VLOOKUP($A403,'SegEnds_NonXtal_Prot#'!$A:$AL,15,FALSE)</f>
        <v>630</v>
      </c>
      <c r="W403" s="5" t="str">
        <f>VLOOKUP($A403,'SegEnds_NonXtal_Prot#'!$A:$AL,18,FALSE)</f>
        <v>-</v>
      </c>
      <c r="X403" s="5">
        <f>VLOOKUP($A403,'SegEnds_NonXtal_Prot#'!$A:$AL,21,FALSE)</f>
        <v>677</v>
      </c>
      <c r="Y403" s="5">
        <f>VLOOKUP($A403,'SegEnds_NonXtal_Prot#'!$A:$AL,24,FALSE)</f>
        <v>722</v>
      </c>
      <c r="Z403" s="5">
        <f>VLOOKUP($A403,'SegEnds_NonXtal_Prot#'!$A:$AL,27,FALSE)</f>
        <v>727</v>
      </c>
      <c r="AA403" s="5">
        <f>VLOOKUP($A403,'SegEnds_NonXtal_Prot#'!$A:$AL,30,FALSE)</f>
        <v>760</v>
      </c>
      <c r="AB403" s="5">
        <f>VLOOKUP($A403,'SegEnds_NonXtal_Prot#'!$A:$AL,33,FALSE)</f>
        <v>790</v>
      </c>
      <c r="AC403" s="5">
        <f>VLOOKUP($A403,'SegEnds_NonXtal_Prot#'!$A:$AL,36,FALSE)</f>
        <v>820</v>
      </c>
      <c r="AD403" s="5">
        <f>VLOOKUP($A403,'SegEnds_NonXtal_Prot#'!$A:$AL,5,FALSE)</f>
        <v>593</v>
      </c>
      <c r="AE403" s="5">
        <f>VLOOKUP($A403,'SegEnds_NonXtal_Prot#'!$A:$AL,8,FALSE)</f>
        <v>602</v>
      </c>
      <c r="AF403" s="5">
        <f>VLOOKUP($A403,'SegEnds_NonXtal_Prot#'!$A:$AL,11,FALSE)</f>
        <v>625</v>
      </c>
      <c r="AG403" s="5" t="str">
        <f>VLOOKUP($A403,'SegEnds_NonXtal_Prot#'!$A:$AL,14,FALSE)</f>
        <v>-</v>
      </c>
      <c r="AH403" s="5">
        <f>VLOOKUP($A403,'SegEnds_NonXtal_Prot#'!$A:$AL,17,FALSE)</f>
        <v>662</v>
      </c>
      <c r="AI403" s="5" t="str">
        <f>VLOOKUP($A403,'SegEnds_NonXtal_Prot#'!$A:$AL,20,FALSE)</f>
        <v>-</v>
      </c>
      <c r="AJ403" s="5">
        <f>VLOOKUP($A403,'SegEnds_NonXtal_Prot#'!$A:$AL,23,FALSE)</f>
        <v>703</v>
      </c>
      <c r="AK403" s="5">
        <f>VLOOKUP($A403,'SegEnds_NonXtal_Prot#'!$A:$AL,26,FALSE)</f>
        <v>724</v>
      </c>
      <c r="AL403" s="5">
        <f>VLOOKUP($A403,'SegEnds_NonXtal_Prot#'!$A:$AL,29,FALSE)</f>
        <v>751</v>
      </c>
      <c r="AM403" s="5">
        <f>VLOOKUP($A403,'SegEnds_NonXtal_Prot#'!$A:$AL,32,FALSE)</f>
        <v>784</v>
      </c>
      <c r="AN403" s="5">
        <f>VLOOKUP($A403,'SegEnds_NonXtal_Prot#'!$A:$AL,35,FALSE)</f>
        <v>819</v>
      </c>
      <c r="AO403" s="5">
        <f>VLOOKUP($A403,'SegEnds_NonXtal_Prot#'!$A:$AL,38,FALSE)</f>
        <v>832</v>
      </c>
      <c r="AP403" s="5">
        <f t="shared" si="163"/>
        <v>26</v>
      </c>
      <c r="AQ403" s="4">
        <f t="shared" si="164"/>
        <v>6</v>
      </c>
      <c r="AR403" s="4">
        <f t="shared" si="165"/>
        <v>22</v>
      </c>
      <c r="AS403" s="4" t="str">
        <f t="shared" si="166"/>
        <v>-</v>
      </c>
      <c r="AT403" s="4">
        <f t="shared" si="167"/>
        <v>32</v>
      </c>
      <c r="AU403" s="4" t="str">
        <f t="shared" si="168"/>
        <v>-</v>
      </c>
      <c r="AV403" s="4">
        <f t="shared" si="169"/>
        <v>26</v>
      </c>
      <c r="AW403" s="4">
        <f t="shared" si="170"/>
        <v>2</v>
      </c>
      <c r="AX403" s="4">
        <f t="shared" si="171"/>
        <v>24</v>
      </c>
      <c r="AY403" s="4">
        <f t="shared" si="172"/>
        <v>24</v>
      </c>
      <c r="AZ403" s="4">
        <f t="shared" si="173"/>
        <v>29</v>
      </c>
      <c r="BA403" s="4">
        <f t="shared" si="174"/>
        <v>12</v>
      </c>
    </row>
    <row r="404" spans="1:53" x14ac:dyDescent="0.2">
      <c r="A404" s="1" t="str">
        <f>'SegEnds_NonXtal_Prot#'!A404</f>
        <v>us28_hcmva</v>
      </c>
      <c r="B404" s="1" t="str">
        <f t="shared" si="150"/>
        <v>TDVLNQSKPVTLFLYGVVFLFGSIGNFLVIFTITWRCSGDVYFINLAAADLLFVCTLPLWMQYLLDPCTLLTACFYVAMFASLCFITEIALDRYYAIVYPVKQACLFSIFWWIFAVIIAIPHFMVVSYPIILNVELMLGAFVIPLSVISYCYYRISRIVAVSHKGRIVRVLIAVVLVFIIFWLPYHLTLFVDTLKLLKSCEFERSLKRALILTESLAFCHCCLNPLLYVFVGTKFRQELHCLLAEFR</v>
      </c>
      <c r="C404" s="29" t="str">
        <f>IF(ISERROR(MATCH(A404,'SegEnds_Xtal_Prot#'!B:B, 0)), "NoXtal", "Xtal")</f>
        <v>Xtal</v>
      </c>
      <c r="D404" s="4" t="str">
        <f>VLOOKUP(A404,Classification!A:D,2,FALSE)</f>
        <v>A</v>
      </c>
      <c r="E404" s="5" t="str">
        <f>VLOOKUP(A404,Seqs!A:B,2,FALSE)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404" s="5" t="str">
        <f t="shared" si="151"/>
        <v>TDVLNQSKPVTLFLYGVVFLFGSIGNFLVIFTITWR</v>
      </c>
      <c r="G404" s="4" t="str">
        <f t="shared" si="152"/>
        <v>RRIQ</v>
      </c>
      <c r="H404" s="4" t="str">
        <f t="shared" si="153"/>
        <v>CSGDVYFINLAAADLLFVCTLPLWMQYLLD</v>
      </c>
      <c r="I404" s="4" t="str">
        <f t="shared" si="154"/>
        <v/>
      </c>
      <c r="J404" s="4" t="str">
        <f t="shared" si="155"/>
        <v>PCTLLTACFYVAMFASLCFITEIALDRYYAIVY</v>
      </c>
      <c r="K404" s="4" t="str">
        <f t="shared" si="156"/>
        <v/>
      </c>
      <c r="L404" s="4" t="str">
        <f t="shared" si="157"/>
        <v>PVKQACLFSIFWWIFAVIIAIPHFMV</v>
      </c>
      <c r="M404" s="4" t="str">
        <f t="shared" si="158"/>
        <v>CMT</v>
      </c>
      <c r="N404" s="4" t="str">
        <f t="shared" si="159"/>
        <v>VSYPIILNVELMLGAFVIPLSVISYCYYRISRIVAVS</v>
      </c>
      <c r="O404" s="4" t="str">
        <f t="shared" si="160"/>
        <v>HKGRIVRVLIAVVLVFIIFWLPYHLTLFVDTLKLLK</v>
      </c>
      <c r="P404" s="4" t="str">
        <f t="shared" si="161"/>
        <v>SCEFERSLKRALILTESLAFCHCCLNPLLYVFV</v>
      </c>
      <c r="Q404" s="4" t="str">
        <f t="shared" si="162"/>
        <v>GTKFRQELHCLLAEFR</v>
      </c>
      <c r="R404" s="5">
        <f>VLOOKUP($A404,'SegEnds_NonXtal_Prot#'!$A:$AL,3,FALSE)</f>
        <v>26</v>
      </c>
      <c r="S404" s="5">
        <f>VLOOKUP($A404,'SegEnds_NonXtal_Prot#'!$A:$AL,6,FALSE)</f>
        <v>62</v>
      </c>
      <c r="T404" s="5">
        <f>VLOOKUP($A404,'SegEnds_NonXtal_Prot#'!$A:$AL,9,FALSE)</f>
        <v>66</v>
      </c>
      <c r="U404" s="5" t="str">
        <f>VLOOKUP($A404,'SegEnds_NonXtal_Prot#'!$A:$AL,12,FALSE)</f>
        <v>-</v>
      </c>
      <c r="V404" s="5">
        <f>VLOOKUP($A404,'SegEnds_NonXtal_Prot#'!$A:$AL,15,FALSE)</f>
        <v>103</v>
      </c>
      <c r="W404" s="5" t="str">
        <f>VLOOKUP($A404,'SegEnds_NonXtal_Prot#'!$A:$AL,18,FALSE)</f>
        <v>-</v>
      </c>
      <c r="X404" s="5">
        <f>VLOOKUP($A404,'SegEnds_NonXtal_Prot#'!$A:$AL,21,FALSE)</f>
        <v>140</v>
      </c>
      <c r="Y404" s="5">
        <f>VLOOKUP($A404,'SegEnds_NonXtal_Prot#'!$A:$AL,24,FALSE)</f>
        <v>173</v>
      </c>
      <c r="Z404" s="5">
        <f>VLOOKUP($A404,'SegEnds_NonXtal_Prot#'!$A:$AL,27,FALSE)</f>
        <v>182</v>
      </c>
      <c r="AA404" s="5">
        <f>VLOOKUP($A404,'SegEnds_NonXtal_Prot#'!$A:$AL,30,FALSE)</f>
        <v>222</v>
      </c>
      <c r="AB404" s="5">
        <f>VLOOKUP($A404,'SegEnds_NonXtal_Prot#'!$A:$AL,33,FALSE)</f>
        <v>262</v>
      </c>
      <c r="AC404" s="5">
        <f>VLOOKUP($A404,'SegEnds_NonXtal_Prot#'!$A:$AL,36,FALSE)</f>
        <v>295</v>
      </c>
      <c r="AD404" s="5">
        <f>VLOOKUP($A404,'SegEnds_NonXtal_Prot#'!$A:$AL,5,FALSE)</f>
        <v>61</v>
      </c>
      <c r="AE404" s="5">
        <f>VLOOKUP($A404,'SegEnds_NonXtal_Prot#'!$A:$AL,8,FALSE)</f>
        <v>65</v>
      </c>
      <c r="AF404" s="5">
        <f>VLOOKUP($A404,'SegEnds_NonXtal_Prot#'!$A:$AL,11,FALSE)</f>
        <v>95</v>
      </c>
      <c r="AG404" s="5" t="str">
        <f>VLOOKUP($A404,'SegEnds_NonXtal_Prot#'!$A:$AL,14,FALSE)</f>
        <v>-</v>
      </c>
      <c r="AH404" s="5">
        <f>VLOOKUP($A404,'SegEnds_NonXtal_Prot#'!$A:$AL,17,FALSE)</f>
        <v>135</v>
      </c>
      <c r="AI404" s="5" t="str">
        <f>VLOOKUP($A404,'SegEnds_NonXtal_Prot#'!$A:$AL,20,FALSE)</f>
        <v>-</v>
      </c>
      <c r="AJ404" s="5">
        <f>VLOOKUP($A404,'SegEnds_NonXtal_Prot#'!$A:$AL,23,FALSE)</f>
        <v>165</v>
      </c>
      <c r="AK404" s="5">
        <f>VLOOKUP($A404,'SegEnds_NonXtal_Prot#'!$A:$AL,26,FALSE)</f>
        <v>175</v>
      </c>
      <c r="AL404" s="5">
        <f>VLOOKUP($A404,'SegEnds_NonXtal_Prot#'!$A:$AL,29,FALSE)</f>
        <v>218</v>
      </c>
      <c r="AM404" s="5">
        <f>VLOOKUP($A404,'SegEnds_NonXtal_Prot#'!$A:$AL,32,FALSE)</f>
        <v>257</v>
      </c>
      <c r="AN404" s="5">
        <f>VLOOKUP($A404,'SegEnds_NonXtal_Prot#'!$A:$AL,35,FALSE)</f>
        <v>294</v>
      </c>
      <c r="AO404" s="5">
        <f>VLOOKUP($A404,'SegEnds_NonXtal_Prot#'!$A:$AL,38,FALSE)</f>
        <v>310</v>
      </c>
      <c r="AP404" s="5">
        <f t="shared" si="163"/>
        <v>35</v>
      </c>
      <c r="AQ404" s="4">
        <f t="shared" si="164"/>
        <v>3</v>
      </c>
      <c r="AR404" s="4">
        <f t="shared" si="165"/>
        <v>29</v>
      </c>
      <c r="AS404" s="4" t="str">
        <f t="shared" si="166"/>
        <v>-</v>
      </c>
      <c r="AT404" s="4">
        <f t="shared" si="167"/>
        <v>32</v>
      </c>
      <c r="AU404" s="4" t="str">
        <f t="shared" si="168"/>
        <v>-</v>
      </c>
      <c r="AV404" s="4">
        <f t="shared" si="169"/>
        <v>25</v>
      </c>
      <c r="AW404" s="4">
        <f t="shared" si="170"/>
        <v>2</v>
      </c>
      <c r="AX404" s="4">
        <f t="shared" si="171"/>
        <v>36</v>
      </c>
      <c r="AY404" s="4">
        <f t="shared" si="172"/>
        <v>35</v>
      </c>
      <c r="AZ404" s="4">
        <f t="shared" si="173"/>
        <v>32</v>
      </c>
      <c r="BA404" s="4">
        <f t="shared" si="174"/>
        <v>15</v>
      </c>
    </row>
    <row r="405" spans="1:53" x14ac:dyDescent="0.2">
      <c r="A405" s="1" t="str">
        <f>'SegEnds_NonXtal_Prot#'!A405</f>
        <v>vipr1_human</v>
      </c>
      <c r="B405" s="1" t="str">
        <f t="shared" si="150"/>
        <v>TMFYGSVKTGYTIGYGLSLATLLVATAILSLFCTRNYIHMHLFISFILRAAAVFIKDLALGSVGCKAAMVFFQYCVMANFFWLLVEGLYLYTLLAVERKYFWGYILIGWGVPSTFTMVWTIARIHFELWWIIKGPILTSILVNFILFICIIRILLQKLSDSSPYSRLARSTLLLIPLFGVHYIMFAFFPDNFPEVKMVFELVVGSFQGFVVAILYCFLNGEVQAELRRKWRRWHLQGVLGWNPK</v>
      </c>
      <c r="C405" s="29" t="str">
        <f>IF(ISERROR(MATCH(A405,'SegEnds_Xtal_Prot#'!B:B, 0)), "NoXtal", "Xtal")</f>
        <v>NoXtal</v>
      </c>
      <c r="D405" s="4" t="str">
        <f>VLOOKUP(A405,Classification!A:D,2,FALSE)</f>
        <v>B1</v>
      </c>
      <c r="E405" s="5" t="str">
        <f>VLOOKUP(A405,Seqs!A:B,2,FALSE)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405" s="5" t="str">
        <f t="shared" si="151"/>
        <v>TMFYGSVKTGYTIGYGLSLATLLVATAILSLF</v>
      </c>
      <c r="G405" s="4" t="str">
        <f t="shared" si="152"/>
        <v>RKLH</v>
      </c>
      <c r="H405" s="4" t="str">
        <f t="shared" si="153"/>
        <v>CTRNYIHMHLFISFILRAAAVFIKDLAL</v>
      </c>
      <c r="I405" s="4" t="str">
        <f t="shared" si="154"/>
        <v/>
      </c>
      <c r="J405" s="4" t="str">
        <f t="shared" si="155"/>
        <v>GSVGCKAAMVFFQYCVMANFFWLLVEGLYLYTLLAV</v>
      </c>
      <c r="K405" s="4" t="str">
        <f t="shared" si="156"/>
        <v/>
      </c>
      <c r="L405" s="4" t="str">
        <f t="shared" si="157"/>
        <v>ERKYFWGYILIGWGVPSTFTMVWTIARIHFE</v>
      </c>
      <c r="M405" s="4" t="str">
        <f t="shared" si="158"/>
        <v>CWD</v>
      </c>
      <c r="N405" s="4" t="str">
        <f t="shared" si="159"/>
        <v>LWWIIKGPILTSILVNFILFICIIRILLQKL</v>
      </c>
      <c r="O405" s="4" t="str">
        <f t="shared" si="160"/>
        <v>SDSSPYSRLARSTLLLIPLFGVHYIMFAFFPDNF</v>
      </c>
      <c r="P405" s="4" t="str">
        <f t="shared" si="161"/>
        <v>PEVKMVFELVVGSFQGFVVAILYCFL</v>
      </c>
      <c r="Q405" s="4" t="str">
        <f t="shared" si="162"/>
        <v>NGEVQAELRRKWRRWHLQGVLGWNPK</v>
      </c>
      <c r="R405" s="5">
        <f>VLOOKUP($A405,'SegEnds_NonXtal_Prot#'!$A:$AL,3,FALSE)</f>
        <v>136</v>
      </c>
      <c r="S405" s="5">
        <f>VLOOKUP($A405,'SegEnds_NonXtal_Prot#'!$A:$AL,6,FALSE)</f>
        <v>168</v>
      </c>
      <c r="T405" s="5">
        <f>VLOOKUP($A405,'SegEnds_NonXtal_Prot#'!$A:$AL,9,FALSE)</f>
        <v>172</v>
      </c>
      <c r="U405" s="5" t="str">
        <f>VLOOKUP($A405,'SegEnds_NonXtal_Prot#'!$A:$AL,12,FALSE)</f>
        <v>-</v>
      </c>
      <c r="V405" s="5">
        <f>VLOOKUP($A405,'SegEnds_NonXtal_Prot#'!$A:$AL,15,FALSE)</f>
        <v>211</v>
      </c>
      <c r="W405" s="5" t="str">
        <f>VLOOKUP($A405,'SegEnds_NonXtal_Prot#'!$A:$AL,18,FALSE)</f>
        <v>-</v>
      </c>
      <c r="X405" s="5">
        <f>VLOOKUP($A405,'SegEnds_NonXtal_Prot#'!$A:$AL,21,FALSE)</f>
        <v>251</v>
      </c>
      <c r="Y405" s="5">
        <f>VLOOKUP($A405,'SegEnds_NonXtal_Prot#'!$A:$AL,24,FALSE)</f>
        <v>285</v>
      </c>
      <c r="Z405" s="5">
        <f>VLOOKUP($A405,'SegEnds_NonXtal_Prot#'!$A:$AL,27,FALSE)</f>
        <v>293</v>
      </c>
      <c r="AA405" s="5">
        <f>VLOOKUP($A405,'SegEnds_NonXtal_Prot#'!$A:$AL,30,FALSE)</f>
        <v>331</v>
      </c>
      <c r="AB405" s="5">
        <f>VLOOKUP($A405,'SegEnds_NonXtal_Prot#'!$A:$AL,33,FALSE)</f>
        <v>366</v>
      </c>
      <c r="AC405" s="5">
        <f>VLOOKUP($A405,'SegEnds_NonXtal_Prot#'!$A:$AL,36,FALSE)</f>
        <v>392</v>
      </c>
      <c r="AD405" s="5">
        <f>VLOOKUP($A405,'SegEnds_NonXtal_Prot#'!$A:$AL,5,FALSE)</f>
        <v>167</v>
      </c>
      <c r="AE405" s="5">
        <f>VLOOKUP($A405,'SegEnds_NonXtal_Prot#'!$A:$AL,8,FALSE)</f>
        <v>171</v>
      </c>
      <c r="AF405" s="5">
        <f>VLOOKUP($A405,'SegEnds_NonXtal_Prot#'!$A:$AL,11,FALSE)</f>
        <v>199</v>
      </c>
      <c r="AG405" s="5" t="str">
        <f>VLOOKUP($A405,'SegEnds_NonXtal_Prot#'!$A:$AL,14,FALSE)</f>
        <v>-</v>
      </c>
      <c r="AH405" s="5">
        <f>VLOOKUP($A405,'SegEnds_NonXtal_Prot#'!$A:$AL,17,FALSE)</f>
        <v>246</v>
      </c>
      <c r="AI405" s="5" t="str">
        <f>VLOOKUP($A405,'SegEnds_NonXtal_Prot#'!$A:$AL,20,FALSE)</f>
        <v>-</v>
      </c>
      <c r="AJ405" s="5">
        <f>VLOOKUP($A405,'SegEnds_NonXtal_Prot#'!$A:$AL,23,FALSE)</f>
        <v>281</v>
      </c>
      <c r="AK405" s="5">
        <f>VLOOKUP($A405,'SegEnds_NonXtal_Prot#'!$A:$AL,26,FALSE)</f>
        <v>287</v>
      </c>
      <c r="AL405" s="5">
        <f>VLOOKUP($A405,'SegEnds_NonXtal_Prot#'!$A:$AL,29,FALSE)</f>
        <v>323</v>
      </c>
      <c r="AM405" s="5">
        <f>VLOOKUP($A405,'SegEnds_NonXtal_Prot#'!$A:$AL,32,FALSE)</f>
        <v>364</v>
      </c>
      <c r="AN405" s="5">
        <f>VLOOKUP($A405,'SegEnds_NonXtal_Prot#'!$A:$AL,35,FALSE)</f>
        <v>391</v>
      </c>
      <c r="AO405" s="5">
        <f>VLOOKUP($A405,'SegEnds_NonXtal_Prot#'!$A:$AL,38,FALSE)</f>
        <v>417</v>
      </c>
      <c r="AP405" s="5">
        <f t="shared" si="163"/>
        <v>31</v>
      </c>
      <c r="AQ405" s="4">
        <f t="shared" si="164"/>
        <v>3</v>
      </c>
      <c r="AR405" s="4">
        <f t="shared" si="165"/>
        <v>27</v>
      </c>
      <c r="AS405" s="4" t="str">
        <f t="shared" si="166"/>
        <v>-</v>
      </c>
      <c r="AT405" s="4">
        <f t="shared" si="167"/>
        <v>35</v>
      </c>
      <c r="AU405" s="4" t="str">
        <f t="shared" si="168"/>
        <v>-</v>
      </c>
      <c r="AV405" s="4">
        <f t="shared" si="169"/>
        <v>30</v>
      </c>
      <c r="AW405" s="4">
        <f t="shared" si="170"/>
        <v>2</v>
      </c>
      <c r="AX405" s="4">
        <f t="shared" si="171"/>
        <v>30</v>
      </c>
      <c r="AY405" s="4">
        <f t="shared" si="172"/>
        <v>33</v>
      </c>
      <c r="AZ405" s="4">
        <f t="shared" si="173"/>
        <v>25</v>
      </c>
      <c r="BA405" s="4">
        <f t="shared" si="174"/>
        <v>25</v>
      </c>
    </row>
    <row r="406" spans="1:53" x14ac:dyDescent="0.2">
      <c r="A406" s="1" t="str">
        <f>'SegEnds_NonXtal_Prot#'!A406</f>
        <v>vipr2_human</v>
      </c>
      <c r="B406" s="1" t="str">
        <f t="shared" si="150"/>
        <v>DESKITFYILVKAIYTLGYSVSLMSLATGSIILCLFCTRNYIHLNLFLSFILRAISVLVKDDVLVGCKLSLVFLQYCIMANFFWLLVEGLYLHTLLVARCFLAYLLIGWGLPTVCIGAWTAARLYLEPWWVIRIPILISIIVNFVLFISIIRILLQKLNDQSQYKRLAKSTLLLIPLFGVHYMVFAVSKYQILFELCLGSFQGLVVAVLYCFLNSEVQCELKRKWRSRCPTPSASRDYR</v>
      </c>
      <c r="C406" s="29" t="str">
        <f>IF(ISERROR(MATCH(A406,'SegEnds_Xtal_Prot#'!B:B, 0)), "NoXtal", "Xtal")</f>
        <v>NoXtal</v>
      </c>
      <c r="D406" s="4" t="str">
        <f>VLOOKUP(A406,Classification!A:D,2,FALSE)</f>
        <v>B1</v>
      </c>
      <c r="E406" s="5" t="str">
        <f>VLOOKUP(A406,Seqs!A:B,2,FALSE)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406" s="5" t="str">
        <f t="shared" si="151"/>
        <v>DESKITFYILVKAIYTLGYSVSLMSLATGSIILCLF</v>
      </c>
      <c r="G406" s="4" t="str">
        <f t="shared" si="152"/>
        <v>RKLH</v>
      </c>
      <c r="H406" s="4" t="str">
        <f t="shared" si="153"/>
        <v>CTRNYIHLNLFLSFILRAISVLVKDDVL</v>
      </c>
      <c r="I406" s="4" t="str">
        <f t="shared" si="154"/>
        <v/>
      </c>
      <c r="J406" s="4" t="str">
        <f t="shared" si="155"/>
        <v>VGCKLSLVFLQYCIMANFFWLLVEGLYLHTLLVA</v>
      </c>
      <c r="K406" s="4" t="str">
        <f t="shared" si="156"/>
        <v/>
      </c>
      <c r="L406" s="4" t="str">
        <f t="shared" si="157"/>
        <v>RCFLAYLLIGWGLPTVCIGAWTAARLYLE</v>
      </c>
      <c r="M406" s="4" t="str">
        <f t="shared" si="158"/>
        <v>CWD</v>
      </c>
      <c r="N406" s="4" t="str">
        <f t="shared" si="159"/>
        <v>PWWVIRIPILISIIVNFVLFISIIRILLQKL</v>
      </c>
      <c r="O406" s="4" t="str">
        <f t="shared" si="160"/>
        <v>NDQSQYKRLAKSTLLLIPLFGVHYMVFAV</v>
      </c>
      <c r="P406" s="4" t="str">
        <f t="shared" si="161"/>
        <v>SKYQILFELCLGSFQGLVVAVLYCFL</v>
      </c>
      <c r="Q406" s="4" t="str">
        <f t="shared" si="162"/>
        <v>NSEVQCELKRKWRSRCPTPSASRDYR</v>
      </c>
      <c r="R406" s="5">
        <f>VLOOKUP($A406,'SegEnds_NonXtal_Prot#'!$A:$AL,3,FALSE)</f>
        <v>116</v>
      </c>
      <c r="S406" s="5">
        <f>VLOOKUP($A406,'SegEnds_NonXtal_Prot#'!$A:$AL,6,FALSE)</f>
        <v>152</v>
      </c>
      <c r="T406" s="5">
        <f>VLOOKUP($A406,'SegEnds_NonXtal_Prot#'!$A:$AL,9,FALSE)</f>
        <v>156</v>
      </c>
      <c r="U406" s="5" t="str">
        <f>VLOOKUP($A406,'SegEnds_NonXtal_Prot#'!$A:$AL,12,FALSE)</f>
        <v>-</v>
      </c>
      <c r="V406" s="5">
        <f>VLOOKUP($A406,'SegEnds_NonXtal_Prot#'!$A:$AL,15,FALSE)</f>
        <v>200</v>
      </c>
      <c r="W406" s="5" t="str">
        <f>VLOOKUP($A406,'SegEnds_NonXtal_Prot#'!$A:$AL,18,FALSE)</f>
        <v>-</v>
      </c>
      <c r="X406" s="5">
        <f>VLOOKUP($A406,'SegEnds_NonXtal_Prot#'!$A:$AL,21,FALSE)</f>
        <v>239</v>
      </c>
      <c r="Y406" s="5">
        <f>VLOOKUP($A406,'SegEnds_NonXtal_Prot#'!$A:$AL,24,FALSE)</f>
        <v>271</v>
      </c>
      <c r="Z406" s="5">
        <f>VLOOKUP($A406,'SegEnds_NonXtal_Prot#'!$A:$AL,27,FALSE)</f>
        <v>280</v>
      </c>
      <c r="AA406" s="5">
        <f>VLOOKUP($A406,'SegEnds_NonXtal_Prot#'!$A:$AL,30,FALSE)</f>
        <v>318</v>
      </c>
      <c r="AB406" s="5">
        <f>VLOOKUP($A406,'SegEnds_NonXtal_Prot#'!$A:$AL,33,FALSE)</f>
        <v>353</v>
      </c>
      <c r="AC406" s="5">
        <f>VLOOKUP($A406,'SegEnds_NonXtal_Prot#'!$A:$AL,36,FALSE)</f>
        <v>379</v>
      </c>
      <c r="AD406" s="5">
        <f>VLOOKUP($A406,'SegEnds_NonXtal_Prot#'!$A:$AL,5,FALSE)</f>
        <v>151</v>
      </c>
      <c r="AE406" s="5">
        <f>VLOOKUP($A406,'SegEnds_NonXtal_Prot#'!$A:$AL,8,FALSE)</f>
        <v>155</v>
      </c>
      <c r="AF406" s="5">
        <f>VLOOKUP($A406,'SegEnds_NonXtal_Prot#'!$A:$AL,11,FALSE)</f>
        <v>183</v>
      </c>
      <c r="AG406" s="5" t="str">
        <f>VLOOKUP($A406,'SegEnds_NonXtal_Prot#'!$A:$AL,14,FALSE)</f>
        <v>-</v>
      </c>
      <c r="AH406" s="5">
        <f>VLOOKUP($A406,'SegEnds_NonXtal_Prot#'!$A:$AL,17,FALSE)</f>
        <v>233</v>
      </c>
      <c r="AI406" s="5" t="str">
        <f>VLOOKUP($A406,'SegEnds_NonXtal_Prot#'!$A:$AL,20,FALSE)</f>
        <v>-</v>
      </c>
      <c r="AJ406" s="5">
        <f>VLOOKUP($A406,'SegEnds_NonXtal_Prot#'!$A:$AL,23,FALSE)</f>
        <v>267</v>
      </c>
      <c r="AK406" s="5">
        <f>VLOOKUP($A406,'SegEnds_NonXtal_Prot#'!$A:$AL,26,FALSE)</f>
        <v>273</v>
      </c>
      <c r="AL406" s="5">
        <f>VLOOKUP($A406,'SegEnds_NonXtal_Prot#'!$A:$AL,29,FALSE)</f>
        <v>310</v>
      </c>
      <c r="AM406" s="5">
        <f>VLOOKUP($A406,'SegEnds_NonXtal_Prot#'!$A:$AL,32,FALSE)</f>
        <v>346</v>
      </c>
      <c r="AN406" s="5">
        <f>VLOOKUP($A406,'SegEnds_NonXtal_Prot#'!$A:$AL,35,FALSE)</f>
        <v>378</v>
      </c>
      <c r="AO406" s="5">
        <f>VLOOKUP($A406,'SegEnds_NonXtal_Prot#'!$A:$AL,38,FALSE)</f>
        <v>404</v>
      </c>
      <c r="AP406" s="5">
        <f t="shared" si="163"/>
        <v>35</v>
      </c>
      <c r="AQ406" s="4">
        <f t="shared" si="164"/>
        <v>3</v>
      </c>
      <c r="AR406" s="4">
        <f t="shared" si="165"/>
        <v>27</v>
      </c>
      <c r="AS406" s="4" t="str">
        <f t="shared" si="166"/>
        <v>-</v>
      </c>
      <c r="AT406" s="4">
        <f t="shared" si="167"/>
        <v>33</v>
      </c>
      <c r="AU406" s="4" t="str">
        <f t="shared" si="168"/>
        <v>-</v>
      </c>
      <c r="AV406" s="4">
        <f t="shared" si="169"/>
        <v>28</v>
      </c>
      <c r="AW406" s="4">
        <f t="shared" si="170"/>
        <v>2</v>
      </c>
      <c r="AX406" s="4">
        <f t="shared" si="171"/>
        <v>30</v>
      </c>
      <c r="AY406" s="4">
        <f t="shared" si="172"/>
        <v>28</v>
      </c>
      <c r="AZ406" s="4">
        <f t="shared" si="173"/>
        <v>25</v>
      </c>
      <c r="BA406" s="4">
        <f t="shared" si="174"/>
        <v>25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2"/>
  <sheetViews>
    <sheetView workbookViewId="0">
      <selection activeCell="I28" sqref="I28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50"/>
    <col min="6" max="6" width="16.1640625" style="15" bestFit="1" customWidth="1"/>
    <col min="7" max="7" width="8.33203125" style="15" customWidth="1"/>
    <col min="8" max="8" width="11.1640625" customWidth="1"/>
    <col min="9" max="9" width="13.33203125" style="1" bestFit="1" customWidth="1"/>
    <col min="10" max="10" width="13.33203125" style="1" customWidth="1"/>
    <col min="11" max="12" width="12.83203125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1412</v>
      </c>
      <c r="D1" s="33" t="s">
        <v>1228</v>
      </c>
      <c r="E1" s="32" t="s">
        <v>1413</v>
      </c>
      <c r="F1" s="32" t="s">
        <v>1414</v>
      </c>
      <c r="G1" s="87" t="s">
        <v>1375</v>
      </c>
    </row>
    <row r="2" spans="1:12" s="10" customFormat="1" x14ac:dyDescent="0.2">
      <c r="A2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50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/>
      <c r="I2" s="1"/>
      <c r="J2" s="3"/>
      <c r="K2" s="3"/>
      <c r="L2" s="3"/>
    </row>
    <row r="3" spans="1:12" x14ac:dyDescent="0.2">
      <c r="A3" t="s">
        <v>457</v>
      </c>
      <c r="B3" s="1" t="s">
        <v>160</v>
      </c>
      <c r="C3" t="s">
        <v>35</v>
      </c>
      <c r="D3" s="28" t="str">
        <f>VLOOKUP(A3,Classification!$A:$D,2,FALSE)</f>
        <v>T</v>
      </c>
      <c r="E3" s="50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J3" s="3"/>
    </row>
    <row r="4" spans="1:12" x14ac:dyDescent="0.2">
      <c r="A4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50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J4" s="3"/>
    </row>
    <row r="5" spans="1:12" x14ac:dyDescent="0.2">
      <c r="A5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50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J5" s="3"/>
    </row>
    <row r="6" spans="1:12" x14ac:dyDescent="0.2">
      <c r="A6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50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J6" s="3"/>
    </row>
    <row r="7" spans="1:12" x14ac:dyDescent="0.2">
      <c r="A7" t="s">
        <v>460</v>
      </c>
      <c r="B7" s="1" t="s">
        <v>147</v>
      </c>
      <c r="C7" t="s">
        <v>158</v>
      </c>
      <c r="D7" s="28" t="str">
        <f>VLOOKUP(A7,Classification!$A:$D,2,FALSE)</f>
        <v>T</v>
      </c>
      <c r="E7" s="50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J7" s="3"/>
    </row>
    <row r="8" spans="1:12" x14ac:dyDescent="0.2">
      <c r="A8" t="s">
        <v>930</v>
      </c>
      <c r="B8" s="1" t="s">
        <v>158</v>
      </c>
      <c r="C8" t="s">
        <v>158</v>
      </c>
      <c r="D8" s="28" t="str">
        <f>VLOOKUP(A8,Classification!$A:$D,2,FALSE)</f>
        <v>T</v>
      </c>
      <c r="E8" s="50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J8" s="3"/>
    </row>
    <row r="9" spans="1:12" x14ac:dyDescent="0.2">
      <c r="A9" t="s">
        <v>471</v>
      </c>
      <c r="B9" s="1" t="s">
        <v>192</v>
      </c>
      <c r="C9" t="s">
        <v>158</v>
      </c>
      <c r="D9" s="28" t="str">
        <f>VLOOKUP(A9,Classification!$A:$D,2,FALSE)</f>
        <v>T</v>
      </c>
      <c r="E9" s="50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J9" s="3"/>
    </row>
    <row r="10" spans="1:12" x14ac:dyDescent="0.2">
      <c r="A10" t="s">
        <v>467</v>
      </c>
      <c r="B10" s="1" t="s">
        <v>278</v>
      </c>
      <c r="C10" t="s">
        <v>158</v>
      </c>
      <c r="D10" s="28" t="str">
        <f>VLOOKUP(A10,Classification!$A:$D,2,FALSE)</f>
        <v>T</v>
      </c>
      <c r="E10" s="50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J10" s="3"/>
    </row>
    <row r="11" spans="1:12" x14ac:dyDescent="0.2">
      <c r="A11" t="s">
        <v>479</v>
      </c>
      <c r="B11" s="1" t="s">
        <v>158</v>
      </c>
      <c r="C11" t="s">
        <v>158</v>
      </c>
      <c r="D11" s="28" t="str">
        <f>VLOOKUP(A11,Classification!$A:$D,2,FALSE)</f>
        <v>T</v>
      </c>
      <c r="E11" s="50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J11" s="3"/>
    </row>
    <row r="12" spans="1:12" x14ac:dyDescent="0.2">
      <c r="A12" t="s">
        <v>461</v>
      </c>
      <c r="B12" s="1" t="s">
        <v>35</v>
      </c>
      <c r="C12" t="s">
        <v>158</v>
      </c>
      <c r="D12" s="28" t="str">
        <f>VLOOKUP(A12,Classification!$A:$D,2,FALSE)</f>
        <v>T</v>
      </c>
      <c r="E12" s="50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J12" s="3"/>
    </row>
    <row r="13" spans="1:12" x14ac:dyDescent="0.2">
      <c r="A13" t="s">
        <v>463</v>
      </c>
      <c r="B13" s="1" t="s">
        <v>158</v>
      </c>
      <c r="C13" t="s">
        <v>158</v>
      </c>
      <c r="D13" s="28" t="str">
        <f>VLOOKUP(A13,Classification!$A:$D,2,FALSE)</f>
        <v>T</v>
      </c>
      <c r="E13" s="50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J13" s="3"/>
    </row>
    <row r="14" spans="1:12" x14ac:dyDescent="0.2">
      <c r="A14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50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J14" s="3"/>
    </row>
    <row r="15" spans="1:12" x14ac:dyDescent="0.2">
      <c r="A15" t="s">
        <v>469</v>
      </c>
      <c r="B15" s="1" t="s">
        <v>158</v>
      </c>
      <c r="C15" t="s">
        <v>158</v>
      </c>
      <c r="D15" s="28" t="str">
        <f>VLOOKUP(A15,Classification!$A:$D,2,FALSE)</f>
        <v>T</v>
      </c>
      <c r="E15" s="50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J15" s="3"/>
    </row>
    <row r="16" spans="1:12" x14ac:dyDescent="0.2">
      <c r="A16" t="s">
        <v>470</v>
      </c>
      <c r="B16" s="1" t="s">
        <v>158</v>
      </c>
      <c r="C16" t="s">
        <v>158</v>
      </c>
      <c r="D16" s="28" t="str">
        <f>VLOOKUP(A16,Classification!$A:$D,2,FALSE)</f>
        <v>T</v>
      </c>
      <c r="E16" s="50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J16" s="3"/>
    </row>
    <row r="17" spans="1:10" x14ac:dyDescent="0.2">
      <c r="A17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50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J17" s="3"/>
    </row>
    <row r="18" spans="1:10" x14ac:dyDescent="0.2">
      <c r="A18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50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J18" s="3"/>
    </row>
    <row r="19" spans="1:10" x14ac:dyDescent="0.2">
      <c r="A19" t="s">
        <v>478</v>
      </c>
      <c r="B19" s="1" t="s">
        <v>196</v>
      </c>
      <c r="C19" t="s">
        <v>158</v>
      </c>
      <c r="D19" s="28" t="str">
        <f>VLOOKUP(A19,Classification!$A:$D,2,FALSE)</f>
        <v>T</v>
      </c>
      <c r="E19" s="50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J19" s="3"/>
    </row>
    <row r="20" spans="1:10" x14ac:dyDescent="0.2">
      <c r="A20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50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J20" s="3"/>
    </row>
    <row r="21" spans="1:10" x14ac:dyDescent="0.2">
      <c r="A21" t="s">
        <v>462</v>
      </c>
      <c r="B21" s="1" t="s">
        <v>35</v>
      </c>
      <c r="C21" t="s">
        <v>158</v>
      </c>
      <c r="D21" s="28" t="str">
        <f>VLOOKUP(A21,Classification!$A:$D,2,FALSE)</f>
        <v>T</v>
      </c>
      <c r="E21" s="50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J21" s="3"/>
    </row>
    <row r="22" spans="1:10" x14ac:dyDescent="0.2">
      <c r="A22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50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J22" s="3"/>
    </row>
    <row r="23" spans="1:10" x14ac:dyDescent="0.2">
      <c r="A23" t="s">
        <v>1197</v>
      </c>
      <c r="B23" s="1" t="s">
        <v>32</v>
      </c>
      <c r="C23" t="s">
        <v>38</v>
      </c>
      <c r="D23" s="28" t="str">
        <f>VLOOKUP(A23,Classification!$A:$D,2,FALSE)</f>
        <v>B2</v>
      </c>
      <c r="E23" s="50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J23" s="3"/>
    </row>
    <row r="24" spans="1:10" x14ac:dyDescent="0.2">
      <c r="A24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50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J24" s="3"/>
    </row>
    <row r="25" spans="1:10" x14ac:dyDescent="0.2">
      <c r="A25" t="s">
        <v>1195</v>
      </c>
      <c r="B25" s="1" t="s">
        <v>38</v>
      </c>
      <c r="C25" t="s">
        <v>38</v>
      </c>
      <c r="D25" s="28" t="str">
        <f>VLOOKUP(A25,Classification!$A:$D,2,FALSE)</f>
        <v>B2</v>
      </c>
      <c r="E25" s="50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J25" s="3"/>
    </row>
    <row r="26" spans="1:10" x14ac:dyDescent="0.2">
      <c r="A26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50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/>
      <c r="J26" s="3"/>
    </row>
    <row r="27" spans="1:10" x14ac:dyDescent="0.2">
      <c r="A27" t="s">
        <v>1184</v>
      </c>
      <c r="B27" s="1" t="s">
        <v>401</v>
      </c>
      <c r="C27" t="s">
        <v>38</v>
      </c>
      <c r="D27" s="28" t="str">
        <f>VLOOKUP(A27,Classification!$A:$D,2,FALSE)</f>
        <v>B2</v>
      </c>
      <c r="E27" s="50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J27" s="3"/>
    </row>
    <row r="28" spans="1:10" x14ac:dyDescent="0.2">
      <c r="A28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50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J28" s="3"/>
    </row>
    <row r="29" spans="1:10" x14ac:dyDescent="0.2">
      <c r="A29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50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J29" s="3"/>
    </row>
    <row r="30" spans="1:10" x14ac:dyDescent="0.2">
      <c r="A30" t="s">
        <v>1186</v>
      </c>
      <c r="B30" s="1" t="s">
        <v>38</v>
      </c>
      <c r="C30" t="s">
        <v>38</v>
      </c>
      <c r="D30" s="28" t="str">
        <f>VLOOKUP(A30,Classification!$A:$D,2,FALSE)</f>
        <v>B2</v>
      </c>
      <c r="E30" s="50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J30" s="3"/>
    </row>
    <row r="31" spans="1:10" x14ac:dyDescent="0.2">
      <c r="A31" t="s">
        <v>1190</v>
      </c>
      <c r="B31" s="1" t="s">
        <v>38</v>
      </c>
      <c r="C31" t="s">
        <v>38</v>
      </c>
      <c r="D31" s="28" t="str">
        <f>VLOOKUP(A31,Classification!$A:$D,2,FALSE)</f>
        <v>B2</v>
      </c>
      <c r="E31" s="50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J31" s="3"/>
    </row>
    <row r="32" spans="1:10" x14ac:dyDescent="0.2">
      <c r="A32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50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J32" s="3"/>
    </row>
    <row r="33" spans="1:10" x14ac:dyDescent="0.2">
      <c r="A33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50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J33" s="3"/>
    </row>
    <row r="34" spans="1:10" x14ac:dyDescent="0.2">
      <c r="A34" t="s">
        <v>1188</v>
      </c>
      <c r="B34" s="1" t="s">
        <v>38</v>
      </c>
      <c r="C34" t="s">
        <v>38</v>
      </c>
      <c r="D34" s="28" t="str">
        <f>VLOOKUP(A34,Classification!$A:$D,2,FALSE)</f>
        <v>B2</v>
      </c>
      <c r="E34" s="50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J34" s="3"/>
    </row>
    <row r="35" spans="1:10" x14ac:dyDescent="0.2">
      <c r="A35" t="s">
        <v>1198</v>
      </c>
      <c r="B35" s="1" t="s">
        <v>406</v>
      </c>
      <c r="C35" t="s">
        <v>38</v>
      </c>
      <c r="D35" s="28" t="str">
        <f>VLOOKUP(A35,Classification!$A:$D,2,FALSE)</f>
        <v>B2</v>
      </c>
      <c r="E35" s="50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J35" s="3"/>
    </row>
    <row r="36" spans="1:10" x14ac:dyDescent="0.2">
      <c r="A36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50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J36" s="3"/>
    </row>
    <row r="37" spans="1:10" x14ac:dyDescent="0.2">
      <c r="A37" t="s">
        <v>1196</v>
      </c>
      <c r="B37" s="1" t="s">
        <v>38</v>
      </c>
      <c r="C37" t="s">
        <v>38</v>
      </c>
      <c r="D37" s="28" t="str">
        <f>VLOOKUP(A37,Classification!$A:$D,2,FALSE)</f>
        <v>B2</v>
      </c>
      <c r="E37" s="50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J37" s="3"/>
    </row>
    <row r="38" spans="1:10" x14ac:dyDescent="0.2">
      <c r="A38" t="s">
        <v>1423</v>
      </c>
      <c r="B38" s="1" t="s">
        <v>38</v>
      </c>
      <c r="C38" t="s">
        <v>38</v>
      </c>
      <c r="D38" s="28" t="str">
        <f>VLOOKUP(A38,Classification!$A:$D,2,FALSE)</f>
        <v>B2</v>
      </c>
      <c r="E38" s="50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J38" s="3"/>
    </row>
    <row r="39" spans="1:10" x14ac:dyDescent="0.2">
      <c r="A39" t="s">
        <v>1194</v>
      </c>
      <c r="B39" s="1" t="s">
        <v>38</v>
      </c>
      <c r="C39" t="s">
        <v>38</v>
      </c>
      <c r="D39" s="28" t="str">
        <f>VLOOKUP(A39,Classification!$A:$D,2,FALSE)</f>
        <v>B2</v>
      </c>
      <c r="E39" s="50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J39" s="3"/>
    </row>
    <row r="40" spans="1:10" x14ac:dyDescent="0.2">
      <c r="A40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50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J40" s="3"/>
    </row>
    <row r="41" spans="1:10" x14ac:dyDescent="0.2">
      <c r="A4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50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J41" s="3"/>
    </row>
    <row r="42" spans="1:10" x14ac:dyDescent="0.2">
      <c r="A42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50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J42" s="3"/>
    </row>
    <row r="43" spans="1:10" x14ac:dyDescent="0.2">
      <c r="A43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50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J43" s="3"/>
    </row>
    <row r="44" spans="1:10" x14ac:dyDescent="0.2">
      <c r="A44" t="s">
        <v>418</v>
      </c>
      <c r="B44" s="1" t="s">
        <v>401</v>
      </c>
      <c r="C44" t="s">
        <v>38</v>
      </c>
      <c r="D44" s="28" t="str">
        <f>VLOOKUP(A44,Classification!$A:$D,2,FALSE)</f>
        <v>B2</v>
      </c>
      <c r="E44" s="50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J44" s="3"/>
    </row>
    <row r="45" spans="1:10" x14ac:dyDescent="0.2">
      <c r="A45" t="s">
        <v>419</v>
      </c>
      <c r="B45" s="1" t="s">
        <v>401</v>
      </c>
      <c r="C45" t="s">
        <v>38</v>
      </c>
      <c r="D45" s="28" t="str">
        <f>VLOOKUP(A45,Classification!$A:$D,2,FALSE)</f>
        <v>B2</v>
      </c>
      <c r="E45" s="50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J45" s="3"/>
    </row>
    <row r="46" spans="1:10" x14ac:dyDescent="0.2">
      <c r="A46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50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J46" s="3"/>
    </row>
    <row r="47" spans="1:10" x14ac:dyDescent="0.2">
      <c r="A47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50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J47" s="3"/>
    </row>
    <row r="48" spans="1:10" x14ac:dyDescent="0.2">
      <c r="A48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50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J48" s="3"/>
    </row>
    <row r="49" spans="1:10" x14ac:dyDescent="0.2">
      <c r="A49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50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J49" s="3"/>
    </row>
    <row r="50" spans="1:10" x14ac:dyDescent="0.2">
      <c r="A50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50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J50" s="3"/>
    </row>
    <row r="51" spans="1:10" x14ac:dyDescent="0.2">
      <c r="A5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50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J51" s="3"/>
    </row>
    <row r="52" spans="1:10" x14ac:dyDescent="0.2">
      <c r="A52" t="s">
        <v>1189</v>
      </c>
      <c r="B52" s="1" t="s">
        <v>401</v>
      </c>
      <c r="C52" t="s">
        <v>38</v>
      </c>
      <c r="D52" s="28" t="str">
        <f>VLOOKUP(A52,Classification!$A:$D,2,FALSE)</f>
        <v>B2</v>
      </c>
      <c r="E52" s="50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J52" s="3"/>
    </row>
    <row r="53" spans="1:10" x14ac:dyDescent="0.2">
      <c r="A53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50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J53" s="3"/>
    </row>
    <row r="54" spans="1:10" x14ac:dyDescent="0.2">
      <c r="A54" t="s">
        <v>484</v>
      </c>
      <c r="B54" s="1" t="s">
        <v>336</v>
      </c>
      <c r="C54" t="s">
        <v>1172</v>
      </c>
      <c r="D54" s="28" t="str">
        <f>VLOOKUP(A54,Classification!$A:$D,2,FALSE)</f>
        <v>O</v>
      </c>
      <c r="E54" s="50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J54" s="3"/>
    </row>
    <row r="55" spans="1:10" x14ac:dyDescent="0.2">
      <c r="A55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50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J55" s="3"/>
    </row>
    <row r="56" spans="1:10" x14ac:dyDescent="0.2">
      <c r="A56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50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J56" s="3"/>
    </row>
    <row r="57" spans="1:10" x14ac:dyDescent="0.2">
      <c r="A57" t="s">
        <v>486</v>
      </c>
      <c r="B57" s="1" t="s">
        <v>35</v>
      </c>
      <c r="C57" t="s">
        <v>40</v>
      </c>
      <c r="D57" s="28" t="str">
        <f>VLOOKUP(A57,Classification!$A:$D,2,FALSE)</f>
        <v>O</v>
      </c>
      <c r="E57" s="50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J57" s="3"/>
    </row>
    <row r="58" spans="1:10" x14ac:dyDescent="0.2">
      <c r="A58" t="s">
        <v>466</v>
      </c>
      <c r="B58" s="1" t="s">
        <v>1172</v>
      </c>
      <c r="C58" t="s">
        <v>918</v>
      </c>
      <c r="D58" s="28" t="str">
        <f>VLOOKUP(A58,Classification!$A:$D,2,FALSE)</f>
        <v>T</v>
      </c>
      <c r="E58" s="50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J58" s="3"/>
    </row>
    <row r="59" spans="1:10" x14ac:dyDescent="0.2">
      <c r="A59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50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J59" s="3"/>
    </row>
    <row r="60" spans="1:10" x14ac:dyDescent="0.2">
      <c r="A60" t="s">
        <v>459</v>
      </c>
      <c r="B60" s="1" t="s">
        <v>1172</v>
      </c>
      <c r="C60" t="s">
        <v>1176</v>
      </c>
      <c r="D60" s="28" t="str">
        <f>VLOOKUP(A60,Classification!$A:$D,2,FALSE)</f>
        <v>T</v>
      </c>
      <c r="E60" s="50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J60" s="3"/>
    </row>
    <row r="61" spans="1:10" x14ac:dyDescent="0.2">
      <c r="A61" t="s">
        <v>458</v>
      </c>
      <c r="B61" s="1" t="s">
        <v>160</v>
      </c>
      <c r="C61" t="s">
        <v>345</v>
      </c>
      <c r="D61" s="28" t="str">
        <f>VLOOKUP(A61,Classification!$A:$D,2,FALSE)</f>
        <v>T</v>
      </c>
      <c r="E61" s="50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J61" s="3"/>
    </row>
    <row r="62" spans="1:10" x14ac:dyDescent="0.2">
      <c r="A62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50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J62" s="3"/>
    </row>
    <row r="63" spans="1:10" x14ac:dyDescent="0.2">
      <c r="A63" t="s">
        <v>456</v>
      </c>
      <c r="B63" s="1" t="s">
        <v>139</v>
      </c>
      <c r="C63" t="s">
        <v>104</v>
      </c>
      <c r="D63" s="28" t="str">
        <f>VLOOKUP(A63,Classification!$A:$D,2,FALSE)</f>
        <v>T</v>
      </c>
      <c r="E63" s="50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J63" s="3"/>
    </row>
    <row r="64" spans="1:10" x14ac:dyDescent="0.2">
      <c r="A64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50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J64" s="3"/>
    </row>
    <row r="65" spans="1:10" x14ac:dyDescent="0.2">
      <c r="A65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50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J65" s="3"/>
    </row>
    <row r="66" spans="1:10" x14ac:dyDescent="0.2">
      <c r="A66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50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J66" s="3"/>
    </row>
    <row r="67" spans="1:10" x14ac:dyDescent="0.2">
      <c r="A67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50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J67" s="3"/>
    </row>
    <row r="68" spans="1:10" x14ac:dyDescent="0.2">
      <c r="A68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50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J68" s="3"/>
    </row>
    <row r="69" spans="1:10" x14ac:dyDescent="0.2">
      <c r="A69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50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J69" s="3"/>
    </row>
    <row r="70" spans="1:10" x14ac:dyDescent="0.2">
      <c r="A70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50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J70" s="3"/>
    </row>
    <row r="71" spans="1:10" x14ac:dyDescent="0.2">
      <c r="A71" t="s">
        <v>155</v>
      </c>
      <c r="B71" s="1" t="s">
        <v>192</v>
      </c>
      <c r="C71" t="s">
        <v>34</v>
      </c>
      <c r="D71" s="28" t="str">
        <f>VLOOKUP(A71,Classification!$A:$D,2,FALSE)</f>
        <v>A</v>
      </c>
      <c r="E71" s="50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J71" s="3"/>
    </row>
    <row r="72" spans="1:10" x14ac:dyDescent="0.2">
      <c r="A72" t="s">
        <v>157</v>
      </c>
      <c r="B72" s="1" t="s">
        <v>192</v>
      </c>
      <c r="C72" t="s">
        <v>34</v>
      </c>
      <c r="D72" s="28" t="str">
        <f>VLOOKUP(A72,Classification!$A:$D,2,FALSE)</f>
        <v>A</v>
      </c>
      <c r="E72" s="50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J72" s="3"/>
    </row>
    <row r="73" spans="1:10" x14ac:dyDescent="0.2">
      <c r="A73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50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J73" s="3"/>
    </row>
    <row r="74" spans="1:10" x14ac:dyDescent="0.2">
      <c r="A74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50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J74" s="3"/>
    </row>
    <row r="75" spans="1:10" x14ac:dyDescent="0.2">
      <c r="A75" t="s">
        <v>389</v>
      </c>
      <c r="B75" s="1" t="s">
        <v>126</v>
      </c>
      <c r="C75" t="s">
        <v>34</v>
      </c>
      <c r="D75" s="28" t="str">
        <f>VLOOKUP(A75,Classification!$A:$D,2,FALSE)</f>
        <v>A</v>
      </c>
      <c r="E75" s="50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J75" s="3"/>
    </row>
    <row r="76" spans="1:10" x14ac:dyDescent="0.2">
      <c r="A76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50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J76" s="3"/>
    </row>
    <row r="77" spans="1:10" x14ac:dyDescent="0.2">
      <c r="A77" t="s">
        <v>220</v>
      </c>
      <c r="B77" s="1" t="s">
        <v>34</v>
      </c>
      <c r="C77" t="s">
        <v>34</v>
      </c>
      <c r="D77" s="28" t="str">
        <f>VLOOKUP(A77,Classification!$A:$D,2,FALSE)</f>
        <v>A</v>
      </c>
      <c r="E77" s="50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J77" s="3"/>
    </row>
    <row r="78" spans="1:10" x14ac:dyDescent="0.2">
      <c r="A78" t="s">
        <v>388</v>
      </c>
      <c r="B78" s="1" t="s">
        <v>126</v>
      </c>
      <c r="C78" t="s">
        <v>34</v>
      </c>
      <c r="D78" s="28" t="str">
        <f>VLOOKUP(A78,Classification!$A:$D,2,FALSE)</f>
        <v>A</v>
      </c>
      <c r="E78" s="50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J78" s="3"/>
    </row>
    <row r="79" spans="1:10" x14ac:dyDescent="0.2">
      <c r="A79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50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J79" s="3"/>
    </row>
    <row r="80" spans="1:10" x14ac:dyDescent="0.2">
      <c r="A80" t="s">
        <v>265</v>
      </c>
      <c r="B80" s="1" t="s">
        <v>35</v>
      </c>
      <c r="C80" t="s">
        <v>34</v>
      </c>
      <c r="D80" s="28" t="str">
        <f>VLOOKUP(A80,Classification!$A:$D,2,FALSE)</f>
        <v>A</v>
      </c>
      <c r="E80" s="50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J80" s="3"/>
    </row>
    <row r="81" spans="1:10" x14ac:dyDescent="0.2">
      <c r="A8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50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J81" s="3"/>
    </row>
    <row r="82" spans="1:10" x14ac:dyDescent="0.2">
      <c r="A82" t="s">
        <v>152</v>
      </c>
      <c r="B82" s="1" t="s">
        <v>34</v>
      </c>
      <c r="C82" t="s">
        <v>34</v>
      </c>
      <c r="D82" s="28" t="str">
        <f>VLOOKUP(A82,Classification!$A:$D,2,FALSE)</f>
        <v>A</v>
      </c>
      <c r="E82" s="50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J82" s="3"/>
    </row>
    <row r="83" spans="1:10" x14ac:dyDescent="0.2">
      <c r="A83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50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J83" s="3"/>
    </row>
    <row r="84" spans="1:10" x14ac:dyDescent="0.2">
      <c r="A84" t="s">
        <v>271</v>
      </c>
      <c r="B84" s="1" t="s">
        <v>1175</v>
      </c>
      <c r="C84" t="s">
        <v>35</v>
      </c>
      <c r="D84" s="28" t="str">
        <f>VLOOKUP(A84,Classification!$A:$D,2,FALSE)</f>
        <v>A</v>
      </c>
      <c r="E84" s="50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J84" s="3"/>
    </row>
    <row r="85" spans="1:10" x14ac:dyDescent="0.2">
      <c r="A85" t="s">
        <v>230</v>
      </c>
      <c r="B85" s="1" t="s">
        <v>1175</v>
      </c>
      <c r="C85" t="s">
        <v>35</v>
      </c>
      <c r="D85" s="28" t="str">
        <f>VLOOKUP(A85,Classification!$A:$D,2,FALSE)</f>
        <v>A</v>
      </c>
      <c r="E85" s="50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J85" s="3"/>
    </row>
    <row r="86" spans="1:10" x14ac:dyDescent="0.2">
      <c r="A86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50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J86" s="3"/>
    </row>
    <row r="87" spans="1:10" x14ac:dyDescent="0.2">
      <c r="A87" t="s">
        <v>133</v>
      </c>
      <c r="B87" s="1" t="s">
        <v>35</v>
      </c>
      <c r="C87" t="s">
        <v>35</v>
      </c>
      <c r="D87" s="28" t="str">
        <f>VLOOKUP(A87,Classification!$A:$D,2,FALSE)</f>
        <v>A</v>
      </c>
      <c r="E87" s="50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J87" s="3"/>
    </row>
    <row r="88" spans="1:10" x14ac:dyDescent="0.2">
      <c r="A88" t="s">
        <v>132</v>
      </c>
      <c r="B88" s="1" t="s">
        <v>35</v>
      </c>
      <c r="C88" t="s">
        <v>35</v>
      </c>
      <c r="D88" s="28" t="str">
        <f>VLOOKUP(A88,Classification!$A:$D,2,FALSE)</f>
        <v>A</v>
      </c>
      <c r="E88" s="50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J88" s="3"/>
    </row>
    <row r="89" spans="1:10" x14ac:dyDescent="0.2">
      <c r="A89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50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J89" s="3"/>
    </row>
    <row r="90" spans="1:10" x14ac:dyDescent="0.2">
      <c r="A90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50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J90" s="3"/>
    </row>
    <row r="91" spans="1:10" x14ac:dyDescent="0.2">
      <c r="A9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50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J91" s="3"/>
    </row>
    <row r="92" spans="1:10" x14ac:dyDescent="0.2">
      <c r="A92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50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J92" s="3"/>
    </row>
    <row r="93" spans="1:10" x14ac:dyDescent="0.2">
      <c r="A93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50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J93" s="3"/>
    </row>
    <row r="94" spans="1:10" x14ac:dyDescent="0.2">
      <c r="A94" t="s">
        <v>361</v>
      </c>
      <c r="B94" s="1" t="s">
        <v>182</v>
      </c>
      <c r="C94" t="s">
        <v>139</v>
      </c>
      <c r="D94" s="28" t="str">
        <f>VLOOKUP(A94,Classification!$A:$D,2,FALSE)</f>
        <v>A</v>
      </c>
      <c r="E94" s="50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J94" s="3"/>
    </row>
    <row r="95" spans="1:10" x14ac:dyDescent="0.2">
      <c r="A95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50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J95" s="3"/>
    </row>
    <row r="96" spans="1:10" x14ac:dyDescent="0.2">
      <c r="A96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50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J96" s="3"/>
    </row>
    <row r="97" spans="1:10" x14ac:dyDescent="0.2">
      <c r="A97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50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J97" s="3"/>
    </row>
    <row r="98" spans="1:10" x14ac:dyDescent="0.2">
      <c r="A98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50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J98" s="3"/>
    </row>
    <row r="99" spans="1:10" x14ac:dyDescent="0.2">
      <c r="A99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50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J99" s="3"/>
    </row>
    <row r="100" spans="1:10" x14ac:dyDescent="0.2">
      <c r="A100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50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J100" s="3"/>
    </row>
    <row r="101" spans="1:10" x14ac:dyDescent="0.2">
      <c r="A10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50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J101" s="3"/>
    </row>
    <row r="102" spans="1:10" x14ac:dyDescent="0.2">
      <c r="A102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50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J102" s="3"/>
    </row>
    <row r="103" spans="1:10" x14ac:dyDescent="0.2">
      <c r="A103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50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J103" s="3"/>
    </row>
    <row r="104" spans="1:10" x14ac:dyDescent="0.2">
      <c r="A104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50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J104" s="3"/>
    </row>
    <row r="105" spans="1:10" x14ac:dyDescent="0.2">
      <c r="A105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50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J105" s="3"/>
    </row>
    <row r="106" spans="1:10" x14ac:dyDescent="0.2">
      <c r="A106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50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J106" s="3"/>
    </row>
    <row r="107" spans="1:10" x14ac:dyDescent="0.2">
      <c r="A107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50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J107" s="3"/>
    </row>
    <row r="108" spans="1:10" x14ac:dyDescent="0.2">
      <c r="A108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50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J108" s="3"/>
    </row>
    <row r="109" spans="1:10" x14ac:dyDescent="0.2">
      <c r="A109" t="s">
        <v>228</v>
      </c>
      <c r="B109" s="1" t="s">
        <v>1176</v>
      </c>
      <c r="C109" t="s">
        <v>149</v>
      </c>
      <c r="D109" s="28" t="str">
        <f>VLOOKUP(A109,Classification!$A:$D,2,FALSE)</f>
        <v>A</v>
      </c>
      <c r="E109" s="50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J109" s="3"/>
    </row>
    <row r="110" spans="1:10" x14ac:dyDescent="0.2">
      <c r="A110" t="s">
        <v>387</v>
      </c>
      <c r="B110" s="1" t="s">
        <v>34</v>
      </c>
      <c r="C110" t="s">
        <v>912</v>
      </c>
      <c r="D110" s="28" t="str">
        <f>VLOOKUP(A110,Classification!$A:$D,2,FALSE)</f>
        <v>A</v>
      </c>
      <c r="E110" s="50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J110" s="3"/>
    </row>
    <row r="111" spans="1:10" x14ac:dyDescent="0.2">
      <c r="A111" t="s">
        <v>259</v>
      </c>
      <c r="B111" s="1" t="s">
        <v>34</v>
      </c>
      <c r="C111" t="s">
        <v>912</v>
      </c>
      <c r="D111" s="28" t="str">
        <f>VLOOKUP(A111,Classification!$A:$D,2,FALSE)</f>
        <v>A</v>
      </c>
      <c r="E111" s="50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J111" s="3"/>
    </row>
    <row r="112" spans="1:10" x14ac:dyDescent="0.2">
      <c r="A112" t="s">
        <v>212</v>
      </c>
      <c r="B112" s="1" t="s">
        <v>173</v>
      </c>
      <c r="C112" t="s">
        <v>912</v>
      </c>
      <c r="D112" s="28" t="str">
        <f>VLOOKUP(A112,Classification!$A:$D,2,FALSE)</f>
        <v>A</v>
      </c>
      <c r="E112" s="50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J112" s="3"/>
    </row>
    <row r="113" spans="1:10" x14ac:dyDescent="0.2">
      <c r="A113" t="s">
        <v>311</v>
      </c>
      <c r="B113" s="1" t="s">
        <v>1176</v>
      </c>
      <c r="C113" t="s">
        <v>912</v>
      </c>
      <c r="D113" s="28" t="str">
        <f>VLOOKUP(A113,Classification!$A:$D,2,FALSE)</f>
        <v>A</v>
      </c>
      <c r="E113" s="50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J113" s="3"/>
    </row>
    <row r="114" spans="1:10" x14ac:dyDescent="0.2">
      <c r="A114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50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J114" s="3"/>
    </row>
    <row r="115" spans="1:10" x14ac:dyDescent="0.2">
      <c r="A115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50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J115" s="3"/>
    </row>
    <row r="116" spans="1:10" x14ac:dyDescent="0.2">
      <c r="A116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50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J116" s="3"/>
    </row>
    <row r="117" spans="1:10" x14ac:dyDescent="0.2">
      <c r="A117" t="s">
        <v>134</v>
      </c>
      <c r="B117" s="1" t="s">
        <v>126</v>
      </c>
      <c r="C117" t="s">
        <v>912</v>
      </c>
      <c r="D117" s="28" t="str">
        <f>VLOOKUP(A117,Classification!$A:$D,2,FALSE)</f>
        <v>A</v>
      </c>
      <c r="E117" s="50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J117" s="3"/>
    </row>
    <row r="118" spans="1:10" x14ac:dyDescent="0.2">
      <c r="A118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50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J118" s="3"/>
    </row>
    <row r="119" spans="1:10" x14ac:dyDescent="0.2">
      <c r="A119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50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J119" s="3"/>
    </row>
    <row r="120" spans="1:10" x14ac:dyDescent="0.2">
      <c r="A120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50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J120" s="3"/>
    </row>
    <row r="121" spans="1:10" x14ac:dyDescent="0.2">
      <c r="A121" t="s">
        <v>136</v>
      </c>
      <c r="B121" s="1" t="s">
        <v>35</v>
      </c>
      <c r="C121" t="s">
        <v>912</v>
      </c>
      <c r="D121" s="28" t="str">
        <f>VLOOKUP(A121,Classification!$A:$D,2,FALSE)</f>
        <v>A</v>
      </c>
      <c r="E121" s="50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J121" s="3"/>
    </row>
    <row r="122" spans="1:10" x14ac:dyDescent="0.2">
      <c r="A122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50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J122" s="3"/>
    </row>
    <row r="123" spans="1:10" x14ac:dyDescent="0.2">
      <c r="A123" t="s">
        <v>154</v>
      </c>
      <c r="B123" s="1" t="s">
        <v>126</v>
      </c>
      <c r="C123" t="s">
        <v>912</v>
      </c>
      <c r="D123" s="28" t="str">
        <f>VLOOKUP(A123,Classification!$A:$D,2,FALSE)</f>
        <v>A</v>
      </c>
      <c r="E123" s="50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J123" s="3"/>
    </row>
    <row r="124" spans="1:10" x14ac:dyDescent="0.2">
      <c r="A124" t="s">
        <v>153</v>
      </c>
      <c r="B124" s="1" t="s">
        <v>192</v>
      </c>
      <c r="C124" t="s">
        <v>912</v>
      </c>
      <c r="D124" s="28" t="str">
        <f>VLOOKUP(A124,Classification!$A:$D,2,FALSE)</f>
        <v>A</v>
      </c>
      <c r="E124" s="50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J124" s="3"/>
    </row>
    <row r="125" spans="1:10" x14ac:dyDescent="0.2">
      <c r="A125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50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J125" s="3"/>
    </row>
    <row r="126" spans="1:10" x14ac:dyDescent="0.2">
      <c r="A126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50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J126" s="3"/>
    </row>
    <row r="127" spans="1:10" x14ac:dyDescent="0.2">
      <c r="A127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50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J127" s="3"/>
    </row>
    <row r="128" spans="1:10" x14ac:dyDescent="0.2">
      <c r="A128" t="s">
        <v>304</v>
      </c>
      <c r="B128" s="1" t="s">
        <v>158</v>
      </c>
      <c r="C128" t="s">
        <v>158</v>
      </c>
      <c r="D128" s="28" t="str">
        <f>VLOOKUP(A128,Classification!$A:$D,2,FALSE)</f>
        <v>A</v>
      </c>
      <c r="E128" s="50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J128" s="3"/>
    </row>
    <row r="129" spans="1:10" x14ac:dyDescent="0.2">
      <c r="A129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50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J129" s="3"/>
    </row>
    <row r="130" spans="1:10" x14ac:dyDescent="0.2">
      <c r="A130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50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J130" s="3"/>
    </row>
    <row r="131" spans="1:10" x14ac:dyDescent="0.2">
      <c r="A13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50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J131" s="3"/>
    </row>
    <row r="132" spans="1:10" x14ac:dyDescent="0.2">
      <c r="A132" t="s">
        <v>165</v>
      </c>
      <c r="B132" s="1" t="s">
        <v>158</v>
      </c>
      <c r="C132" t="s">
        <v>158</v>
      </c>
      <c r="D132" s="28" t="str">
        <f>VLOOKUP(A132,Classification!$A:$D,2,FALSE)</f>
        <v>A</v>
      </c>
      <c r="E132" s="50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J132" s="3"/>
    </row>
    <row r="133" spans="1:10" x14ac:dyDescent="0.2">
      <c r="A133" t="s">
        <v>306</v>
      </c>
      <c r="B133" s="1" t="s">
        <v>158</v>
      </c>
      <c r="C133" t="s">
        <v>158</v>
      </c>
      <c r="D133" s="28" t="str">
        <f>VLOOKUP(A133,Classification!$A:$D,2,FALSE)</f>
        <v>A</v>
      </c>
      <c r="E133" s="50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J133" s="3"/>
    </row>
    <row r="134" spans="1:10" x14ac:dyDescent="0.2">
      <c r="A134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50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J134" s="3"/>
    </row>
    <row r="135" spans="1:10" x14ac:dyDescent="0.2">
      <c r="A135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50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J135" s="3"/>
    </row>
    <row r="136" spans="1:10" x14ac:dyDescent="0.2">
      <c r="A136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50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J136" s="3"/>
    </row>
    <row r="137" spans="1:10" x14ac:dyDescent="0.2">
      <c r="A137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50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J137" s="3"/>
    </row>
    <row r="138" spans="1:10" x14ac:dyDescent="0.2">
      <c r="A138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50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J138" s="3"/>
    </row>
    <row r="139" spans="1:10" x14ac:dyDescent="0.2">
      <c r="A139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50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J139" s="3"/>
    </row>
    <row r="140" spans="1:10" x14ac:dyDescent="0.2">
      <c r="A140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50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J140" s="3"/>
    </row>
    <row r="141" spans="1:10" x14ac:dyDescent="0.2">
      <c r="A141" t="s">
        <v>374</v>
      </c>
      <c r="B141" s="1" t="s">
        <v>158</v>
      </c>
      <c r="C141" t="s">
        <v>158</v>
      </c>
      <c r="D141" s="28" t="str">
        <f>VLOOKUP(A141,Classification!$A:$D,2,FALSE)</f>
        <v>A</v>
      </c>
      <c r="E141" s="50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J141" s="3"/>
    </row>
    <row r="142" spans="1:10" x14ac:dyDescent="0.2">
      <c r="A142" t="s">
        <v>292</v>
      </c>
      <c r="B142" s="1" t="s">
        <v>158</v>
      </c>
      <c r="C142" t="s">
        <v>158</v>
      </c>
      <c r="D142" s="28" t="str">
        <f>VLOOKUP(A142,Classification!$A:$D,2,FALSE)</f>
        <v>A</v>
      </c>
      <c r="E142" s="50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J142" s="3"/>
    </row>
    <row r="143" spans="1:10" x14ac:dyDescent="0.2">
      <c r="A143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50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J143" s="3"/>
    </row>
    <row r="144" spans="1:10" x14ac:dyDescent="0.2">
      <c r="A144" t="s">
        <v>331</v>
      </c>
      <c r="B144" s="1" t="s">
        <v>158</v>
      </c>
      <c r="C144" t="s">
        <v>158</v>
      </c>
      <c r="D144" s="28" t="str">
        <f>VLOOKUP(A144,Classification!$A:$D,2,FALSE)</f>
        <v>A</v>
      </c>
      <c r="E144" s="50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J144" s="3"/>
    </row>
    <row r="145" spans="1:10" x14ac:dyDescent="0.2">
      <c r="A145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50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J145" s="3"/>
    </row>
    <row r="146" spans="1:10" x14ac:dyDescent="0.2">
      <c r="A146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50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J146" s="3"/>
    </row>
    <row r="147" spans="1:10" x14ac:dyDescent="0.2">
      <c r="A147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50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J147" s="3"/>
    </row>
    <row r="148" spans="1:10" x14ac:dyDescent="0.2">
      <c r="A148" t="s">
        <v>142</v>
      </c>
      <c r="B148" s="1" t="s">
        <v>177</v>
      </c>
      <c r="C148" t="s">
        <v>173</v>
      </c>
      <c r="D148" s="28" t="str">
        <f>VLOOKUP(A148,Classification!$A:$D,2,FALSE)</f>
        <v>A</v>
      </c>
      <c r="E148" s="50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J148" s="3"/>
    </row>
    <row r="149" spans="1:10" x14ac:dyDescent="0.2">
      <c r="A149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50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J149" s="3"/>
    </row>
    <row r="150" spans="1:10" x14ac:dyDescent="0.2">
      <c r="A150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50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J150" s="3"/>
    </row>
    <row r="151" spans="1:10" x14ac:dyDescent="0.2">
      <c r="A15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50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J151" s="3"/>
    </row>
    <row r="152" spans="1:10" x14ac:dyDescent="0.2">
      <c r="A152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50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J152" s="3"/>
    </row>
    <row r="153" spans="1:10" x14ac:dyDescent="0.2">
      <c r="A153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50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J153" s="3"/>
    </row>
    <row r="154" spans="1:10" x14ac:dyDescent="0.2">
      <c r="A154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50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J154" s="3"/>
    </row>
    <row r="155" spans="1:10" x14ac:dyDescent="0.2">
      <c r="A155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50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J155" s="3"/>
    </row>
    <row r="156" spans="1:10" x14ac:dyDescent="0.2">
      <c r="A156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50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J156" s="3"/>
    </row>
    <row r="157" spans="1:10" x14ac:dyDescent="0.2">
      <c r="A157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50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J157" s="3"/>
    </row>
    <row r="158" spans="1:10" x14ac:dyDescent="0.2">
      <c r="A158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50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J158" s="3"/>
    </row>
    <row r="159" spans="1:10" x14ac:dyDescent="0.2">
      <c r="A159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50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J159" s="3"/>
    </row>
    <row r="160" spans="1:10" x14ac:dyDescent="0.2">
      <c r="A160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50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J160" s="3"/>
    </row>
    <row r="161" spans="1:10" x14ac:dyDescent="0.2">
      <c r="A16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50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J161" s="3"/>
    </row>
    <row r="162" spans="1:10" x14ac:dyDescent="0.2">
      <c r="A162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50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J162" s="3"/>
    </row>
    <row r="163" spans="1:10" x14ac:dyDescent="0.2">
      <c r="A163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50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J163" s="3"/>
    </row>
    <row r="164" spans="1:10" x14ac:dyDescent="0.2">
      <c r="A164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50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J164" s="3"/>
    </row>
    <row r="165" spans="1:10" x14ac:dyDescent="0.2">
      <c r="A165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50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J165" s="3"/>
    </row>
    <row r="166" spans="1:10" x14ac:dyDescent="0.2">
      <c r="A166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50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J166" s="3"/>
    </row>
    <row r="167" spans="1:10" x14ac:dyDescent="0.2">
      <c r="A167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50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J167" s="3"/>
    </row>
    <row r="168" spans="1:10" x14ac:dyDescent="0.2">
      <c r="A168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50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J168" s="3"/>
    </row>
    <row r="169" spans="1:10" x14ac:dyDescent="0.2">
      <c r="A169" t="s">
        <v>402</v>
      </c>
      <c r="B169" s="1" t="s">
        <v>401</v>
      </c>
      <c r="C169" t="s">
        <v>401</v>
      </c>
      <c r="D169" s="28" t="str">
        <f>VLOOKUP(A169,Classification!$A:$D,2,FALSE)</f>
        <v>B1</v>
      </c>
      <c r="E169" s="50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J169" s="3"/>
    </row>
    <row r="170" spans="1:10" x14ac:dyDescent="0.2">
      <c r="A170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50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J170" s="3"/>
    </row>
    <row r="171" spans="1:10" x14ac:dyDescent="0.2">
      <c r="A171" t="s">
        <v>166</v>
      </c>
      <c r="B171" s="1" t="s">
        <v>158</v>
      </c>
      <c r="C171" t="s">
        <v>1172</v>
      </c>
      <c r="D171" s="28" t="str">
        <f>VLOOKUP(A171,Classification!$A:$D,2,FALSE)</f>
        <v>A</v>
      </c>
      <c r="E171" s="50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J171" s="3"/>
    </row>
    <row r="172" spans="1:10" x14ac:dyDescent="0.2">
      <c r="A172" t="s">
        <v>201</v>
      </c>
      <c r="B172" s="1" t="s">
        <v>158</v>
      </c>
      <c r="C172" t="s">
        <v>1172</v>
      </c>
      <c r="D172" s="28" t="str">
        <f>VLOOKUP(A172,Classification!$A:$D,2,FALSE)</f>
        <v>A</v>
      </c>
      <c r="E172" s="50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J172" s="3"/>
    </row>
    <row r="173" spans="1:10" x14ac:dyDescent="0.2">
      <c r="A173" t="s">
        <v>202</v>
      </c>
      <c r="B173" s="1" t="s">
        <v>1172</v>
      </c>
      <c r="C173" t="s">
        <v>1172</v>
      </c>
      <c r="D173" s="28" t="str">
        <f>VLOOKUP(A173,Classification!$A:$D,2,FALSE)</f>
        <v>A</v>
      </c>
      <c r="E173" s="50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J173" s="3"/>
    </row>
    <row r="174" spans="1:10" x14ac:dyDescent="0.2">
      <c r="A174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50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J174" s="3"/>
    </row>
    <row r="175" spans="1:10" x14ac:dyDescent="0.2">
      <c r="A175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50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J175" s="3"/>
    </row>
    <row r="176" spans="1:10" x14ac:dyDescent="0.2">
      <c r="A176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50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J176" s="3"/>
    </row>
    <row r="177" spans="1:10" x14ac:dyDescent="0.2">
      <c r="A177" t="s">
        <v>203</v>
      </c>
      <c r="B177" s="1" t="s">
        <v>1172</v>
      </c>
      <c r="C177" t="s">
        <v>1172</v>
      </c>
      <c r="D177" s="28" t="str">
        <f>VLOOKUP(A177,Classification!$A:$D,2,FALSE)</f>
        <v>A</v>
      </c>
      <c r="E177" s="50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J177" s="3"/>
    </row>
    <row r="178" spans="1:10" x14ac:dyDescent="0.2">
      <c r="A178" t="s">
        <v>293</v>
      </c>
      <c r="B178" s="1" t="s">
        <v>914</v>
      </c>
      <c r="C178" t="s">
        <v>1172</v>
      </c>
      <c r="D178" s="28" t="str">
        <f>VLOOKUP(A178,Classification!$A:$D,2,FALSE)</f>
        <v>A</v>
      </c>
      <c r="E178" s="50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J178" s="3"/>
    </row>
    <row r="179" spans="1:10" x14ac:dyDescent="0.2">
      <c r="A179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50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J179" s="3"/>
    </row>
    <row r="180" spans="1:10" x14ac:dyDescent="0.2">
      <c r="A180" t="s">
        <v>191</v>
      </c>
      <c r="B180" s="1" t="s">
        <v>192</v>
      </c>
      <c r="C180" t="s">
        <v>192</v>
      </c>
      <c r="D180" s="28" t="str">
        <f>VLOOKUP(A180,Classification!$A:$D,2,FALSE)</f>
        <v>A</v>
      </c>
      <c r="E180" s="50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J180" s="3"/>
    </row>
    <row r="181" spans="1:10" x14ac:dyDescent="0.2">
      <c r="A181" t="s">
        <v>193</v>
      </c>
      <c r="B181" s="1" t="s">
        <v>192</v>
      </c>
      <c r="C181" t="s">
        <v>192</v>
      </c>
      <c r="D181" s="28" t="str">
        <f>VLOOKUP(A181,Classification!$A:$D,2,FALSE)</f>
        <v>A</v>
      </c>
      <c r="E181" s="50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J181" s="3"/>
    </row>
    <row r="182" spans="1:10" x14ac:dyDescent="0.2">
      <c r="A182" t="s">
        <v>156</v>
      </c>
      <c r="B182" s="1" t="s">
        <v>192</v>
      </c>
      <c r="C182" t="s">
        <v>192</v>
      </c>
      <c r="D182" s="28" t="str">
        <f>VLOOKUP(A182,Classification!$A:$D,2,FALSE)</f>
        <v>A</v>
      </c>
      <c r="E182" s="50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J182" s="3"/>
    </row>
    <row r="183" spans="1:10" x14ac:dyDescent="0.2">
      <c r="A183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50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J183" s="3"/>
    </row>
    <row r="184" spans="1:10" x14ac:dyDescent="0.2">
      <c r="A184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50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J184" s="3"/>
    </row>
    <row r="185" spans="1:10" x14ac:dyDescent="0.2">
      <c r="A185" t="s">
        <v>366</v>
      </c>
      <c r="B185" s="1" t="s">
        <v>159</v>
      </c>
      <c r="C185" t="s">
        <v>192</v>
      </c>
      <c r="D185" s="28" t="str">
        <f>VLOOKUP(A185,Classification!$A:$D,2,FALSE)</f>
        <v>A</v>
      </c>
      <c r="E185" s="50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J185" s="3"/>
    </row>
    <row r="186" spans="1:10" x14ac:dyDescent="0.2">
      <c r="A186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50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J186" s="3"/>
    </row>
    <row r="187" spans="1:10" x14ac:dyDescent="0.2">
      <c r="A187" t="s">
        <v>266</v>
      </c>
      <c r="B187" s="1" t="s">
        <v>126</v>
      </c>
      <c r="C187" t="s">
        <v>192</v>
      </c>
      <c r="D187" s="28" t="str">
        <f>VLOOKUP(A187,Classification!$A:$D,2,FALSE)</f>
        <v>A</v>
      </c>
      <c r="E187" s="50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J187" s="3"/>
    </row>
    <row r="188" spans="1:10" x14ac:dyDescent="0.2">
      <c r="A188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50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J188" s="3"/>
    </row>
    <row r="189" spans="1:10" x14ac:dyDescent="0.2">
      <c r="A189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50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J189" s="3"/>
    </row>
    <row r="190" spans="1:10" x14ac:dyDescent="0.2">
      <c r="A190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50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J190" s="3"/>
    </row>
    <row r="191" spans="1:10" x14ac:dyDescent="0.2">
      <c r="A19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50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J191" s="3"/>
    </row>
    <row r="192" spans="1:10" x14ac:dyDescent="0.2">
      <c r="A192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50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J192" s="3"/>
    </row>
    <row r="193" spans="1:10" x14ac:dyDescent="0.2">
      <c r="A193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50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J193" s="3"/>
    </row>
    <row r="194" spans="1:10" x14ac:dyDescent="0.2">
      <c r="A194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50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J194" s="3"/>
    </row>
    <row r="195" spans="1:10" x14ac:dyDescent="0.2">
      <c r="A195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50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J195" s="3"/>
    </row>
    <row r="196" spans="1:10" x14ac:dyDescent="0.2">
      <c r="A196" t="s">
        <v>404</v>
      </c>
      <c r="B196" s="1" t="s">
        <v>32</v>
      </c>
      <c r="C196" t="s">
        <v>32</v>
      </c>
      <c r="D196" s="28" t="str">
        <f>VLOOKUP(A196,Classification!$A:$D,2,FALSE)</f>
        <v>B1</v>
      </c>
      <c r="E196" s="50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J196" s="3"/>
    </row>
    <row r="197" spans="1:10" x14ac:dyDescent="0.2">
      <c r="A197" t="s">
        <v>411</v>
      </c>
      <c r="B197" s="1" t="s">
        <v>406</v>
      </c>
      <c r="C197" t="s">
        <v>32</v>
      </c>
      <c r="D197" s="28" t="str">
        <f>VLOOKUP(A197,Classification!$A:$D,2,FALSE)</f>
        <v>B1</v>
      </c>
      <c r="E197" s="50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J197" s="3"/>
    </row>
    <row r="198" spans="1:10" x14ac:dyDescent="0.2">
      <c r="A198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50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J198" s="3"/>
    </row>
    <row r="199" spans="1:10" x14ac:dyDescent="0.2">
      <c r="A199" t="s">
        <v>413</v>
      </c>
      <c r="B199" s="1" t="s">
        <v>32</v>
      </c>
      <c r="C199" t="s">
        <v>32</v>
      </c>
      <c r="D199" s="28" t="str">
        <f>VLOOKUP(A199,Classification!$A:$D,2,FALSE)</f>
        <v>B1</v>
      </c>
      <c r="E199" s="50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J199" s="3"/>
    </row>
    <row r="200" spans="1:10" x14ac:dyDescent="0.2">
      <c r="A200" t="s">
        <v>408</v>
      </c>
      <c r="B200" s="1" t="s">
        <v>32</v>
      </c>
      <c r="C200" t="s">
        <v>32</v>
      </c>
      <c r="D200" s="28" t="str">
        <f>VLOOKUP(A200,Classification!$A:$D,2,FALSE)</f>
        <v>B1</v>
      </c>
      <c r="E200" s="50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J200" s="3"/>
    </row>
    <row r="201" spans="1:10" x14ac:dyDescent="0.2">
      <c r="A201" t="s">
        <v>412</v>
      </c>
      <c r="B201" s="1" t="s">
        <v>406</v>
      </c>
      <c r="C201" t="s">
        <v>32</v>
      </c>
      <c r="D201" s="28" t="str">
        <f>VLOOKUP(A201,Classification!$A:$D,2,FALSE)</f>
        <v>B1</v>
      </c>
      <c r="E201" s="50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J201" s="3"/>
    </row>
    <row r="202" spans="1:10" x14ac:dyDescent="0.2">
      <c r="A202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50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J202" s="3"/>
    </row>
    <row r="203" spans="1:10" x14ac:dyDescent="0.2">
      <c r="A203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50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J203" s="3"/>
    </row>
    <row r="204" spans="1:10" x14ac:dyDescent="0.2">
      <c r="A204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50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J204" s="3"/>
    </row>
    <row r="205" spans="1:10" x14ac:dyDescent="0.2">
      <c r="A205" t="s">
        <v>409</v>
      </c>
      <c r="B205" s="1" t="s">
        <v>406</v>
      </c>
      <c r="C205" t="s">
        <v>32</v>
      </c>
      <c r="D205" s="28" t="str">
        <f>VLOOKUP(A205,Classification!$A:$D,2,FALSE)</f>
        <v>B1</v>
      </c>
      <c r="E205" s="50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J205" s="3"/>
    </row>
    <row r="206" spans="1:10" x14ac:dyDescent="0.2">
      <c r="A206" t="s">
        <v>410</v>
      </c>
      <c r="B206" s="1" t="s">
        <v>406</v>
      </c>
      <c r="C206" t="s">
        <v>32</v>
      </c>
      <c r="D206" s="28" t="str">
        <f>VLOOKUP(A206,Classification!$A:$D,2,FALSE)</f>
        <v>B1</v>
      </c>
      <c r="E206" s="50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J206" s="3"/>
    </row>
    <row r="207" spans="1:10" x14ac:dyDescent="0.2">
      <c r="A207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50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J207" s="3"/>
    </row>
    <row r="208" spans="1:10" x14ac:dyDescent="0.2">
      <c r="A208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50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J208" s="3"/>
    </row>
    <row r="209" spans="1:10" x14ac:dyDescent="0.2">
      <c r="A209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50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J209" s="3"/>
    </row>
    <row r="210" spans="1:10" x14ac:dyDescent="0.2">
      <c r="A210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50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J210" s="3"/>
    </row>
    <row r="211" spans="1:10" x14ac:dyDescent="0.2">
      <c r="A21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50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J211" s="3"/>
    </row>
    <row r="212" spans="1:10" x14ac:dyDescent="0.2">
      <c r="A212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50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J212" s="3"/>
    </row>
    <row r="213" spans="1:10" x14ac:dyDescent="0.2">
      <c r="A213" t="s">
        <v>106</v>
      </c>
      <c r="B213" s="1" t="s">
        <v>41</v>
      </c>
      <c r="C213" t="s">
        <v>40</v>
      </c>
      <c r="D213" s="28" t="str">
        <f>VLOOKUP(A213,Classification!$A:$D,2,FALSE)</f>
        <v>C</v>
      </c>
      <c r="E213" s="50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J213" s="3"/>
    </row>
    <row r="214" spans="1:10" x14ac:dyDescent="0.2">
      <c r="A214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50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J214" s="3"/>
    </row>
    <row r="215" spans="1:10" x14ac:dyDescent="0.2">
      <c r="A215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50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J215" s="3"/>
    </row>
    <row r="216" spans="1:10" x14ac:dyDescent="0.2">
      <c r="A216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50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J216" s="3"/>
    </row>
    <row r="217" spans="1:10" x14ac:dyDescent="0.2">
      <c r="A217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50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J217" s="3"/>
    </row>
    <row r="218" spans="1:10" x14ac:dyDescent="0.2">
      <c r="A218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50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J218" s="3"/>
    </row>
    <row r="219" spans="1:10" x14ac:dyDescent="0.2">
      <c r="A219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50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J219" s="3"/>
    </row>
    <row r="220" spans="1:10" x14ac:dyDescent="0.2">
      <c r="A220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50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J220" s="3"/>
    </row>
    <row r="221" spans="1:10" x14ac:dyDescent="0.2">
      <c r="A22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50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J221" s="3"/>
    </row>
    <row r="222" spans="1:10" x14ac:dyDescent="0.2">
      <c r="A222" t="s">
        <v>115</v>
      </c>
      <c r="B222" s="1" t="s">
        <v>41</v>
      </c>
      <c r="C222" t="s">
        <v>41</v>
      </c>
      <c r="D222" s="28" t="str">
        <f>VLOOKUP(A222,Classification!$A:$D,2,FALSE)</f>
        <v>C</v>
      </c>
      <c r="E222" s="50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J222" s="3"/>
    </row>
    <row r="223" spans="1:10" x14ac:dyDescent="0.2">
      <c r="A223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50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J223" s="3"/>
    </row>
    <row r="224" spans="1:10" x14ac:dyDescent="0.2">
      <c r="A224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50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J224" s="3"/>
    </row>
    <row r="225" spans="1:10" x14ac:dyDescent="0.2">
      <c r="A225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50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J225" s="3"/>
    </row>
    <row r="226" spans="1:10" x14ac:dyDescent="0.2">
      <c r="A226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50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J226" s="3"/>
    </row>
    <row r="227" spans="1:10" x14ac:dyDescent="0.2">
      <c r="A227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50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J227" s="3"/>
    </row>
    <row r="228" spans="1:10" x14ac:dyDescent="0.2">
      <c r="A228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50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J228" s="3"/>
    </row>
    <row r="229" spans="1:10" x14ac:dyDescent="0.2">
      <c r="A229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50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J229" s="3"/>
    </row>
    <row r="230" spans="1:10" x14ac:dyDescent="0.2">
      <c r="A230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50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J230" s="3"/>
    </row>
    <row r="231" spans="1:10" x14ac:dyDescent="0.2">
      <c r="A23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50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J231" s="3"/>
    </row>
    <row r="232" spans="1:10" x14ac:dyDescent="0.2">
      <c r="A232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50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J232" s="3"/>
    </row>
    <row r="233" spans="1:10" x14ac:dyDescent="0.2">
      <c r="A233" t="s">
        <v>249</v>
      </c>
      <c r="B233" s="1" t="s">
        <v>104</v>
      </c>
      <c r="C233" t="s">
        <v>103</v>
      </c>
      <c r="D233" s="28" t="str">
        <f>VLOOKUP(A233,Classification!$A:$D,2,FALSE)</f>
        <v>A</v>
      </c>
      <c r="E233" s="50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J233" s="3"/>
    </row>
    <row r="234" spans="1:10" x14ac:dyDescent="0.2">
      <c r="A234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50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J234" s="3"/>
    </row>
    <row r="235" spans="1:10" x14ac:dyDescent="0.2">
      <c r="A235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50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J235" s="3"/>
    </row>
    <row r="236" spans="1:10" x14ac:dyDescent="0.2">
      <c r="A236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50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I236" s="10"/>
      <c r="J236" s="3"/>
    </row>
    <row r="237" spans="1:10" x14ac:dyDescent="0.2">
      <c r="A237" t="s">
        <v>183</v>
      </c>
      <c r="B237" s="1" t="s">
        <v>182</v>
      </c>
      <c r="C237" t="s">
        <v>182</v>
      </c>
      <c r="D237" s="28" t="str">
        <f>VLOOKUP(A237,Classification!$A:$D,2,FALSE)</f>
        <v>A</v>
      </c>
      <c r="E237" s="50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J237" s="3"/>
    </row>
    <row r="238" spans="1:10" x14ac:dyDescent="0.2">
      <c r="A238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50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J238" s="3"/>
    </row>
    <row r="239" spans="1:10" x14ac:dyDescent="0.2">
      <c r="A239" t="s">
        <v>362</v>
      </c>
      <c r="B239" s="1" t="s">
        <v>914</v>
      </c>
      <c r="C239" t="s">
        <v>914</v>
      </c>
      <c r="D239" s="28" t="str">
        <f>VLOOKUP(A239,Classification!$A:$D,2,FALSE)</f>
        <v>A</v>
      </c>
      <c r="E239" s="50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J239" s="3"/>
    </row>
    <row r="240" spans="1:10" x14ac:dyDescent="0.2">
      <c r="A240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50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J240" s="3"/>
    </row>
    <row r="241" spans="1:10" x14ac:dyDescent="0.2">
      <c r="A24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50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J241" s="3"/>
    </row>
    <row r="242" spans="1:10" x14ac:dyDescent="0.2">
      <c r="A242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50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J242" s="3"/>
    </row>
    <row r="243" spans="1:10" x14ac:dyDescent="0.2">
      <c r="A243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50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J243" s="3"/>
    </row>
    <row r="244" spans="1:10" x14ac:dyDescent="0.2">
      <c r="A244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50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J244" s="3"/>
    </row>
    <row r="245" spans="1:10" x14ac:dyDescent="0.2">
      <c r="A245" t="s">
        <v>216</v>
      </c>
      <c r="B245" s="1" t="s">
        <v>914</v>
      </c>
      <c r="C245" t="s">
        <v>914</v>
      </c>
      <c r="D245" s="28" t="str">
        <f>VLOOKUP(A245,Classification!$A:$D,2,FALSE)</f>
        <v>A</v>
      </c>
      <c r="E245" s="50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J245" s="3"/>
    </row>
    <row r="246" spans="1:10" x14ac:dyDescent="0.2">
      <c r="A246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50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J246" s="3"/>
    </row>
    <row r="247" spans="1:10" x14ac:dyDescent="0.2">
      <c r="A247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50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J247" s="3"/>
    </row>
    <row r="248" spans="1:10" x14ac:dyDescent="0.2">
      <c r="A248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50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J248" s="3"/>
    </row>
    <row r="249" spans="1:10" x14ac:dyDescent="0.2">
      <c r="A249" t="s">
        <v>224</v>
      </c>
      <c r="B249" s="1" t="s">
        <v>914</v>
      </c>
      <c r="C249" t="s">
        <v>914</v>
      </c>
      <c r="D249" s="28" t="str">
        <f>VLOOKUP(A249,Classification!$A:$D,2,FALSE)</f>
        <v>A</v>
      </c>
      <c r="E249" s="50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J249" s="3"/>
    </row>
    <row r="250" spans="1:10" x14ac:dyDescent="0.2">
      <c r="A250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50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J250" s="3"/>
    </row>
    <row r="251" spans="1:10" x14ac:dyDescent="0.2">
      <c r="A25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50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J251" s="3"/>
    </row>
    <row r="252" spans="1:10" x14ac:dyDescent="0.2">
      <c r="A252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50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J252" s="3"/>
    </row>
    <row r="253" spans="1:10" s="12" customFormat="1" x14ac:dyDescent="0.2">
      <c r="A253" s="12" t="s">
        <v>335</v>
      </c>
      <c r="B253" s="12" t="s">
        <v>335</v>
      </c>
      <c r="C253" s="12" t="s">
        <v>335</v>
      </c>
      <c r="D253" s="59" t="str">
        <f>VLOOKUP(A253,Classification!$A:$D,2,FALSE)</f>
        <v>A</v>
      </c>
      <c r="E253" s="50" t="str">
        <f>VLOOKUP(B253,Classification!$A:$D,2,FALSE)</f>
        <v>A</v>
      </c>
      <c r="F253" s="62" t="str">
        <f>VLOOKUP(C253,Classification!$A:$D,2,FALSE)</f>
        <v>A</v>
      </c>
      <c r="G253" s="15" t="b">
        <f t="shared" si="3"/>
        <v>1</v>
      </c>
      <c r="J253" s="3"/>
    </row>
    <row r="254" spans="1:10" x14ac:dyDescent="0.2">
      <c r="A254" t="s">
        <v>916</v>
      </c>
      <c r="B254" s="1" t="s">
        <v>335</v>
      </c>
      <c r="C254" t="s">
        <v>916</v>
      </c>
      <c r="D254" s="28" t="str">
        <f>VLOOKUP(A254,Classification!$A:$D,2,FALSE)</f>
        <v>A</v>
      </c>
      <c r="E254" s="50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J254" s="3"/>
    </row>
    <row r="255" spans="1:10" x14ac:dyDescent="0.2">
      <c r="A255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50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J255" s="3"/>
    </row>
    <row r="256" spans="1:10" x14ac:dyDescent="0.2">
      <c r="A256" t="s">
        <v>360</v>
      </c>
      <c r="B256" s="1" t="s">
        <v>159</v>
      </c>
      <c r="C256" t="s">
        <v>916</v>
      </c>
      <c r="D256" s="28" t="str">
        <f>VLOOKUP(A256,Classification!$A:$D,2,FALSE)</f>
        <v>A</v>
      </c>
      <c r="E256" s="50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J256" s="3"/>
    </row>
    <row r="257" spans="1:10" x14ac:dyDescent="0.2">
      <c r="A257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50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J257" s="3"/>
    </row>
    <row r="258" spans="1:10" x14ac:dyDescent="0.2">
      <c r="A258" t="s">
        <v>251</v>
      </c>
      <c r="B258" s="1" t="s">
        <v>336</v>
      </c>
      <c r="C258" t="s">
        <v>336</v>
      </c>
      <c r="D258" s="28" t="str">
        <f>VLOOKUP(A258,Classification!$A:$D,2,FALSE)</f>
        <v>A</v>
      </c>
      <c r="E258" s="50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J258" s="3"/>
    </row>
    <row r="259" spans="1:10" x14ac:dyDescent="0.2">
      <c r="A259" t="s">
        <v>164</v>
      </c>
      <c r="B259" s="1" t="s">
        <v>158</v>
      </c>
      <c r="C259" t="s">
        <v>336</v>
      </c>
      <c r="D259" s="28" t="str">
        <f>VLOOKUP(A259,Classification!$A:$D,2,FALSE)</f>
        <v>A</v>
      </c>
      <c r="E259" s="50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J259" s="3"/>
    </row>
    <row r="260" spans="1:10" x14ac:dyDescent="0.2">
      <c r="A260" t="s">
        <v>308</v>
      </c>
      <c r="B260" s="1" t="s">
        <v>918</v>
      </c>
      <c r="C260" t="s">
        <v>336</v>
      </c>
      <c r="D260" s="28" t="str">
        <f>VLOOKUP(A260,Classification!$A:$D,2,FALSE)</f>
        <v>A</v>
      </c>
      <c r="E260" s="50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J260" s="3"/>
    </row>
    <row r="261" spans="1:10" x14ac:dyDescent="0.2">
      <c r="A26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50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J261" s="3"/>
    </row>
    <row r="262" spans="1:10" x14ac:dyDescent="0.2">
      <c r="A262" t="s">
        <v>342</v>
      </c>
      <c r="B262" s="1" t="s">
        <v>336</v>
      </c>
      <c r="C262" t="s">
        <v>336</v>
      </c>
      <c r="D262" s="28" t="str">
        <f>VLOOKUP(A262,Classification!$A:$D,2,FALSE)</f>
        <v>A</v>
      </c>
      <c r="E262" s="50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J262" s="3"/>
    </row>
    <row r="263" spans="1:10" x14ac:dyDescent="0.2">
      <c r="A263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50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J263" s="3"/>
    </row>
    <row r="264" spans="1:10" x14ac:dyDescent="0.2">
      <c r="A264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50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J264" s="3"/>
    </row>
    <row r="265" spans="1:10" x14ac:dyDescent="0.2">
      <c r="A265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50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J265" s="3"/>
    </row>
    <row r="266" spans="1:10" x14ac:dyDescent="0.2">
      <c r="A266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50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J266" s="3"/>
    </row>
    <row r="267" spans="1:10" x14ac:dyDescent="0.2">
      <c r="A267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50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J267" s="3"/>
    </row>
    <row r="268" spans="1:10" x14ac:dyDescent="0.2">
      <c r="A268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50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J268" s="3"/>
    </row>
    <row r="269" spans="1:10" x14ac:dyDescent="0.2">
      <c r="A269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50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J269" s="3"/>
    </row>
    <row r="270" spans="1:10" x14ac:dyDescent="0.2">
      <c r="A270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50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J270" s="3"/>
    </row>
    <row r="271" spans="1:10" x14ac:dyDescent="0.2">
      <c r="A27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50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J271" s="3"/>
    </row>
    <row r="272" spans="1:10" x14ac:dyDescent="0.2">
      <c r="A272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50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J272" s="3"/>
    </row>
    <row r="273" spans="1:10" x14ac:dyDescent="0.2">
      <c r="A273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50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J273" s="3"/>
    </row>
    <row r="274" spans="1:10" x14ac:dyDescent="0.2">
      <c r="A274" t="s">
        <v>320</v>
      </c>
      <c r="B274" s="1" t="s">
        <v>336</v>
      </c>
      <c r="C274" t="s">
        <v>1174</v>
      </c>
      <c r="D274" s="28" t="str">
        <f>VLOOKUP(A274,Classification!$A:$D,2,FALSE)</f>
        <v>A</v>
      </c>
      <c r="E274" s="50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J274" s="3"/>
    </row>
    <row r="275" spans="1:10" x14ac:dyDescent="0.2">
      <c r="A275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50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J275" s="3"/>
    </row>
    <row r="276" spans="1:10" x14ac:dyDescent="0.2">
      <c r="A276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50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J276" s="3"/>
    </row>
    <row r="277" spans="1:10" x14ac:dyDescent="0.2">
      <c r="A277" t="s">
        <v>218</v>
      </c>
      <c r="B277" s="1" t="s">
        <v>35</v>
      </c>
      <c r="C277" t="s">
        <v>1174</v>
      </c>
      <c r="D277" s="28" t="str">
        <f>VLOOKUP(A277,Classification!$A:$D,2,FALSE)</f>
        <v>A</v>
      </c>
      <c r="E277" s="50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J277" s="3"/>
    </row>
    <row r="278" spans="1:10" x14ac:dyDescent="0.2">
      <c r="A278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50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J278" s="3"/>
    </row>
    <row r="279" spans="1:10" x14ac:dyDescent="0.2">
      <c r="A279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50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J279" s="3"/>
    </row>
    <row r="280" spans="1:10" x14ac:dyDescent="0.2">
      <c r="A280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50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J280" s="3"/>
    </row>
    <row r="281" spans="1:10" x14ac:dyDescent="0.2">
      <c r="A28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50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J281" s="3"/>
    </row>
    <row r="282" spans="1:10" x14ac:dyDescent="0.2">
      <c r="A282" t="s">
        <v>398</v>
      </c>
      <c r="B282" s="1" t="s">
        <v>104</v>
      </c>
      <c r="C282" t="s">
        <v>1174</v>
      </c>
      <c r="D282" s="28" t="str">
        <f>VLOOKUP(A282,Classification!$A:$D,2,FALSE)</f>
        <v>A</v>
      </c>
      <c r="E282" s="50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J282" s="3"/>
    </row>
    <row r="283" spans="1:10" x14ac:dyDescent="0.2">
      <c r="A283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50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J283" s="3"/>
    </row>
    <row r="284" spans="1:10" x14ac:dyDescent="0.2">
      <c r="A284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50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J284" s="3"/>
    </row>
    <row r="285" spans="1:10" x14ac:dyDescent="0.2">
      <c r="A285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50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J285" s="3"/>
    </row>
    <row r="286" spans="1:10" x14ac:dyDescent="0.2">
      <c r="A286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50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J286" s="3"/>
    </row>
    <row r="287" spans="1:10" x14ac:dyDescent="0.2">
      <c r="A287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50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J287" s="3"/>
    </row>
    <row r="288" spans="1:10" x14ac:dyDescent="0.2">
      <c r="A288" t="s">
        <v>341</v>
      </c>
      <c r="B288" s="1" t="s">
        <v>920</v>
      </c>
      <c r="C288" t="s">
        <v>339</v>
      </c>
      <c r="D288" s="28" t="str">
        <f>VLOOKUP(A288,Classification!$A:$D,2,FALSE)</f>
        <v>A</v>
      </c>
      <c r="E288" s="50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J288" s="3"/>
    </row>
    <row r="289" spans="1:10" x14ac:dyDescent="0.2">
      <c r="A289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50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J289" s="3"/>
    </row>
    <row r="290" spans="1:10" x14ac:dyDescent="0.2">
      <c r="A290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50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J290" s="3"/>
    </row>
    <row r="291" spans="1:10" x14ac:dyDescent="0.2">
      <c r="A29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50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J291" s="3"/>
    </row>
    <row r="292" spans="1:10" x14ac:dyDescent="0.2">
      <c r="A292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50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J292" s="3"/>
    </row>
    <row r="293" spans="1:10" x14ac:dyDescent="0.2">
      <c r="A293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50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J293" s="3"/>
    </row>
    <row r="294" spans="1:10" x14ac:dyDescent="0.2">
      <c r="A294" t="s">
        <v>270</v>
      </c>
      <c r="B294" s="1" t="s">
        <v>196</v>
      </c>
      <c r="C294" t="s">
        <v>1175</v>
      </c>
      <c r="D294" s="28" t="str">
        <f>VLOOKUP(A294,Classification!$A:$D,2,FALSE)</f>
        <v>A</v>
      </c>
      <c r="E294" s="50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J294" s="3"/>
    </row>
    <row r="295" spans="1:10" x14ac:dyDescent="0.2">
      <c r="A295" t="s">
        <v>326</v>
      </c>
      <c r="B295" s="1" t="s">
        <v>1175</v>
      </c>
      <c r="C295" t="s">
        <v>1175</v>
      </c>
      <c r="D295" s="28" t="str">
        <f>VLOOKUP(A295,Classification!$A:$D,2,FALSE)</f>
        <v>A</v>
      </c>
      <c r="E295" s="50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J295" s="3"/>
    </row>
    <row r="296" spans="1:10" x14ac:dyDescent="0.2">
      <c r="A296" t="s">
        <v>344</v>
      </c>
      <c r="B296" s="1" t="s">
        <v>1175</v>
      </c>
      <c r="C296" t="s">
        <v>1175</v>
      </c>
      <c r="D296" s="28" t="str">
        <f>VLOOKUP(A296,Classification!$A:$D,2,FALSE)</f>
        <v>A</v>
      </c>
      <c r="E296" s="50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J296" s="3"/>
    </row>
    <row r="297" spans="1:10" x14ac:dyDescent="0.2">
      <c r="A297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50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J297" s="3"/>
    </row>
    <row r="298" spans="1:10" x14ac:dyDescent="0.2">
      <c r="A298" t="s">
        <v>267</v>
      </c>
      <c r="B298" s="1" t="s">
        <v>1175</v>
      </c>
      <c r="C298" t="s">
        <v>1175</v>
      </c>
      <c r="D298" s="28" t="str">
        <f>VLOOKUP(A298,Classification!$A:$D,2,FALSE)</f>
        <v>A</v>
      </c>
      <c r="E298" s="50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J298" s="3"/>
    </row>
    <row r="299" spans="1:10" x14ac:dyDescent="0.2">
      <c r="A299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50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J299" s="3"/>
    </row>
    <row r="300" spans="1:10" x14ac:dyDescent="0.2">
      <c r="A300" t="s">
        <v>323</v>
      </c>
      <c r="B300" s="1" t="s">
        <v>1176</v>
      </c>
      <c r="C300" t="s">
        <v>1175</v>
      </c>
      <c r="D300" s="28" t="str">
        <f>VLOOKUP(A300,Classification!$A:$D,2,FALSE)</f>
        <v>A</v>
      </c>
      <c r="E300" s="50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J300" s="3"/>
    </row>
    <row r="301" spans="1:10" x14ac:dyDescent="0.2">
      <c r="A301" t="s">
        <v>315</v>
      </c>
      <c r="B301" s="1" t="s">
        <v>1175</v>
      </c>
      <c r="C301" t="s">
        <v>1175</v>
      </c>
      <c r="D301" s="28" t="str">
        <f>VLOOKUP(A301,Classification!$A:$D,2,FALSE)</f>
        <v>A</v>
      </c>
      <c r="E301" s="50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J301" s="3"/>
    </row>
    <row r="302" spans="1:10" x14ac:dyDescent="0.2">
      <c r="A302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50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J302" s="3"/>
    </row>
    <row r="303" spans="1:10" x14ac:dyDescent="0.2">
      <c r="A303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50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J303" s="3"/>
    </row>
    <row r="304" spans="1:10" x14ac:dyDescent="0.2">
      <c r="A304" t="s">
        <v>328</v>
      </c>
      <c r="B304" s="1" t="s">
        <v>1176</v>
      </c>
      <c r="C304" t="s">
        <v>1176</v>
      </c>
      <c r="D304" s="28" t="str">
        <f>VLOOKUP(A304,Classification!$A:$D,2,FALSE)</f>
        <v>A</v>
      </c>
      <c r="E304" s="50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J304" s="3"/>
    </row>
    <row r="305" spans="1:10" x14ac:dyDescent="0.2">
      <c r="A305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50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J305" s="3"/>
    </row>
    <row r="306" spans="1:10" x14ac:dyDescent="0.2">
      <c r="A306" t="s">
        <v>359</v>
      </c>
      <c r="B306" s="1" t="s">
        <v>914</v>
      </c>
      <c r="C306" t="s">
        <v>1176</v>
      </c>
      <c r="D306" s="28" t="str">
        <f>VLOOKUP(A306,Classification!$A:$D,2,FALSE)</f>
        <v>A</v>
      </c>
      <c r="E306" s="50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J306" s="3"/>
    </row>
    <row r="307" spans="1:10" x14ac:dyDescent="0.2">
      <c r="A307" t="s">
        <v>324</v>
      </c>
      <c r="B307" s="1" t="s">
        <v>278</v>
      </c>
      <c r="C307" t="s">
        <v>1176</v>
      </c>
      <c r="D307" s="28" t="str">
        <f>VLOOKUP(A307,Classification!$A:$D,2,FALSE)</f>
        <v>A</v>
      </c>
      <c r="E307" s="50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J307" s="3"/>
    </row>
    <row r="308" spans="1:10" x14ac:dyDescent="0.2">
      <c r="A308" t="s">
        <v>247</v>
      </c>
      <c r="B308" s="1" t="s">
        <v>1176</v>
      </c>
      <c r="C308" t="s">
        <v>1176</v>
      </c>
      <c r="D308" s="28" t="str">
        <f>VLOOKUP(A308,Classification!$A:$D,2,FALSE)</f>
        <v>A</v>
      </c>
      <c r="E308" s="50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J308" s="3"/>
    </row>
    <row r="309" spans="1:10" x14ac:dyDescent="0.2">
      <c r="A309" t="s">
        <v>260</v>
      </c>
      <c r="B309" s="1" t="s">
        <v>35</v>
      </c>
      <c r="C309" t="s">
        <v>1176</v>
      </c>
      <c r="D309" s="28" t="str">
        <f>VLOOKUP(A309,Classification!$A:$D,2,FALSE)</f>
        <v>A</v>
      </c>
      <c r="E309" s="50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J309" s="3"/>
    </row>
    <row r="310" spans="1:10" x14ac:dyDescent="0.2">
      <c r="A310" t="s">
        <v>244</v>
      </c>
      <c r="B310" s="1" t="s">
        <v>35</v>
      </c>
      <c r="C310" t="s">
        <v>1176</v>
      </c>
      <c r="D310" s="28" t="str">
        <f>VLOOKUP(A310,Classification!$A:$D,2,FALSE)</f>
        <v>A</v>
      </c>
      <c r="E310" s="50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J310" s="3"/>
    </row>
    <row r="311" spans="1:10" x14ac:dyDescent="0.2">
      <c r="A31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50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J311" s="3"/>
    </row>
    <row r="312" spans="1:10" x14ac:dyDescent="0.2">
      <c r="A312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50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J312" s="3"/>
    </row>
    <row r="313" spans="1:10" x14ac:dyDescent="0.2">
      <c r="A313" t="s">
        <v>327</v>
      </c>
      <c r="B313" s="1" t="s">
        <v>1176</v>
      </c>
      <c r="C313" t="s">
        <v>1176</v>
      </c>
      <c r="D313" s="28" t="str">
        <f>VLOOKUP(A313,Classification!$A:$D,2,FALSE)</f>
        <v>A</v>
      </c>
      <c r="E313" s="50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J313" s="3"/>
    </row>
    <row r="314" spans="1:10" x14ac:dyDescent="0.2">
      <c r="A314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50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J314" s="3"/>
    </row>
    <row r="315" spans="1:10" x14ac:dyDescent="0.2">
      <c r="A315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50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J315" s="3"/>
    </row>
    <row r="316" spans="1:10" x14ac:dyDescent="0.2">
      <c r="A316" t="s">
        <v>167</v>
      </c>
      <c r="B316" s="1" t="s">
        <v>1176</v>
      </c>
      <c r="C316" t="s">
        <v>1176</v>
      </c>
      <c r="D316" s="28" t="str">
        <f>VLOOKUP(A316,Classification!$A:$D,2,FALSE)</f>
        <v>A</v>
      </c>
      <c r="E316" s="50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J316" s="3"/>
    </row>
    <row r="317" spans="1:10" x14ac:dyDescent="0.2">
      <c r="A317" t="s">
        <v>325</v>
      </c>
      <c r="B317" s="1" t="s">
        <v>1175</v>
      </c>
      <c r="C317" t="s">
        <v>1176</v>
      </c>
      <c r="D317" s="28" t="str">
        <f>VLOOKUP(A317,Classification!$A:$D,2,FALSE)</f>
        <v>A</v>
      </c>
      <c r="E317" s="50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J317" s="3"/>
    </row>
    <row r="318" spans="1:10" x14ac:dyDescent="0.2">
      <c r="A318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50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J318" s="3"/>
    </row>
    <row r="319" spans="1:10" x14ac:dyDescent="0.2">
      <c r="A319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50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J319" s="3"/>
    </row>
    <row r="320" spans="1:10" x14ac:dyDescent="0.2">
      <c r="A320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50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J320" s="3"/>
    </row>
    <row r="321" spans="1:10" x14ac:dyDescent="0.2">
      <c r="A32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50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J321" s="3"/>
    </row>
    <row r="322" spans="1:10" x14ac:dyDescent="0.2">
      <c r="A322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50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J322" s="3"/>
    </row>
    <row r="323" spans="1:10" x14ac:dyDescent="0.2">
      <c r="A323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50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6" si="5">OR(D323=F323,AND(D323="T",F323="A"),AND(D323="B2",F323="B1"),D323="O")</f>
        <v>1</v>
      </c>
      <c r="J323" s="3"/>
    </row>
    <row r="324" spans="1:10" x14ac:dyDescent="0.2">
      <c r="A324" t="s">
        <v>314</v>
      </c>
      <c r="B324" s="1" t="s">
        <v>1176</v>
      </c>
      <c r="C324" t="s">
        <v>1176</v>
      </c>
      <c r="D324" s="28" t="str">
        <f>VLOOKUP(A324,Classification!$A:$D,2,FALSE)</f>
        <v>A</v>
      </c>
      <c r="E324" s="50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J324" s="3"/>
    </row>
    <row r="325" spans="1:10" x14ac:dyDescent="0.2">
      <c r="A325" t="s">
        <v>316</v>
      </c>
      <c r="B325" s="1" t="s">
        <v>1176</v>
      </c>
      <c r="C325" t="s">
        <v>1176</v>
      </c>
      <c r="D325" s="28" t="str">
        <f>VLOOKUP(A325,Classification!$A:$D,2,FALSE)</f>
        <v>A</v>
      </c>
      <c r="E325" s="50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J325" s="3"/>
    </row>
    <row r="326" spans="1:10" x14ac:dyDescent="0.2">
      <c r="A326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50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J326" s="3"/>
    </row>
    <row r="327" spans="1:10" x14ac:dyDescent="0.2">
      <c r="A327" t="s">
        <v>225</v>
      </c>
      <c r="B327" s="1" t="s">
        <v>1176</v>
      </c>
      <c r="C327" t="s">
        <v>1176</v>
      </c>
      <c r="D327" s="28" t="str">
        <f>VLOOKUP(A327,Classification!$A:$D,2,FALSE)</f>
        <v>A</v>
      </c>
      <c r="E327" s="50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J327" s="3"/>
    </row>
    <row r="328" spans="1:10" x14ac:dyDescent="0.2">
      <c r="A328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50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J328" s="3"/>
    </row>
    <row r="329" spans="1:10" x14ac:dyDescent="0.2">
      <c r="A329" t="s">
        <v>329</v>
      </c>
      <c r="B329" s="1" t="s">
        <v>1176</v>
      </c>
      <c r="C329" t="s">
        <v>1176</v>
      </c>
      <c r="D329" s="28" t="str">
        <f>VLOOKUP(A329,Classification!$A:$D,2,FALSE)</f>
        <v>A</v>
      </c>
      <c r="E329" s="50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J329" s="3"/>
    </row>
    <row r="330" spans="1:10" x14ac:dyDescent="0.2">
      <c r="A330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50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J330" s="3"/>
    </row>
    <row r="331" spans="1:10" x14ac:dyDescent="0.2">
      <c r="A331" t="s">
        <v>350</v>
      </c>
      <c r="B331" s="1" t="s">
        <v>345</v>
      </c>
      <c r="C331" t="s">
        <v>345</v>
      </c>
      <c r="D331" s="28" t="str">
        <f>VLOOKUP(A331,Classification!$A:$D,2,FALSE)</f>
        <v>A</v>
      </c>
      <c r="E331" s="50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J331" s="3"/>
    </row>
    <row r="332" spans="1:10" x14ac:dyDescent="0.2">
      <c r="A332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50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J332" s="3"/>
    </row>
    <row r="333" spans="1:10" x14ac:dyDescent="0.2">
      <c r="A333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50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J333" s="3"/>
    </row>
    <row r="334" spans="1:10" x14ac:dyDescent="0.2">
      <c r="A334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50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J334" s="3"/>
    </row>
    <row r="335" spans="1:10" x14ac:dyDescent="0.2">
      <c r="A335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50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J335" s="3"/>
    </row>
    <row r="336" spans="1:10" x14ac:dyDescent="0.2">
      <c r="A336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50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J336" s="3"/>
    </row>
    <row r="337" spans="1:10" x14ac:dyDescent="0.2">
      <c r="A337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50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J337" s="3"/>
    </row>
    <row r="338" spans="1:10" x14ac:dyDescent="0.2">
      <c r="A338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50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J338" s="3"/>
    </row>
    <row r="339" spans="1:10" x14ac:dyDescent="0.2">
      <c r="A339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50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J339" s="3"/>
    </row>
    <row r="340" spans="1:10" x14ac:dyDescent="0.2">
      <c r="A340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50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J340" s="3"/>
    </row>
    <row r="341" spans="1:10" x14ac:dyDescent="0.2">
      <c r="A34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50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J341" s="3"/>
    </row>
    <row r="342" spans="1:10" x14ac:dyDescent="0.2">
      <c r="A342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50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J342" s="3"/>
    </row>
    <row r="343" spans="1:10" x14ac:dyDescent="0.2">
      <c r="A343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50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J343" s="3"/>
    </row>
    <row r="344" spans="1:10" x14ac:dyDescent="0.2">
      <c r="A344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50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J344" s="3"/>
    </row>
    <row r="345" spans="1:10" x14ac:dyDescent="0.2">
      <c r="A345" t="s">
        <v>290</v>
      </c>
      <c r="B345" s="1" t="s">
        <v>158</v>
      </c>
      <c r="C345" t="s">
        <v>345</v>
      </c>
      <c r="D345" s="28" t="str">
        <f>VLOOKUP(A345,Classification!$A:$D,2,FALSE)</f>
        <v>A</v>
      </c>
      <c r="E345" s="50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J345" s="3"/>
    </row>
    <row r="346" spans="1:10" x14ac:dyDescent="0.2">
      <c r="A346" t="s">
        <v>303</v>
      </c>
      <c r="B346" s="1" t="s">
        <v>158</v>
      </c>
      <c r="C346" t="s">
        <v>345</v>
      </c>
      <c r="D346" s="28" t="str">
        <f>VLOOKUP(A346,Classification!$A:$D,2,FALSE)</f>
        <v>A</v>
      </c>
      <c r="E346" s="50" t="str">
        <f>VLOOKUP(B346,Classification!$A:$D,2,FALSE)</f>
        <v>A</v>
      </c>
      <c r="F346" s="15" t="str">
        <f>VLOOKUP(C346,Classification!$A:$D,2,FALSE)</f>
        <v>A</v>
      </c>
      <c r="G346" s="15" t="b">
        <f t="shared" si="5"/>
        <v>1</v>
      </c>
      <c r="J346" s="3"/>
    </row>
    <row r="347" spans="1:10" x14ac:dyDescent="0.2">
      <c r="A347" t="s">
        <v>351</v>
      </c>
      <c r="B347" s="1" t="s">
        <v>345</v>
      </c>
      <c r="C347" t="s">
        <v>345</v>
      </c>
      <c r="D347" s="28" t="str">
        <f>VLOOKUP(A347,Classification!$A:$D,2,FALSE)</f>
        <v>A</v>
      </c>
      <c r="E347" s="50" t="str">
        <f>VLOOKUP(B347,Classification!$A:$D,2,FALSE)</f>
        <v>A</v>
      </c>
      <c r="F347" s="15" t="str">
        <f>VLOOKUP(C347,Classification!$A:$D,2,FALSE)</f>
        <v>A</v>
      </c>
      <c r="G347" s="15" t="b">
        <f t="shared" si="5"/>
        <v>1</v>
      </c>
      <c r="J347" s="3"/>
    </row>
    <row r="348" spans="1:10" x14ac:dyDescent="0.2">
      <c r="A348" t="s">
        <v>288</v>
      </c>
      <c r="B348" s="1" t="s">
        <v>336</v>
      </c>
      <c r="C348" t="s">
        <v>345</v>
      </c>
      <c r="D348" s="28" t="str">
        <f>VLOOKUP(A348,Classification!$A:$D,2,FALSE)</f>
        <v>A</v>
      </c>
      <c r="E348" s="50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J348" s="3"/>
    </row>
    <row r="349" spans="1:10" x14ac:dyDescent="0.2">
      <c r="A349" t="s">
        <v>347</v>
      </c>
      <c r="B349" s="1" t="s">
        <v>345</v>
      </c>
      <c r="C349" t="s">
        <v>345</v>
      </c>
      <c r="D349" s="28" t="str">
        <f>VLOOKUP(A349,Classification!$A:$D,2,FALSE)</f>
        <v>A</v>
      </c>
      <c r="E349" s="50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J349" s="3"/>
    </row>
    <row r="350" spans="1:10" x14ac:dyDescent="0.2">
      <c r="A350" t="s">
        <v>295</v>
      </c>
      <c r="B350" s="1" t="s">
        <v>177</v>
      </c>
      <c r="C350" t="s">
        <v>345</v>
      </c>
      <c r="D350" s="28" t="str">
        <f>VLOOKUP(A350,Classification!$A:$D,2,FALSE)</f>
        <v>A</v>
      </c>
      <c r="E350" s="50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J350" s="3"/>
    </row>
    <row r="351" spans="1:10" x14ac:dyDescent="0.2">
      <c r="A351" t="s">
        <v>275</v>
      </c>
      <c r="B351" s="1" t="s">
        <v>345</v>
      </c>
      <c r="C351" t="s">
        <v>345</v>
      </c>
      <c r="D351" s="28" t="str">
        <f>VLOOKUP(A351,Classification!$A:$D,2,FALSE)</f>
        <v>A</v>
      </c>
      <c r="E351" s="50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J351" s="3"/>
    </row>
    <row r="352" spans="1:10" x14ac:dyDescent="0.2">
      <c r="A352" t="s">
        <v>276</v>
      </c>
      <c r="B352" s="1" t="s">
        <v>336</v>
      </c>
      <c r="C352" t="s">
        <v>345</v>
      </c>
      <c r="D352" s="28" t="str">
        <f>VLOOKUP(A352,Classification!$A:$D,2,FALSE)</f>
        <v>A</v>
      </c>
      <c r="E352" s="50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J352" s="3"/>
    </row>
    <row r="353" spans="1:10" x14ac:dyDescent="0.2">
      <c r="A353" t="s">
        <v>346</v>
      </c>
      <c r="B353" s="1" t="s">
        <v>345</v>
      </c>
      <c r="C353" t="s">
        <v>345</v>
      </c>
      <c r="D353" s="28" t="str">
        <f>VLOOKUP(A353,Classification!$A:$D,2,FALSE)</f>
        <v>A</v>
      </c>
      <c r="E353" s="50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J353" s="3"/>
    </row>
    <row r="354" spans="1:10" x14ac:dyDescent="0.2">
      <c r="A354" t="s">
        <v>214</v>
      </c>
      <c r="B354" s="1" t="s">
        <v>345</v>
      </c>
      <c r="C354" t="s">
        <v>345</v>
      </c>
      <c r="D354" s="28" t="str">
        <f>VLOOKUP(A354,Classification!$A:$D,2,FALSE)</f>
        <v>A</v>
      </c>
      <c r="E354" s="50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J354" s="3"/>
    </row>
    <row r="355" spans="1:10" x14ac:dyDescent="0.2">
      <c r="A355" t="s">
        <v>289</v>
      </c>
      <c r="B355" s="1" t="s">
        <v>356</v>
      </c>
      <c r="C355" t="s">
        <v>345</v>
      </c>
      <c r="D355" s="28" t="str">
        <f>VLOOKUP(A355,Classification!$A:$D,2,FALSE)</f>
        <v>A</v>
      </c>
      <c r="E355" s="50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J355" s="3"/>
    </row>
    <row r="356" spans="1:10" x14ac:dyDescent="0.2">
      <c r="A356" t="s">
        <v>257</v>
      </c>
      <c r="B356" s="1" t="s">
        <v>356</v>
      </c>
      <c r="C356" t="s">
        <v>345</v>
      </c>
      <c r="D356" s="28" t="str">
        <f>VLOOKUP(A356,Classification!$A:$D,2,FALSE)</f>
        <v>A</v>
      </c>
      <c r="E356" s="50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J356" s="3"/>
    </row>
    <row r="357" spans="1:10" x14ac:dyDescent="0.2">
      <c r="A357" t="s">
        <v>277</v>
      </c>
      <c r="B357" s="1" t="s">
        <v>345</v>
      </c>
      <c r="C357" t="s">
        <v>345</v>
      </c>
      <c r="D357" s="28" t="str">
        <f>VLOOKUP(A357,Classification!$A:$D,2,FALSE)</f>
        <v>A</v>
      </c>
      <c r="E357" s="50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J357" s="3"/>
    </row>
    <row r="358" spans="1:10" x14ac:dyDescent="0.2">
      <c r="A358" t="s">
        <v>229</v>
      </c>
      <c r="B358" s="1" t="s">
        <v>352</v>
      </c>
      <c r="C358" t="s">
        <v>352</v>
      </c>
      <c r="D358" s="28" t="str">
        <f>VLOOKUP(A358,Classification!$A:$D,2,FALSE)</f>
        <v>A</v>
      </c>
      <c r="E358" s="50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J358" s="3"/>
    </row>
    <row r="359" spans="1:10" x14ac:dyDescent="0.2">
      <c r="A359" t="s">
        <v>353</v>
      </c>
      <c r="B359" s="1" t="s">
        <v>352</v>
      </c>
      <c r="C359" t="s">
        <v>352</v>
      </c>
      <c r="D359" s="28" t="str">
        <f>VLOOKUP(A359,Classification!$A:$D,2,FALSE)</f>
        <v>A</v>
      </c>
      <c r="E359" s="50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J359" s="3"/>
    </row>
    <row r="360" spans="1:10" x14ac:dyDescent="0.2">
      <c r="A360" t="s">
        <v>354</v>
      </c>
      <c r="B360" s="1" t="s">
        <v>352</v>
      </c>
      <c r="C360" t="s">
        <v>352</v>
      </c>
      <c r="D360" s="28" t="str">
        <f>VLOOKUP(A360,Classification!$A:$D,2,FALSE)</f>
        <v>A</v>
      </c>
      <c r="E360" s="50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J360" s="3"/>
    </row>
    <row r="361" spans="1:10" x14ac:dyDescent="0.2">
      <c r="A361" t="s">
        <v>352</v>
      </c>
      <c r="B361" s="1" t="s">
        <v>352</v>
      </c>
      <c r="C361" t="s">
        <v>352</v>
      </c>
      <c r="D361" s="28" t="str">
        <f>VLOOKUP(A361,Classification!$A:$D,2,FALSE)</f>
        <v>A</v>
      </c>
      <c r="E361" s="50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J361" s="3"/>
    </row>
    <row r="362" spans="1:10" x14ac:dyDescent="0.2">
      <c r="A362" t="s">
        <v>272</v>
      </c>
      <c r="B362" s="1" t="s">
        <v>352</v>
      </c>
      <c r="C362" t="s">
        <v>352</v>
      </c>
      <c r="D362" s="28" t="str">
        <f>VLOOKUP(A362,Classification!$A:$D,2,FALSE)</f>
        <v>A</v>
      </c>
      <c r="E362" s="50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J362" s="3"/>
    </row>
    <row r="363" spans="1:10" x14ac:dyDescent="0.2">
      <c r="A363" t="s">
        <v>307</v>
      </c>
      <c r="B363" s="1" t="s">
        <v>158</v>
      </c>
      <c r="C363" t="s">
        <v>352</v>
      </c>
      <c r="D363" s="28" t="str">
        <f>VLOOKUP(A363,Classification!$A:$D,2,FALSE)</f>
        <v>A</v>
      </c>
      <c r="E363" s="50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J363" s="3"/>
    </row>
    <row r="364" spans="1:10" x14ac:dyDescent="0.2">
      <c r="A364" t="s">
        <v>371</v>
      </c>
      <c r="B364" s="1" t="s">
        <v>352</v>
      </c>
      <c r="C364" t="s">
        <v>352</v>
      </c>
      <c r="D364" s="28" t="str">
        <f>VLOOKUP(A364,Classification!$A:$D,2,FALSE)</f>
        <v>A</v>
      </c>
      <c r="E364" s="50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J364" s="3"/>
    </row>
    <row r="365" spans="1:10" x14ac:dyDescent="0.2">
      <c r="A365" t="s">
        <v>234</v>
      </c>
      <c r="B365" s="1" t="s">
        <v>336</v>
      </c>
      <c r="C365" t="s">
        <v>352</v>
      </c>
      <c r="D365" s="28" t="str">
        <f>VLOOKUP(A365,Classification!$A:$D,2,FALSE)</f>
        <v>A</v>
      </c>
      <c r="E365" s="50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J365" s="3"/>
    </row>
    <row r="366" spans="1:10" x14ac:dyDescent="0.2">
      <c r="A366" t="s">
        <v>365</v>
      </c>
      <c r="B366" s="1" t="s">
        <v>103</v>
      </c>
      <c r="C366" t="s">
        <v>352</v>
      </c>
      <c r="D366" s="28" t="str">
        <f>VLOOKUP(A366,Classification!$A:$D,2,FALSE)</f>
        <v>A</v>
      </c>
      <c r="E366" s="50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J366" s="3"/>
    </row>
    <row r="367" spans="1:10" x14ac:dyDescent="0.2">
      <c r="A367" t="s">
        <v>253</v>
      </c>
      <c r="B367" s="1" t="s">
        <v>355</v>
      </c>
      <c r="C367" t="s">
        <v>352</v>
      </c>
      <c r="D367" s="28" t="str">
        <f>VLOOKUP(A367,Classification!$A:$D,2,FALSE)</f>
        <v>A</v>
      </c>
      <c r="E367" s="50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J367" s="3"/>
    </row>
    <row r="368" spans="1:10" x14ac:dyDescent="0.2">
      <c r="A368" t="s">
        <v>364</v>
      </c>
      <c r="B368" s="1" t="s">
        <v>356</v>
      </c>
      <c r="C368" t="s">
        <v>352</v>
      </c>
      <c r="D368" s="28" t="str">
        <f>VLOOKUP(A368,Classification!$A:$D,2,FALSE)</f>
        <v>A</v>
      </c>
      <c r="E368" s="50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J368" s="3"/>
    </row>
    <row r="369" spans="1:10" x14ac:dyDescent="0.2">
      <c r="A369" t="s">
        <v>357</v>
      </c>
      <c r="B369" s="1" t="s">
        <v>356</v>
      </c>
      <c r="C369" t="s">
        <v>355</v>
      </c>
      <c r="D369" s="28" t="str">
        <f>VLOOKUP(A369,Classification!$A:$D,2,FALSE)</f>
        <v>A</v>
      </c>
      <c r="E369" s="50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J369" s="3"/>
    </row>
    <row r="370" spans="1:10" x14ac:dyDescent="0.2">
      <c r="A370" t="s">
        <v>261</v>
      </c>
      <c r="B370" s="1" t="s">
        <v>336</v>
      </c>
      <c r="C370" t="s">
        <v>355</v>
      </c>
      <c r="D370" s="28" t="str">
        <f>VLOOKUP(A370,Classification!$A:$D,2,FALSE)</f>
        <v>A</v>
      </c>
      <c r="E370" s="50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J370" s="3"/>
    </row>
    <row r="371" spans="1:10" x14ac:dyDescent="0.2">
      <c r="A371" t="s">
        <v>254</v>
      </c>
      <c r="B371" s="1" t="s">
        <v>170</v>
      </c>
      <c r="C371" t="s">
        <v>355</v>
      </c>
      <c r="D371" s="28" t="str">
        <f>VLOOKUP(A371,Classification!$A:$D,2,FALSE)</f>
        <v>A</v>
      </c>
      <c r="E371" s="50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J371" s="3"/>
    </row>
    <row r="372" spans="1:10" x14ac:dyDescent="0.2">
      <c r="A372" t="s">
        <v>302</v>
      </c>
      <c r="B372" s="1" t="s">
        <v>1172</v>
      </c>
      <c r="C372" t="s">
        <v>355</v>
      </c>
      <c r="D372" s="28" t="str">
        <f>VLOOKUP(A372,Classification!$A:$D,2,FALSE)</f>
        <v>A</v>
      </c>
      <c r="E372" s="50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J372" s="3"/>
    </row>
    <row r="373" spans="1:10" x14ac:dyDescent="0.2">
      <c r="A373" t="s">
        <v>358</v>
      </c>
      <c r="B373" s="1" t="s">
        <v>356</v>
      </c>
      <c r="C373" t="s">
        <v>355</v>
      </c>
      <c r="D373" s="28" t="str">
        <f>VLOOKUP(A373,Classification!$A:$D,2,FALSE)</f>
        <v>A</v>
      </c>
      <c r="E373" s="50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J373" s="3"/>
    </row>
    <row r="374" spans="1:10" x14ac:dyDescent="0.2">
      <c r="A374" t="s">
        <v>356</v>
      </c>
      <c r="B374" s="1" t="s">
        <v>356</v>
      </c>
      <c r="C374" t="s">
        <v>356</v>
      </c>
      <c r="D374" s="28" t="str">
        <f>VLOOKUP(A374,Classification!$A:$D,2,FALSE)</f>
        <v>A</v>
      </c>
      <c r="E374" s="50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J374" s="3"/>
    </row>
    <row r="375" spans="1:10" x14ac:dyDescent="0.2">
      <c r="A375" t="s">
        <v>355</v>
      </c>
      <c r="B375" s="1" t="s">
        <v>355</v>
      </c>
      <c r="C375" t="s">
        <v>355</v>
      </c>
      <c r="D375" s="28" t="str">
        <f>VLOOKUP(A375,Classification!$A:$D,2,FALSE)</f>
        <v>A</v>
      </c>
      <c r="E375" s="50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J375" s="3"/>
    </row>
    <row r="376" spans="1:10" x14ac:dyDescent="0.2">
      <c r="A376" t="s">
        <v>243</v>
      </c>
      <c r="B376" s="1" t="s">
        <v>336</v>
      </c>
      <c r="C376" t="s">
        <v>355</v>
      </c>
      <c r="D376" s="28" t="str">
        <f>VLOOKUP(A376,Classification!$A:$D,2,FALSE)</f>
        <v>A</v>
      </c>
      <c r="E376" s="50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J376" s="3"/>
    </row>
    <row r="377" spans="1:10" x14ac:dyDescent="0.2">
      <c r="A377" t="s">
        <v>349</v>
      </c>
      <c r="B377" s="1" t="s">
        <v>355</v>
      </c>
      <c r="C377" t="s">
        <v>355</v>
      </c>
      <c r="D377" s="28" t="str">
        <f>VLOOKUP(A377,Classification!$A:$D,2,FALSE)</f>
        <v>A</v>
      </c>
      <c r="E377" s="50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J377" s="3"/>
    </row>
    <row r="378" spans="1:10" x14ac:dyDescent="0.2">
      <c r="A378" t="s">
        <v>199</v>
      </c>
      <c r="B378" s="1" t="s">
        <v>355</v>
      </c>
      <c r="C378" t="s">
        <v>355</v>
      </c>
      <c r="D378" s="28" t="str">
        <f>VLOOKUP(A378,Classification!$A:$D,2,FALSE)</f>
        <v>A</v>
      </c>
      <c r="E378" s="50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J378" s="3"/>
    </row>
    <row r="379" spans="1:10" x14ac:dyDescent="0.2">
      <c r="A379" t="s">
        <v>258</v>
      </c>
      <c r="B379" s="1" t="s">
        <v>355</v>
      </c>
      <c r="C379" t="s">
        <v>355</v>
      </c>
      <c r="D379" s="28" t="str">
        <f>VLOOKUP(A379,Classification!$A:$D,2,FALSE)</f>
        <v>A</v>
      </c>
      <c r="E379" s="50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J379" s="3"/>
    </row>
    <row r="380" spans="1:10" x14ac:dyDescent="0.2">
      <c r="A380" t="s">
        <v>309</v>
      </c>
      <c r="B380" s="1" t="s">
        <v>104</v>
      </c>
      <c r="C380" t="s">
        <v>104</v>
      </c>
      <c r="D380" s="28" t="str">
        <f>VLOOKUP(A380,Classification!$A:$D,2,FALSE)</f>
        <v>A</v>
      </c>
      <c r="E380" s="50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J380" s="3"/>
    </row>
    <row r="381" spans="1:10" x14ac:dyDescent="0.2">
      <c r="A381" t="s">
        <v>151</v>
      </c>
      <c r="B381" s="1" t="s">
        <v>104</v>
      </c>
      <c r="C381" t="s">
        <v>104</v>
      </c>
      <c r="D381" s="28" t="str">
        <f>VLOOKUP(A381,Classification!$A:$D,2,FALSE)</f>
        <v>A</v>
      </c>
      <c r="E381" s="50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J381" s="3"/>
    </row>
    <row r="382" spans="1:10" x14ac:dyDescent="0.2">
      <c r="A382" t="s">
        <v>296</v>
      </c>
      <c r="B382" s="1" t="s">
        <v>103</v>
      </c>
      <c r="C382" t="s">
        <v>104</v>
      </c>
      <c r="D382" s="28" t="str">
        <f>VLOOKUP(A382,Classification!$A:$D,2,FALSE)</f>
        <v>A</v>
      </c>
      <c r="E382" s="50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J382" s="3"/>
    </row>
    <row r="383" spans="1:10" x14ac:dyDescent="0.2">
      <c r="A383" t="s">
        <v>297</v>
      </c>
      <c r="B383" s="1" t="s">
        <v>104</v>
      </c>
      <c r="C383" t="s">
        <v>104</v>
      </c>
      <c r="D383" s="28" t="str">
        <f>VLOOKUP(A383,Classification!$A:$D,2,FALSE)</f>
        <v>A</v>
      </c>
      <c r="E383" s="50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J383" s="3"/>
    </row>
    <row r="384" spans="1:10" x14ac:dyDescent="0.2">
      <c r="A384" t="s">
        <v>238</v>
      </c>
      <c r="B384" s="1" t="s">
        <v>103</v>
      </c>
      <c r="C384" t="s">
        <v>104</v>
      </c>
      <c r="D384" s="28" t="str">
        <f>VLOOKUP(A384,Classification!$A:$D,2,FALSE)</f>
        <v>A</v>
      </c>
      <c r="E384" s="50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J384" s="3"/>
    </row>
    <row r="385" spans="1:10" x14ac:dyDescent="0.2">
      <c r="A385" t="s">
        <v>262</v>
      </c>
      <c r="B385" s="1" t="s">
        <v>104</v>
      </c>
      <c r="C385" t="s">
        <v>104</v>
      </c>
      <c r="D385" s="28" t="str">
        <f>VLOOKUP(A385,Classification!$A:$D,2,FALSE)</f>
        <v>A</v>
      </c>
      <c r="E385" s="50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J385" s="3"/>
    </row>
    <row r="386" spans="1:10" x14ac:dyDescent="0.2">
      <c r="A386" t="s">
        <v>363</v>
      </c>
      <c r="B386" s="1" t="s">
        <v>104</v>
      </c>
      <c r="C386" t="s">
        <v>104</v>
      </c>
      <c r="D386" s="28" t="str">
        <f>VLOOKUP(A386,Classification!$A:$D,2,FALSE)</f>
        <v>A</v>
      </c>
      <c r="E386" s="50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J386" s="3"/>
    </row>
    <row r="387" spans="1:10" x14ac:dyDescent="0.2">
      <c r="A387" t="s">
        <v>473</v>
      </c>
      <c r="B387" s="1" t="s">
        <v>182</v>
      </c>
      <c r="C387" t="s">
        <v>104</v>
      </c>
      <c r="D387" s="28" t="str">
        <f>VLOOKUP(A387,Classification!$A:$D,2,FALSE)</f>
        <v>A</v>
      </c>
      <c r="E387" s="50" t="str">
        <f>VLOOKUP(B387,Classification!$A:$D,2,FALSE)</f>
        <v>A</v>
      </c>
      <c r="F387" s="15" t="str">
        <f>VLOOKUP(C387,Classification!$A:$D,2,FALSE)</f>
        <v>A</v>
      </c>
      <c r="G387" s="15" t="b">
        <f t="shared" ref="G387:G406" si="6">OR(D387=F387,AND(D387="T",F387="A"),AND(D387="B2",F387="B1"),D387="O")</f>
        <v>1</v>
      </c>
      <c r="J387" s="3"/>
    </row>
    <row r="388" spans="1:10" x14ac:dyDescent="0.2">
      <c r="A388" t="s">
        <v>213</v>
      </c>
      <c r="B388" s="1" t="s">
        <v>35</v>
      </c>
      <c r="C388" t="s">
        <v>104</v>
      </c>
      <c r="D388" s="28" t="str">
        <f>VLOOKUP(A388,Classification!$A:$D,2,FALSE)</f>
        <v>A</v>
      </c>
      <c r="E388" s="50" t="str">
        <f>VLOOKUP(B388,Classification!$A:$D,2,FALSE)</f>
        <v>A</v>
      </c>
      <c r="F388" s="15" t="str">
        <f>VLOOKUP(C388,Classification!$A:$D,2,FALSE)</f>
        <v>A</v>
      </c>
      <c r="G388" s="15" t="b">
        <f t="shared" si="6"/>
        <v>1</v>
      </c>
      <c r="J388" s="3"/>
    </row>
    <row r="389" spans="1:10" x14ac:dyDescent="0.2">
      <c r="A389" t="s">
        <v>377</v>
      </c>
      <c r="B389" s="1" t="s">
        <v>104</v>
      </c>
      <c r="C389" t="s">
        <v>104</v>
      </c>
      <c r="D389" s="28" t="str">
        <f>VLOOKUP(A389,Classification!$A:$D,2,FALSE)</f>
        <v>A</v>
      </c>
      <c r="E389" s="50" t="str">
        <f>VLOOKUP(B389,Classification!$A:$D,2,FALSE)</f>
        <v>A</v>
      </c>
      <c r="F389" s="15" t="str">
        <f>VLOOKUP(C389,Classification!$A:$D,2,FALSE)</f>
        <v>A</v>
      </c>
      <c r="G389" s="15" t="b">
        <f t="shared" si="6"/>
        <v>1</v>
      </c>
      <c r="J389" s="3"/>
    </row>
    <row r="390" spans="1:10" x14ac:dyDescent="0.2">
      <c r="A390" t="s">
        <v>104</v>
      </c>
      <c r="B390" s="1" t="s">
        <v>104</v>
      </c>
      <c r="C390" t="s">
        <v>104</v>
      </c>
      <c r="D390" s="28" t="str">
        <f>VLOOKUP(A390,Classification!$A:$D,2,FALSE)</f>
        <v>A</v>
      </c>
      <c r="E390" s="50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J390" s="3"/>
    </row>
    <row r="391" spans="1:10" x14ac:dyDescent="0.2">
      <c r="A391" t="s">
        <v>379</v>
      </c>
      <c r="B391" s="1" t="s">
        <v>104</v>
      </c>
      <c r="C391" t="s">
        <v>104</v>
      </c>
      <c r="D391" s="28" t="str">
        <f>VLOOKUP(A391,Classification!$A:$D,2,FALSE)</f>
        <v>A</v>
      </c>
      <c r="E391" s="50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J391" s="3"/>
    </row>
    <row r="392" spans="1:10" x14ac:dyDescent="0.2">
      <c r="A392" t="s">
        <v>378</v>
      </c>
      <c r="B392" s="1" t="s">
        <v>104</v>
      </c>
      <c r="C392" t="s">
        <v>104</v>
      </c>
      <c r="D392" s="28" t="str">
        <f>VLOOKUP(A392,Classification!$A:$D,2,FALSE)</f>
        <v>A</v>
      </c>
      <c r="E392" s="50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J392" s="3"/>
    </row>
    <row r="393" spans="1:10" x14ac:dyDescent="0.2">
      <c r="A393" t="s">
        <v>380</v>
      </c>
      <c r="B393" s="1" t="s">
        <v>104</v>
      </c>
      <c r="C393" t="s">
        <v>104</v>
      </c>
      <c r="D393" s="28" t="str">
        <f>VLOOKUP(A393,Classification!$A:$D,2,FALSE)</f>
        <v>A</v>
      </c>
      <c r="E393" s="50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J393" s="3"/>
    </row>
    <row r="394" spans="1:10" x14ac:dyDescent="0.2">
      <c r="A394" t="s">
        <v>448</v>
      </c>
      <c r="B394" s="1" t="s">
        <v>33</v>
      </c>
      <c r="C394" t="s">
        <v>33</v>
      </c>
      <c r="D394" s="28" t="str">
        <f>VLOOKUP(A394,Classification!$A:$D,2,FALSE)</f>
        <v>F</v>
      </c>
      <c r="E394" s="50" t="str">
        <f>VLOOKUP(B394,Classification!$A:$D,2,FALSE)</f>
        <v>F</v>
      </c>
      <c r="F394" s="15" t="str">
        <f>VLOOKUP(C394,Classification!$A:$D,2,FALSE)</f>
        <v>F</v>
      </c>
      <c r="G394" s="15" t="b">
        <f t="shared" si="6"/>
        <v>1</v>
      </c>
      <c r="J394" s="3"/>
    </row>
    <row r="395" spans="1:10" x14ac:dyDescent="0.2">
      <c r="A395" t="s">
        <v>453</v>
      </c>
      <c r="B395" s="1" t="s">
        <v>33</v>
      </c>
      <c r="C395" t="s">
        <v>33</v>
      </c>
      <c r="D395" s="28" t="str">
        <f>VLOOKUP(A395,Classification!$A:$D,2,FALSE)</f>
        <v>F</v>
      </c>
      <c r="E395" s="50" t="str">
        <f>VLOOKUP(B395,Classification!$A:$D,2,FALSE)</f>
        <v>F</v>
      </c>
      <c r="F395" s="15" t="str">
        <f>VLOOKUP(C395,Classification!$A:$D,2,FALSE)</f>
        <v>F</v>
      </c>
      <c r="G395" s="15" t="b">
        <f t="shared" si="6"/>
        <v>1</v>
      </c>
      <c r="J395" s="3"/>
    </row>
    <row r="396" spans="1:10" x14ac:dyDescent="0.2">
      <c r="A396" t="s">
        <v>446</v>
      </c>
      <c r="B396" s="1" t="s">
        <v>33</v>
      </c>
      <c r="C396" t="s">
        <v>33</v>
      </c>
      <c r="D396" s="28" t="str">
        <f>VLOOKUP(A396,Classification!$A:$D,2,FALSE)</f>
        <v>F</v>
      </c>
      <c r="E396" s="50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J396" s="3"/>
    </row>
    <row r="397" spans="1:10" x14ac:dyDescent="0.2">
      <c r="A397" t="s">
        <v>450</v>
      </c>
      <c r="B397" s="1" t="s">
        <v>33</v>
      </c>
      <c r="C397" t="s">
        <v>33</v>
      </c>
      <c r="D397" s="28" t="str">
        <f>VLOOKUP(A397,Classification!$A:$D,2,FALSE)</f>
        <v>F</v>
      </c>
      <c r="E397" s="50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J397" s="3"/>
    </row>
    <row r="398" spans="1:10" x14ac:dyDescent="0.2">
      <c r="A398" t="s">
        <v>447</v>
      </c>
      <c r="B398" s="1" t="s">
        <v>33</v>
      </c>
      <c r="C398" t="s">
        <v>33</v>
      </c>
      <c r="D398" s="28" t="str">
        <f>VLOOKUP(A398,Classification!$A:$D,2,FALSE)</f>
        <v>F</v>
      </c>
      <c r="E398" s="50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J398" s="3"/>
    </row>
    <row r="399" spans="1:10" x14ac:dyDescent="0.2">
      <c r="A399" t="s">
        <v>455</v>
      </c>
      <c r="B399" s="1" t="s">
        <v>33</v>
      </c>
      <c r="C399" t="s">
        <v>33</v>
      </c>
      <c r="D399" s="28" t="str">
        <f>VLOOKUP(A399,Classification!$A:$D,2,FALSE)</f>
        <v>F</v>
      </c>
      <c r="E399" s="50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J399" s="3"/>
    </row>
    <row r="400" spans="1:10" x14ac:dyDescent="0.2">
      <c r="A400" t="s">
        <v>451</v>
      </c>
      <c r="B400" s="1" t="s">
        <v>33</v>
      </c>
      <c r="C400" t="s">
        <v>33</v>
      </c>
      <c r="D400" s="28" t="str">
        <f>VLOOKUP(A400,Classification!$A:$D,2,FALSE)</f>
        <v>F</v>
      </c>
      <c r="E400" s="50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J400" s="3"/>
    </row>
    <row r="401" spans="1:10" x14ac:dyDescent="0.2">
      <c r="A401" t="s">
        <v>454</v>
      </c>
      <c r="B401" s="1" t="s">
        <v>33</v>
      </c>
      <c r="C401" t="s">
        <v>33</v>
      </c>
      <c r="D401" s="28" t="str">
        <f>VLOOKUP(A401,Classification!$A:$D,2,FALSE)</f>
        <v>F</v>
      </c>
      <c r="E401" s="50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J401" s="3"/>
    </row>
    <row r="402" spans="1:10" x14ac:dyDescent="0.2">
      <c r="A402" t="s">
        <v>449</v>
      </c>
      <c r="B402" s="1" t="s">
        <v>33</v>
      </c>
      <c r="C402" t="s">
        <v>33</v>
      </c>
      <c r="D402" s="28" t="str">
        <f>VLOOKUP(A402,Classification!$A:$D,2,FALSE)</f>
        <v>F</v>
      </c>
      <c r="E402" s="50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J402" s="3"/>
    </row>
    <row r="403" spans="1:10" x14ac:dyDescent="0.2">
      <c r="A403" t="s">
        <v>452</v>
      </c>
      <c r="B403" s="1" t="s">
        <v>33</v>
      </c>
      <c r="C403" t="s">
        <v>33</v>
      </c>
      <c r="D403" s="28" t="str">
        <f>VLOOKUP(A403,Classification!$A:$D,2,FALSE)</f>
        <v>F</v>
      </c>
      <c r="E403" s="50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J403" s="3"/>
    </row>
    <row r="404" spans="1:10" x14ac:dyDescent="0.2">
      <c r="A404" t="s">
        <v>33</v>
      </c>
      <c r="B404" s="1" t="s">
        <v>33</v>
      </c>
      <c r="C404" t="s">
        <v>33</v>
      </c>
      <c r="D404" s="28" t="str">
        <f>VLOOKUP(A404,Classification!$A:$D,2,FALSE)</f>
        <v>F</v>
      </c>
      <c r="E404" s="50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J404" s="3"/>
    </row>
    <row r="405" spans="1:10" x14ac:dyDescent="0.2">
      <c r="A405" t="s">
        <v>924</v>
      </c>
      <c r="B405" s="1" t="s">
        <v>924</v>
      </c>
      <c r="C405" t="s">
        <v>924</v>
      </c>
      <c r="D405" s="28" t="str">
        <f>VLOOKUP(A405,Classification!$A:$D,2,FALSE)</f>
        <v>A</v>
      </c>
      <c r="E405" s="50" t="str">
        <f>VLOOKUP(B405,Classification!$A:$D,2,FALSE)</f>
        <v>A</v>
      </c>
      <c r="F405" s="15" t="str">
        <f>VLOOKUP(C405,Classification!$A:$D,2,FALSE)</f>
        <v>A</v>
      </c>
      <c r="G405" s="15" t="b">
        <f t="shared" si="6"/>
        <v>1</v>
      </c>
      <c r="J405" s="3"/>
    </row>
    <row r="406" spans="1:10" x14ac:dyDescent="0.2">
      <c r="A406" t="s">
        <v>221</v>
      </c>
      <c r="B406" s="1" t="s">
        <v>104</v>
      </c>
      <c r="C406" t="s">
        <v>924</v>
      </c>
      <c r="D406" s="28" t="str">
        <f>VLOOKUP(A406,Classification!$A:$D,2,FALSE)</f>
        <v>A</v>
      </c>
      <c r="E406" s="50" t="str">
        <f>VLOOKUP(B406,Classification!$A:$D,2,FALSE)</f>
        <v>A</v>
      </c>
      <c r="F406" s="15" t="str">
        <f>VLOOKUP(C406,Classification!$A:$D,2,FALSE)</f>
        <v>A</v>
      </c>
      <c r="G406" s="15" t="b">
        <f t="shared" si="6"/>
        <v>1</v>
      </c>
      <c r="J406" s="3"/>
    </row>
    <row r="407" spans="1:10" x14ac:dyDescent="0.2">
      <c r="A407" t="s">
        <v>1430</v>
      </c>
      <c r="B407" s="1" t="s">
        <v>1430</v>
      </c>
      <c r="C407" t="s">
        <v>1430</v>
      </c>
      <c r="D407" s="28" t="str">
        <f>VLOOKUP(A407,Classification!$A:$D,2,FALSE)</f>
        <v>B1</v>
      </c>
      <c r="E407" s="50" t="str">
        <f>VLOOKUP(B407,Classification!$A:$D,2,FALSE)</f>
        <v>B1</v>
      </c>
      <c r="F407" s="15" t="str">
        <f>VLOOKUP(C407,Classification!$A:$D,2,FALSE)</f>
        <v>B1</v>
      </c>
      <c r="G407" s="15" t="b">
        <f t="shared" ref="G407" si="7">OR(D407=F407,AND(D407="T",F407="A"),AND(D407="B2",F407="B1"),D407="O")</f>
        <v>1</v>
      </c>
    </row>
    <row r="432" spans="4:8" ht="17" customHeight="1" x14ac:dyDescent="0.2">
      <c r="D432" s="7"/>
      <c r="E432" s="7"/>
      <c r="F432" s="7"/>
      <c r="G432" s="7"/>
      <c r="H432" s="1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08:G1048576">
    <cfRule type="cellIs" dxfId="2" priority="2" operator="equal">
      <formula>FALSE</formula>
    </cfRule>
  </conditionalFormatting>
  <conditionalFormatting sqref="G2:G407">
    <cfRule type="cellIs" dxfId="1" priority="1" operator="equal">
      <formula>FALSE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39"/>
  <sheetViews>
    <sheetView workbookViewId="0">
      <pane ySplit="1" topLeftCell="A223" activePane="bottomLeft" state="frozenSplit"/>
      <selection pane="bottomLeft" activeCell="D240" sqref="D240:D241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1423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400</v>
      </c>
      <c r="B106" s="3" t="s">
        <v>1</v>
      </c>
      <c r="C106" s="3" t="s">
        <v>29</v>
      </c>
      <c r="D106" s="3" t="s">
        <v>933</v>
      </c>
    </row>
    <row r="107" spans="1:4" x14ac:dyDescent="0.2">
      <c r="A107" s="3" t="s">
        <v>167</v>
      </c>
      <c r="B107" s="3" t="s">
        <v>1</v>
      </c>
      <c r="C107" s="3" t="s">
        <v>17</v>
      </c>
      <c r="D107" s="3" t="s">
        <v>954</v>
      </c>
    </row>
    <row r="108" spans="1:4" x14ac:dyDescent="0.2">
      <c r="A108" s="3" t="s">
        <v>208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197</v>
      </c>
      <c r="B109" s="3" t="s">
        <v>1</v>
      </c>
      <c r="C109" s="3" t="s">
        <v>945</v>
      </c>
      <c r="D109" s="3" t="s">
        <v>961</v>
      </c>
    </row>
    <row r="110" spans="1:4" x14ac:dyDescent="0.2">
      <c r="A110" s="3" t="s">
        <v>212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214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215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216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217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218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219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220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221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222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223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224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225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226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227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228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229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230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231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232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233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234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237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238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239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240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242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243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244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245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246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247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248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249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250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251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252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253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254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255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256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257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259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260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262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263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264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265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266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267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268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269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270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271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272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273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283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284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285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294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295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301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302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303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304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305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306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307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308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313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331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349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350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370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388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389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390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391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392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393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108</v>
      </c>
      <c r="B190" s="3" t="s">
        <v>27</v>
      </c>
      <c r="C190" s="3" t="s">
        <v>945</v>
      </c>
      <c r="D190" s="3" t="s">
        <v>974</v>
      </c>
    </row>
    <row r="191" spans="1:4" x14ac:dyDescent="0.2">
      <c r="A191" s="3" t="s">
        <v>109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110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111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112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113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121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164</v>
      </c>
      <c r="B197" s="3" t="s">
        <v>1</v>
      </c>
      <c r="C197" s="3" t="s">
        <v>17</v>
      </c>
      <c r="D197" s="3" t="s">
        <v>949</v>
      </c>
    </row>
    <row r="198" spans="1:4" x14ac:dyDescent="0.2">
      <c r="A198" s="3" t="s">
        <v>165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166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38</v>
      </c>
      <c r="B200" s="3" t="s">
        <v>950</v>
      </c>
      <c r="C200" s="3" t="s">
        <v>17</v>
      </c>
      <c r="D200" s="3" t="s">
        <v>958</v>
      </c>
    </row>
    <row r="201" spans="1:4" x14ac:dyDescent="0.2">
      <c r="A201" s="3" t="s">
        <v>403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190</v>
      </c>
      <c r="B202" s="3" t="s">
        <v>1</v>
      </c>
      <c r="C202" s="3" t="s">
        <v>2</v>
      </c>
      <c r="D202" s="3" t="s">
        <v>959</v>
      </c>
    </row>
    <row r="203" spans="1:4" x14ac:dyDescent="0.2">
      <c r="A203" s="3" t="s">
        <v>191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192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193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194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195</v>
      </c>
      <c r="B207" s="3" t="s">
        <v>1</v>
      </c>
      <c r="C207" s="3" t="s">
        <v>17</v>
      </c>
      <c r="D207" s="3" t="s">
        <v>960</v>
      </c>
    </row>
    <row r="208" spans="1:4" x14ac:dyDescent="0.2">
      <c r="A208" s="3" t="s">
        <v>196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236</v>
      </c>
      <c r="B209" s="3" t="s">
        <v>1</v>
      </c>
      <c r="C209" s="3" t="s">
        <v>975</v>
      </c>
      <c r="D209" s="3" t="s">
        <v>977</v>
      </c>
    </row>
    <row r="210" spans="1:4" x14ac:dyDescent="0.2">
      <c r="A210" s="3" t="s">
        <v>201</v>
      </c>
      <c r="B210" s="3" t="s">
        <v>1</v>
      </c>
      <c r="C210" s="3" t="s">
        <v>17</v>
      </c>
      <c r="D210" s="3" t="s">
        <v>963</v>
      </c>
    </row>
    <row r="211" spans="1:4" x14ac:dyDescent="0.2">
      <c r="A211" s="3" t="s">
        <v>202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203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1149</v>
      </c>
      <c r="B213" s="3" t="s">
        <v>1</v>
      </c>
      <c r="C213" s="3" t="s">
        <v>19</v>
      </c>
      <c r="D213" s="3" t="s">
        <v>962</v>
      </c>
    </row>
    <row r="214" spans="1:4" x14ac:dyDescent="0.2">
      <c r="A214" s="3" t="s">
        <v>198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199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200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258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446</v>
      </c>
      <c r="B218" s="3" t="s">
        <v>28</v>
      </c>
      <c r="C218" s="3" t="s">
        <v>29</v>
      </c>
      <c r="D218" s="3" t="s">
        <v>965</v>
      </c>
    </row>
    <row r="219" spans="1:4" x14ac:dyDescent="0.2">
      <c r="A219" s="3" t="s">
        <v>447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448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449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450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451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452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453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454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455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33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106</v>
      </c>
      <c r="B229" s="3" t="s">
        <v>27</v>
      </c>
      <c r="C229" s="3" t="s">
        <v>967</v>
      </c>
      <c r="D229" s="3" t="s">
        <v>968</v>
      </c>
    </row>
    <row r="230" spans="1:4" x14ac:dyDescent="0.2">
      <c r="A230" s="3" t="s">
        <v>107</v>
      </c>
      <c r="B230" s="3" t="s">
        <v>27</v>
      </c>
      <c r="C230" s="3" t="s">
        <v>967</v>
      </c>
      <c r="D230" s="3" t="s">
        <v>968</v>
      </c>
    </row>
    <row r="231" spans="1:4" x14ac:dyDescent="0.2">
      <c r="A231" s="3" t="s">
        <v>205</v>
      </c>
      <c r="B231" s="3" t="s">
        <v>1</v>
      </c>
      <c r="C231" s="3" t="s">
        <v>17</v>
      </c>
      <c r="D231" s="3" t="s">
        <v>969</v>
      </c>
    </row>
    <row r="232" spans="1:4" x14ac:dyDescent="0.2">
      <c r="A232" s="3" t="s">
        <v>206</v>
      </c>
      <c r="B232" s="3" t="s">
        <v>1</v>
      </c>
      <c r="C232" s="3" t="s">
        <v>17</v>
      </c>
      <c r="D232" s="3" t="s">
        <v>969</v>
      </c>
    </row>
    <row r="233" spans="1:4" x14ac:dyDescent="0.2">
      <c r="A233" s="3" t="s">
        <v>207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209</v>
      </c>
      <c r="B234" s="3" t="s">
        <v>1</v>
      </c>
      <c r="C234" s="3" t="s">
        <v>17</v>
      </c>
      <c r="D234" s="3" t="s">
        <v>971</v>
      </c>
    </row>
    <row r="235" spans="1:4" x14ac:dyDescent="0.2">
      <c r="A235" s="3" t="s">
        <v>404</v>
      </c>
      <c r="B235" s="3" t="s">
        <v>950</v>
      </c>
      <c r="C235" s="3" t="s">
        <v>17</v>
      </c>
      <c r="D235" s="3" t="s">
        <v>970</v>
      </c>
    </row>
    <row r="236" spans="1:4" x14ac:dyDescent="0.2">
      <c r="A236" s="3" t="s">
        <v>405</v>
      </c>
      <c r="B236" s="3" t="s">
        <v>950</v>
      </c>
      <c r="C236" s="3" t="s">
        <v>17</v>
      </c>
      <c r="D236" s="3" t="s">
        <v>970</v>
      </c>
    </row>
    <row r="237" spans="1:4" x14ac:dyDescent="0.2">
      <c r="A237" s="3" t="s">
        <v>406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407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32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411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1430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204</v>
      </c>
      <c r="B242" s="3" t="s">
        <v>1</v>
      </c>
      <c r="C242" s="3" t="s">
        <v>29</v>
      </c>
      <c r="D242" s="3" t="s">
        <v>964</v>
      </c>
    </row>
    <row r="243" spans="1:4" x14ac:dyDescent="0.2">
      <c r="A243" s="3" t="s">
        <v>291</v>
      </c>
      <c r="B243" s="3" t="s">
        <v>1</v>
      </c>
      <c r="C243" s="3" t="s">
        <v>29</v>
      </c>
      <c r="D243" s="3" t="s">
        <v>964</v>
      </c>
    </row>
    <row r="244" spans="1:4" x14ac:dyDescent="0.2">
      <c r="A244" s="3" t="s">
        <v>395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210</v>
      </c>
      <c r="B245" s="3" t="s">
        <v>1</v>
      </c>
      <c r="C245" s="3" t="s">
        <v>17</v>
      </c>
      <c r="D245" s="3" t="s">
        <v>972</v>
      </c>
    </row>
    <row r="246" spans="1:4" x14ac:dyDescent="0.2">
      <c r="A246" s="3" t="s">
        <v>211</v>
      </c>
      <c r="B246" s="3" t="s">
        <v>1</v>
      </c>
      <c r="C246" s="3" t="s">
        <v>17</v>
      </c>
      <c r="D246" s="3" t="s">
        <v>972</v>
      </c>
    </row>
    <row r="247" spans="1:4" x14ac:dyDescent="0.2">
      <c r="A247" s="3" t="s">
        <v>213</v>
      </c>
      <c r="B247" s="3" t="s">
        <v>1</v>
      </c>
      <c r="C247" s="3" t="s">
        <v>19</v>
      </c>
      <c r="D247" s="3" t="s">
        <v>973</v>
      </c>
    </row>
    <row r="248" spans="1:4" x14ac:dyDescent="0.2">
      <c r="A248" s="3" t="s">
        <v>241</v>
      </c>
      <c r="B248" s="3" t="s">
        <v>1</v>
      </c>
      <c r="C248" s="3" t="s">
        <v>19</v>
      </c>
      <c r="D248" s="3" t="s">
        <v>973</v>
      </c>
    </row>
    <row r="249" spans="1:4" x14ac:dyDescent="0.2">
      <c r="A249" s="3" t="s">
        <v>261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278</v>
      </c>
      <c r="B250" s="3" t="s">
        <v>1</v>
      </c>
      <c r="C250" s="3" t="s">
        <v>2</v>
      </c>
      <c r="D250" s="3" t="s">
        <v>981</v>
      </c>
    </row>
    <row r="251" spans="1:4" x14ac:dyDescent="0.2">
      <c r="A251" s="3" t="s">
        <v>279</v>
      </c>
      <c r="B251" s="3" t="s">
        <v>1</v>
      </c>
      <c r="C251" s="3" t="s">
        <v>2</v>
      </c>
      <c r="D251" s="3" t="s">
        <v>981</v>
      </c>
    </row>
    <row r="252" spans="1:4" x14ac:dyDescent="0.2">
      <c r="A252" s="3" t="s">
        <v>280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281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275</v>
      </c>
      <c r="B254" s="3" t="s">
        <v>1</v>
      </c>
      <c r="C254" s="3" t="s">
        <v>979</v>
      </c>
      <c r="D254" s="3" t="s">
        <v>980</v>
      </c>
    </row>
    <row r="255" spans="1:4" x14ac:dyDescent="0.2">
      <c r="A255" s="3" t="s">
        <v>276</v>
      </c>
      <c r="B255" s="3" t="s">
        <v>1</v>
      </c>
      <c r="C255" s="3" t="s">
        <v>979</v>
      </c>
      <c r="D255" s="3" t="s">
        <v>980</v>
      </c>
    </row>
    <row r="256" spans="1:4" x14ac:dyDescent="0.2">
      <c r="A256" s="3" t="s">
        <v>277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282</v>
      </c>
      <c r="B257" s="3" t="s">
        <v>1</v>
      </c>
      <c r="C257" s="3" t="s">
        <v>17</v>
      </c>
      <c r="D257" s="3" t="s">
        <v>982</v>
      </c>
    </row>
    <row r="258" spans="1:4" x14ac:dyDescent="0.2">
      <c r="A258" s="3" t="s">
        <v>179</v>
      </c>
      <c r="B258" s="3" t="s">
        <v>1</v>
      </c>
      <c r="C258" s="3" t="s">
        <v>19</v>
      </c>
      <c r="D258" s="3" t="s">
        <v>955</v>
      </c>
    </row>
    <row r="259" spans="1:4" x14ac:dyDescent="0.2">
      <c r="A259" s="3" t="s">
        <v>180</v>
      </c>
      <c r="B259" s="3" t="s">
        <v>1</v>
      </c>
      <c r="C259" s="3" t="s">
        <v>19</v>
      </c>
      <c r="D259" s="3" t="s">
        <v>955</v>
      </c>
    </row>
    <row r="260" spans="1:4" x14ac:dyDescent="0.2">
      <c r="A260" s="3" t="s">
        <v>292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293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342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103</v>
      </c>
      <c r="B263" s="3" t="s">
        <v>1</v>
      </c>
      <c r="C263" s="3" t="s">
        <v>19</v>
      </c>
      <c r="D263" s="3" t="s">
        <v>983</v>
      </c>
    </row>
    <row r="264" spans="1:4" x14ac:dyDescent="0.2">
      <c r="A264" s="3" t="s">
        <v>286</v>
      </c>
      <c r="B264" s="3" t="s">
        <v>1</v>
      </c>
      <c r="C264" s="3" t="s">
        <v>19</v>
      </c>
      <c r="D264" s="3" t="s">
        <v>983</v>
      </c>
    </row>
    <row r="265" spans="1:4" x14ac:dyDescent="0.2">
      <c r="A265" s="3" t="s">
        <v>287</v>
      </c>
      <c r="B265" s="3" t="s">
        <v>1</v>
      </c>
      <c r="C265" s="3" t="s">
        <v>19</v>
      </c>
      <c r="D265" s="3" t="s">
        <v>983</v>
      </c>
    </row>
    <row r="266" spans="1:4" x14ac:dyDescent="0.2">
      <c r="A266" s="3" t="s">
        <v>288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289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290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104</v>
      </c>
      <c r="B269" s="3" t="s">
        <v>1</v>
      </c>
      <c r="C269" s="3" t="s">
        <v>19</v>
      </c>
      <c r="D269" s="3" t="s">
        <v>1009</v>
      </c>
    </row>
    <row r="270" spans="1:4" x14ac:dyDescent="0.2">
      <c r="A270" s="3" t="s">
        <v>377</v>
      </c>
      <c r="B270" s="3" t="s">
        <v>1</v>
      </c>
      <c r="C270" s="3" t="s">
        <v>19</v>
      </c>
      <c r="D270" s="3" t="s">
        <v>1009</v>
      </c>
    </row>
    <row r="271" spans="1:4" x14ac:dyDescent="0.2">
      <c r="A271" s="3" t="s">
        <v>378</v>
      </c>
      <c r="B271" s="3" t="s">
        <v>1</v>
      </c>
      <c r="C271" s="3" t="s">
        <v>19</v>
      </c>
      <c r="D271" s="3" t="s">
        <v>1009</v>
      </c>
    </row>
    <row r="272" spans="1:4" x14ac:dyDescent="0.2">
      <c r="A272" s="3" t="s">
        <v>379</v>
      </c>
      <c r="B272" s="3" t="s">
        <v>1</v>
      </c>
      <c r="C272" s="3" t="s">
        <v>19</v>
      </c>
      <c r="D272" s="3" t="s">
        <v>1009</v>
      </c>
    </row>
    <row r="273" spans="1:4" x14ac:dyDescent="0.2">
      <c r="A273" s="3" t="s">
        <v>380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299</v>
      </c>
      <c r="B274" s="3" t="s">
        <v>1</v>
      </c>
      <c r="C274" s="3" t="s">
        <v>17</v>
      </c>
      <c r="D274" s="3" t="s">
        <v>984</v>
      </c>
    </row>
    <row r="275" spans="1:4" x14ac:dyDescent="0.2">
      <c r="A275" s="3" t="s">
        <v>300</v>
      </c>
      <c r="B275" s="3" t="s">
        <v>1</v>
      </c>
      <c r="C275" s="3" t="s">
        <v>17</v>
      </c>
      <c r="D275" s="3" t="s">
        <v>984</v>
      </c>
    </row>
    <row r="276" spans="1:4" x14ac:dyDescent="0.2">
      <c r="A276" s="3" t="s">
        <v>151</v>
      </c>
      <c r="B276" s="3" t="s">
        <v>1</v>
      </c>
      <c r="C276" s="3" t="s">
        <v>17</v>
      </c>
      <c r="D276" s="3" t="s">
        <v>940</v>
      </c>
    </row>
    <row r="277" spans="1:4" x14ac:dyDescent="0.2">
      <c r="A277" s="3" t="s">
        <v>296</v>
      </c>
      <c r="B277" s="3" t="s">
        <v>1</v>
      </c>
      <c r="C277" s="3" t="s">
        <v>17</v>
      </c>
      <c r="D277" s="3" t="s">
        <v>940</v>
      </c>
    </row>
    <row r="278" spans="1:4" x14ac:dyDescent="0.2">
      <c r="A278" s="3" t="s">
        <v>297</v>
      </c>
      <c r="B278" s="3" t="s">
        <v>1</v>
      </c>
      <c r="C278" s="3" t="s">
        <v>17</v>
      </c>
      <c r="D278" s="3" t="s">
        <v>940</v>
      </c>
    </row>
    <row r="279" spans="1:4" x14ac:dyDescent="0.2">
      <c r="A279" s="3" t="s">
        <v>298</v>
      </c>
      <c r="B279" s="3" t="s">
        <v>1</v>
      </c>
      <c r="C279" s="3" t="s">
        <v>17</v>
      </c>
      <c r="D279" s="3" t="s">
        <v>940</v>
      </c>
    </row>
    <row r="280" spans="1:4" x14ac:dyDescent="0.2">
      <c r="A280" s="3" t="s">
        <v>309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311</v>
      </c>
      <c r="B281" s="3" t="s">
        <v>1</v>
      </c>
      <c r="C281" s="3" t="s">
        <v>986</v>
      </c>
      <c r="D281" s="3" t="s">
        <v>986</v>
      </c>
    </row>
    <row r="282" spans="1:4" x14ac:dyDescent="0.2">
      <c r="A282" s="3" t="s">
        <v>312</v>
      </c>
      <c r="B282" s="3" t="s">
        <v>1</v>
      </c>
      <c r="C282" s="3" t="s">
        <v>986</v>
      </c>
      <c r="D282" s="3" t="s">
        <v>986</v>
      </c>
    </row>
    <row r="283" spans="1:4" x14ac:dyDescent="0.2">
      <c r="A283" s="3" t="s">
        <v>40</v>
      </c>
      <c r="B283" s="3" t="s">
        <v>27</v>
      </c>
      <c r="C283" s="3" t="s">
        <v>967</v>
      </c>
      <c r="D283" s="3" t="s">
        <v>978</v>
      </c>
    </row>
    <row r="284" spans="1:4" x14ac:dyDescent="0.2">
      <c r="A284" s="3" t="s">
        <v>115</v>
      </c>
      <c r="B284" s="3" t="s">
        <v>27</v>
      </c>
      <c r="C284" s="3" t="s">
        <v>967</v>
      </c>
      <c r="D284" s="3" t="s">
        <v>978</v>
      </c>
    </row>
    <row r="285" spans="1:4" x14ac:dyDescent="0.2">
      <c r="A285" s="3" t="s">
        <v>116</v>
      </c>
      <c r="B285" s="3" t="s">
        <v>27</v>
      </c>
      <c r="C285" s="3" t="s">
        <v>967</v>
      </c>
      <c r="D285" s="3" t="s">
        <v>978</v>
      </c>
    </row>
    <row r="286" spans="1:4" x14ac:dyDescent="0.2">
      <c r="A286" s="3" t="s">
        <v>117</v>
      </c>
      <c r="B286" s="3" t="s">
        <v>27</v>
      </c>
      <c r="C286" s="3" t="s">
        <v>967</v>
      </c>
      <c r="D286" s="3" t="s">
        <v>978</v>
      </c>
    </row>
    <row r="287" spans="1:4" x14ac:dyDescent="0.2">
      <c r="A287" s="3" t="s">
        <v>41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118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119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120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310</v>
      </c>
      <c r="B291" s="3" t="s">
        <v>1</v>
      </c>
      <c r="C291" s="3" t="s">
        <v>17</v>
      </c>
      <c r="D291" s="3" t="s">
        <v>985</v>
      </c>
    </row>
    <row r="292" spans="1:4" x14ac:dyDescent="0.2">
      <c r="A292" s="3" t="s">
        <v>318</v>
      </c>
      <c r="B292" s="3" t="s">
        <v>1</v>
      </c>
      <c r="C292" s="3" t="s">
        <v>17</v>
      </c>
      <c r="D292" s="3" t="s">
        <v>988</v>
      </c>
    </row>
    <row r="293" spans="1:4" x14ac:dyDescent="0.2">
      <c r="A293" s="3" t="s">
        <v>319</v>
      </c>
      <c r="B293" s="3" t="s">
        <v>1</v>
      </c>
      <c r="C293" s="3" t="s">
        <v>17</v>
      </c>
      <c r="D293" s="3" t="s">
        <v>988</v>
      </c>
    </row>
    <row r="294" spans="1:4" x14ac:dyDescent="0.2">
      <c r="A294" s="3" t="s">
        <v>322</v>
      </c>
      <c r="B294" s="3" t="s">
        <v>1</v>
      </c>
      <c r="C294" s="3" t="s">
        <v>17</v>
      </c>
      <c r="D294" s="3" t="s">
        <v>990</v>
      </c>
    </row>
    <row r="295" spans="1:4" x14ac:dyDescent="0.2">
      <c r="A295" s="3" t="s">
        <v>323</v>
      </c>
      <c r="B295" s="3" t="s">
        <v>1</v>
      </c>
      <c r="C295" s="3" t="s">
        <v>17</v>
      </c>
      <c r="D295" s="3" t="s">
        <v>990</v>
      </c>
    </row>
    <row r="296" spans="1:4" x14ac:dyDescent="0.2">
      <c r="A296" s="3" t="s">
        <v>324</v>
      </c>
      <c r="B296" s="3" t="s">
        <v>1</v>
      </c>
      <c r="C296" s="3" t="s">
        <v>17</v>
      </c>
      <c r="D296" s="3" t="s">
        <v>991</v>
      </c>
    </row>
    <row r="297" spans="1:4" x14ac:dyDescent="0.2">
      <c r="A297" s="3" t="s">
        <v>320</v>
      </c>
      <c r="B297" s="3" t="s">
        <v>1</v>
      </c>
      <c r="C297" s="3" t="s">
        <v>17</v>
      </c>
      <c r="D297" s="3" t="s">
        <v>989</v>
      </c>
    </row>
    <row r="298" spans="1:4" x14ac:dyDescent="0.2">
      <c r="A298" s="3" t="s">
        <v>321</v>
      </c>
      <c r="B298" s="3" t="s">
        <v>1</v>
      </c>
      <c r="C298" s="3" t="s">
        <v>17</v>
      </c>
      <c r="D298" s="3" t="s">
        <v>989</v>
      </c>
    </row>
    <row r="299" spans="1:4" x14ac:dyDescent="0.2">
      <c r="A299" s="3" t="s">
        <v>325</v>
      </c>
      <c r="B299" s="3" t="s">
        <v>1</v>
      </c>
      <c r="C299" s="3" t="s">
        <v>17</v>
      </c>
      <c r="D299" s="3" t="s">
        <v>992</v>
      </c>
    </row>
    <row r="300" spans="1:4" x14ac:dyDescent="0.2">
      <c r="A300" s="3" t="s">
        <v>326</v>
      </c>
      <c r="B300" s="3" t="s">
        <v>1</v>
      </c>
      <c r="C300" s="3" t="s">
        <v>17</v>
      </c>
      <c r="D300" s="3" t="s">
        <v>992</v>
      </c>
    </row>
    <row r="301" spans="1:4" x14ac:dyDescent="0.2">
      <c r="A301" s="3" t="s">
        <v>327</v>
      </c>
      <c r="B301" s="3" t="s">
        <v>1</v>
      </c>
      <c r="C301" s="3" t="s">
        <v>17</v>
      </c>
      <c r="D301" s="3" t="s">
        <v>992</v>
      </c>
    </row>
    <row r="302" spans="1:4" x14ac:dyDescent="0.2">
      <c r="A302" s="3" t="s">
        <v>328</v>
      </c>
      <c r="B302" s="3" t="s">
        <v>1</v>
      </c>
      <c r="C302" s="3" t="s">
        <v>17</v>
      </c>
      <c r="D302" s="3" t="s">
        <v>992</v>
      </c>
    </row>
    <row r="303" spans="1:4" x14ac:dyDescent="0.2">
      <c r="A303" s="3" t="s">
        <v>329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127</v>
      </c>
      <c r="B304" s="3" t="s">
        <v>1</v>
      </c>
      <c r="C304" s="3" t="s">
        <v>17</v>
      </c>
      <c r="D304" s="3" t="s">
        <v>993</v>
      </c>
    </row>
    <row r="305" spans="1:4" x14ac:dyDescent="0.2">
      <c r="A305" s="3" t="s">
        <v>46</v>
      </c>
      <c r="B305" s="3" t="s">
        <v>1</v>
      </c>
      <c r="C305" s="3" t="s">
        <v>17</v>
      </c>
      <c r="D305" s="3" t="s">
        <v>993</v>
      </c>
    </row>
    <row r="306" spans="1:4" x14ac:dyDescent="0.2">
      <c r="A306" s="3" t="s">
        <v>330</v>
      </c>
      <c r="B306" s="3" t="s">
        <v>1</v>
      </c>
      <c r="C306" s="3" t="s">
        <v>17</v>
      </c>
      <c r="D306" s="3" t="s">
        <v>993</v>
      </c>
    </row>
    <row r="307" spans="1:4" x14ac:dyDescent="0.2">
      <c r="A307" s="3" t="s">
        <v>335</v>
      </c>
      <c r="B307" s="3" t="s">
        <v>1</v>
      </c>
      <c r="C307" s="3" t="s">
        <v>17</v>
      </c>
      <c r="D307" s="3" t="s">
        <v>934</v>
      </c>
    </row>
    <row r="308" spans="1:4" x14ac:dyDescent="0.2">
      <c r="A308" s="3" t="s">
        <v>45</v>
      </c>
      <c r="B308" s="3" t="s">
        <v>1</v>
      </c>
      <c r="C308" s="3" t="s">
        <v>17</v>
      </c>
      <c r="D308" s="3" t="s">
        <v>934</v>
      </c>
    </row>
    <row r="309" spans="1:4" x14ac:dyDescent="0.2">
      <c r="A309" s="3" t="s">
        <v>336</v>
      </c>
      <c r="B309" s="3" t="s">
        <v>1</v>
      </c>
      <c r="C309" s="3" t="s">
        <v>17</v>
      </c>
      <c r="D309" s="3" t="s">
        <v>934</v>
      </c>
    </row>
    <row r="310" spans="1:4" x14ac:dyDescent="0.2">
      <c r="A310" s="3" t="s">
        <v>337</v>
      </c>
      <c r="B310" s="3" t="s">
        <v>1</v>
      </c>
      <c r="C310" s="3" t="s">
        <v>17</v>
      </c>
      <c r="D310" s="3" t="s">
        <v>934</v>
      </c>
    </row>
    <row r="311" spans="1:4" x14ac:dyDescent="0.2">
      <c r="A311" s="3" t="s">
        <v>44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1154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332</v>
      </c>
      <c r="B313" s="3" t="s">
        <v>1</v>
      </c>
      <c r="C313" s="3" t="s">
        <v>994</v>
      </c>
      <c r="D313" s="3" t="s">
        <v>995</v>
      </c>
    </row>
    <row r="314" spans="1:4" x14ac:dyDescent="0.2">
      <c r="A314" s="3" t="s">
        <v>333</v>
      </c>
      <c r="B314" s="3" t="s">
        <v>1</v>
      </c>
      <c r="C314" s="3" t="s">
        <v>994</v>
      </c>
      <c r="D314" s="3" t="s">
        <v>995</v>
      </c>
    </row>
    <row r="315" spans="1:4" x14ac:dyDescent="0.2">
      <c r="A315" s="3" t="s">
        <v>334</v>
      </c>
      <c r="B315" s="3" t="s">
        <v>1</v>
      </c>
      <c r="C315" s="3" t="s">
        <v>994</v>
      </c>
      <c r="D315" s="3" t="s">
        <v>995</v>
      </c>
    </row>
    <row r="316" spans="1:4" x14ac:dyDescent="0.2">
      <c r="A316" s="3" t="s">
        <v>338</v>
      </c>
      <c r="B316" s="3" t="s">
        <v>1</v>
      </c>
      <c r="C316" s="3" t="s">
        <v>994</v>
      </c>
      <c r="D316" s="3" t="s">
        <v>995</v>
      </c>
    </row>
    <row r="317" spans="1:4" x14ac:dyDescent="0.2">
      <c r="A317" s="3" t="s">
        <v>43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339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98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340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341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1155</v>
      </c>
      <c r="B322" s="3" t="s">
        <v>1</v>
      </c>
      <c r="C322" s="3" t="s">
        <v>17</v>
      </c>
      <c r="D322" s="3" t="s">
        <v>996</v>
      </c>
    </row>
    <row r="323" spans="1:4" x14ac:dyDescent="0.2">
      <c r="A323" s="3" t="s">
        <v>1156</v>
      </c>
      <c r="B323" s="3" t="s">
        <v>1</v>
      </c>
      <c r="C323" s="3" t="s">
        <v>17</v>
      </c>
      <c r="D323" s="3" t="s">
        <v>996</v>
      </c>
    </row>
    <row r="324" spans="1:4" x14ac:dyDescent="0.2">
      <c r="A324" s="3" t="s">
        <v>481</v>
      </c>
      <c r="B324" s="3" t="s">
        <v>931</v>
      </c>
      <c r="C324" s="3" t="s">
        <v>945</v>
      </c>
      <c r="D324" s="3" t="s">
        <v>966</v>
      </c>
    </row>
    <row r="325" spans="1:4" x14ac:dyDescent="0.2">
      <c r="A325" s="3" t="s">
        <v>482</v>
      </c>
      <c r="B325" s="3" t="s">
        <v>931</v>
      </c>
      <c r="C325" s="3" t="s">
        <v>945</v>
      </c>
      <c r="D325" s="3" t="s">
        <v>966</v>
      </c>
    </row>
    <row r="326" spans="1:4" x14ac:dyDescent="0.2">
      <c r="A326" s="3" t="s">
        <v>485</v>
      </c>
      <c r="B326" s="3" t="s">
        <v>931</v>
      </c>
      <c r="C326" s="3" t="s">
        <v>945</v>
      </c>
      <c r="D326" s="3" t="s">
        <v>966</v>
      </c>
    </row>
    <row r="327" spans="1:4" x14ac:dyDescent="0.2">
      <c r="A327" s="3" t="s">
        <v>486</v>
      </c>
      <c r="B327" s="3" t="s">
        <v>931</v>
      </c>
      <c r="C327" s="3" t="s">
        <v>945</v>
      </c>
      <c r="D327" s="3" t="s">
        <v>966</v>
      </c>
    </row>
    <row r="328" spans="1:4" x14ac:dyDescent="0.2">
      <c r="A328" s="3" t="s">
        <v>483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484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343</v>
      </c>
      <c r="B330" s="3" t="s">
        <v>1</v>
      </c>
      <c r="C330" s="3" t="s">
        <v>979</v>
      </c>
      <c r="D330" s="3" t="s">
        <v>997</v>
      </c>
    </row>
    <row r="331" spans="1:4" x14ac:dyDescent="0.2">
      <c r="A331" s="3" t="s">
        <v>345</v>
      </c>
      <c r="B331" s="3" t="s">
        <v>1</v>
      </c>
      <c r="C331" s="3" t="s">
        <v>938</v>
      </c>
      <c r="D331" s="3" t="s">
        <v>999</v>
      </c>
    </row>
    <row r="332" spans="1:4" x14ac:dyDescent="0.2">
      <c r="A332" s="3" t="s">
        <v>346</v>
      </c>
      <c r="B332" s="3" t="s">
        <v>1</v>
      </c>
      <c r="C332" s="3" t="s">
        <v>938</v>
      </c>
      <c r="D332" s="3" t="s">
        <v>999</v>
      </c>
    </row>
    <row r="333" spans="1:4" x14ac:dyDescent="0.2">
      <c r="A333" s="3" t="s">
        <v>347</v>
      </c>
      <c r="B333" s="3" t="s">
        <v>1</v>
      </c>
      <c r="C333" s="3" t="s">
        <v>938</v>
      </c>
      <c r="D333" s="3" t="s">
        <v>999</v>
      </c>
    </row>
    <row r="334" spans="1:4" x14ac:dyDescent="0.2">
      <c r="A334" s="3" t="s">
        <v>348</v>
      </c>
      <c r="B334" s="3" t="s">
        <v>1</v>
      </c>
      <c r="C334" s="3" t="s">
        <v>938</v>
      </c>
      <c r="D334" s="3" t="s">
        <v>999</v>
      </c>
    </row>
    <row r="335" spans="1:4" x14ac:dyDescent="0.2">
      <c r="A335" s="3" t="s">
        <v>351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352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353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354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409</v>
      </c>
      <c r="B339" s="3" t="s">
        <v>950</v>
      </c>
      <c r="C339" s="3" t="s">
        <v>17</v>
      </c>
      <c r="D339" s="3" t="s">
        <v>1006</v>
      </c>
    </row>
    <row r="340" spans="1:4" x14ac:dyDescent="0.2">
      <c r="A340" s="3" t="s">
        <v>410</v>
      </c>
      <c r="B340" s="3" t="s">
        <v>950</v>
      </c>
      <c r="C340" s="3" t="s">
        <v>17</v>
      </c>
      <c r="D340" s="3" t="s">
        <v>1006</v>
      </c>
    </row>
    <row r="341" spans="1:4" x14ac:dyDescent="0.2">
      <c r="A341" s="3" t="s">
        <v>372</v>
      </c>
      <c r="B341" s="3" t="s">
        <v>1</v>
      </c>
      <c r="C341" s="3" t="s">
        <v>17</v>
      </c>
      <c r="D341" s="3" t="s">
        <v>1007</v>
      </c>
    </row>
    <row r="342" spans="1:4" x14ac:dyDescent="0.2">
      <c r="A342" s="3" t="s">
        <v>371</v>
      </c>
      <c r="B342" s="3" t="s">
        <v>1</v>
      </c>
      <c r="C342" s="3" t="s">
        <v>19</v>
      </c>
      <c r="D342" s="3" t="s">
        <v>1005</v>
      </c>
    </row>
    <row r="343" spans="1:4" x14ac:dyDescent="0.2">
      <c r="A343" s="3" t="s">
        <v>367</v>
      </c>
      <c r="B343" s="3" t="s">
        <v>1</v>
      </c>
      <c r="C343" s="3" t="s">
        <v>29</v>
      </c>
      <c r="D343" s="3" t="s">
        <v>1003</v>
      </c>
    </row>
    <row r="344" spans="1:4" x14ac:dyDescent="0.2">
      <c r="A344" s="3" t="s">
        <v>368</v>
      </c>
      <c r="B344" s="3" t="s">
        <v>1</v>
      </c>
      <c r="C344" s="3" t="s">
        <v>29</v>
      </c>
      <c r="D344" s="3" t="s">
        <v>1003</v>
      </c>
    </row>
    <row r="345" spans="1:4" x14ac:dyDescent="0.2">
      <c r="A345" s="3" t="s">
        <v>369</v>
      </c>
      <c r="B345" s="3" t="s">
        <v>1</v>
      </c>
      <c r="C345" s="3" t="s">
        <v>17</v>
      </c>
      <c r="D345" s="3" t="s">
        <v>1004</v>
      </c>
    </row>
    <row r="346" spans="1:4" x14ac:dyDescent="0.2">
      <c r="A346" s="3" t="s">
        <v>359</v>
      </c>
      <c r="B346" s="3" t="s">
        <v>1</v>
      </c>
      <c r="C346" s="3" t="s">
        <v>19</v>
      </c>
      <c r="D346" s="3" t="s">
        <v>1002</v>
      </c>
    </row>
    <row r="347" spans="1:4" x14ac:dyDescent="0.2">
      <c r="A347" s="3" t="s">
        <v>360</v>
      </c>
      <c r="B347" s="3" t="s">
        <v>1</v>
      </c>
      <c r="C347" s="3" t="s">
        <v>19</v>
      </c>
      <c r="D347" s="3" t="s">
        <v>1002</v>
      </c>
    </row>
    <row r="348" spans="1:4" x14ac:dyDescent="0.2">
      <c r="A348" s="3" t="s">
        <v>361</v>
      </c>
      <c r="B348" s="3" t="s">
        <v>1</v>
      </c>
      <c r="C348" s="3" t="s">
        <v>19</v>
      </c>
      <c r="D348" s="3" t="s">
        <v>1002</v>
      </c>
    </row>
    <row r="349" spans="1:4" x14ac:dyDescent="0.2">
      <c r="A349" s="3" t="s">
        <v>362</v>
      </c>
      <c r="B349" s="3" t="s">
        <v>1</v>
      </c>
      <c r="C349" s="3" t="s">
        <v>19</v>
      </c>
      <c r="D349" s="3" t="s">
        <v>1002</v>
      </c>
    </row>
    <row r="350" spans="1:4" x14ac:dyDescent="0.2">
      <c r="A350" s="3" t="s">
        <v>363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364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365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366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473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355</v>
      </c>
      <c r="B355" s="3" t="s">
        <v>1</v>
      </c>
      <c r="C355" s="3" t="s">
        <v>17</v>
      </c>
      <c r="D355" s="3" t="s">
        <v>1001</v>
      </c>
    </row>
    <row r="356" spans="1:4" x14ac:dyDescent="0.2">
      <c r="A356" s="3" t="s">
        <v>356</v>
      </c>
      <c r="B356" s="3" t="s">
        <v>1</v>
      </c>
      <c r="C356" s="3" t="s">
        <v>17</v>
      </c>
      <c r="D356" s="3" t="s">
        <v>1001</v>
      </c>
    </row>
    <row r="357" spans="1:4" x14ac:dyDescent="0.2">
      <c r="A357" s="3" t="s">
        <v>357</v>
      </c>
      <c r="B357" s="3" t="s">
        <v>1</v>
      </c>
      <c r="C357" s="3" t="s">
        <v>17</v>
      </c>
      <c r="D357" s="3" t="s">
        <v>1001</v>
      </c>
    </row>
    <row r="358" spans="1:4" x14ac:dyDescent="0.2">
      <c r="A358" s="3" t="s">
        <v>358</v>
      </c>
      <c r="B358" s="3" t="s">
        <v>1</v>
      </c>
      <c r="C358" s="3" t="s">
        <v>17</v>
      </c>
      <c r="D358" s="3" t="s">
        <v>1001</v>
      </c>
    </row>
    <row r="359" spans="1:4" x14ac:dyDescent="0.2">
      <c r="A359" s="3" t="s">
        <v>373</v>
      </c>
      <c r="B359" s="3" t="s">
        <v>1</v>
      </c>
      <c r="C359" s="3" t="s">
        <v>17</v>
      </c>
      <c r="D359" s="3" t="s">
        <v>1008</v>
      </c>
    </row>
    <row r="360" spans="1:4" x14ac:dyDescent="0.2">
      <c r="A360" s="3" t="s">
        <v>374</v>
      </c>
      <c r="B360" s="3" t="s">
        <v>1</v>
      </c>
      <c r="C360" s="3" t="s">
        <v>17</v>
      </c>
      <c r="D360" s="3" t="s">
        <v>1008</v>
      </c>
    </row>
    <row r="361" spans="1:4" x14ac:dyDescent="0.2">
      <c r="A361" s="3" t="s">
        <v>375</v>
      </c>
      <c r="B361" s="3" t="s">
        <v>1</v>
      </c>
      <c r="C361" s="3" t="s">
        <v>17</v>
      </c>
      <c r="D361" s="3" t="s">
        <v>1008</v>
      </c>
    </row>
    <row r="362" spans="1:4" x14ac:dyDescent="0.2">
      <c r="A362" s="3" t="s">
        <v>376</v>
      </c>
      <c r="B362" s="3" t="s">
        <v>1</v>
      </c>
      <c r="C362" s="3" t="s">
        <v>17</v>
      </c>
      <c r="D362" s="3" t="s">
        <v>1008</v>
      </c>
    </row>
    <row r="363" spans="1:4" x14ac:dyDescent="0.2">
      <c r="A363" s="3" t="s">
        <v>381</v>
      </c>
      <c r="B363" s="3" t="s">
        <v>1</v>
      </c>
      <c r="C363" s="3" t="s">
        <v>17</v>
      </c>
      <c r="D363" s="3" t="s">
        <v>1010</v>
      </c>
    </row>
    <row r="364" spans="1:4" x14ac:dyDescent="0.2">
      <c r="A364" s="3" t="s">
        <v>382</v>
      </c>
      <c r="B364" s="3" t="s">
        <v>1</v>
      </c>
      <c r="C364" s="3" t="s">
        <v>17</v>
      </c>
      <c r="D364" s="3" t="s">
        <v>1010</v>
      </c>
    </row>
    <row r="365" spans="1:4" x14ac:dyDescent="0.2">
      <c r="A365" s="3" t="s">
        <v>383</v>
      </c>
      <c r="B365" s="3" t="s">
        <v>1</v>
      </c>
      <c r="C365" s="3" t="s">
        <v>17</v>
      </c>
      <c r="D365" s="3" t="s">
        <v>1010</v>
      </c>
    </row>
    <row r="366" spans="1:4" x14ac:dyDescent="0.2">
      <c r="A366" s="3" t="s">
        <v>384</v>
      </c>
      <c r="B366" s="3" t="s">
        <v>1</v>
      </c>
      <c r="C366" s="3" t="s">
        <v>17</v>
      </c>
      <c r="D366" s="3" t="s">
        <v>1010</v>
      </c>
    </row>
    <row r="367" spans="1:4" x14ac:dyDescent="0.2">
      <c r="A367" s="3" t="s">
        <v>385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386</v>
      </c>
      <c r="B368" s="3" t="s">
        <v>1</v>
      </c>
      <c r="C368" s="3" t="s">
        <v>979</v>
      </c>
      <c r="D368" s="3" t="s">
        <v>1011</v>
      </c>
    </row>
    <row r="369" spans="1:4" x14ac:dyDescent="0.2">
      <c r="A369" s="3" t="s">
        <v>314</v>
      </c>
      <c r="B369" s="3" t="s">
        <v>1</v>
      </c>
      <c r="C369" s="3" t="s">
        <v>17</v>
      </c>
      <c r="D369" s="3" t="s">
        <v>987</v>
      </c>
    </row>
    <row r="370" spans="1:4" x14ac:dyDescent="0.2">
      <c r="A370" s="3" t="s">
        <v>315</v>
      </c>
      <c r="B370" s="3" t="s">
        <v>1</v>
      </c>
      <c r="C370" s="3" t="s">
        <v>17</v>
      </c>
      <c r="D370" s="3" t="s">
        <v>987</v>
      </c>
    </row>
    <row r="371" spans="1:4" x14ac:dyDescent="0.2">
      <c r="A371" s="3" t="s">
        <v>316</v>
      </c>
      <c r="B371" s="3" t="s">
        <v>1</v>
      </c>
      <c r="C371" s="3" t="s">
        <v>17</v>
      </c>
      <c r="D371" s="3" t="s">
        <v>987</v>
      </c>
    </row>
    <row r="372" spans="1:4" x14ac:dyDescent="0.2">
      <c r="A372" s="3" t="s">
        <v>122</v>
      </c>
      <c r="B372" s="3" t="s">
        <v>27</v>
      </c>
      <c r="C372" s="3" t="s">
        <v>994</v>
      </c>
      <c r="D372" s="3" t="s">
        <v>1015</v>
      </c>
    </row>
    <row r="373" spans="1:4" x14ac:dyDescent="0.2">
      <c r="A373" s="3" t="s">
        <v>123</v>
      </c>
      <c r="B373" s="3" t="s">
        <v>27</v>
      </c>
      <c r="C373" s="3" t="s">
        <v>994</v>
      </c>
      <c r="D373" s="3" t="s">
        <v>1015</v>
      </c>
    </row>
    <row r="374" spans="1:4" x14ac:dyDescent="0.2">
      <c r="A374" s="3" t="s">
        <v>124</v>
      </c>
      <c r="B374" s="3" t="s">
        <v>27</v>
      </c>
      <c r="C374" s="3" t="s">
        <v>994</v>
      </c>
      <c r="D374" s="3" t="s">
        <v>1015</v>
      </c>
    </row>
    <row r="375" spans="1:4" x14ac:dyDescent="0.2">
      <c r="A375" s="3" t="s">
        <v>456</v>
      </c>
      <c r="B375" s="3" t="s">
        <v>1159</v>
      </c>
      <c r="C375" s="3" t="s">
        <v>994</v>
      </c>
      <c r="D375" s="3" t="s">
        <v>1012</v>
      </c>
    </row>
    <row r="376" spans="1:4" x14ac:dyDescent="0.2">
      <c r="A376" s="3" t="s">
        <v>457</v>
      </c>
      <c r="B376" s="3" t="s">
        <v>1159</v>
      </c>
      <c r="C376" s="3" t="s">
        <v>994</v>
      </c>
      <c r="D376" s="3" t="s">
        <v>1012</v>
      </c>
    </row>
    <row r="377" spans="1:4" x14ac:dyDescent="0.2">
      <c r="A377" s="3" t="s">
        <v>458</v>
      </c>
      <c r="B377" s="3" t="s">
        <v>1159</v>
      </c>
      <c r="C377" s="3" t="s">
        <v>994</v>
      </c>
      <c r="D377" s="3" t="s">
        <v>1012</v>
      </c>
    </row>
    <row r="378" spans="1:4" x14ac:dyDescent="0.2">
      <c r="A378" s="3" t="s">
        <v>459</v>
      </c>
      <c r="B378" s="3" t="s">
        <v>1159</v>
      </c>
      <c r="C378" s="3" t="s">
        <v>994</v>
      </c>
      <c r="D378" s="3" t="s">
        <v>1012</v>
      </c>
    </row>
    <row r="379" spans="1:4" x14ac:dyDescent="0.2">
      <c r="A379" s="3" t="s">
        <v>461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462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463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464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465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466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467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468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469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930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470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471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472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474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475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476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7" t="s">
        <v>477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478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479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480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3" t="s">
        <v>929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928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394</v>
      </c>
      <c r="B401" s="3" t="s">
        <v>1</v>
      </c>
      <c r="C401" s="3" t="s">
        <v>17</v>
      </c>
      <c r="D401" s="3" t="s">
        <v>1014</v>
      </c>
    </row>
    <row r="402" spans="1:4" x14ac:dyDescent="0.2">
      <c r="A402" s="3" t="s">
        <v>387</v>
      </c>
      <c r="B402" s="3" t="s">
        <v>1</v>
      </c>
      <c r="C402" s="3" t="s">
        <v>2</v>
      </c>
      <c r="D402" s="3" t="s">
        <v>1013</v>
      </c>
    </row>
    <row r="403" spans="1:4" x14ac:dyDescent="0.2">
      <c r="A403" s="3" t="s">
        <v>926</v>
      </c>
      <c r="B403" s="3" t="s">
        <v>1</v>
      </c>
      <c r="C403" s="3" t="s">
        <v>22</v>
      </c>
      <c r="D403" s="3" t="s">
        <v>1017</v>
      </c>
    </row>
    <row r="404" spans="1:4" x14ac:dyDescent="0.2">
      <c r="A404" s="3" t="s">
        <v>396</v>
      </c>
      <c r="B404" s="3" t="s">
        <v>1</v>
      </c>
      <c r="C404" s="3" t="s">
        <v>17</v>
      </c>
      <c r="D404" s="3" t="s">
        <v>1016</v>
      </c>
    </row>
    <row r="405" spans="1:4" x14ac:dyDescent="0.2">
      <c r="A405" s="3" t="s">
        <v>344</v>
      </c>
      <c r="B405" s="3" t="s">
        <v>1</v>
      </c>
      <c r="C405" s="3" t="s">
        <v>17</v>
      </c>
      <c r="D405" s="3" t="s">
        <v>998</v>
      </c>
    </row>
    <row r="406" spans="1:4" x14ac:dyDescent="0.2">
      <c r="A406" s="3" t="s">
        <v>397</v>
      </c>
      <c r="B406" s="3" t="s">
        <v>1</v>
      </c>
      <c r="C406" s="3" t="s">
        <v>17</v>
      </c>
      <c r="D406" s="3" t="s">
        <v>998</v>
      </c>
    </row>
    <row r="407" spans="1:4" x14ac:dyDescent="0.2">
      <c r="A407" s="3" t="s">
        <v>398</v>
      </c>
      <c r="B407" s="3" t="s">
        <v>1</v>
      </c>
      <c r="C407" s="3" t="s">
        <v>17</v>
      </c>
      <c r="D407" s="3" t="s">
        <v>998</v>
      </c>
    </row>
    <row r="408" spans="1:4" x14ac:dyDescent="0.2">
      <c r="A408" s="3" t="s">
        <v>399</v>
      </c>
      <c r="B408" s="3" t="s">
        <v>1</v>
      </c>
      <c r="C408" s="3" t="s">
        <v>17</v>
      </c>
      <c r="D408" s="3" t="s">
        <v>998</v>
      </c>
    </row>
    <row r="409" spans="1:4" x14ac:dyDescent="0.2">
      <c r="A409" s="3" t="s">
        <v>408</v>
      </c>
      <c r="B409" s="3" t="s">
        <v>950</v>
      </c>
      <c r="C409" s="3" t="s">
        <v>17</v>
      </c>
      <c r="D409" s="3" t="s">
        <v>1000</v>
      </c>
    </row>
    <row r="410" spans="1:4" x14ac:dyDescent="0.2">
      <c r="A410" s="3" t="s">
        <v>927</v>
      </c>
      <c r="B410" s="3" t="s">
        <v>950</v>
      </c>
      <c r="C410" s="3" t="s">
        <v>17</v>
      </c>
      <c r="D410" s="3" t="s">
        <v>1000</v>
      </c>
    </row>
    <row r="411" spans="1:4" x14ac:dyDescent="0.2">
      <c r="A411" s="7" t="s">
        <v>412</v>
      </c>
      <c r="B411" s="3" t="s">
        <v>950</v>
      </c>
      <c r="C411" s="3" t="s">
        <v>17</v>
      </c>
      <c r="D411" s="3" t="s">
        <v>1000</v>
      </c>
    </row>
    <row r="412" spans="1:4" x14ac:dyDescent="0.2">
      <c r="A412" s="3" t="s">
        <v>413</v>
      </c>
      <c r="B412" s="3" t="s">
        <v>950</v>
      </c>
      <c r="C412" s="3" t="s">
        <v>17</v>
      </c>
      <c r="D412" s="3" t="s">
        <v>1000</v>
      </c>
    </row>
    <row r="413" spans="1:4" x14ac:dyDescent="0.2">
      <c r="A413" s="25" t="s">
        <v>884</v>
      </c>
      <c r="B413" s="3" t="s">
        <v>944</v>
      </c>
      <c r="C413" s="3" t="s">
        <v>945</v>
      </c>
      <c r="D413" s="3" t="s">
        <v>946</v>
      </c>
    </row>
    <row r="414" spans="1:4" x14ac:dyDescent="0.2">
      <c r="A414" s="7" t="s">
        <v>885</v>
      </c>
      <c r="B414" s="3" t="s">
        <v>944</v>
      </c>
      <c r="C414" s="3" t="s">
        <v>945</v>
      </c>
      <c r="D414" s="3" t="s">
        <v>946</v>
      </c>
    </row>
    <row r="415" spans="1:4" x14ac:dyDescent="0.2">
      <c r="A415" s="1" t="s">
        <v>886</v>
      </c>
      <c r="B415" s="3" t="s">
        <v>944</v>
      </c>
      <c r="C415" s="3" t="s">
        <v>945</v>
      </c>
      <c r="D415" s="3" t="s">
        <v>946</v>
      </c>
    </row>
    <row r="416" spans="1:4" x14ac:dyDescent="0.2">
      <c r="A416" s="1" t="s">
        <v>887</v>
      </c>
      <c r="B416" s="3" t="s">
        <v>944</v>
      </c>
      <c r="C416" s="3" t="s">
        <v>945</v>
      </c>
      <c r="D416" s="3" t="s">
        <v>946</v>
      </c>
    </row>
    <row r="417" spans="1:4" x14ac:dyDescent="0.2">
      <c r="A417" s="1" t="s">
        <v>888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1" t="s">
        <v>889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890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891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7" t="s">
        <v>892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7" t="s">
        <v>893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894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895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1" t="s">
        <v>896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1" t="s">
        <v>897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898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899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900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901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902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903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904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905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906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907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908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909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7" t="s">
        <v>460</v>
      </c>
      <c r="B439" s="3" t="s">
        <v>1159</v>
      </c>
      <c r="C439" s="3" t="s">
        <v>994</v>
      </c>
      <c r="D439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5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6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6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6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6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6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6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6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6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6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6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37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53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29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78</v>
      </c>
      <c r="V2" s="1">
        <f>MIN('SegEnds_NonXtal_BW#'!W:W)</f>
        <v>24</v>
      </c>
      <c r="W2" s="1">
        <f>MAX('SegEnds_NonXtal_BW#'!X:X)</f>
        <v>63</v>
      </c>
      <c r="X2" s="1">
        <f>MIN('SegEnds_NonXtal_BW#'!Y:Y)</f>
        <v>47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SegEnds_Xtal_Prot#</vt:lpstr>
      <vt:lpstr>SegEnds_Xtal_BW#</vt:lpstr>
      <vt:lpstr>ICL3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Microsoft Office User</cp:lastModifiedBy>
  <cp:revision/>
  <dcterms:created xsi:type="dcterms:W3CDTF">2016-02-16T16:06:34Z</dcterms:created>
  <dcterms:modified xsi:type="dcterms:W3CDTF">2017-07-15T06:49:37Z</dcterms:modified>
  <cp:category/>
  <cp:contentStatus/>
</cp:coreProperties>
</file>